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336396\Desktop\LEA03647\MIS DOCUMENTOS\CUADRE DIARIO\2025\"/>
    </mc:Choice>
  </mc:AlternateContent>
  <bookViews>
    <workbookView xWindow="0" yWindow="0" windowWidth="23040" windowHeight="10632" tabRatio="915" activeTab="15"/>
  </bookViews>
  <sheets>
    <sheet name="JUN 03" sheetId="1" r:id="rId1"/>
    <sheet name="JUN 04" sheetId="3" r:id="rId2"/>
    <sheet name="JUN 05" sheetId="4" r:id="rId3"/>
    <sheet name="JUN 06" sheetId="5" r:id="rId4"/>
    <sheet name="JUN 09" sheetId="6" r:id="rId5"/>
    <sheet name="JUN 10" sheetId="7" r:id="rId6"/>
    <sheet name="JUN 11" sheetId="8" r:id="rId7"/>
    <sheet name="JUN 12" sheetId="9" r:id="rId8"/>
    <sheet name="JUN 13" sheetId="10" r:id="rId9"/>
    <sheet name="JUN 16" sheetId="11" r:id="rId10"/>
    <sheet name="JUN 17" sheetId="12" r:id="rId11"/>
    <sheet name="JUN 18" sheetId="13" r:id="rId12"/>
    <sheet name="JUN 19" sheetId="14" r:id="rId13"/>
    <sheet name="JUN 20" sheetId="15" r:id="rId14"/>
    <sheet name="JUN 24" sheetId="16" r:id="rId15"/>
    <sheet name="JUN 25" sheetId="17" r:id="rId16"/>
    <sheet name="JUN 26" sheetId="18" r:id="rId17"/>
    <sheet name="JUN 27" sheetId="19" r:id="rId18"/>
  </sheets>
  <externalReferences>
    <externalReference r:id="rId19"/>
  </externalReferences>
  <definedNames>
    <definedName name="_xlnm._FilterDatabase" localSheetId="0" hidden="1">'JUN 03'!$A$1:$CR$84</definedName>
    <definedName name="_xlnm._FilterDatabase" localSheetId="1" hidden="1">'JUN 04'!$A$1:$CR$84</definedName>
    <definedName name="_xlnm._FilterDatabase" localSheetId="2" hidden="1">'JUN 05'!$A$1:$CR$84</definedName>
    <definedName name="_xlnm._FilterDatabase" localSheetId="3" hidden="1">'JUN 06'!$A$1:$CR$84</definedName>
    <definedName name="_xlnm._FilterDatabase" localSheetId="4" hidden="1">'JUN 09'!$A$1:$CR$84</definedName>
    <definedName name="_xlnm._FilterDatabase" localSheetId="5" hidden="1">'JUN 10'!$A$1:$CR$84</definedName>
    <definedName name="_xlnm._FilterDatabase" localSheetId="6" hidden="1">'JUN 11'!$A$1:$CR$84</definedName>
    <definedName name="_xlnm._FilterDatabase" localSheetId="7" hidden="1">'JUN 12'!$A$1:$CR$84</definedName>
    <definedName name="_xlnm._FilterDatabase" localSheetId="8" hidden="1">'JUN 13'!$A$1:$CR$84</definedName>
    <definedName name="_xlnm._FilterDatabase" localSheetId="9" hidden="1">'JUN 16'!$A$1:$CR$84</definedName>
    <definedName name="_xlnm._FilterDatabase" localSheetId="10" hidden="1">'JUN 17'!$A$1:$CR$84</definedName>
    <definedName name="_xlnm._FilterDatabase" localSheetId="11" hidden="1">'JUN 18'!$A$1:$CR$84</definedName>
    <definedName name="_xlnm._FilterDatabase" localSheetId="12" hidden="1">'JUN 19'!$A$1:$CR$84</definedName>
    <definedName name="_xlnm._FilterDatabase" localSheetId="13" hidden="1">'JUN 20'!$A$1:$CR$84</definedName>
    <definedName name="_xlnm._FilterDatabase" localSheetId="14" hidden="1">'JUN 24'!$A$1:$CR$84</definedName>
    <definedName name="_xlnm._FilterDatabase" localSheetId="15" hidden="1">'JUN 25'!$A$1:$CR$84</definedName>
    <definedName name="_xlnm._FilterDatabase" localSheetId="16" hidden="1">'JUN 26'!$A$1:$CR$84</definedName>
    <definedName name="_xlnm._FilterDatabase" localSheetId="17" hidden="1">'JUN 27'!$A$1:$CR$84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3" i="17" l="1"/>
  <c r="AM32" i="17"/>
  <c r="AM40" i="10" l="1"/>
  <c r="AI5" i="1"/>
  <c r="AP40" i="18" l="1"/>
  <c r="BP52" i="19"/>
  <c r="BN52" i="19"/>
  <c r="BM52" i="19"/>
  <c r="BL52" i="19"/>
  <c r="BK52" i="19" l="1"/>
  <c r="BK53" i="19"/>
  <c r="BJ53" i="19"/>
  <c r="BI53" i="19"/>
  <c r="BH53" i="19"/>
  <c r="BI52" i="19"/>
  <c r="BH52" i="19"/>
  <c r="BG52" i="19" l="1"/>
  <c r="BE50" i="1"/>
  <c r="AY47" i="16"/>
  <c r="AV53" i="19"/>
  <c r="AR52" i="19"/>
  <c r="AR50" i="18"/>
  <c r="AR53" i="18"/>
  <c r="AK52" i="19"/>
  <c r="AK49" i="17"/>
  <c r="AI51" i="16"/>
  <c r="AI53" i="16"/>
  <c r="AH53" i="16"/>
  <c r="AI53" i="15"/>
  <c r="AI51" i="15"/>
  <c r="AI26" i="15"/>
  <c r="AH53" i="15"/>
  <c r="AH51" i="15"/>
  <c r="Q37" i="3"/>
  <c r="R52" i="19"/>
  <c r="I52" i="19"/>
  <c r="Q39" i="6" l="1"/>
  <c r="P35" i="1" l="1"/>
  <c r="S30" i="19" l="1"/>
  <c r="Q30" i="19"/>
  <c r="BD52" i="19" l="1"/>
  <c r="BD50" i="19"/>
  <c r="BB52" i="19"/>
  <c r="BB50" i="19"/>
  <c r="BC50" i="19"/>
  <c r="BC52" i="19"/>
  <c r="BA50" i="19"/>
  <c r="BA52" i="19"/>
  <c r="BN50" i="19"/>
  <c r="F51" i="19"/>
  <c r="BM50" i="19"/>
  <c r="I50" i="19"/>
  <c r="E51" i="19"/>
  <c r="BL50" i="19"/>
  <c r="F53" i="19"/>
  <c r="D53" i="19"/>
  <c r="S52" i="19" l="1"/>
  <c r="S29" i="19"/>
  <c r="S30" i="18"/>
  <c r="Q30" i="18"/>
  <c r="O51" i="19" l="1"/>
  <c r="S51" i="19"/>
  <c r="Q51" i="19"/>
  <c r="L28" i="19" l="1"/>
  <c r="M48" i="19"/>
  <c r="L48" i="19"/>
  <c r="L11" i="19" l="1"/>
  <c r="L54" i="19" l="1"/>
  <c r="L53" i="19"/>
  <c r="Q35" i="19"/>
  <c r="Q19" i="19"/>
  <c r="Q12" i="19"/>
  <c r="Q11" i="19"/>
  <c r="S12" i="19"/>
  <c r="S11" i="19"/>
  <c r="BU29" i="19"/>
  <c r="Q38" i="18" l="1"/>
  <c r="BB50" i="18" l="1"/>
  <c r="BC52" i="18"/>
  <c r="BA52" i="18"/>
  <c r="G5" i="19" l="1"/>
  <c r="H5" i="19"/>
  <c r="H8" i="19" s="1"/>
  <c r="I5" i="19"/>
  <c r="J5" i="19"/>
  <c r="J8" i="19" s="1"/>
  <c r="J55" i="19" s="1"/>
  <c r="K5" i="19"/>
  <c r="N5" i="19"/>
  <c r="O5" i="19"/>
  <c r="O8" i="19" s="1"/>
  <c r="T5" i="19"/>
  <c r="T8" i="19" s="1"/>
  <c r="U5" i="19"/>
  <c r="U8" i="19" s="1"/>
  <c r="V5" i="19"/>
  <c r="V8" i="19" s="1"/>
  <c r="W5" i="19"/>
  <c r="W8" i="19" s="1"/>
  <c r="W55" i="19" s="1"/>
  <c r="X5" i="19"/>
  <c r="Y5" i="19"/>
  <c r="Z5" i="19"/>
  <c r="Z8" i="19" s="1"/>
  <c r="Z55" i="19" s="1"/>
  <c r="G72" i="19" s="1"/>
  <c r="AA5" i="19"/>
  <c r="AA8" i="19" s="1"/>
  <c r="AB5" i="19"/>
  <c r="AC5" i="19"/>
  <c r="AD5" i="19"/>
  <c r="AE5" i="19"/>
  <c r="AF5" i="19"/>
  <c r="AF8" i="19" s="1"/>
  <c r="AG5" i="19"/>
  <c r="AL5" i="19"/>
  <c r="AN5" i="19"/>
  <c r="AO5" i="19"/>
  <c r="AQ5" i="19"/>
  <c r="AQ8" i="19" s="1"/>
  <c r="AS5" i="19"/>
  <c r="AT5" i="19"/>
  <c r="G95" i="19" s="1"/>
  <c r="AU5" i="19"/>
  <c r="G102" i="19" s="1"/>
  <c r="AV5" i="19"/>
  <c r="AW5" i="19"/>
  <c r="AX5" i="19"/>
  <c r="AX8" i="19" s="1"/>
  <c r="AZ5" i="19"/>
  <c r="BG5" i="19"/>
  <c r="G105" i="19" s="1"/>
  <c r="BH5" i="19"/>
  <c r="BI5" i="19"/>
  <c r="G97" i="19" s="1"/>
  <c r="BJ5" i="19"/>
  <c r="G103" i="19" s="1"/>
  <c r="BL5" i="19"/>
  <c r="BM5" i="19"/>
  <c r="BN5" i="19"/>
  <c r="BO5" i="19"/>
  <c r="BP5" i="19"/>
  <c r="BP8" i="19" s="1"/>
  <c r="BQ5" i="19"/>
  <c r="BQ8" i="19" s="1"/>
  <c r="BR5" i="19"/>
  <c r="BR8" i="19" s="1"/>
  <c r="BS5" i="19"/>
  <c r="BS8" i="19" s="1"/>
  <c r="BS55" i="19" s="1"/>
  <c r="BT5" i="19"/>
  <c r="BU5" i="19"/>
  <c r="BV5" i="19"/>
  <c r="BV8" i="19" s="1"/>
  <c r="BW5" i="19"/>
  <c r="BW8" i="19" s="1"/>
  <c r="BX5" i="19"/>
  <c r="BY5" i="19"/>
  <c r="BZ5" i="19"/>
  <c r="CA5" i="19"/>
  <c r="CB5" i="19"/>
  <c r="CB8" i="19" s="1"/>
  <c r="CC5" i="19"/>
  <c r="CC8" i="19" s="1"/>
  <c r="CD5" i="19"/>
  <c r="CD8" i="19" s="1"/>
  <c r="CD55" i="19" s="1"/>
  <c r="CE5" i="19"/>
  <c r="CF5" i="19"/>
  <c r="CG5" i="19"/>
  <c r="CG8" i="19" s="1"/>
  <c r="CH5" i="19"/>
  <c r="CI5" i="19"/>
  <c r="CJ5" i="19"/>
  <c r="CK5" i="19"/>
  <c r="CL5" i="19"/>
  <c r="CM5" i="19"/>
  <c r="CN5" i="19"/>
  <c r="CN8" i="19" s="1"/>
  <c r="CO5" i="19"/>
  <c r="CO8" i="19" s="1"/>
  <c r="CP5" i="19"/>
  <c r="CP8" i="19" s="1"/>
  <c r="CQ5" i="19"/>
  <c r="CQ8" i="19" s="1"/>
  <c r="CQ55" i="19" s="1"/>
  <c r="CR5" i="19"/>
  <c r="CS5" i="19"/>
  <c r="CT5" i="19"/>
  <c r="CT8" i="19" s="1"/>
  <c r="CT55" i="19" s="1"/>
  <c r="CU5" i="19"/>
  <c r="CU8" i="19" s="1"/>
  <c r="CU55" i="19" s="1"/>
  <c r="CV5" i="19"/>
  <c r="L106" i="19"/>
  <c r="K106" i="19"/>
  <c r="J106" i="19"/>
  <c r="I106" i="19"/>
  <c r="H106" i="19"/>
  <c r="K105" i="19"/>
  <c r="J105" i="19"/>
  <c r="I105" i="19"/>
  <c r="H105" i="19"/>
  <c r="K104" i="19"/>
  <c r="J104" i="19"/>
  <c r="I104" i="19"/>
  <c r="H104" i="19"/>
  <c r="K103" i="19"/>
  <c r="J103" i="19"/>
  <c r="I103" i="19"/>
  <c r="H103" i="19"/>
  <c r="K102" i="19"/>
  <c r="J102" i="19"/>
  <c r="J110" i="19" s="1"/>
  <c r="I102" i="19"/>
  <c r="H102" i="19"/>
  <c r="L101" i="19"/>
  <c r="K101" i="19"/>
  <c r="J101" i="19"/>
  <c r="I101" i="19"/>
  <c r="H101" i="19"/>
  <c r="K100" i="19"/>
  <c r="J100" i="19"/>
  <c r="I100" i="19"/>
  <c r="H100" i="19"/>
  <c r="K99" i="19"/>
  <c r="J99" i="19"/>
  <c r="I99" i="19"/>
  <c r="H99" i="19"/>
  <c r="K98" i="19"/>
  <c r="J98" i="19"/>
  <c r="I98" i="19"/>
  <c r="H98" i="19"/>
  <c r="K97" i="19"/>
  <c r="J97" i="19"/>
  <c r="I97" i="19"/>
  <c r="H97" i="19"/>
  <c r="K96" i="19"/>
  <c r="J96" i="19"/>
  <c r="I96" i="19"/>
  <c r="H96" i="19"/>
  <c r="K95" i="19"/>
  <c r="J95" i="19"/>
  <c r="I95" i="19"/>
  <c r="H95" i="19"/>
  <c r="K94" i="19"/>
  <c r="J94" i="19"/>
  <c r="I94" i="19"/>
  <c r="H94" i="19"/>
  <c r="K93" i="19"/>
  <c r="J93" i="19"/>
  <c r="I93" i="19"/>
  <c r="H93" i="19"/>
  <c r="K92" i="19"/>
  <c r="J92" i="19"/>
  <c r="I92" i="19"/>
  <c r="H92" i="19"/>
  <c r="K91" i="19"/>
  <c r="J91" i="19"/>
  <c r="I91" i="19"/>
  <c r="H91" i="19"/>
  <c r="G91" i="19"/>
  <c r="K90" i="19"/>
  <c r="J90" i="19"/>
  <c r="I90" i="19"/>
  <c r="H90" i="19"/>
  <c r="C84" i="19"/>
  <c r="D83" i="19"/>
  <c r="C83" i="19"/>
  <c r="C82" i="19"/>
  <c r="D71" i="19"/>
  <c r="CV54" i="19"/>
  <c r="CU54" i="19"/>
  <c r="CT54" i="19"/>
  <c r="CS54" i="19"/>
  <c r="CO54" i="19"/>
  <c r="CL54" i="19"/>
  <c r="CI54" i="19"/>
  <c r="BW54" i="19"/>
  <c r="BK54" i="19"/>
  <c r="BJ54" i="19"/>
  <c r="BE54" i="19"/>
  <c r="BB54" i="19"/>
  <c r="AY54" i="19"/>
  <c r="AM54" i="19"/>
  <c r="AA54" i="19"/>
  <c r="Z54" i="19"/>
  <c r="U54" i="19"/>
  <c r="R54" i="19"/>
  <c r="O54" i="19"/>
  <c r="CR53" i="19"/>
  <c r="CR54" i="19" s="1"/>
  <c r="CQ53" i="19"/>
  <c r="CQ54" i="19" s="1"/>
  <c r="CP53" i="19"/>
  <c r="CP54" i="19" s="1"/>
  <c r="CO53" i="19"/>
  <c r="CN53" i="19"/>
  <c r="CN54" i="19" s="1"/>
  <c r="CM53" i="19"/>
  <c r="CM54" i="19" s="1"/>
  <c r="CL53" i="19"/>
  <c r="CK53" i="19"/>
  <c r="CK54" i="19" s="1"/>
  <c r="CJ53" i="19"/>
  <c r="CJ54" i="19" s="1"/>
  <c r="CI53" i="19"/>
  <c r="CH53" i="19"/>
  <c r="CH54" i="19" s="1"/>
  <c r="CG53" i="19"/>
  <c r="CG54" i="19" s="1"/>
  <c r="CF53" i="19"/>
  <c r="CF54" i="19" s="1"/>
  <c r="CE53" i="19"/>
  <c r="CE54" i="19" s="1"/>
  <c r="CD53" i="19"/>
  <c r="CD54" i="19" s="1"/>
  <c r="CC53" i="19"/>
  <c r="CC54" i="19" s="1"/>
  <c r="CB53" i="19"/>
  <c r="CB54" i="19" s="1"/>
  <c r="CA53" i="19"/>
  <c r="BZ53" i="19"/>
  <c r="BZ54" i="19" s="1"/>
  <c r="BY53" i="19"/>
  <c r="BY54" i="19" s="1"/>
  <c r="BX53" i="19"/>
  <c r="BX54" i="19" s="1"/>
  <c r="BW53" i="19"/>
  <c r="BV53" i="19"/>
  <c r="BV54" i="19" s="1"/>
  <c r="BU53" i="19"/>
  <c r="BU54" i="19" s="1"/>
  <c r="BT53" i="19"/>
  <c r="BT54" i="19" s="1"/>
  <c r="BS53" i="19"/>
  <c r="BS54" i="19" s="1"/>
  <c r="BR53" i="19"/>
  <c r="BR54" i="19" s="1"/>
  <c r="BQ53" i="19"/>
  <c r="BQ54" i="19" s="1"/>
  <c r="BP53" i="19"/>
  <c r="BP54" i="19" s="1"/>
  <c r="BO53" i="19"/>
  <c r="BO54" i="19" s="1"/>
  <c r="BN53" i="19"/>
  <c r="BN54" i="19" s="1"/>
  <c r="BM53" i="19"/>
  <c r="BM54" i="19" s="1"/>
  <c r="BL53" i="19"/>
  <c r="BL54" i="19" s="1"/>
  <c r="L103" i="19"/>
  <c r="L97" i="19"/>
  <c r="L91" i="19"/>
  <c r="BG53" i="19"/>
  <c r="BG54" i="19" s="1"/>
  <c r="BF53" i="19"/>
  <c r="BF54" i="19" s="1"/>
  <c r="BE53" i="19"/>
  <c r="L93" i="19" s="1"/>
  <c r="BD53" i="19"/>
  <c r="BD54" i="19" s="1"/>
  <c r="BC53" i="19"/>
  <c r="L98" i="19" s="1"/>
  <c r="BB53" i="19"/>
  <c r="L99" i="19" s="1"/>
  <c r="BA53" i="19"/>
  <c r="BA54" i="19" s="1"/>
  <c r="AZ53" i="19"/>
  <c r="AZ54" i="19" s="1"/>
  <c r="AY53" i="19"/>
  <c r="AX53" i="19"/>
  <c r="AX54" i="19" s="1"/>
  <c r="AW53" i="19"/>
  <c r="AW54" i="19" s="1"/>
  <c r="AV54" i="19"/>
  <c r="AU53" i="19"/>
  <c r="AU54" i="19" s="1"/>
  <c r="AT53" i="19"/>
  <c r="AT54" i="19" s="1"/>
  <c r="AS53" i="19"/>
  <c r="L96" i="19" s="1"/>
  <c r="AR53" i="19"/>
  <c r="L90" i="19" s="1"/>
  <c r="AQ53" i="19"/>
  <c r="AQ54" i="19" s="1"/>
  <c r="AP53" i="19"/>
  <c r="AP54" i="19" s="1"/>
  <c r="AO53" i="19"/>
  <c r="AO54" i="19" s="1"/>
  <c r="AN53" i="19"/>
  <c r="AN54" i="19" s="1"/>
  <c r="AM53" i="19"/>
  <c r="AL53" i="19"/>
  <c r="AL54" i="19" s="1"/>
  <c r="AK53" i="19"/>
  <c r="AK54" i="19" s="1"/>
  <c r="AJ53" i="19"/>
  <c r="AJ54" i="19" s="1"/>
  <c r="AI53" i="19"/>
  <c r="AI54" i="19" s="1"/>
  <c r="AH53" i="19"/>
  <c r="AH54" i="19" s="1"/>
  <c r="AG53" i="19"/>
  <c r="AG54" i="19" s="1"/>
  <c r="AF53" i="19"/>
  <c r="AF54" i="19" s="1"/>
  <c r="AE53" i="19"/>
  <c r="AE54" i="19" s="1"/>
  <c r="AD53" i="19"/>
  <c r="AD54" i="19" s="1"/>
  <c r="AC53" i="19"/>
  <c r="AC54" i="19" s="1"/>
  <c r="AB53" i="19"/>
  <c r="AB54" i="19" s="1"/>
  <c r="AA53" i="19"/>
  <c r="Z53" i="19"/>
  <c r="Y53" i="19"/>
  <c r="Y54" i="19" s="1"/>
  <c r="X53" i="19"/>
  <c r="X54" i="19" s="1"/>
  <c r="W53" i="19"/>
  <c r="W54" i="19" s="1"/>
  <c r="V53" i="19"/>
  <c r="V54" i="19" s="1"/>
  <c r="U53" i="19"/>
  <c r="T53" i="19"/>
  <c r="T54" i="19" s="1"/>
  <c r="S53" i="19"/>
  <c r="S54" i="19" s="1"/>
  <c r="R53" i="19"/>
  <c r="Q53" i="19"/>
  <c r="P53" i="19"/>
  <c r="O53" i="19"/>
  <c r="N53" i="19"/>
  <c r="N54" i="19" s="1"/>
  <c r="M53" i="19"/>
  <c r="M54" i="19" s="1"/>
  <c r="K53" i="19"/>
  <c r="K54" i="19" s="1"/>
  <c r="J53" i="19"/>
  <c r="J54" i="19" s="1"/>
  <c r="I53" i="19"/>
  <c r="I54" i="19" s="1"/>
  <c r="H53" i="19"/>
  <c r="H54" i="19" s="1"/>
  <c r="G53" i="19"/>
  <c r="G54" i="19" s="1"/>
  <c r="F54" i="19"/>
  <c r="E53" i="19"/>
  <c r="E54" i="19" s="1"/>
  <c r="D54" i="19"/>
  <c r="CW52" i="19"/>
  <c r="CW51" i="19"/>
  <c r="CW50" i="19"/>
  <c r="CW49" i="19"/>
  <c r="CW48" i="19"/>
  <c r="CW47" i="19"/>
  <c r="CW46" i="19"/>
  <c r="CW45" i="19"/>
  <c r="CW44" i="19"/>
  <c r="D72" i="19" s="1"/>
  <c r="CW43" i="19"/>
  <c r="D84" i="19" s="1"/>
  <c r="CW42" i="19"/>
  <c r="CW41" i="19"/>
  <c r="CW40" i="19"/>
  <c r="D82" i="19" s="1"/>
  <c r="CW39" i="19"/>
  <c r="D70" i="19" s="1"/>
  <c r="CW38" i="19"/>
  <c r="D81" i="19" s="1"/>
  <c r="CW37" i="19"/>
  <c r="D69" i="19" s="1"/>
  <c r="CW36" i="19"/>
  <c r="D80" i="19" s="1"/>
  <c r="CW35" i="19"/>
  <c r="CW34" i="19"/>
  <c r="D68" i="19" s="1"/>
  <c r="CW33" i="19"/>
  <c r="D79" i="19" s="1"/>
  <c r="CW32" i="19"/>
  <c r="D67" i="19" s="1"/>
  <c r="CW31" i="19"/>
  <c r="D66" i="19" s="1"/>
  <c r="CW30" i="19"/>
  <c r="D78" i="19" s="1"/>
  <c r="CW29" i="19"/>
  <c r="CW28" i="19"/>
  <c r="CW27" i="19"/>
  <c r="D63" i="19" s="1"/>
  <c r="CW26" i="19"/>
  <c r="CW25" i="19"/>
  <c r="CW24" i="19"/>
  <c r="CW23" i="19"/>
  <c r="CW22" i="19"/>
  <c r="D65" i="19" s="1"/>
  <c r="CW21" i="19"/>
  <c r="CW20" i="19"/>
  <c r="CW19" i="19"/>
  <c r="CW18" i="19"/>
  <c r="D61" i="19" s="1"/>
  <c r="CW17" i="19"/>
  <c r="D74" i="19" s="1"/>
  <c r="CW16" i="19"/>
  <c r="CW15" i="19"/>
  <c r="CW14" i="19"/>
  <c r="CW13" i="19"/>
  <c r="CW12" i="19"/>
  <c r="CW11" i="19"/>
  <c r="CW10" i="19"/>
  <c r="CW9" i="19"/>
  <c r="CL8" i="19"/>
  <c r="CK8" i="19"/>
  <c r="CH8" i="19"/>
  <c r="CE8" i="19"/>
  <c r="CE55" i="19" s="1"/>
  <c r="BZ8" i="19"/>
  <c r="BY8" i="19"/>
  <c r="BN8" i="19"/>
  <c r="BM8" i="19"/>
  <c r="BJ8" i="19"/>
  <c r="BG8" i="19"/>
  <c r="AO8" i="19"/>
  <c r="AL8" i="19"/>
  <c r="AD8" i="19"/>
  <c r="AC8" i="19"/>
  <c r="N8" i="19"/>
  <c r="K8" i="19"/>
  <c r="CV8" i="19"/>
  <c r="CV55" i="19" s="1"/>
  <c r="CS8" i="19"/>
  <c r="CR8" i="19"/>
  <c r="CM8" i="19"/>
  <c r="CJ8" i="19"/>
  <c r="CI8" i="19"/>
  <c r="CI55" i="19" s="1"/>
  <c r="CF8" i="19"/>
  <c r="CA8" i="19"/>
  <c r="BX8" i="19"/>
  <c r="BU8" i="19"/>
  <c r="BT8" i="19"/>
  <c r="BO8" i="19"/>
  <c r="BL8" i="19"/>
  <c r="BH8" i="19"/>
  <c r="AZ8" i="19"/>
  <c r="G101" i="19"/>
  <c r="G94" i="19"/>
  <c r="AV8" i="19"/>
  <c r="G96" i="19"/>
  <c r="AN8" i="19"/>
  <c r="AG8" i="19"/>
  <c r="AE8" i="19"/>
  <c r="AB8" i="19"/>
  <c r="Y8" i="19"/>
  <c r="X8" i="19"/>
  <c r="I8" i="19"/>
  <c r="G8" i="19"/>
  <c r="M103" i="19" l="1"/>
  <c r="BG55" i="19"/>
  <c r="K110" i="19"/>
  <c r="K109" i="19"/>
  <c r="O55" i="19"/>
  <c r="K55" i="19"/>
  <c r="G67" i="19" s="1"/>
  <c r="AT8" i="19"/>
  <c r="AT55" i="19" s="1"/>
  <c r="AU8" i="19"/>
  <c r="AU55" i="19" s="1"/>
  <c r="AX55" i="19"/>
  <c r="AA55" i="19"/>
  <c r="BW55" i="19"/>
  <c r="I108" i="19"/>
  <c r="J109" i="19"/>
  <c r="I110" i="19"/>
  <c r="L104" i="19"/>
  <c r="D62" i="19"/>
  <c r="BV55" i="19"/>
  <c r="AE55" i="19"/>
  <c r="L94" i="19"/>
  <c r="M94" i="19" s="1"/>
  <c r="I55" i="19"/>
  <c r="U55" i="19"/>
  <c r="AG55" i="19"/>
  <c r="M96" i="19"/>
  <c r="BQ55" i="19"/>
  <c r="CC55" i="19"/>
  <c r="CO55" i="19"/>
  <c r="D64" i="19"/>
  <c r="H108" i="19"/>
  <c r="N55" i="19"/>
  <c r="G61" i="19" s="1"/>
  <c r="AL55" i="19"/>
  <c r="BJ55" i="19"/>
  <c r="CH55" i="19"/>
  <c r="D75" i="19"/>
  <c r="D73" i="19" s="1"/>
  <c r="L92" i="19"/>
  <c r="L108" i="19" s="1"/>
  <c r="I109" i="19"/>
  <c r="AD55" i="19"/>
  <c r="G74" i="19" s="1"/>
  <c r="BZ55" i="19"/>
  <c r="AQ55" i="19"/>
  <c r="J108" i="19"/>
  <c r="G55" i="19"/>
  <c r="X55" i="19"/>
  <c r="AV55" i="19"/>
  <c r="BT55" i="19"/>
  <c r="CF55" i="19"/>
  <c r="CR55" i="19"/>
  <c r="BN55" i="19"/>
  <c r="CL55" i="19"/>
  <c r="K108" i="19"/>
  <c r="Y55" i="19"/>
  <c r="M97" i="19"/>
  <c r="BU55" i="19"/>
  <c r="CG55" i="19"/>
  <c r="CS55" i="19"/>
  <c r="T55" i="19"/>
  <c r="BP55" i="19"/>
  <c r="CN55" i="19"/>
  <c r="D76" i="19"/>
  <c r="D77" i="19"/>
  <c r="AS54" i="19"/>
  <c r="H109" i="19"/>
  <c r="M101" i="19"/>
  <c r="V55" i="19"/>
  <c r="BR55" i="19"/>
  <c r="CP55" i="19"/>
  <c r="H110" i="19"/>
  <c r="BM55" i="19"/>
  <c r="AN55" i="19"/>
  <c r="BX55" i="19"/>
  <c r="CJ55" i="19"/>
  <c r="CK55" i="19"/>
  <c r="AZ55" i="19"/>
  <c r="AO55" i="19"/>
  <c r="AB55" i="19"/>
  <c r="G73" i="19" s="1"/>
  <c r="BL55" i="19"/>
  <c r="AC55" i="19"/>
  <c r="BY55" i="19"/>
  <c r="BO55" i="19"/>
  <c r="CM55" i="19"/>
  <c r="M91" i="19"/>
  <c r="H55" i="19"/>
  <c r="AF55" i="19"/>
  <c r="G75" i="19" s="1"/>
  <c r="CB55" i="19"/>
  <c r="Q54" i="19"/>
  <c r="BH54" i="19"/>
  <c r="BH55" i="19" s="1"/>
  <c r="AS8" i="19"/>
  <c r="BI54" i="19"/>
  <c r="CW53" i="19"/>
  <c r="P54" i="19"/>
  <c r="AW8" i="19"/>
  <c r="AW55" i="19" s="1"/>
  <c r="BI8" i="19"/>
  <c r="BC54" i="19"/>
  <c r="CA54" i="19"/>
  <c r="CA55" i="19" s="1"/>
  <c r="L105" i="19"/>
  <c r="M105" i="19" s="1"/>
  <c r="AR54" i="19"/>
  <c r="L100" i="19"/>
  <c r="L95" i="19"/>
  <c r="L109" i="19" s="1"/>
  <c r="L102" i="19"/>
  <c r="AS55" i="19" l="1"/>
  <c r="D60" i="19"/>
  <c r="CW54" i="19"/>
  <c r="L110" i="19"/>
  <c r="M102" i="19"/>
  <c r="BI55" i="19"/>
  <c r="M95" i="19"/>
  <c r="S19" i="18" l="1"/>
  <c r="Q19" i="18"/>
  <c r="AM33" i="17" l="1"/>
  <c r="AM58" i="17"/>
  <c r="AL32" i="17"/>
  <c r="S52" i="18" l="1"/>
  <c r="S52" i="17"/>
  <c r="S52" i="16"/>
  <c r="S52" i="15"/>
  <c r="S52" i="13"/>
  <c r="S52" i="12"/>
  <c r="S52" i="11"/>
  <c r="Q35" i="18"/>
  <c r="S12" i="18"/>
  <c r="S11" i="18"/>
  <c r="Q12" i="18"/>
  <c r="Q11" i="18"/>
  <c r="Q38" i="17" l="1"/>
  <c r="D6" i="17" l="1"/>
  <c r="P35" i="18" l="1"/>
  <c r="L38" i="18"/>
  <c r="M11" i="17" l="1"/>
  <c r="M48" i="17"/>
  <c r="F53" i="17" l="1"/>
  <c r="BP52" i="18"/>
  <c r="E51" i="17"/>
  <c r="D51" i="17" l="1"/>
  <c r="D53" i="17"/>
  <c r="G5" i="18" l="1"/>
  <c r="G8" i="18" s="1"/>
  <c r="H5" i="18"/>
  <c r="I5" i="18"/>
  <c r="I8" i="18" s="1"/>
  <c r="J5" i="18"/>
  <c r="J8" i="18" s="1"/>
  <c r="K5" i="18"/>
  <c r="N5" i="18"/>
  <c r="N8" i="18" s="1"/>
  <c r="O5" i="18"/>
  <c r="O8" i="18" s="1"/>
  <c r="O55" i="18" s="1"/>
  <c r="R5" i="18"/>
  <c r="T5" i="18"/>
  <c r="U5" i="18"/>
  <c r="U8" i="18" s="1"/>
  <c r="U55" i="18" s="1"/>
  <c r="V5" i="18"/>
  <c r="V8" i="18" s="1"/>
  <c r="W5" i="18"/>
  <c r="X5" i="18"/>
  <c r="Y5" i="18"/>
  <c r="Z5" i="18"/>
  <c r="AA5" i="18"/>
  <c r="AB5" i="18"/>
  <c r="AB8" i="18" s="1"/>
  <c r="AC5" i="18"/>
  <c r="AD5" i="18"/>
  <c r="AD8" i="18" s="1"/>
  <c r="AE5" i="18"/>
  <c r="AE8" i="18" s="1"/>
  <c r="AF5" i="18"/>
  <c r="AF8" i="18" s="1"/>
  <c r="AF55" i="18" s="1"/>
  <c r="G75" i="18" s="1"/>
  <c r="AG5" i="18"/>
  <c r="AG8" i="18" s="1"/>
  <c r="AN5" i="18"/>
  <c r="AO5" i="18"/>
  <c r="AP5" i="18"/>
  <c r="AR5" i="18"/>
  <c r="G90" i="18" s="1"/>
  <c r="AS5" i="18"/>
  <c r="AS8" i="18" s="1"/>
  <c r="AT5" i="18"/>
  <c r="G95" i="18" s="1"/>
  <c r="AU5" i="18"/>
  <c r="AV5" i="18"/>
  <c r="AW5" i="18"/>
  <c r="AW8" i="18" s="1"/>
  <c r="AX5" i="18"/>
  <c r="AZ5" i="18"/>
  <c r="AZ8" i="18" s="1"/>
  <c r="BG5" i="18"/>
  <c r="BH5" i="18"/>
  <c r="BI5" i="18"/>
  <c r="BJ5" i="18"/>
  <c r="G103" i="18" s="1"/>
  <c r="BL5" i="18"/>
  <c r="BM5" i="18"/>
  <c r="BN5" i="18"/>
  <c r="BO5" i="18"/>
  <c r="BO8" i="18" s="1"/>
  <c r="BO55" i="18" s="1"/>
  <c r="BP5" i="18"/>
  <c r="BP8" i="18" s="1"/>
  <c r="BQ5" i="18"/>
  <c r="BQ8" i="18" s="1"/>
  <c r="BR5" i="18"/>
  <c r="BS5" i="18"/>
  <c r="BT5" i="18"/>
  <c r="BU5" i="18"/>
  <c r="BV5" i="18"/>
  <c r="BW5" i="18"/>
  <c r="BX5" i="18"/>
  <c r="BX8" i="18" s="1"/>
  <c r="BY5" i="18"/>
  <c r="BY8" i="18" s="1"/>
  <c r="BY55" i="18" s="1"/>
  <c r="BZ5" i="18"/>
  <c r="BZ8" i="18" s="1"/>
  <c r="CA5" i="18"/>
  <c r="CB5" i="18"/>
  <c r="CC5" i="18"/>
  <c r="CC8" i="18" s="1"/>
  <c r="CD5" i="18"/>
  <c r="CD8" i="18" s="1"/>
  <c r="CE5" i="18"/>
  <c r="CF5" i="18"/>
  <c r="CG5" i="18"/>
  <c r="CH5" i="18"/>
  <c r="CI5" i="18"/>
  <c r="CI8" i="18" s="1"/>
  <c r="CI55" i="18" s="1"/>
  <c r="CJ5" i="18"/>
  <c r="CK5" i="18"/>
  <c r="CL5" i="18"/>
  <c r="CL8" i="18" s="1"/>
  <c r="CL55" i="18" s="1"/>
  <c r="CM5" i="18"/>
  <c r="CM8" i="18" s="1"/>
  <c r="CN5" i="18"/>
  <c r="CN8" i="18" s="1"/>
  <c r="CO5" i="18"/>
  <c r="CO8" i="18" s="1"/>
  <c r="CP5" i="18"/>
  <c r="CP8" i="18" s="1"/>
  <c r="CQ5" i="18"/>
  <c r="CR5" i="18"/>
  <c r="CS5" i="18"/>
  <c r="CT5" i="18"/>
  <c r="CT8" i="18" s="1"/>
  <c r="CT55" i="18" s="1"/>
  <c r="CU5" i="18"/>
  <c r="CV5" i="18"/>
  <c r="CV8" i="18" s="1"/>
  <c r="CV55" i="18" s="1"/>
  <c r="K106" i="18"/>
  <c r="J106" i="18"/>
  <c r="I106" i="18"/>
  <c r="H106" i="18"/>
  <c r="K105" i="18"/>
  <c r="J105" i="18"/>
  <c r="I105" i="18"/>
  <c r="H105" i="18"/>
  <c r="K104" i="18"/>
  <c r="J104" i="18"/>
  <c r="I104" i="18"/>
  <c r="H104" i="18"/>
  <c r="K103" i="18"/>
  <c r="J103" i="18"/>
  <c r="I103" i="18"/>
  <c r="H103" i="18"/>
  <c r="K102" i="18"/>
  <c r="J102" i="18"/>
  <c r="I102" i="18"/>
  <c r="H102" i="18"/>
  <c r="H110" i="18" s="1"/>
  <c r="K101" i="18"/>
  <c r="J101" i="18"/>
  <c r="I101" i="18"/>
  <c r="H101" i="18"/>
  <c r="K100" i="18"/>
  <c r="J100" i="18"/>
  <c r="I100" i="18"/>
  <c r="H100" i="18"/>
  <c r="K99" i="18"/>
  <c r="J99" i="18"/>
  <c r="I99" i="18"/>
  <c r="H99" i="18"/>
  <c r="L98" i="18"/>
  <c r="K98" i="18"/>
  <c r="J98" i="18"/>
  <c r="I98" i="18"/>
  <c r="H98" i="18"/>
  <c r="K97" i="18"/>
  <c r="J97" i="18"/>
  <c r="I97" i="18"/>
  <c r="H97" i="18"/>
  <c r="K96" i="18"/>
  <c r="J96" i="18"/>
  <c r="I96" i="18"/>
  <c r="H96" i="18"/>
  <c r="K95" i="18"/>
  <c r="J95" i="18"/>
  <c r="I95" i="18"/>
  <c r="H95" i="18"/>
  <c r="K94" i="18"/>
  <c r="J94" i="18"/>
  <c r="I94" i="18"/>
  <c r="H94" i="18"/>
  <c r="K93" i="18"/>
  <c r="J93" i="18"/>
  <c r="J108" i="18" s="1"/>
  <c r="I93" i="18"/>
  <c r="H93" i="18"/>
  <c r="K92" i="18"/>
  <c r="J92" i="18"/>
  <c r="I92" i="18"/>
  <c r="H92" i="18"/>
  <c r="K91" i="18"/>
  <c r="J91" i="18"/>
  <c r="I91" i="18"/>
  <c r="H91" i="18"/>
  <c r="K90" i="18"/>
  <c r="J90" i="18"/>
  <c r="I90" i="18"/>
  <c r="H90" i="18"/>
  <c r="C84" i="18"/>
  <c r="C83" i="18"/>
  <c r="C82" i="18"/>
  <c r="D70" i="18"/>
  <c r="CV54" i="18"/>
  <c r="CU54" i="18"/>
  <c r="CT54" i="18"/>
  <c r="CS54" i="18"/>
  <c r="CL54" i="18"/>
  <c r="CJ54" i="18"/>
  <c r="CA54" i="18"/>
  <c r="BO54" i="18"/>
  <c r="BC54" i="18"/>
  <c r="BB54" i="18"/>
  <c r="BA54" i="18"/>
  <c r="AQ54" i="18"/>
  <c r="AE54" i="18"/>
  <c r="AD54" i="18"/>
  <c r="AC54" i="18"/>
  <c r="AB54" i="18"/>
  <c r="D54" i="18"/>
  <c r="CR53" i="18"/>
  <c r="CR54" i="18" s="1"/>
  <c r="CQ53" i="18"/>
  <c r="CQ54" i="18" s="1"/>
  <c r="CP53" i="18"/>
  <c r="CP54" i="18" s="1"/>
  <c r="CO53" i="18"/>
  <c r="CO54" i="18" s="1"/>
  <c r="CN53" i="18"/>
  <c r="CN54" i="18" s="1"/>
  <c r="CM53" i="18"/>
  <c r="CM54" i="18" s="1"/>
  <c r="CL53" i="18"/>
  <c r="CK53" i="18"/>
  <c r="CK54" i="18" s="1"/>
  <c r="CJ53" i="18"/>
  <c r="CI53" i="18"/>
  <c r="CI54" i="18" s="1"/>
  <c r="CH53" i="18"/>
  <c r="CH54" i="18" s="1"/>
  <c r="CG53" i="18"/>
  <c r="CG54" i="18" s="1"/>
  <c r="CF53" i="18"/>
  <c r="CF54" i="18" s="1"/>
  <c r="CE53" i="18"/>
  <c r="CE54" i="18" s="1"/>
  <c r="CD53" i="18"/>
  <c r="CD54" i="18" s="1"/>
  <c r="CC53" i="18"/>
  <c r="CC54" i="18" s="1"/>
  <c r="CB53" i="18"/>
  <c r="CB54" i="18" s="1"/>
  <c r="CA53" i="18"/>
  <c r="BZ53" i="18"/>
  <c r="BZ54" i="18" s="1"/>
  <c r="BY53" i="18"/>
  <c r="BY54" i="18" s="1"/>
  <c r="BX53" i="18"/>
  <c r="BX54" i="18" s="1"/>
  <c r="BW53" i="18"/>
  <c r="BW54" i="18" s="1"/>
  <c r="BV53" i="18"/>
  <c r="BV54" i="18" s="1"/>
  <c r="BU53" i="18"/>
  <c r="BU54" i="18" s="1"/>
  <c r="BT53" i="18"/>
  <c r="BT54" i="18" s="1"/>
  <c r="BS53" i="18"/>
  <c r="BS54" i="18" s="1"/>
  <c r="BR53" i="18"/>
  <c r="BR54" i="18" s="1"/>
  <c r="BQ53" i="18"/>
  <c r="BQ54" i="18" s="1"/>
  <c r="BP53" i="18"/>
  <c r="BO53" i="18"/>
  <c r="BN53" i="18"/>
  <c r="BN54" i="18" s="1"/>
  <c r="BM53" i="18"/>
  <c r="BM54" i="18" s="1"/>
  <c r="BL53" i="18"/>
  <c r="BL54" i="18" s="1"/>
  <c r="BK53" i="18"/>
  <c r="BK54" i="18" s="1"/>
  <c r="BJ53" i="18"/>
  <c r="L103" i="18" s="1"/>
  <c r="BI53" i="18"/>
  <c r="L97" i="18" s="1"/>
  <c r="BH53" i="18"/>
  <c r="BH54" i="18" s="1"/>
  <c r="BG53" i="18"/>
  <c r="L105" i="18" s="1"/>
  <c r="BF53" i="18"/>
  <c r="L100" i="18" s="1"/>
  <c r="BE53" i="18"/>
  <c r="BE54" i="18" s="1"/>
  <c r="BD53" i="18"/>
  <c r="L104" i="18" s="1"/>
  <c r="BC53" i="18"/>
  <c r="BB53" i="18"/>
  <c r="L99" i="18" s="1"/>
  <c r="BA53" i="18"/>
  <c r="L92" i="18" s="1"/>
  <c r="AZ53" i="18"/>
  <c r="AZ54" i="18" s="1"/>
  <c r="AY53" i="18"/>
  <c r="L101" i="18" s="1"/>
  <c r="AX53" i="18"/>
  <c r="AX54" i="18" s="1"/>
  <c r="AW53" i="18"/>
  <c r="L94" i="18" s="1"/>
  <c r="AV53" i="18"/>
  <c r="AV54" i="18" s="1"/>
  <c r="AU53" i="18"/>
  <c r="L102" i="18" s="1"/>
  <c r="AT53" i="18"/>
  <c r="L95" i="18" s="1"/>
  <c r="AS53" i="18"/>
  <c r="AS54" i="18" s="1"/>
  <c r="L90" i="18"/>
  <c r="AQ53" i="18"/>
  <c r="AP53" i="18"/>
  <c r="AP54" i="18" s="1"/>
  <c r="AO53" i="18"/>
  <c r="AO54" i="18" s="1"/>
  <c r="AN53" i="18"/>
  <c r="AN54" i="18" s="1"/>
  <c r="AM53" i="18"/>
  <c r="AM54" i="18" s="1"/>
  <c r="AL53" i="18"/>
  <c r="AL54" i="18" s="1"/>
  <c r="AK53" i="18"/>
  <c r="AK54" i="18" s="1"/>
  <c r="AJ53" i="18"/>
  <c r="AJ54" i="18" s="1"/>
  <c r="AI53" i="18"/>
  <c r="AI54" i="18" s="1"/>
  <c r="AH53" i="18"/>
  <c r="AH54" i="18" s="1"/>
  <c r="AG53" i="18"/>
  <c r="AG54" i="18" s="1"/>
  <c r="AF53" i="18"/>
  <c r="AF54" i="18" s="1"/>
  <c r="AE53" i="18"/>
  <c r="AD53" i="18"/>
  <c r="AC53" i="18"/>
  <c r="AB53" i="18"/>
  <c r="AA53" i="18"/>
  <c r="AA54" i="18" s="1"/>
  <c r="Z53" i="18"/>
  <c r="Z54" i="18" s="1"/>
  <c r="Y53" i="18"/>
  <c r="Y54" i="18" s="1"/>
  <c r="X53" i="18"/>
  <c r="X54" i="18" s="1"/>
  <c r="W53" i="18"/>
  <c r="W54" i="18" s="1"/>
  <c r="V53" i="18"/>
  <c r="V54" i="18" s="1"/>
  <c r="U53" i="18"/>
  <c r="U54" i="18" s="1"/>
  <c r="T53" i="18"/>
  <c r="T54" i="18" s="1"/>
  <c r="S53" i="18"/>
  <c r="R53" i="18"/>
  <c r="R54" i="18" s="1"/>
  <c r="Q53" i="18"/>
  <c r="P53" i="18"/>
  <c r="P54" i="18" s="1"/>
  <c r="O53" i="18"/>
  <c r="O54" i="18" s="1"/>
  <c r="N53" i="18"/>
  <c r="N54" i="18" s="1"/>
  <c r="M53" i="18"/>
  <c r="L53" i="18"/>
  <c r="L54" i="18" s="1"/>
  <c r="K53" i="18"/>
  <c r="K54" i="18" s="1"/>
  <c r="J53" i="18"/>
  <c r="J54" i="18" s="1"/>
  <c r="I53" i="18"/>
  <c r="I54" i="18" s="1"/>
  <c r="H53" i="18"/>
  <c r="H54" i="18" s="1"/>
  <c r="G53" i="18"/>
  <c r="G54" i="18" s="1"/>
  <c r="D53" i="18"/>
  <c r="BP54" i="18"/>
  <c r="S54" i="18"/>
  <c r="CW51" i="18"/>
  <c r="CW49" i="18"/>
  <c r="CW48" i="18"/>
  <c r="CW47" i="18"/>
  <c r="CW46" i="18"/>
  <c r="CW45" i="18"/>
  <c r="CW44" i="18"/>
  <c r="D72" i="18" s="1"/>
  <c r="CW43" i="18"/>
  <c r="D84" i="18" s="1"/>
  <c r="CW42" i="18"/>
  <c r="D83" i="18" s="1"/>
  <c r="CW41" i="18"/>
  <c r="D71" i="18" s="1"/>
  <c r="F53" i="18"/>
  <c r="F54" i="18" s="1"/>
  <c r="E53" i="18"/>
  <c r="E54" i="18" s="1"/>
  <c r="CW39" i="18"/>
  <c r="CW38" i="18"/>
  <c r="D81" i="18" s="1"/>
  <c r="CW37" i="18"/>
  <c r="D69" i="18" s="1"/>
  <c r="CW36" i="18"/>
  <c r="D80" i="18" s="1"/>
  <c r="CW35" i="18"/>
  <c r="CW34" i="18"/>
  <c r="D68" i="18" s="1"/>
  <c r="CW33" i="18"/>
  <c r="D79" i="18" s="1"/>
  <c r="CW32" i="18"/>
  <c r="D67" i="18" s="1"/>
  <c r="CW31" i="18"/>
  <c r="D66" i="18" s="1"/>
  <c r="CW30" i="18"/>
  <c r="D78" i="18" s="1"/>
  <c r="CW29" i="18"/>
  <c r="CW28" i="18"/>
  <c r="CW26" i="18"/>
  <c r="CW25" i="18"/>
  <c r="CW24" i="18"/>
  <c r="CW23" i="18"/>
  <c r="CW22" i="18"/>
  <c r="D65" i="18" s="1"/>
  <c r="CW21" i="18"/>
  <c r="CW20" i="18"/>
  <c r="CW19" i="18"/>
  <c r="CW18" i="18"/>
  <c r="CW17" i="18"/>
  <c r="D74" i="18" s="1"/>
  <c r="CW16" i="18"/>
  <c r="CW15" i="18"/>
  <c r="CW14" i="18"/>
  <c r="CW13" i="18"/>
  <c r="CW12" i="18"/>
  <c r="Q54" i="18"/>
  <c r="M54" i="18"/>
  <c r="CW10" i="18"/>
  <c r="CW9" i="18"/>
  <c r="CK8" i="18"/>
  <c r="CK55" i="18" s="1"/>
  <c r="CJ8" i="18"/>
  <c r="CH8" i="18"/>
  <c r="CB8" i="18"/>
  <c r="CA8" i="18"/>
  <c r="BV8" i="18"/>
  <c r="BN8" i="18"/>
  <c r="BM8" i="18"/>
  <c r="BL8" i="18"/>
  <c r="BJ8" i="18"/>
  <c r="AX8" i="18"/>
  <c r="AP8" i="18"/>
  <c r="AO8" i="18"/>
  <c r="AN8" i="18"/>
  <c r="AC8" i="18"/>
  <c r="Z8" i="18"/>
  <c r="T8" i="18"/>
  <c r="T55" i="18" s="1"/>
  <c r="R8" i="18"/>
  <c r="CU8" i="18"/>
  <c r="CU55" i="18" s="1"/>
  <c r="CS8" i="18"/>
  <c r="CS55" i="18" s="1"/>
  <c r="CR8" i="18"/>
  <c r="CQ8" i="18"/>
  <c r="CG8" i="18"/>
  <c r="CG55" i="18" s="1"/>
  <c r="CF8" i="18"/>
  <c r="CE8" i="18"/>
  <c r="BW8" i="18"/>
  <c r="BW55" i="18" s="1"/>
  <c r="BU8" i="18"/>
  <c r="BU55" i="18" s="1"/>
  <c r="BT8" i="18"/>
  <c r="BS8" i="18"/>
  <c r="BR8" i="18"/>
  <c r="BI8" i="18"/>
  <c r="G91" i="18"/>
  <c r="BG8" i="18"/>
  <c r="G101" i="18"/>
  <c r="AV8" i="18"/>
  <c r="AU8" i="18"/>
  <c r="AA8" i="18"/>
  <c r="AA55" i="18" s="1"/>
  <c r="Y8" i="18"/>
  <c r="X8" i="18"/>
  <c r="W8" i="18"/>
  <c r="K8" i="18"/>
  <c r="E33" i="17"/>
  <c r="K108" i="18" l="1"/>
  <c r="CJ55" i="18"/>
  <c r="D76" i="18"/>
  <c r="BP55" i="18"/>
  <c r="BM55" i="18"/>
  <c r="G96" i="18"/>
  <c r="AR8" i="18"/>
  <c r="H8" i="18"/>
  <c r="H55" i="18" s="1"/>
  <c r="AT8" i="18"/>
  <c r="AT55" i="18" s="1"/>
  <c r="D64" i="18"/>
  <c r="G55" i="18"/>
  <c r="H109" i="18"/>
  <c r="J110" i="18"/>
  <c r="AP55" i="18"/>
  <c r="AP5" i="19" s="1"/>
  <c r="AP8" i="19" s="1"/>
  <c r="AP55" i="19" s="1"/>
  <c r="BL55" i="18"/>
  <c r="CC55" i="18"/>
  <c r="K109" i="18"/>
  <c r="BF54" i="18"/>
  <c r="AD55" i="18"/>
  <c r="G74" i="18" s="1"/>
  <c r="AZ55" i="18"/>
  <c r="CM55" i="18"/>
  <c r="BG54" i="18"/>
  <c r="J55" i="18"/>
  <c r="V55" i="18"/>
  <c r="BR55" i="18"/>
  <c r="CD55" i="18"/>
  <c r="CP55" i="18"/>
  <c r="AE55" i="18"/>
  <c r="L91" i="18"/>
  <c r="BN55" i="18"/>
  <c r="I110" i="18"/>
  <c r="K55" i="18"/>
  <c r="G67" i="18" s="1"/>
  <c r="W55" i="18"/>
  <c r="AU55" i="18"/>
  <c r="BG55" i="18"/>
  <c r="BS55" i="18"/>
  <c r="CE55" i="18"/>
  <c r="CQ55" i="18"/>
  <c r="BX55" i="18"/>
  <c r="CO55" i="18"/>
  <c r="D77" i="18"/>
  <c r="L96" i="18"/>
  <c r="L109" i="18" s="1"/>
  <c r="X55" i="18"/>
  <c r="BT55" i="18"/>
  <c r="Y55" i="18"/>
  <c r="BZ55" i="18"/>
  <c r="AB55" i="18"/>
  <c r="G73" i="18" s="1"/>
  <c r="AC55" i="18"/>
  <c r="CF55" i="18"/>
  <c r="CR55" i="18"/>
  <c r="AG55" i="18"/>
  <c r="I109" i="18"/>
  <c r="M101" i="18"/>
  <c r="M103" i="18"/>
  <c r="R55" i="18"/>
  <c r="AN55" i="18"/>
  <c r="CA55" i="18"/>
  <c r="AT54" i="18"/>
  <c r="H108" i="18"/>
  <c r="J109" i="18"/>
  <c r="K110" i="18"/>
  <c r="AV55" i="18"/>
  <c r="D61" i="18"/>
  <c r="AO55" i="18"/>
  <c r="AU54" i="18"/>
  <c r="I108" i="18"/>
  <c r="N55" i="18"/>
  <c r="G61" i="18" s="1"/>
  <c r="Z55" i="18"/>
  <c r="G72" i="18" s="1"/>
  <c r="AX55" i="18"/>
  <c r="BV55" i="18"/>
  <c r="CH55" i="18"/>
  <c r="CB55" i="18"/>
  <c r="AS55" i="18"/>
  <c r="BQ55" i="18"/>
  <c r="D75" i="18"/>
  <c r="CW53" i="18"/>
  <c r="M90" i="18"/>
  <c r="M91" i="18"/>
  <c r="I55" i="18"/>
  <c r="CN55" i="18"/>
  <c r="CW40" i="18"/>
  <c r="D82" i="18" s="1"/>
  <c r="CW50" i="18"/>
  <c r="AW54" i="18"/>
  <c r="AW55" i="18" s="1"/>
  <c r="BI54" i="18"/>
  <c r="BI55" i="18" s="1"/>
  <c r="BJ54" i="18"/>
  <c r="BJ55" i="18" s="1"/>
  <c r="G105" i="18"/>
  <c r="M105" i="18" s="1"/>
  <c r="L106" i="18"/>
  <c r="L110" i="18" s="1"/>
  <c r="AY54" i="18"/>
  <c r="CW27" i="18"/>
  <c r="D63" i="18" s="1"/>
  <c r="CW52" i="18"/>
  <c r="G102" i="18"/>
  <c r="G97" i="18"/>
  <c r="M97" i="18" s="1"/>
  <c r="L93" i="18"/>
  <c r="CW11" i="18"/>
  <c r="D62" i="18" s="1"/>
  <c r="AR54" i="18"/>
  <c r="AR55" i="18" s="1"/>
  <c r="BD54" i="18"/>
  <c r="BH8" i="18"/>
  <c r="BH55" i="18" s="1"/>
  <c r="G94" i="18"/>
  <c r="M94" i="18" s="1"/>
  <c r="M95" i="18"/>
  <c r="L53" i="17"/>
  <c r="AR5" i="19" l="1"/>
  <c r="G90" i="19" s="1"/>
  <c r="M90" i="19" s="1"/>
  <c r="AR8" i="19"/>
  <c r="AR55" i="19" s="1"/>
  <c r="G63" i="18"/>
  <c r="R5" i="19"/>
  <c r="R8" i="19" s="1"/>
  <c r="R55" i="19" s="1"/>
  <c r="G63" i="19" s="1"/>
  <c r="D73" i="18"/>
  <c r="M96" i="18"/>
  <c r="CW54" i="18"/>
  <c r="D60" i="18"/>
  <c r="L108" i="18"/>
  <c r="M102" i="18"/>
  <c r="P35" i="17" l="1"/>
  <c r="Q35" i="17"/>
  <c r="Q26" i="17"/>
  <c r="Q25" i="17"/>
  <c r="Q19" i="17"/>
  <c r="Q12" i="17"/>
  <c r="Q11" i="17"/>
  <c r="L28" i="17"/>
  <c r="E27" i="17"/>
  <c r="E40" i="17"/>
  <c r="F40" i="17"/>
  <c r="E6" i="16" l="1"/>
  <c r="BD50" i="16" l="1"/>
  <c r="BC50" i="16"/>
  <c r="BA50" i="16"/>
  <c r="F51" i="16"/>
  <c r="BP52" i="17"/>
  <c r="BM50" i="17"/>
  <c r="I50" i="17"/>
  <c r="E51" i="16"/>
  <c r="D53" i="16"/>
  <c r="D51" i="16"/>
  <c r="F53" i="16"/>
  <c r="L11" i="17"/>
  <c r="G5" i="17" l="1"/>
  <c r="G8" i="17" s="1"/>
  <c r="H5" i="17"/>
  <c r="I5" i="17"/>
  <c r="J5" i="17"/>
  <c r="K5" i="17"/>
  <c r="L5" i="17"/>
  <c r="M5" i="17"/>
  <c r="N5" i="17"/>
  <c r="N8" i="17" s="1"/>
  <c r="O5" i="17"/>
  <c r="O8" i="17" s="1"/>
  <c r="R5" i="17"/>
  <c r="R8" i="17" s="1"/>
  <c r="T5" i="17"/>
  <c r="U5" i="17"/>
  <c r="V5" i="17"/>
  <c r="W5" i="17"/>
  <c r="X5" i="17"/>
  <c r="Y5" i="17"/>
  <c r="Z5" i="17"/>
  <c r="Z8" i="17" s="1"/>
  <c r="AA5" i="17"/>
  <c r="AA8" i="17" s="1"/>
  <c r="AA55" i="17" s="1"/>
  <c r="AB5" i="17"/>
  <c r="AC5" i="17"/>
  <c r="AD5" i="17"/>
  <c r="AE5" i="17"/>
  <c r="AE8" i="17" s="1"/>
  <c r="AF5" i="17"/>
  <c r="AG5" i="17"/>
  <c r="AJ5" i="17"/>
  <c r="AK5" i="17"/>
  <c r="AK8" i="17" s="1"/>
  <c r="AL5" i="17"/>
  <c r="AL8" i="17" s="1"/>
  <c r="AN5" i="17"/>
  <c r="AO5" i="17"/>
  <c r="AP5" i="17"/>
  <c r="AP8" i="17" s="1"/>
  <c r="AQ5" i="17"/>
  <c r="AQ8" i="17" s="1"/>
  <c r="AR5" i="17"/>
  <c r="AS5" i="17"/>
  <c r="AT5" i="17"/>
  <c r="AU5" i="17"/>
  <c r="AV5" i="17"/>
  <c r="AW5" i="17"/>
  <c r="G94" i="17" s="1"/>
  <c r="AX5" i="17"/>
  <c r="AX8" i="17" s="1"/>
  <c r="AX55" i="17" s="1"/>
  <c r="AZ5" i="17"/>
  <c r="BG5" i="17"/>
  <c r="BH5" i="17"/>
  <c r="BI5" i="17"/>
  <c r="G97" i="17" s="1"/>
  <c r="M97" i="17" s="1"/>
  <c r="BJ5" i="17"/>
  <c r="BJ8" i="17" s="1"/>
  <c r="BL5" i="17"/>
  <c r="BM5" i="17"/>
  <c r="BN5" i="17"/>
  <c r="BO5" i="17"/>
  <c r="BO8" i="17" s="1"/>
  <c r="BP5" i="17"/>
  <c r="BQ5" i="17"/>
  <c r="BR5" i="17"/>
  <c r="BS5" i="17"/>
  <c r="BT5" i="17"/>
  <c r="BU5" i="17"/>
  <c r="BU8" i="17" s="1"/>
  <c r="BU55" i="17" s="1"/>
  <c r="BV5" i="17"/>
  <c r="BV8" i="17" s="1"/>
  <c r="BW5" i="17"/>
  <c r="BW8" i="17" s="1"/>
  <c r="BX5" i="17"/>
  <c r="BY5" i="17"/>
  <c r="BZ5" i="17"/>
  <c r="BZ8" i="17" s="1"/>
  <c r="CA5" i="17"/>
  <c r="CA8" i="17" s="1"/>
  <c r="CB5" i="17"/>
  <c r="CC5" i="17"/>
  <c r="CD5" i="17"/>
  <c r="CE5" i="17"/>
  <c r="CF5" i="17"/>
  <c r="CG5" i="17"/>
  <c r="CH5" i="17"/>
  <c r="CH8" i="17" s="1"/>
  <c r="CH55" i="17" s="1"/>
  <c r="CI5" i="17"/>
  <c r="CI8" i="17" s="1"/>
  <c r="CI55" i="17" s="1"/>
  <c r="CJ5" i="17"/>
  <c r="CK5" i="17"/>
  <c r="CL5" i="17"/>
  <c r="CM5" i="17"/>
  <c r="CM8" i="17" s="1"/>
  <c r="CN5" i="17"/>
  <c r="CO5" i="17"/>
  <c r="CP5" i="17"/>
  <c r="CQ5" i="17"/>
  <c r="CR5" i="17"/>
  <c r="CS5" i="17"/>
  <c r="CT5" i="17"/>
  <c r="CT8" i="17" s="1"/>
  <c r="CU5" i="17"/>
  <c r="CU8" i="17" s="1"/>
  <c r="CU55" i="17" s="1"/>
  <c r="CV5" i="17"/>
  <c r="L106" i="17"/>
  <c r="K106" i="17"/>
  <c r="J106" i="17"/>
  <c r="I106" i="17"/>
  <c r="H106" i="17"/>
  <c r="K105" i="17"/>
  <c r="J105" i="17"/>
  <c r="I105" i="17"/>
  <c r="H105" i="17"/>
  <c r="G105" i="17"/>
  <c r="K104" i="17"/>
  <c r="J104" i="17"/>
  <c r="I104" i="17"/>
  <c r="H104" i="17"/>
  <c r="K103" i="17"/>
  <c r="J103" i="17"/>
  <c r="I103" i="17"/>
  <c r="H103" i="17"/>
  <c r="K102" i="17"/>
  <c r="J102" i="17"/>
  <c r="J110" i="17" s="1"/>
  <c r="I102" i="17"/>
  <c r="I110" i="17" s="1"/>
  <c r="H102" i="17"/>
  <c r="H110" i="17" s="1"/>
  <c r="L101" i="17"/>
  <c r="K101" i="17"/>
  <c r="J101" i="17"/>
  <c r="I101" i="17"/>
  <c r="H101" i="17"/>
  <c r="K100" i="17"/>
  <c r="J100" i="17"/>
  <c r="I100" i="17"/>
  <c r="H100" i="17"/>
  <c r="K99" i="17"/>
  <c r="J99" i="17"/>
  <c r="I99" i="17"/>
  <c r="H99" i="17"/>
  <c r="K98" i="17"/>
  <c r="J98" i="17"/>
  <c r="I98" i="17"/>
  <c r="H98" i="17"/>
  <c r="K97" i="17"/>
  <c r="J97" i="17"/>
  <c r="I97" i="17"/>
  <c r="H97" i="17"/>
  <c r="L96" i="17"/>
  <c r="K96" i="17"/>
  <c r="J96" i="17"/>
  <c r="I96" i="17"/>
  <c r="H96" i="17"/>
  <c r="K95" i="17"/>
  <c r="J95" i="17"/>
  <c r="J109" i="17" s="1"/>
  <c r="I95" i="17"/>
  <c r="H95" i="17"/>
  <c r="G95" i="17"/>
  <c r="K94" i="17"/>
  <c r="J94" i="17"/>
  <c r="I94" i="17"/>
  <c r="H94" i="17"/>
  <c r="K93" i="17"/>
  <c r="J93" i="17"/>
  <c r="I93" i="17"/>
  <c r="H93" i="17"/>
  <c r="K92" i="17"/>
  <c r="J92" i="17"/>
  <c r="I92" i="17"/>
  <c r="H92" i="17"/>
  <c r="K91" i="17"/>
  <c r="J91" i="17"/>
  <c r="I91" i="17"/>
  <c r="H91" i="17"/>
  <c r="K90" i="17"/>
  <c r="J90" i="17"/>
  <c r="I90" i="17"/>
  <c r="H90" i="17"/>
  <c r="C84" i="17"/>
  <c r="C83" i="17"/>
  <c r="C82" i="17"/>
  <c r="CV54" i="17"/>
  <c r="CU54" i="17"/>
  <c r="CT54" i="17"/>
  <c r="CS54" i="17"/>
  <c r="CI54" i="17"/>
  <c r="CH54" i="17"/>
  <c r="BW54" i="17"/>
  <c r="BV54" i="17"/>
  <c r="BK54" i="17"/>
  <c r="BJ54" i="17"/>
  <c r="AY54" i="17"/>
  <c r="AX54" i="17"/>
  <c r="AL54" i="17"/>
  <c r="AA54" i="17"/>
  <c r="Z54" i="17"/>
  <c r="CR53" i="17"/>
  <c r="CR54" i="17" s="1"/>
  <c r="CQ53" i="17"/>
  <c r="CQ54" i="17" s="1"/>
  <c r="CP53" i="17"/>
  <c r="CP54" i="17" s="1"/>
  <c r="CO53" i="17"/>
  <c r="CO54" i="17" s="1"/>
  <c r="CN53" i="17"/>
  <c r="CN54" i="17" s="1"/>
  <c r="CM53" i="17"/>
  <c r="CM54" i="17" s="1"/>
  <c r="CL53" i="17"/>
  <c r="CL54" i="17" s="1"/>
  <c r="CK53" i="17"/>
  <c r="CK54" i="17" s="1"/>
  <c r="CJ53" i="17"/>
  <c r="CJ54" i="17" s="1"/>
  <c r="CI53" i="17"/>
  <c r="CH53" i="17"/>
  <c r="CG53" i="17"/>
  <c r="CG54" i="17" s="1"/>
  <c r="CF53" i="17"/>
  <c r="CF54" i="17" s="1"/>
  <c r="CE53" i="17"/>
  <c r="CE54" i="17" s="1"/>
  <c r="CD53" i="17"/>
  <c r="CD54" i="17" s="1"/>
  <c r="CC53" i="17"/>
  <c r="CC54" i="17" s="1"/>
  <c r="CB53" i="17"/>
  <c r="CB54" i="17" s="1"/>
  <c r="CA53" i="17"/>
  <c r="BZ53" i="17"/>
  <c r="BZ54" i="17" s="1"/>
  <c r="BY53" i="17"/>
  <c r="BY54" i="17" s="1"/>
  <c r="BX53" i="17"/>
  <c r="BX54" i="17" s="1"/>
  <c r="BW53" i="17"/>
  <c r="BV53" i="17"/>
  <c r="BU53" i="17"/>
  <c r="BU54" i="17" s="1"/>
  <c r="BT53" i="17"/>
  <c r="BT54" i="17" s="1"/>
  <c r="BS53" i="17"/>
  <c r="BS54" i="17" s="1"/>
  <c r="BR53" i="17"/>
  <c r="BR54" i="17" s="1"/>
  <c r="BQ53" i="17"/>
  <c r="BQ54" i="17" s="1"/>
  <c r="BP53" i="17"/>
  <c r="BO53" i="17"/>
  <c r="BO54" i="17" s="1"/>
  <c r="BN53" i="17"/>
  <c r="BN54" i="17" s="1"/>
  <c r="BM53" i="17"/>
  <c r="BM54" i="17" s="1"/>
  <c r="BL53" i="17"/>
  <c r="BL54" i="17" s="1"/>
  <c r="BK53" i="17"/>
  <c r="BJ53" i="17"/>
  <c r="L103" i="17" s="1"/>
  <c r="BI53" i="17"/>
  <c r="L97" i="17" s="1"/>
  <c r="BH53" i="17"/>
  <c r="BH54" i="17" s="1"/>
  <c r="BG53" i="17"/>
  <c r="BG54" i="17" s="1"/>
  <c r="BF53" i="17"/>
  <c r="BF54" i="17" s="1"/>
  <c r="BE53" i="17"/>
  <c r="BE54" i="17" s="1"/>
  <c r="BD53" i="17"/>
  <c r="L104" i="17" s="1"/>
  <c r="BC53" i="17"/>
  <c r="BC54" i="17" s="1"/>
  <c r="BB53" i="17"/>
  <c r="BB54" i="17" s="1"/>
  <c r="BA53" i="17"/>
  <c r="L92" i="17" s="1"/>
  <c r="AZ53" i="17"/>
  <c r="AZ54" i="17" s="1"/>
  <c r="AY53" i="17"/>
  <c r="AX53" i="17"/>
  <c r="AW53" i="17"/>
  <c r="AW54" i="17" s="1"/>
  <c r="AV53" i="17"/>
  <c r="AV54" i="17" s="1"/>
  <c r="AU53" i="17"/>
  <c r="AU54" i="17" s="1"/>
  <c r="AT53" i="17"/>
  <c r="AT54" i="17" s="1"/>
  <c r="AS53" i="17"/>
  <c r="AS54" i="17" s="1"/>
  <c r="AR53" i="17"/>
  <c r="L90" i="17" s="1"/>
  <c r="AQ53" i="17"/>
  <c r="AQ54" i="17" s="1"/>
  <c r="AP53" i="17"/>
  <c r="AP54" i="17" s="1"/>
  <c r="AO53" i="17"/>
  <c r="AO54" i="17" s="1"/>
  <c r="AN53" i="17"/>
  <c r="AN54" i="17" s="1"/>
  <c r="AM54" i="17"/>
  <c r="AL53" i="17"/>
  <c r="AK53" i="17"/>
  <c r="AK54" i="17" s="1"/>
  <c r="AJ53" i="17"/>
  <c r="AJ54" i="17" s="1"/>
  <c r="AI53" i="17"/>
  <c r="AI54" i="17" s="1"/>
  <c r="AH53" i="17"/>
  <c r="AH54" i="17" s="1"/>
  <c r="AG53" i="17"/>
  <c r="AG54" i="17" s="1"/>
  <c r="AF53" i="17"/>
  <c r="AF54" i="17" s="1"/>
  <c r="AE53" i="17"/>
  <c r="AE54" i="17" s="1"/>
  <c r="AD53" i="17"/>
  <c r="AD54" i="17" s="1"/>
  <c r="AC53" i="17"/>
  <c r="AC54" i="17" s="1"/>
  <c r="AB53" i="17"/>
  <c r="AB54" i="17" s="1"/>
  <c r="AA53" i="17"/>
  <c r="Z53" i="17"/>
  <c r="Y53" i="17"/>
  <c r="Y54" i="17" s="1"/>
  <c r="X53" i="17"/>
  <c r="X54" i="17" s="1"/>
  <c r="W53" i="17"/>
  <c r="W54" i="17" s="1"/>
  <c r="V53" i="17"/>
  <c r="V54" i="17" s="1"/>
  <c r="U53" i="17"/>
  <c r="U54" i="17" s="1"/>
  <c r="T53" i="17"/>
  <c r="T54" i="17" s="1"/>
  <c r="S53" i="17"/>
  <c r="R53" i="17"/>
  <c r="R54" i="17" s="1"/>
  <c r="Q53" i="17"/>
  <c r="P53" i="17"/>
  <c r="P54" i="17" s="1"/>
  <c r="O53" i="17"/>
  <c r="O54" i="17" s="1"/>
  <c r="N53" i="17"/>
  <c r="N54" i="17" s="1"/>
  <c r="M53" i="17"/>
  <c r="M54" i="17" s="1"/>
  <c r="L54" i="17"/>
  <c r="K53" i="17"/>
  <c r="K54" i="17" s="1"/>
  <c r="J53" i="17"/>
  <c r="J54" i="17" s="1"/>
  <c r="I53" i="17"/>
  <c r="H53" i="17"/>
  <c r="H54" i="17" s="1"/>
  <c r="G53" i="17"/>
  <c r="G54" i="17" s="1"/>
  <c r="F54" i="17"/>
  <c r="D54" i="17"/>
  <c r="BP54" i="17"/>
  <c r="I54" i="17"/>
  <c r="CW51" i="17"/>
  <c r="CW50" i="17"/>
  <c r="CW49" i="17"/>
  <c r="CW48" i="17"/>
  <c r="CW47" i="17"/>
  <c r="CW46" i="17"/>
  <c r="CW45" i="17"/>
  <c r="CW44" i="17"/>
  <c r="D72" i="17" s="1"/>
  <c r="CW43" i="17"/>
  <c r="D84" i="17" s="1"/>
  <c r="CW42" i="17"/>
  <c r="D83" i="17" s="1"/>
  <c r="CW41" i="17"/>
  <c r="D71" i="17" s="1"/>
  <c r="CW40" i="17"/>
  <c r="D82" i="17" s="1"/>
  <c r="CW39" i="17"/>
  <c r="D70" i="17" s="1"/>
  <c r="CW38" i="17"/>
  <c r="D81" i="17" s="1"/>
  <c r="CW37" i="17"/>
  <c r="D69" i="17" s="1"/>
  <c r="CW36" i="17"/>
  <c r="D80" i="17" s="1"/>
  <c r="CW34" i="17"/>
  <c r="D68" i="17" s="1"/>
  <c r="CW33" i="17"/>
  <c r="D79" i="17" s="1"/>
  <c r="CW32" i="17"/>
  <c r="D67" i="17" s="1"/>
  <c r="CW31" i="17"/>
  <c r="D66" i="17" s="1"/>
  <c r="CW30" i="17"/>
  <c r="D78" i="17" s="1"/>
  <c r="CW29" i="17"/>
  <c r="CW28" i="17"/>
  <c r="CW27" i="17"/>
  <c r="CW26" i="17"/>
  <c r="CW25" i="17"/>
  <c r="CW24" i="17"/>
  <c r="CW23" i="17"/>
  <c r="D61" i="17" s="1"/>
  <c r="CW22" i="17"/>
  <c r="D65" i="17" s="1"/>
  <c r="CW21" i="17"/>
  <c r="D76" i="17" s="1"/>
  <c r="CW20" i="17"/>
  <c r="CW19" i="17"/>
  <c r="CW18" i="17"/>
  <c r="CW17" i="17"/>
  <c r="D74" i="17" s="1"/>
  <c r="CW16" i="17"/>
  <c r="CW15" i="17"/>
  <c r="CW14" i="17"/>
  <c r="CW13" i="17"/>
  <c r="CW12" i="17"/>
  <c r="CW10" i="17"/>
  <c r="CW9" i="17"/>
  <c r="CS8" i="17"/>
  <c r="CK8" i="17"/>
  <c r="CG8" i="17"/>
  <c r="CG55" i="17" s="1"/>
  <c r="BY8" i="17"/>
  <c r="BM8" i="17"/>
  <c r="BI8" i="17"/>
  <c r="AW8" i="17"/>
  <c r="AW55" i="17" s="1"/>
  <c r="AO8" i="17"/>
  <c r="AC8" i="17"/>
  <c r="Y8" i="17"/>
  <c r="M8" i="17"/>
  <c r="CV8" i="17"/>
  <c r="CV55" i="17" s="1"/>
  <c r="CR8" i="17"/>
  <c r="CR55" i="17" s="1"/>
  <c r="CQ8" i="17"/>
  <c r="CP8" i="17"/>
  <c r="CO8" i="17"/>
  <c r="CO55" i="17" s="1"/>
  <c r="CN8" i="17"/>
  <c r="CN55" i="17" s="1"/>
  <c r="CL8" i="17"/>
  <c r="CJ8" i="17"/>
  <c r="CF8" i="17"/>
  <c r="CF55" i="17" s="1"/>
  <c r="CE8" i="17"/>
  <c r="CD8" i="17"/>
  <c r="CC8" i="17"/>
  <c r="CC55" i="17" s="1"/>
  <c r="CB8" i="17"/>
  <c r="CB55" i="17" s="1"/>
  <c r="BX8" i="17"/>
  <c r="BT8" i="17"/>
  <c r="BT55" i="17" s="1"/>
  <c r="BS8" i="17"/>
  <c r="BR8" i="17"/>
  <c r="BQ8" i="17"/>
  <c r="BQ55" i="17" s="1"/>
  <c r="BP8" i="17"/>
  <c r="BN8" i="17"/>
  <c r="BL8" i="17"/>
  <c r="G91" i="17"/>
  <c r="BG8" i="17"/>
  <c r="AZ8" i="17"/>
  <c r="AV8" i="17"/>
  <c r="AV55" i="17" s="1"/>
  <c r="AU8" i="17"/>
  <c r="AT8" i="17"/>
  <c r="G96" i="17"/>
  <c r="AR8" i="17"/>
  <c r="AN8" i="17"/>
  <c r="AJ8" i="17"/>
  <c r="AJ55" i="17" s="1"/>
  <c r="AG8" i="17"/>
  <c r="AG55" i="17" s="1"/>
  <c r="AF8" i="17"/>
  <c r="AF55" i="17" s="1"/>
  <c r="G75" i="17" s="1"/>
  <c r="AD8" i="17"/>
  <c r="AB8" i="17"/>
  <c r="X8" i="17"/>
  <c r="X55" i="17" s="1"/>
  <c r="W8" i="17"/>
  <c r="V8" i="17"/>
  <c r="U8" i="17"/>
  <c r="U55" i="17" s="1"/>
  <c r="T8" i="17"/>
  <c r="T55" i="17" s="1"/>
  <c r="L8" i="17"/>
  <c r="K8" i="17"/>
  <c r="J8" i="17"/>
  <c r="I8" i="17"/>
  <c r="H8" i="17"/>
  <c r="H55" i="17" s="1"/>
  <c r="AK55" i="17" l="1"/>
  <c r="AK5" i="18" s="1"/>
  <c r="AK8" i="18" s="1"/>
  <c r="AK55" i="18" s="1"/>
  <c r="AK5" i="19" s="1"/>
  <c r="AK8" i="19" s="1"/>
  <c r="AK55" i="19" s="1"/>
  <c r="G77" i="17"/>
  <c r="AJ5" i="18"/>
  <c r="AJ8" i="18" s="1"/>
  <c r="AJ55" i="18" s="1"/>
  <c r="AL55" i="17"/>
  <c r="AL5" i="18" s="1"/>
  <c r="AL8" i="18" s="1"/>
  <c r="AL55" i="18" s="1"/>
  <c r="K109" i="17"/>
  <c r="D63" i="17"/>
  <c r="I55" i="17"/>
  <c r="M55" i="17"/>
  <c r="G101" i="17"/>
  <c r="G103" i="17"/>
  <c r="M103" i="17" s="1"/>
  <c r="M101" i="17"/>
  <c r="AB55" i="17"/>
  <c r="G73" i="17" s="1"/>
  <c r="AN55" i="17"/>
  <c r="AZ55" i="17"/>
  <c r="BL55" i="17"/>
  <c r="BX55" i="17"/>
  <c r="CJ55" i="17"/>
  <c r="BW55" i="17"/>
  <c r="D64" i="17"/>
  <c r="L94" i="17"/>
  <c r="M94" i="17" s="1"/>
  <c r="K110" i="17"/>
  <c r="D75" i="17"/>
  <c r="H109" i="17"/>
  <c r="BZ55" i="17"/>
  <c r="AQ55" i="17"/>
  <c r="AQ5" i="18" s="1"/>
  <c r="AQ8" i="18" s="1"/>
  <c r="AQ55" i="18" s="1"/>
  <c r="N55" i="17"/>
  <c r="G61" i="17" s="1"/>
  <c r="I109" i="17"/>
  <c r="I108" i="17"/>
  <c r="H108" i="17"/>
  <c r="R55" i="17"/>
  <c r="G63" i="17" s="1"/>
  <c r="BN55" i="17"/>
  <c r="G55" i="17"/>
  <c r="BO55" i="17"/>
  <c r="J108" i="17"/>
  <c r="BV55" i="17"/>
  <c r="AP55" i="17"/>
  <c r="CL55" i="17"/>
  <c r="AE55" i="17"/>
  <c r="CM55" i="17"/>
  <c r="M96" i="17"/>
  <c r="D77" i="17"/>
  <c r="AT55" i="17"/>
  <c r="AD55" i="17"/>
  <c r="G74" i="17" s="1"/>
  <c r="O55" i="17"/>
  <c r="J55" i="17"/>
  <c r="V55" i="17"/>
  <c r="BR55" i="17"/>
  <c r="CD55" i="17"/>
  <c r="CP55" i="17"/>
  <c r="Y55" i="17"/>
  <c r="CS55" i="17"/>
  <c r="K108" i="17"/>
  <c r="K55" i="17"/>
  <c r="G67" i="17" s="1"/>
  <c r="W55" i="17"/>
  <c r="AU55" i="17"/>
  <c r="BG55" i="17"/>
  <c r="BS55" i="17"/>
  <c r="CE55" i="17"/>
  <c r="CQ55" i="17"/>
  <c r="Z55" i="17"/>
  <c r="G72" i="17" s="1"/>
  <c r="BJ55" i="17"/>
  <c r="CT55" i="17"/>
  <c r="AO55" i="17"/>
  <c r="BP55" i="17"/>
  <c r="CK55" i="17"/>
  <c r="Q54" i="17"/>
  <c r="L55" i="17"/>
  <c r="BY55" i="17"/>
  <c r="AC55" i="17"/>
  <c r="BM55" i="17"/>
  <c r="CW35" i="17"/>
  <c r="BH8" i="17"/>
  <c r="BH55" i="17" s="1"/>
  <c r="BI54" i="17"/>
  <c r="BI55" i="17" s="1"/>
  <c r="L99" i="17"/>
  <c r="CW52" i="17"/>
  <c r="BA54" i="17"/>
  <c r="G90" i="17"/>
  <c r="L91" i="17"/>
  <c r="M91" i="17" s="1"/>
  <c r="G102" i="17"/>
  <c r="S54" i="17"/>
  <c r="L98" i="17"/>
  <c r="E53" i="17"/>
  <c r="CW53" i="17" s="1"/>
  <c r="CA54" i="17"/>
  <c r="CA55" i="17" s="1"/>
  <c r="L93" i="17"/>
  <c r="L105" i="17"/>
  <c r="M105" i="17" s="1"/>
  <c r="AR54" i="17"/>
  <c r="AR55" i="17" s="1"/>
  <c r="BD54" i="17"/>
  <c r="L100" i="17"/>
  <c r="L95" i="17"/>
  <c r="M95" i="17" s="1"/>
  <c r="AS8" i="17"/>
  <c r="AS55" i="17" s="1"/>
  <c r="L102" i="17"/>
  <c r="CW11" i="17"/>
  <c r="D62" i="17" s="1"/>
  <c r="R52" i="16"/>
  <c r="G77" i="18" l="1"/>
  <c r="AJ5" i="19"/>
  <c r="AJ8" i="19" s="1"/>
  <c r="AJ55" i="19" s="1"/>
  <c r="G77" i="19" s="1"/>
  <c r="G69" i="17"/>
  <c r="M5" i="18"/>
  <c r="M8" i="18" s="1"/>
  <c r="M55" i="18" s="1"/>
  <c r="G68" i="17"/>
  <c r="L5" i="18"/>
  <c r="L8" i="18" s="1"/>
  <c r="L55" i="18" s="1"/>
  <c r="D73" i="17"/>
  <c r="E54" i="17"/>
  <c r="CW54" i="17" s="1"/>
  <c r="D60" i="17"/>
  <c r="L110" i="17"/>
  <c r="L108" i="17"/>
  <c r="L109" i="17"/>
  <c r="M102" i="17"/>
  <c r="M90" i="17"/>
  <c r="L28" i="16"/>
  <c r="F27" i="16"/>
  <c r="G69" i="18" l="1"/>
  <c r="M5" i="19"/>
  <c r="M8" i="19" s="1"/>
  <c r="M55" i="19" s="1"/>
  <c r="G69" i="19" s="1"/>
  <c r="G68" i="18"/>
  <c r="L5" i="19"/>
  <c r="L8" i="19" s="1"/>
  <c r="L55" i="19" s="1"/>
  <c r="Q35" i="16"/>
  <c r="Q19" i="16"/>
  <c r="Q12" i="16"/>
  <c r="Q11" i="16"/>
  <c r="L11" i="16"/>
  <c r="G68" i="19" l="1"/>
  <c r="E40" i="16"/>
  <c r="P35" i="16" l="1"/>
  <c r="E6" i="15"/>
  <c r="BD52" i="15" l="1"/>
  <c r="BD50" i="15"/>
  <c r="BB52" i="15"/>
  <c r="BB50" i="15"/>
  <c r="BC52" i="15"/>
  <c r="BC50" i="15"/>
  <c r="BA52" i="15"/>
  <c r="BA50" i="15"/>
  <c r="BN50" i="16"/>
  <c r="M51" i="15"/>
  <c r="I52" i="16"/>
  <c r="BP52" i="16"/>
  <c r="BL50" i="16"/>
  <c r="G5" i="16" l="1"/>
  <c r="G8" i="16" s="1"/>
  <c r="H5" i="16"/>
  <c r="H8" i="16" s="1"/>
  <c r="I5" i="16"/>
  <c r="I8" i="16" s="1"/>
  <c r="J5" i="16"/>
  <c r="J8" i="16" s="1"/>
  <c r="J55" i="16" s="1"/>
  <c r="K5" i="16"/>
  <c r="K8" i="16" s="1"/>
  <c r="K55" i="16" s="1"/>
  <c r="G67" i="16" s="1"/>
  <c r="L5" i="16"/>
  <c r="L8" i="16" s="1"/>
  <c r="N5" i="16"/>
  <c r="O5" i="16"/>
  <c r="R5" i="16"/>
  <c r="T5" i="16"/>
  <c r="T8" i="16" s="1"/>
  <c r="U5" i="16"/>
  <c r="U8" i="16" s="1"/>
  <c r="V5" i="16"/>
  <c r="V8" i="16" s="1"/>
  <c r="V55" i="16" s="1"/>
  <c r="W5" i="16"/>
  <c r="W8" i="16" s="1"/>
  <c r="W55" i="16" s="1"/>
  <c r="X5" i="16"/>
  <c r="Y5" i="16"/>
  <c r="Z5" i="16"/>
  <c r="AA5" i="16"/>
  <c r="AA8" i="16" s="1"/>
  <c r="AB5" i="16"/>
  <c r="AC5" i="16"/>
  <c r="AD5" i="16"/>
  <c r="AE5" i="16"/>
  <c r="AF5" i="16"/>
  <c r="AG5" i="16"/>
  <c r="AJ5" i="16"/>
  <c r="AJ8" i="16" s="1"/>
  <c r="AK5" i="16"/>
  <c r="AL5" i="16"/>
  <c r="AM5" i="16"/>
  <c r="AM8" i="16" s="1"/>
  <c r="AN5" i="16"/>
  <c r="AO5" i="16"/>
  <c r="AP5" i="16"/>
  <c r="AP8" i="16" s="1"/>
  <c r="AQ5" i="16"/>
  <c r="AR5" i="16"/>
  <c r="AR8" i="16" s="1"/>
  <c r="AS5" i="16"/>
  <c r="AT5" i="16"/>
  <c r="AU5" i="16"/>
  <c r="G102" i="16" s="1"/>
  <c r="AV5" i="16"/>
  <c r="AV8" i="16" s="1"/>
  <c r="AW5" i="16"/>
  <c r="AX5" i="16"/>
  <c r="AZ5" i="16"/>
  <c r="BG5" i="16"/>
  <c r="G105" i="16" s="1"/>
  <c r="BH5" i="16"/>
  <c r="G91" i="16" s="1"/>
  <c r="BI5" i="16"/>
  <c r="BJ5" i="16"/>
  <c r="BL5" i="16"/>
  <c r="BM5" i="16"/>
  <c r="BN5" i="16"/>
  <c r="BO5" i="16"/>
  <c r="BO8" i="16" s="1"/>
  <c r="BP5" i="16"/>
  <c r="BP8" i="16" s="1"/>
  <c r="BQ5" i="16"/>
  <c r="BQ8" i="16" s="1"/>
  <c r="BR5" i="16"/>
  <c r="BR8" i="16" s="1"/>
  <c r="BR55" i="16" s="1"/>
  <c r="BS5" i="16"/>
  <c r="BS8" i="16" s="1"/>
  <c r="BS55" i="16" s="1"/>
  <c r="BT5" i="16"/>
  <c r="BU5" i="16"/>
  <c r="BV5" i="16"/>
  <c r="BW5" i="16"/>
  <c r="BX5" i="16"/>
  <c r="BY5" i="16"/>
  <c r="BZ5" i="16"/>
  <c r="CA5" i="16"/>
  <c r="CB5" i="16"/>
  <c r="CC5" i="16"/>
  <c r="CC8" i="16" s="1"/>
  <c r="CD5" i="16"/>
  <c r="CD8" i="16" s="1"/>
  <c r="CD55" i="16" s="1"/>
  <c r="CE5" i="16"/>
  <c r="CE8" i="16" s="1"/>
  <c r="CE55" i="16" s="1"/>
  <c r="CF5" i="16"/>
  <c r="CF8" i="16" s="1"/>
  <c r="CG5" i="16"/>
  <c r="CH5" i="16"/>
  <c r="CI5" i="16"/>
  <c r="CI8" i="16" s="1"/>
  <c r="CJ5" i="16"/>
  <c r="CK5" i="16"/>
  <c r="CK8" i="16" s="1"/>
  <c r="CK55" i="16" s="1"/>
  <c r="CL5" i="16"/>
  <c r="CM5" i="16"/>
  <c r="CN5" i="16"/>
  <c r="CO5" i="16"/>
  <c r="CP5" i="16"/>
  <c r="CP8" i="16" s="1"/>
  <c r="CP55" i="16" s="1"/>
  <c r="CQ5" i="16"/>
  <c r="CQ8" i="16" s="1"/>
  <c r="CQ55" i="16" s="1"/>
  <c r="CR5" i="16"/>
  <c r="CR8" i="16" s="1"/>
  <c r="CS5" i="16"/>
  <c r="CT5" i="16"/>
  <c r="CU5" i="16"/>
  <c r="CV5" i="16"/>
  <c r="K106" i="16"/>
  <c r="J106" i="16"/>
  <c r="I106" i="16"/>
  <c r="H106" i="16"/>
  <c r="K105" i="16"/>
  <c r="J105" i="16"/>
  <c r="I105" i="16"/>
  <c r="H105" i="16"/>
  <c r="K104" i="16"/>
  <c r="J104" i="16"/>
  <c r="I104" i="16"/>
  <c r="H104" i="16"/>
  <c r="K103" i="16"/>
  <c r="J103" i="16"/>
  <c r="I103" i="16"/>
  <c r="H103" i="16"/>
  <c r="K102" i="16"/>
  <c r="J102" i="16"/>
  <c r="I102" i="16"/>
  <c r="I110" i="16" s="1"/>
  <c r="H102" i="16"/>
  <c r="H110" i="16" s="1"/>
  <c r="K101" i="16"/>
  <c r="J101" i="16"/>
  <c r="I101" i="16"/>
  <c r="H101" i="16"/>
  <c r="K100" i="16"/>
  <c r="J100" i="16"/>
  <c r="I100" i="16"/>
  <c r="H100" i="16"/>
  <c r="K99" i="16"/>
  <c r="J99" i="16"/>
  <c r="I99" i="16"/>
  <c r="H99" i="16"/>
  <c r="L98" i="16"/>
  <c r="K98" i="16"/>
  <c r="J98" i="16"/>
  <c r="I98" i="16"/>
  <c r="H98" i="16"/>
  <c r="K97" i="16"/>
  <c r="J97" i="16"/>
  <c r="I97" i="16"/>
  <c r="H97" i="16"/>
  <c r="G97" i="16"/>
  <c r="K96" i="16"/>
  <c r="J96" i="16"/>
  <c r="J109" i="16" s="1"/>
  <c r="I96" i="16"/>
  <c r="H96" i="16"/>
  <c r="K95" i="16"/>
  <c r="J95" i="16"/>
  <c r="I95" i="16"/>
  <c r="H95" i="16"/>
  <c r="K94" i="16"/>
  <c r="J94" i="16"/>
  <c r="I94" i="16"/>
  <c r="H94" i="16"/>
  <c r="K93" i="16"/>
  <c r="J93" i="16"/>
  <c r="I93" i="16"/>
  <c r="H93" i="16"/>
  <c r="K92" i="16"/>
  <c r="J92" i="16"/>
  <c r="I92" i="16"/>
  <c r="H92" i="16"/>
  <c r="K91" i="16"/>
  <c r="J91" i="16"/>
  <c r="I91" i="16"/>
  <c r="H91" i="16"/>
  <c r="K90" i="16"/>
  <c r="K108" i="16" s="1"/>
  <c r="J90" i="16"/>
  <c r="J108" i="16" s="1"/>
  <c r="I90" i="16"/>
  <c r="H90" i="16"/>
  <c r="C84" i="16"/>
  <c r="C83" i="16"/>
  <c r="C82" i="16"/>
  <c r="CV54" i="16"/>
  <c r="CU54" i="16"/>
  <c r="CT54" i="16"/>
  <c r="CS54" i="16"/>
  <c r="BZ54" i="16"/>
  <c r="BN54" i="16"/>
  <c r="BB54" i="16"/>
  <c r="AD54" i="16"/>
  <c r="R54" i="16"/>
  <c r="F54" i="16"/>
  <c r="CR53" i="16"/>
  <c r="CR54" i="16" s="1"/>
  <c r="CQ53" i="16"/>
  <c r="CQ54" i="16" s="1"/>
  <c r="CP53" i="16"/>
  <c r="CP54" i="16" s="1"/>
  <c r="CO53" i="16"/>
  <c r="CO54" i="16" s="1"/>
  <c r="CN53" i="16"/>
  <c r="CN54" i="16" s="1"/>
  <c r="CM53" i="16"/>
  <c r="CM54" i="16" s="1"/>
  <c r="CL53" i="16"/>
  <c r="CL54" i="16" s="1"/>
  <c r="CK53" i="16"/>
  <c r="CK54" i="16" s="1"/>
  <c r="CJ53" i="16"/>
  <c r="CJ54" i="16" s="1"/>
  <c r="CI53" i="16"/>
  <c r="CI54" i="16" s="1"/>
  <c r="CH53" i="16"/>
  <c r="CH54" i="16" s="1"/>
  <c r="CG53" i="16"/>
  <c r="CG54" i="16" s="1"/>
  <c r="CF53" i="16"/>
  <c r="CF54" i="16" s="1"/>
  <c r="CE53" i="16"/>
  <c r="CE54" i="16" s="1"/>
  <c r="CD53" i="16"/>
  <c r="CD54" i="16" s="1"/>
  <c r="CC53" i="16"/>
  <c r="CC54" i="16" s="1"/>
  <c r="CB53" i="16"/>
  <c r="CB54" i="16" s="1"/>
  <c r="CA53" i="16"/>
  <c r="BZ53" i="16"/>
  <c r="BY53" i="16"/>
  <c r="BY54" i="16" s="1"/>
  <c r="BX53" i="16"/>
  <c r="BX54" i="16" s="1"/>
  <c r="BW53" i="16"/>
  <c r="BW54" i="16" s="1"/>
  <c r="BV53" i="16"/>
  <c r="BV54" i="16" s="1"/>
  <c r="BU53" i="16"/>
  <c r="BU54" i="16" s="1"/>
  <c r="BT53" i="16"/>
  <c r="BT54" i="16" s="1"/>
  <c r="BS53" i="16"/>
  <c r="BS54" i="16" s="1"/>
  <c r="BR53" i="16"/>
  <c r="BR54" i="16" s="1"/>
  <c r="BQ53" i="16"/>
  <c r="BQ54" i="16" s="1"/>
  <c r="BP53" i="16"/>
  <c r="BO53" i="16"/>
  <c r="BO54" i="16" s="1"/>
  <c r="BN53" i="16"/>
  <c r="BM53" i="16"/>
  <c r="BL53" i="16"/>
  <c r="BK53" i="16"/>
  <c r="BK54" i="16" s="1"/>
  <c r="BJ53" i="16"/>
  <c r="L103" i="16" s="1"/>
  <c r="BI53" i="16"/>
  <c r="L97" i="16" s="1"/>
  <c r="BH53" i="16"/>
  <c r="BH54" i="16" s="1"/>
  <c r="BG53" i="16"/>
  <c r="BG54" i="16" s="1"/>
  <c r="BF53" i="16"/>
  <c r="BF54" i="16" s="1"/>
  <c r="BE53" i="16"/>
  <c r="BE54" i="16" s="1"/>
  <c r="BD53" i="16"/>
  <c r="L104" i="16" s="1"/>
  <c r="BC53" i="16"/>
  <c r="BC54" i="16" s="1"/>
  <c r="BB53" i="16"/>
  <c r="L99" i="16" s="1"/>
  <c r="BA53" i="16"/>
  <c r="L92" i="16" s="1"/>
  <c r="AZ53" i="16"/>
  <c r="AZ54" i="16" s="1"/>
  <c r="AY53" i="16"/>
  <c r="L101" i="16" s="1"/>
  <c r="AX53" i="16"/>
  <c r="AX54" i="16" s="1"/>
  <c r="AW53" i="16"/>
  <c r="AW54" i="16" s="1"/>
  <c r="AV53" i="16"/>
  <c r="AV54" i="16" s="1"/>
  <c r="AU53" i="16"/>
  <c r="AU54" i="16" s="1"/>
  <c r="AT53" i="16"/>
  <c r="AT54" i="16" s="1"/>
  <c r="AS53" i="16"/>
  <c r="AS54" i="16" s="1"/>
  <c r="AR53" i="16"/>
  <c r="L90" i="16" s="1"/>
  <c r="AQ53" i="16"/>
  <c r="AQ54" i="16" s="1"/>
  <c r="AP53" i="16"/>
  <c r="AP54" i="16" s="1"/>
  <c r="AO53" i="16"/>
  <c r="AO54" i="16" s="1"/>
  <c r="AN53" i="16"/>
  <c r="AN54" i="16" s="1"/>
  <c r="AM53" i="16"/>
  <c r="AM54" i="16" s="1"/>
  <c r="AL53" i="16"/>
  <c r="AL54" i="16" s="1"/>
  <c r="AK53" i="16"/>
  <c r="AK54" i="16" s="1"/>
  <c r="AJ53" i="16"/>
  <c r="AJ54" i="16" s="1"/>
  <c r="AI54" i="16"/>
  <c r="AH54" i="16"/>
  <c r="AG53" i="16"/>
  <c r="AG54" i="16" s="1"/>
  <c r="AF53" i="16"/>
  <c r="AF54" i="16" s="1"/>
  <c r="AE53" i="16"/>
  <c r="AE54" i="16" s="1"/>
  <c r="AD53" i="16"/>
  <c r="AC53" i="16"/>
  <c r="AC54" i="16" s="1"/>
  <c r="AB53" i="16"/>
  <c r="AB54" i="16" s="1"/>
  <c r="AA53" i="16"/>
  <c r="AA54" i="16" s="1"/>
  <c r="Z53" i="16"/>
  <c r="Z54" i="16" s="1"/>
  <c r="Y53" i="16"/>
  <c r="Y54" i="16" s="1"/>
  <c r="X53" i="16"/>
  <c r="X54" i="16" s="1"/>
  <c r="W53" i="16"/>
  <c r="W54" i="16" s="1"/>
  <c r="V53" i="16"/>
  <c r="V54" i="16" s="1"/>
  <c r="U53" i="16"/>
  <c r="U54" i="16" s="1"/>
  <c r="T53" i="16"/>
  <c r="T54" i="16" s="1"/>
  <c r="S53" i="16"/>
  <c r="S54" i="16" s="1"/>
  <c r="R53" i="16"/>
  <c r="Q53" i="16"/>
  <c r="P53" i="16"/>
  <c r="P54" i="16" s="1"/>
  <c r="O53" i="16"/>
  <c r="O54" i="16" s="1"/>
  <c r="N53" i="16"/>
  <c r="N54" i="16" s="1"/>
  <c r="M53" i="16"/>
  <c r="M54" i="16" s="1"/>
  <c r="L53" i="16"/>
  <c r="L54" i="16" s="1"/>
  <c r="K53" i="16"/>
  <c r="K54" i="16" s="1"/>
  <c r="J53" i="16"/>
  <c r="J54" i="16" s="1"/>
  <c r="I53" i="16"/>
  <c r="I54" i="16" s="1"/>
  <c r="H53" i="16"/>
  <c r="H54" i="16" s="1"/>
  <c r="G53" i="16"/>
  <c r="G54" i="16" s="1"/>
  <c r="E53" i="16"/>
  <c r="E54" i="16" s="1"/>
  <c r="D54" i="16"/>
  <c r="BP54" i="16"/>
  <c r="BM54" i="16"/>
  <c r="BL54" i="16"/>
  <c r="CW52" i="16"/>
  <c r="CW51" i="16"/>
  <c r="CW50" i="16"/>
  <c r="CW49" i="16"/>
  <c r="CW48" i="16"/>
  <c r="CW47" i="16"/>
  <c r="CW46" i="16"/>
  <c r="CW45" i="16"/>
  <c r="CW44" i="16"/>
  <c r="D72" i="16" s="1"/>
  <c r="CW43" i="16"/>
  <c r="D84" i="16" s="1"/>
  <c r="CW42" i="16"/>
  <c r="D83" i="16" s="1"/>
  <c r="CW41" i="16"/>
  <c r="D71" i="16" s="1"/>
  <c r="CW40" i="16"/>
  <c r="D82" i="16" s="1"/>
  <c r="CW39" i="16"/>
  <c r="D70" i="16" s="1"/>
  <c r="CW38" i="16"/>
  <c r="D81" i="16" s="1"/>
  <c r="CW37" i="16"/>
  <c r="D69" i="16" s="1"/>
  <c r="CW36" i="16"/>
  <c r="D80" i="16" s="1"/>
  <c r="CW35" i="16"/>
  <c r="CW34" i="16"/>
  <c r="D68" i="16" s="1"/>
  <c r="CW33" i="16"/>
  <c r="D79" i="16" s="1"/>
  <c r="CW32" i="16"/>
  <c r="D67" i="16" s="1"/>
  <c r="CW31" i="16"/>
  <c r="D66" i="16" s="1"/>
  <c r="CW30" i="16"/>
  <c r="D78" i="16" s="1"/>
  <c r="CW29" i="16"/>
  <c r="CW28" i="16"/>
  <c r="CW27" i="16"/>
  <c r="CW26" i="16"/>
  <c r="CW25" i="16"/>
  <c r="D63" i="16" s="1"/>
  <c r="CW24" i="16"/>
  <c r="CW23" i="16"/>
  <c r="CW22" i="16"/>
  <c r="D65" i="16" s="1"/>
  <c r="CW21" i="16"/>
  <c r="CW20" i="16"/>
  <c r="CW19" i="16"/>
  <c r="CW18" i="16"/>
  <c r="CW17" i="16"/>
  <c r="D74" i="16" s="1"/>
  <c r="CW16" i="16"/>
  <c r="CW15" i="16"/>
  <c r="CW14" i="16"/>
  <c r="CW13" i="16"/>
  <c r="CW12" i="16"/>
  <c r="D64" i="16" s="1"/>
  <c r="CW11" i="16"/>
  <c r="D62" i="16" s="1"/>
  <c r="CW10" i="16"/>
  <c r="CW9" i="16"/>
  <c r="CV8" i="16"/>
  <c r="CV55" i="16" s="1"/>
  <c r="CM8" i="16"/>
  <c r="CM55" i="16" s="1"/>
  <c r="CJ8" i="16"/>
  <c r="CA8" i="16"/>
  <c r="BX8" i="16"/>
  <c r="BX55" i="16" s="1"/>
  <c r="BT8" i="16"/>
  <c r="BL8" i="16"/>
  <c r="AZ8" i="16"/>
  <c r="AQ8" i="16"/>
  <c r="AQ55" i="16" s="1"/>
  <c r="AN8" i="16"/>
  <c r="AE8" i="16"/>
  <c r="AB8" i="16"/>
  <c r="AB55" i="16" s="1"/>
  <c r="G73" i="16" s="1"/>
  <c r="X8" i="16"/>
  <c r="CU8" i="16"/>
  <c r="CU55" i="16" s="1"/>
  <c r="CT8" i="16"/>
  <c r="CS8" i="16"/>
  <c r="CS55" i="16" s="1"/>
  <c r="CO8" i="16"/>
  <c r="CN8" i="16"/>
  <c r="CL8" i="16"/>
  <c r="CH8" i="16"/>
  <c r="CG8" i="16"/>
  <c r="CB8" i="16"/>
  <c r="BZ8" i="16"/>
  <c r="BY8" i="16"/>
  <c r="BY55" i="16" s="1"/>
  <c r="BW8" i="16"/>
  <c r="BV8" i="16"/>
  <c r="BU8" i="16"/>
  <c r="BN8" i="16"/>
  <c r="BM8" i="16"/>
  <c r="G103" i="16"/>
  <c r="BI8" i="16"/>
  <c r="BG8" i="16"/>
  <c r="BG55" i="16" s="1"/>
  <c r="G101" i="16"/>
  <c r="G94" i="16"/>
  <c r="AT8" i="16"/>
  <c r="AT55" i="16" s="1"/>
  <c r="G96" i="16"/>
  <c r="AO8" i="16"/>
  <c r="AO55" i="16" s="1"/>
  <c r="AL8" i="16"/>
  <c r="AK8" i="16"/>
  <c r="AG8" i="16"/>
  <c r="AF8" i="16"/>
  <c r="AD8" i="16"/>
  <c r="AC8" i="16"/>
  <c r="AC55" i="16" s="1"/>
  <c r="Z8" i="16"/>
  <c r="Y8" i="16"/>
  <c r="R8" i="16"/>
  <c r="O8" i="16"/>
  <c r="N8" i="16"/>
  <c r="AY54" i="16" l="1"/>
  <c r="R55" i="16"/>
  <c r="G63" i="16" s="1"/>
  <c r="D61" i="16"/>
  <c r="BN55" i="16"/>
  <c r="BH8" i="16"/>
  <c r="BH55" i="16" s="1"/>
  <c r="I109" i="16"/>
  <c r="AE55" i="16"/>
  <c r="N55" i="16"/>
  <c r="G61" i="16" s="1"/>
  <c r="Z55" i="16"/>
  <c r="G72" i="16" s="1"/>
  <c r="AL55" i="16"/>
  <c r="M101" i="16"/>
  <c r="M103" i="16"/>
  <c r="BV55" i="16"/>
  <c r="CH55" i="16"/>
  <c r="CT55" i="16"/>
  <c r="D76" i="16"/>
  <c r="D77" i="16"/>
  <c r="AD55" i="16"/>
  <c r="G74" i="16" s="1"/>
  <c r="BZ55" i="16"/>
  <c r="G55" i="16"/>
  <c r="I108" i="16"/>
  <c r="J110" i="16"/>
  <c r="K110" i="16"/>
  <c r="T55" i="16"/>
  <c r="BP55" i="16"/>
  <c r="CN55" i="16"/>
  <c r="AA55" i="16"/>
  <c r="BJ54" i="16"/>
  <c r="K109" i="16"/>
  <c r="AP55" i="16"/>
  <c r="CL55" i="16"/>
  <c r="L55" i="16"/>
  <c r="G68" i="16" s="1"/>
  <c r="H55" i="16"/>
  <c r="AF55" i="16"/>
  <c r="G75" i="16" s="1"/>
  <c r="CB55" i="16"/>
  <c r="I55" i="16"/>
  <c r="U55" i="16"/>
  <c r="AG55" i="16"/>
  <c r="BQ55" i="16"/>
  <c r="CC55" i="16"/>
  <c r="CO55" i="16"/>
  <c r="BO55" i="16"/>
  <c r="L94" i="16"/>
  <c r="M94" i="16" s="1"/>
  <c r="BW55" i="16"/>
  <c r="AM55" i="16"/>
  <c r="AM5" i="17" s="1"/>
  <c r="AM8" i="17" s="1"/>
  <c r="AM55" i="17" s="1"/>
  <c r="AM5" i="18" s="1"/>
  <c r="AM8" i="18" s="1"/>
  <c r="AM55" i="18" s="1"/>
  <c r="AM5" i="19" s="1"/>
  <c r="AM8" i="19" s="1"/>
  <c r="AM55" i="19" s="1"/>
  <c r="CI55" i="16"/>
  <c r="O55" i="16"/>
  <c r="H109" i="16"/>
  <c r="Y55" i="16"/>
  <c r="AK55" i="16"/>
  <c r="BU55" i="16"/>
  <c r="CG55" i="16"/>
  <c r="H108" i="16"/>
  <c r="L106" i="16"/>
  <c r="BL55" i="16"/>
  <c r="X55" i="16"/>
  <c r="BT55" i="16"/>
  <c r="M97" i="16"/>
  <c r="M102" i="16"/>
  <c r="D75" i="16"/>
  <c r="D60" i="16"/>
  <c r="AJ55" i="16"/>
  <c r="G77" i="16" s="1"/>
  <c r="CF55" i="16"/>
  <c r="BM55" i="16"/>
  <c r="AN55" i="16"/>
  <c r="CJ55" i="16"/>
  <c r="AV55" i="16"/>
  <c r="CR55" i="16"/>
  <c r="AZ55" i="16"/>
  <c r="AU8" i="16"/>
  <c r="AU55" i="16" s="1"/>
  <c r="BI54" i="16"/>
  <c r="BI55" i="16" s="1"/>
  <c r="AW8" i="16"/>
  <c r="AW55" i="16" s="1"/>
  <c r="CW53" i="16"/>
  <c r="AX8" i="16"/>
  <c r="AX55" i="16" s="1"/>
  <c r="BJ8" i="16"/>
  <c r="G95" i="16"/>
  <c r="L96" i="16"/>
  <c r="M96" i="16" s="1"/>
  <c r="Q54" i="16"/>
  <c r="BA54" i="16"/>
  <c r="G90" i="16"/>
  <c r="L91" i="16"/>
  <c r="M91" i="16" s="1"/>
  <c r="CA54" i="16"/>
  <c r="CA55" i="16" s="1"/>
  <c r="L93" i="16"/>
  <c r="L105" i="16"/>
  <c r="M105" i="16" s="1"/>
  <c r="AR54" i="16"/>
  <c r="AR55" i="16" s="1"/>
  <c r="BD54" i="16"/>
  <c r="L100" i="16"/>
  <c r="L95" i="16"/>
  <c r="L102" i="16"/>
  <c r="AS8" i="16"/>
  <c r="AS55" i="16" s="1"/>
  <c r="D73" i="16" l="1"/>
  <c r="BJ55" i="16"/>
  <c r="L110" i="16"/>
  <c r="L109" i="16"/>
  <c r="CW54" i="16"/>
  <c r="L108" i="16"/>
  <c r="M90" i="16"/>
  <c r="M95" i="16"/>
  <c r="S19" i="15"/>
  <c r="Q19" i="15"/>
  <c r="Q35" i="15" l="1"/>
  <c r="Q26" i="15"/>
  <c r="Q12" i="15"/>
  <c r="S12" i="15"/>
  <c r="S11" i="15"/>
  <c r="Q11" i="15"/>
  <c r="P35" i="15"/>
  <c r="F6" i="14"/>
  <c r="K51" i="14" l="1"/>
  <c r="BC52" i="14"/>
  <c r="BN52" i="15" l="1"/>
  <c r="BP52" i="15"/>
  <c r="BM52" i="15"/>
  <c r="BL52" i="15"/>
  <c r="G5" i="15" l="1"/>
  <c r="H5" i="15"/>
  <c r="I5" i="15"/>
  <c r="J5" i="15"/>
  <c r="L5" i="15"/>
  <c r="M5" i="15"/>
  <c r="N5" i="15"/>
  <c r="O5" i="15"/>
  <c r="O8" i="15" s="1"/>
  <c r="R5" i="15"/>
  <c r="T5" i="15"/>
  <c r="U5" i="15"/>
  <c r="V5" i="15"/>
  <c r="V8" i="15" s="1"/>
  <c r="W5" i="15"/>
  <c r="X5" i="15"/>
  <c r="Y5" i="15"/>
  <c r="Z5" i="15"/>
  <c r="AA5" i="15"/>
  <c r="AA8" i="15" s="1"/>
  <c r="AB5" i="15"/>
  <c r="AB8" i="15" s="1"/>
  <c r="AC5" i="15"/>
  <c r="AD5" i="15"/>
  <c r="AE5" i="15"/>
  <c r="AF5" i="15"/>
  <c r="AG5" i="15"/>
  <c r="AH5" i="15"/>
  <c r="AH8" i="15" s="1"/>
  <c r="AI5" i="15"/>
  <c r="AJ5" i="15"/>
  <c r="AK5" i="15"/>
  <c r="AL5" i="15"/>
  <c r="AM5" i="15"/>
  <c r="AN5" i="15"/>
  <c r="AN8" i="15" s="1"/>
  <c r="AO5" i="15"/>
  <c r="AO8" i="15" s="1"/>
  <c r="AP5" i="15"/>
  <c r="AQ5" i="15"/>
  <c r="AR5" i="15"/>
  <c r="AS5" i="15"/>
  <c r="AT5" i="15"/>
  <c r="G95" i="15" s="1"/>
  <c r="AU5" i="15"/>
  <c r="AV5" i="15"/>
  <c r="AW5" i="15"/>
  <c r="AX5" i="15"/>
  <c r="AX8" i="15" s="1"/>
  <c r="AZ5" i="15"/>
  <c r="AZ8" i="15" s="1"/>
  <c r="BG5" i="15"/>
  <c r="BH5" i="15"/>
  <c r="BI5" i="15"/>
  <c r="BJ5" i="15"/>
  <c r="BJ8" i="15" s="1"/>
  <c r="BL5" i="15"/>
  <c r="BM5" i="15"/>
  <c r="BM8" i="15" s="1"/>
  <c r="BN5" i="15"/>
  <c r="BO5" i="15"/>
  <c r="BP5" i="15"/>
  <c r="BQ5" i="15"/>
  <c r="BR5" i="15"/>
  <c r="BS5" i="15"/>
  <c r="BT5" i="15"/>
  <c r="BU5" i="15"/>
  <c r="BV5" i="15"/>
  <c r="BW5" i="15"/>
  <c r="BW8" i="15" s="1"/>
  <c r="BX5" i="15"/>
  <c r="BX8" i="15" s="1"/>
  <c r="BY5" i="15"/>
  <c r="BY8" i="15" s="1"/>
  <c r="BZ5" i="15"/>
  <c r="CA5" i="15"/>
  <c r="CB5" i="15"/>
  <c r="CC5" i="15"/>
  <c r="CD5" i="15"/>
  <c r="CE5" i="15"/>
  <c r="CF5" i="15"/>
  <c r="CG5" i="15"/>
  <c r="CH5" i="15"/>
  <c r="CH8" i="15" s="1"/>
  <c r="CH55" i="15" s="1"/>
  <c r="CI5" i="15"/>
  <c r="CI8" i="15" s="1"/>
  <c r="CJ5" i="15"/>
  <c r="CJ8" i="15" s="1"/>
  <c r="CK5" i="15"/>
  <c r="CK8" i="15" s="1"/>
  <c r="CL5" i="15"/>
  <c r="CM5" i="15"/>
  <c r="CN5" i="15"/>
  <c r="CO5" i="15"/>
  <c r="CP5" i="15"/>
  <c r="CP8" i="15" s="1"/>
  <c r="CQ5" i="15"/>
  <c r="CR5" i="15"/>
  <c r="CS5" i="15"/>
  <c r="CT5" i="15"/>
  <c r="CU5" i="15"/>
  <c r="CV5" i="15"/>
  <c r="CV8" i="15" s="1"/>
  <c r="CV55" i="15" s="1"/>
  <c r="K106" i="15"/>
  <c r="J106" i="15"/>
  <c r="I106" i="15"/>
  <c r="H106" i="15"/>
  <c r="K105" i="15"/>
  <c r="J105" i="15"/>
  <c r="I105" i="15"/>
  <c r="H105" i="15"/>
  <c r="G105" i="15"/>
  <c r="K104" i="15"/>
  <c r="J104" i="15"/>
  <c r="I104" i="15"/>
  <c r="H104" i="15"/>
  <c r="K103" i="15"/>
  <c r="J103" i="15"/>
  <c r="I103" i="15"/>
  <c r="H103" i="15"/>
  <c r="K102" i="15"/>
  <c r="J102" i="15"/>
  <c r="I102" i="15"/>
  <c r="H102" i="15"/>
  <c r="G102" i="15"/>
  <c r="L101" i="15"/>
  <c r="K101" i="15"/>
  <c r="J101" i="15"/>
  <c r="I101" i="15"/>
  <c r="H101" i="15"/>
  <c r="K100" i="15"/>
  <c r="J100" i="15"/>
  <c r="I100" i="15"/>
  <c r="H100" i="15"/>
  <c r="K99" i="15"/>
  <c r="J99" i="15"/>
  <c r="I99" i="15"/>
  <c r="H99" i="15"/>
  <c r="K98" i="15"/>
  <c r="J98" i="15"/>
  <c r="I98" i="15"/>
  <c r="H98" i="15"/>
  <c r="K97" i="15"/>
  <c r="J97" i="15"/>
  <c r="I97" i="15"/>
  <c r="H97" i="15"/>
  <c r="G97" i="15"/>
  <c r="M97" i="15" s="1"/>
  <c r="K96" i="15"/>
  <c r="J96" i="15"/>
  <c r="I96" i="15"/>
  <c r="H96" i="15"/>
  <c r="K95" i="15"/>
  <c r="J95" i="15"/>
  <c r="I95" i="15"/>
  <c r="H95" i="15"/>
  <c r="K94" i="15"/>
  <c r="J94" i="15"/>
  <c r="I94" i="15"/>
  <c r="H94" i="15"/>
  <c r="K93" i="15"/>
  <c r="J93" i="15"/>
  <c r="I93" i="15"/>
  <c r="H93" i="15"/>
  <c r="K92" i="15"/>
  <c r="J92" i="15"/>
  <c r="I92" i="15"/>
  <c r="H92" i="15"/>
  <c r="K91" i="15"/>
  <c r="J91" i="15"/>
  <c r="J108" i="15" s="1"/>
  <c r="I91" i="15"/>
  <c r="H91" i="15"/>
  <c r="K90" i="15"/>
  <c r="J90" i="15"/>
  <c r="I90" i="15"/>
  <c r="H90" i="15"/>
  <c r="C84" i="15"/>
  <c r="C83" i="15"/>
  <c r="C82" i="15"/>
  <c r="D69" i="15"/>
  <c r="CV54" i="15"/>
  <c r="CU54" i="15"/>
  <c r="CT54" i="15"/>
  <c r="CS54" i="15"/>
  <c r="CM54" i="15"/>
  <c r="CA54" i="15"/>
  <c r="BZ54" i="15"/>
  <c r="BO54" i="15"/>
  <c r="BN54" i="15"/>
  <c r="BM54" i="15"/>
  <c r="BB54" i="15"/>
  <c r="AZ54" i="15"/>
  <c r="AB54" i="15"/>
  <c r="AA54" i="15"/>
  <c r="S54" i="15"/>
  <c r="G54" i="15"/>
  <c r="F54" i="15"/>
  <c r="CR53" i="15"/>
  <c r="CR54" i="15" s="1"/>
  <c r="CQ53" i="15"/>
  <c r="CQ54" i="15" s="1"/>
  <c r="CP53" i="15"/>
  <c r="CP54" i="15" s="1"/>
  <c r="CO53" i="15"/>
  <c r="CO54" i="15" s="1"/>
  <c r="CN53" i="15"/>
  <c r="CN54" i="15" s="1"/>
  <c r="CM53" i="15"/>
  <c r="CL53" i="15"/>
  <c r="CL54" i="15" s="1"/>
  <c r="CK53" i="15"/>
  <c r="CK54" i="15" s="1"/>
  <c r="CJ53" i="15"/>
  <c r="CJ54" i="15" s="1"/>
  <c r="CI53" i="15"/>
  <c r="CI54" i="15" s="1"/>
  <c r="CH53" i="15"/>
  <c r="CH54" i="15" s="1"/>
  <c r="CG53" i="15"/>
  <c r="CG54" i="15" s="1"/>
  <c r="CF53" i="15"/>
  <c r="CF54" i="15" s="1"/>
  <c r="CE53" i="15"/>
  <c r="CE54" i="15" s="1"/>
  <c r="CD53" i="15"/>
  <c r="CD54" i="15" s="1"/>
  <c r="CC53" i="15"/>
  <c r="CC54" i="15" s="1"/>
  <c r="CB53" i="15"/>
  <c r="CB54" i="15" s="1"/>
  <c r="CA53" i="15"/>
  <c r="BZ53" i="15"/>
  <c r="BY53" i="15"/>
  <c r="BY54" i="15" s="1"/>
  <c r="BX53" i="15"/>
  <c r="BX54" i="15" s="1"/>
  <c r="BW53" i="15"/>
  <c r="BW54" i="15" s="1"/>
  <c r="BV53" i="15"/>
  <c r="BV54" i="15" s="1"/>
  <c r="BU53" i="15"/>
  <c r="BU54" i="15" s="1"/>
  <c r="BT53" i="15"/>
  <c r="BT54" i="15" s="1"/>
  <c r="BS53" i="15"/>
  <c r="BS54" i="15" s="1"/>
  <c r="BR53" i="15"/>
  <c r="BR54" i="15" s="1"/>
  <c r="BQ53" i="15"/>
  <c r="BQ54" i="15" s="1"/>
  <c r="BP53" i="15"/>
  <c r="BO53" i="15"/>
  <c r="BN53" i="15"/>
  <c r="BM53" i="15"/>
  <c r="BL53" i="15"/>
  <c r="BL54" i="15" s="1"/>
  <c r="BK53" i="15"/>
  <c r="BK54" i="15" s="1"/>
  <c r="BJ53" i="15"/>
  <c r="L103" i="15" s="1"/>
  <c r="BI53" i="15"/>
  <c r="L97" i="15" s="1"/>
  <c r="BH53" i="15"/>
  <c r="BH54" i="15" s="1"/>
  <c r="BG53" i="15"/>
  <c r="BG54" i="15" s="1"/>
  <c r="BF53" i="15"/>
  <c r="BF54" i="15" s="1"/>
  <c r="BE53" i="15"/>
  <c r="BE54" i="15" s="1"/>
  <c r="BD53" i="15"/>
  <c r="L104" i="15" s="1"/>
  <c r="BC53" i="15"/>
  <c r="L98" i="15" s="1"/>
  <c r="BB53" i="15"/>
  <c r="L99" i="15" s="1"/>
  <c r="BA53" i="15"/>
  <c r="L92" i="15" s="1"/>
  <c r="AZ53" i="15"/>
  <c r="AY53" i="15"/>
  <c r="L106" i="15" s="1"/>
  <c r="AX53" i="15"/>
  <c r="AX54" i="15" s="1"/>
  <c r="AW53" i="15"/>
  <c r="L94" i="15" s="1"/>
  <c r="AV53" i="15"/>
  <c r="AV54" i="15" s="1"/>
  <c r="AU53" i="15"/>
  <c r="AU54" i="15" s="1"/>
  <c r="AT53" i="15"/>
  <c r="AT54" i="15" s="1"/>
  <c r="AS53" i="15"/>
  <c r="AS54" i="15" s="1"/>
  <c r="AR53" i="15"/>
  <c r="L90" i="15" s="1"/>
  <c r="AQ53" i="15"/>
  <c r="AQ54" i="15" s="1"/>
  <c r="AP53" i="15"/>
  <c r="AP54" i="15" s="1"/>
  <c r="AO53" i="15"/>
  <c r="AO54" i="15" s="1"/>
  <c r="AN53" i="15"/>
  <c r="AN54" i="15" s="1"/>
  <c r="AM53" i="15"/>
  <c r="AM54" i="15" s="1"/>
  <c r="AL53" i="15"/>
  <c r="AL54" i="15" s="1"/>
  <c r="AK53" i="15"/>
  <c r="AK54" i="15" s="1"/>
  <c r="AJ53" i="15"/>
  <c r="AJ54" i="15" s="1"/>
  <c r="AI54" i="15"/>
  <c r="AH54" i="15"/>
  <c r="AG53" i="15"/>
  <c r="AG54" i="15" s="1"/>
  <c r="AF53" i="15"/>
  <c r="AF54" i="15" s="1"/>
  <c r="AE53" i="15"/>
  <c r="AE54" i="15" s="1"/>
  <c r="AD53" i="15"/>
  <c r="AD54" i="15" s="1"/>
  <c r="AC53" i="15"/>
  <c r="AC54" i="15" s="1"/>
  <c r="AB53" i="15"/>
  <c r="AA53" i="15"/>
  <c r="Z53" i="15"/>
  <c r="Z54" i="15" s="1"/>
  <c r="Y53" i="15"/>
  <c r="Y54" i="15" s="1"/>
  <c r="X53" i="15"/>
  <c r="X54" i="15" s="1"/>
  <c r="W53" i="15"/>
  <c r="W54" i="15" s="1"/>
  <c r="V53" i="15"/>
  <c r="V54" i="15" s="1"/>
  <c r="U53" i="15"/>
  <c r="U54" i="15" s="1"/>
  <c r="T53" i="15"/>
  <c r="T54" i="15" s="1"/>
  <c r="S53" i="15"/>
  <c r="R53" i="15"/>
  <c r="R54" i="15" s="1"/>
  <c r="Q53" i="15"/>
  <c r="Q54" i="15" s="1"/>
  <c r="P53" i="15"/>
  <c r="P54" i="15" s="1"/>
  <c r="O53" i="15"/>
  <c r="O54" i="15" s="1"/>
  <c r="N53" i="15"/>
  <c r="N54" i="15" s="1"/>
  <c r="M53" i="15"/>
  <c r="L53" i="15"/>
  <c r="L54" i="15" s="1"/>
  <c r="K53" i="15"/>
  <c r="K54" i="15" s="1"/>
  <c r="J53" i="15"/>
  <c r="J54" i="15" s="1"/>
  <c r="I53" i="15"/>
  <c r="I54" i="15" s="1"/>
  <c r="H53" i="15"/>
  <c r="H54" i="15" s="1"/>
  <c r="G53" i="15"/>
  <c r="F53" i="15"/>
  <c r="E53" i="15"/>
  <c r="E54" i="15" s="1"/>
  <c r="D53" i="15"/>
  <c r="D54" i="15" s="1"/>
  <c r="BP54" i="15"/>
  <c r="CW51" i="15"/>
  <c r="CW50" i="15"/>
  <c r="CW49" i="15"/>
  <c r="CW48" i="15"/>
  <c r="CW47" i="15"/>
  <c r="CW46" i="15"/>
  <c r="CW45" i="15"/>
  <c r="CW44" i="15"/>
  <c r="D72" i="15" s="1"/>
  <c r="CW43" i="15"/>
  <c r="D84" i="15" s="1"/>
  <c r="CW42" i="15"/>
  <c r="D83" i="15" s="1"/>
  <c r="CW41" i="15"/>
  <c r="D71" i="15" s="1"/>
  <c r="CW40" i="15"/>
  <c r="D82" i="15" s="1"/>
  <c r="CW39" i="15"/>
  <c r="D70" i="15" s="1"/>
  <c r="CW38" i="15"/>
  <c r="D81" i="15" s="1"/>
  <c r="CW37" i="15"/>
  <c r="CW36" i="15"/>
  <c r="D80" i="15" s="1"/>
  <c r="CW35" i="15"/>
  <c r="CW34" i="15"/>
  <c r="D68" i="15" s="1"/>
  <c r="CW33" i="15"/>
  <c r="D79" i="15" s="1"/>
  <c r="CW32" i="15"/>
  <c r="D67" i="15" s="1"/>
  <c r="CW31" i="15"/>
  <c r="D66" i="15" s="1"/>
  <c r="CW30" i="15"/>
  <c r="D78" i="15" s="1"/>
  <c r="CW29" i="15"/>
  <c r="CW28" i="15"/>
  <c r="CW27" i="15"/>
  <c r="CW26" i="15"/>
  <c r="CW25" i="15"/>
  <c r="CW24" i="15"/>
  <c r="CW23" i="15"/>
  <c r="CW22" i="15"/>
  <c r="D65" i="15" s="1"/>
  <c r="CW21" i="15"/>
  <c r="CW20" i="15"/>
  <c r="CW19" i="15"/>
  <c r="CW18" i="15"/>
  <c r="CW17" i="15"/>
  <c r="D74" i="15" s="1"/>
  <c r="CW16" i="15"/>
  <c r="CW15" i="15"/>
  <c r="CW14" i="15"/>
  <c r="CW13" i="15"/>
  <c r="CW12" i="15"/>
  <c r="D64" i="15" s="1"/>
  <c r="CW11" i="15"/>
  <c r="CW10" i="15"/>
  <c r="CW9" i="15"/>
  <c r="CU8" i="15"/>
  <c r="CU55" i="15" s="1"/>
  <c r="CT8" i="15"/>
  <c r="CS8" i="15"/>
  <c r="CS55" i="15" s="1"/>
  <c r="CR8" i="15"/>
  <c r="CG8" i="15"/>
  <c r="CG55" i="15" s="1"/>
  <c r="CF8" i="15"/>
  <c r="CF55" i="15" s="1"/>
  <c r="BV8" i="15"/>
  <c r="BU8" i="15"/>
  <c r="BT8" i="15"/>
  <c r="BL8" i="15"/>
  <c r="BI8" i="15"/>
  <c r="BH8" i="15"/>
  <c r="BH55" i="15" s="1"/>
  <c r="AW8" i="15"/>
  <c r="AV8" i="15"/>
  <c r="AM8" i="15"/>
  <c r="AL8" i="15"/>
  <c r="AL55" i="15" s="1"/>
  <c r="AK8" i="15"/>
  <c r="AJ8" i="15"/>
  <c r="Z8" i="15"/>
  <c r="Z55" i="15" s="1"/>
  <c r="G72" i="15" s="1"/>
  <c r="Y8" i="15"/>
  <c r="Y55" i="15" s="1"/>
  <c r="X8" i="15"/>
  <c r="N8" i="15"/>
  <c r="M8" i="15"/>
  <c r="L8" i="15"/>
  <c r="CQ8" i="15"/>
  <c r="CO8" i="15"/>
  <c r="CN8" i="15"/>
  <c r="CN55" i="15" s="1"/>
  <c r="CM8" i="15"/>
  <c r="CL8" i="15"/>
  <c r="CE8" i="15"/>
  <c r="CD8" i="15"/>
  <c r="CC8" i="15"/>
  <c r="CB8" i="15"/>
  <c r="CB55" i="15" s="1"/>
  <c r="CA8" i="15"/>
  <c r="BZ8" i="15"/>
  <c r="BS8" i="15"/>
  <c r="BR8" i="15"/>
  <c r="BQ8" i="15"/>
  <c r="BP8" i="15"/>
  <c r="BO8" i="15"/>
  <c r="BN8" i="15"/>
  <c r="G103" i="15"/>
  <c r="M103" i="15" s="1"/>
  <c r="G91" i="15"/>
  <c r="BG8" i="15"/>
  <c r="G101" i="15"/>
  <c r="G94" i="15"/>
  <c r="AU8" i="15"/>
  <c r="AT8" i="15"/>
  <c r="G96" i="15"/>
  <c r="AR8" i="15"/>
  <c r="AQ8" i="15"/>
  <c r="AP8" i="15"/>
  <c r="AI8" i="15"/>
  <c r="AG8" i="15"/>
  <c r="AF8" i="15"/>
  <c r="AF55" i="15" s="1"/>
  <c r="G75" i="15" s="1"/>
  <c r="AE8" i="15"/>
  <c r="AD8" i="15"/>
  <c r="AC8" i="15"/>
  <c r="W8" i="15"/>
  <c r="U8" i="15"/>
  <c r="T8" i="15"/>
  <c r="T55" i="15" s="1"/>
  <c r="R8" i="15"/>
  <c r="J8" i="15"/>
  <c r="I8" i="15"/>
  <c r="H8" i="15"/>
  <c r="H55" i="15" s="1"/>
  <c r="G8" i="15"/>
  <c r="G55" i="15" s="1"/>
  <c r="D76" i="15" l="1"/>
  <c r="BA54" i="15"/>
  <c r="BC54" i="15"/>
  <c r="BN55" i="15"/>
  <c r="L96" i="15"/>
  <c r="M101" i="15"/>
  <c r="AA55" i="15"/>
  <c r="I110" i="15"/>
  <c r="AB55" i="15"/>
  <c r="G73" i="15" s="1"/>
  <c r="CI55" i="15"/>
  <c r="D62" i="15"/>
  <c r="D63" i="15"/>
  <c r="CW53" i="15"/>
  <c r="H109" i="15"/>
  <c r="J110" i="15"/>
  <c r="AZ55" i="15"/>
  <c r="D75" i="15"/>
  <c r="H110" i="15"/>
  <c r="CJ55" i="15"/>
  <c r="AC55" i="15"/>
  <c r="AO55" i="15"/>
  <c r="BM55" i="15"/>
  <c r="BY55" i="15"/>
  <c r="CK55" i="15"/>
  <c r="D77" i="15"/>
  <c r="I109" i="15"/>
  <c r="K110" i="15"/>
  <c r="AD55" i="15"/>
  <c r="G74" i="15" s="1"/>
  <c r="H108" i="15"/>
  <c r="AE55" i="15"/>
  <c r="AQ55" i="15"/>
  <c r="BO55" i="15"/>
  <c r="CA55" i="15"/>
  <c r="CM55" i="15"/>
  <c r="AM55" i="15"/>
  <c r="CT55" i="15"/>
  <c r="D61" i="15"/>
  <c r="L105" i="15"/>
  <c r="M105" i="15" s="1"/>
  <c r="R55" i="15"/>
  <c r="G63" i="15" s="1"/>
  <c r="BZ55" i="15"/>
  <c r="AP55" i="15"/>
  <c r="CL55" i="15"/>
  <c r="BL55" i="15"/>
  <c r="BP55" i="15"/>
  <c r="M96" i="15"/>
  <c r="O55" i="15"/>
  <c r="K108" i="15"/>
  <c r="BW55" i="15"/>
  <c r="L93" i="15"/>
  <c r="J109" i="15"/>
  <c r="AN55" i="15"/>
  <c r="BX55" i="15"/>
  <c r="AY54" i="15"/>
  <c r="I108" i="15"/>
  <c r="K109" i="15"/>
  <c r="AK55" i="15"/>
  <c r="CR55" i="15"/>
  <c r="AR55" i="15"/>
  <c r="BQ55" i="15"/>
  <c r="CC55" i="15"/>
  <c r="CO55" i="15"/>
  <c r="BT55" i="15"/>
  <c r="V55" i="15"/>
  <c r="AH55" i="15"/>
  <c r="AT55" i="15"/>
  <c r="BR55" i="15"/>
  <c r="CD55" i="15"/>
  <c r="CP55" i="15"/>
  <c r="N55" i="15"/>
  <c r="G61" i="15" s="1"/>
  <c r="BU55" i="15"/>
  <c r="AJ55" i="15"/>
  <c r="G77" i="15" s="1"/>
  <c r="I55" i="15"/>
  <c r="J55" i="15"/>
  <c r="W55" i="15"/>
  <c r="BG55" i="15"/>
  <c r="BS55" i="15"/>
  <c r="CE55" i="15"/>
  <c r="CQ55" i="15"/>
  <c r="AV55" i="15"/>
  <c r="BV55" i="15"/>
  <c r="L55" i="15"/>
  <c r="G68" i="15" s="1"/>
  <c r="U55" i="15"/>
  <c r="AU55" i="15"/>
  <c r="AG55" i="15"/>
  <c r="AI55" i="15"/>
  <c r="AI5" i="16" s="1"/>
  <c r="AI8" i="16" s="1"/>
  <c r="AI55" i="16" s="1"/>
  <c r="AI5" i="17" s="1"/>
  <c r="AI8" i="17" s="1"/>
  <c r="AI55" i="17" s="1"/>
  <c r="AI5" i="18" s="1"/>
  <c r="AI8" i="18" s="1"/>
  <c r="AI55" i="18" s="1"/>
  <c r="AI5" i="19" s="1"/>
  <c r="AI8" i="19" s="1"/>
  <c r="AI55" i="19" s="1"/>
  <c r="M94" i="15"/>
  <c r="X55" i="15"/>
  <c r="AX55" i="15"/>
  <c r="CW52" i="15"/>
  <c r="M54" i="15"/>
  <c r="M55" i="15" s="1"/>
  <c r="AW54" i="15"/>
  <c r="AW55" i="15" s="1"/>
  <c r="BI54" i="15"/>
  <c r="BI55" i="15" s="1"/>
  <c r="BJ54" i="15"/>
  <c r="BJ55" i="15" s="1"/>
  <c r="L91" i="15"/>
  <c r="AR54" i="15"/>
  <c r="BD54" i="15"/>
  <c r="L100" i="15"/>
  <c r="L95" i="15"/>
  <c r="G90" i="15"/>
  <c r="M95" i="15"/>
  <c r="L102" i="15"/>
  <c r="AS8" i="15"/>
  <c r="AS55" i="15" s="1"/>
  <c r="Q34" i="13"/>
  <c r="G76" i="15" l="1"/>
  <c r="AH5" i="16"/>
  <c r="AH8" i="16" s="1"/>
  <c r="AH55" i="16" s="1"/>
  <c r="G69" i="15"/>
  <c r="M5" i="16"/>
  <c r="D60" i="15"/>
  <c r="D73" i="15"/>
  <c r="L108" i="15"/>
  <c r="L110" i="15"/>
  <c r="M91" i="15"/>
  <c r="L109" i="15"/>
  <c r="M102" i="15"/>
  <c r="M90" i="15"/>
  <c r="CW54" i="15"/>
  <c r="S38" i="13"/>
  <c r="Q38" i="13"/>
  <c r="G76" i="16" l="1"/>
  <c r="AH5" i="17"/>
  <c r="AH8" i="17" s="1"/>
  <c r="AH55" i="17" s="1"/>
  <c r="M8" i="16"/>
  <c r="E51" i="13"/>
  <c r="G76" i="17" l="1"/>
  <c r="AH5" i="18"/>
  <c r="AH8" i="18" s="1"/>
  <c r="AH55" i="18" s="1"/>
  <c r="M55" i="16"/>
  <c r="BD52" i="13"/>
  <c r="I50" i="14"/>
  <c r="BP52" i="14"/>
  <c r="G76" i="18" l="1"/>
  <c r="AH5" i="19"/>
  <c r="AH8" i="19" s="1"/>
  <c r="AH55" i="19" s="1"/>
  <c r="G76" i="19" s="1"/>
  <c r="G69" i="16"/>
  <c r="G5" i="14"/>
  <c r="G8" i="14" s="1"/>
  <c r="G55" i="14" s="1"/>
  <c r="H5" i="14"/>
  <c r="I5" i="14"/>
  <c r="J5" i="14"/>
  <c r="J8" i="14" s="1"/>
  <c r="J55" i="14" s="1"/>
  <c r="K5" i="14"/>
  <c r="K8" i="14" s="1"/>
  <c r="L5" i="14"/>
  <c r="N5" i="14"/>
  <c r="N8" i="14" s="1"/>
  <c r="O5" i="14"/>
  <c r="R5" i="14"/>
  <c r="T5" i="14"/>
  <c r="U5" i="14"/>
  <c r="U8" i="14" s="1"/>
  <c r="U55" i="14" s="1"/>
  <c r="V5" i="14"/>
  <c r="V8" i="14" s="1"/>
  <c r="W5" i="14"/>
  <c r="W8" i="14" s="1"/>
  <c r="W55" i="14" s="1"/>
  <c r="X5" i="14"/>
  <c r="Y5" i="14"/>
  <c r="Z5" i="14"/>
  <c r="AA5" i="14"/>
  <c r="AB5" i="14"/>
  <c r="AC5" i="14"/>
  <c r="AD5" i="14"/>
  <c r="AD8" i="14" s="1"/>
  <c r="AE5" i="14"/>
  <c r="AF5" i="14"/>
  <c r="AG5" i="14"/>
  <c r="AG8" i="14" s="1"/>
  <c r="AG55" i="14" s="1"/>
  <c r="AH5" i="14"/>
  <c r="AH8" i="14" s="1"/>
  <c r="AI5" i="14"/>
  <c r="AI8" i="14" s="1"/>
  <c r="AI55" i="14" s="1"/>
  <c r="AJ5" i="14"/>
  <c r="AK5" i="14"/>
  <c r="AL5" i="14"/>
  <c r="AM5" i="14"/>
  <c r="AM8" i="14" s="1"/>
  <c r="AN5" i="14"/>
  <c r="AO5" i="14"/>
  <c r="AO8" i="14" s="1"/>
  <c r="AP5" i="14"/>
  <c r="AQ5" i="14"/>
  <c r="AQ8" i="14" s="1"/>
  <c r="AQ55" i="14" s="1"/>
  <c r="AR5" i="14"/>
  <c r="AS5" i="14"/>
  <c r="G96" i="14" s="1"/>
  <c r="AT5" i="14"/>
  <c r="G95" i="14" s="1"/>
  <c r="M95" i="14" s="1"/>
  <c r="AU5" i="14"/>
  <c r="AU8" i="14" s="1"/>
  <c r="AU55" i="14" s="1"/>
  <c r="AV5" i="14"/>
  <c r="AW5" i="14"/>
  <c r="AX5" i="14"/>
  <c r="G101" i="14" s="1"/>
  <c r="AZ5" i="14"/>
  <c r="BG5" i="14"/>
  <c r="G105" i="14" s="1"/>
  <c r="BH5" i="14"/>
  <c r="BI5" i="14"/>
  <c r="BJ5" i="14"/>
  <c r="G103" i="14" s="1"/>
  <c r="BL5" i="14"/>
  <c r="BM5" i="14"/>
  <c r="BN5" i="14"/>
  <c r="BN8" i="14" s="1"/>
  <c r="BO5" i="14"/>
  <c r="BP5" i="14"/>
  <c r="BQ5" i="14"/>
  <c r="BQ8" i="14" s="1"/>
  <c r="BQ55" i="14" s="1"/>
  <c r="BR5" i="14"/>
  <c r="BR8" i="14" s="1"/>
  <c r="BR55" i="14" s="1"/>
  <c r="BS5" i="14"/>
  <c r="BS8" i="14" s="1"/>
  <c r="BS55" i="14" s="1"/>
  <c r="BT5" i="14"/>
  <c r="BU5" i="14"/>
  <c r="BV5" i="14"/>
  <c r="BW5" i="14"/>
  <c r="BX5" i="14"/>
  <c r="BY5" i="14"/>
  <c r="BY8" i="14" s="1"/>
  <c r="BZ5" i="14"/>
  <c r="BZ8" i="14" s="1"/>
  <c r="CA5" i="14"/>
  <c r="CA8" i="14" s="1"/>
  <c r="CA55" i="14" s="1"/>
  <c r="CB5" i="14"/>
  <c r="CC5" i="14"/>
  <c r="CC8" i="14" s="1"/>
  <c r="CC55" i="14" s="1"/>
  <c r="CD5" i="14"/>
  <c r="CD8" i="14" s="1"/>
  <c r="CE5" i="14"/>
  <c r="CE8" i="14" s="1"/>
  <c r="CE55" i="14" s="1"/>
  <c r="CF5" i="14"/>
  <c r="CG5" i="14"/>
  <c r="CH5" i="14"/>
  <c r="CI5" i="14"/>
  <c r="CI8" i="14" s="1"/>
  <c r="CJ5" i="14"/>
  <c r="CK5" i="14"/>
  <c r="CL5" i="14"/>
  <c r="CM5" i="14"/>
  <c r="CM8" i="14" s="1"/>
  <c r="CM55" i="14" s="1"/>
  <c r="CN5" i="14"/>
  <c r="CO5" i="14"/>
  <c r="CO8" i="14" s="1"/>
  <c r="CO55" i="14" s="1"/>
  <c r="CP5" i="14"/>
  <c r="CP8" i="14" s="1"/>
  <c r="CQ5" i="14"/>
  <c r="CQ8" i="14" s="1"/>
  <c r="CQ55" i="14" s="1"/>
  <c r="CR5" i="14"/>
  <c r="CS5" i="14"/>
  <c r="CT5" i="14"/>
  <c r="CT8" i="14" s="1"/>
  <c r="CT55" i="14" s="1"/>
  <c r="CU5" i="14"/>
  <c r="CU8" i="14" s="1"/>
  <c r="CU55" i="14" s="1"/>
  <c r="CV5" i="14"/>
  <c r="K106" i="14"/>
  <c r="J106" i="14"/>
  <c r="I106" i="14"/>
  <c r="H106" i="14"/>
  <c r="K105" i="14"/>
  <c r="J105" i="14"/>
  <c r="I105" i="14"/>
  <c r="H105" i="14"/>
  <c r="K104" i="14"/>
  <c r="J104" i="14"/>
  <c r="I104" i="14"/>
  <c r="H104" i="14"/>
  <c r="K103" i="14"/>
  <c r="J103" i="14"/>
  <c r="I103" i="14"/>
  <c r="H103" i="14"/>
  <c r="L102" i="14"/>
  <c r="K102" i="14"/>
  <c r="J102" i="14"/>
  <c r="J110" i="14" s="1"/>
  <c r="I102" i="14"/>
  <c r="I110" i="14" s="1"/>
  <c r="H102" i="14"/>
  <c r="H110" i="14" s="1"/>
  <c r="K101" i="14"/>
  <c r="J101" i="14"/>
  <c r="I101" i="14"/>
  <c r="H101" i="14"/>
  <c r="K100" i="14"/>
  <c r="J100" i="14"/>
  <c r="I100" i="14"/>
  <c r="H100" i="14"/>
  <c r="K99" i="14"/>
  <c r="J99" i="14"/>
  <c r="I99" i="14"/>
  <c r="H99" i="14"/>
  <c r="K98" i="14"/>
  <c r="J98" i="14"/>
  <c r="I98" i="14"/>
  <c r="H98" i="14"/>
  <c r="K97" i="14"/>
  <c r="J97" i="14"/>
  <c r="I97" i="14"/>
  <c r="H97" i="14"/>
  <c r="K96" i="14"/>
  <c r="J96" i="14"/>
  <c r="I96" i="14"/>
  <c r="H96" i="14"/>
  <c r="K95" i="14"/>
  <c r="J95" i="14"/>
  <c r="I95" i="14"/>
  <c r="H95" i="14"/>
  <c r="K94" i="14"/>
  <c r="J94" i="14"/>
  <c r="I94" i="14"/>
  <c r="H94" i="14"/>
  <c r="K93" i="14"/>
  <c r="J93" i="14"/>
  <c r="I93" i="14"/>
  <c r="H93" i="14"/>
  <c r="K92" i="14"/>
  <c r="J92" i="14"/>
  <c r="I92" i="14"/>
  <c r="H92" i="14"/>
  <c r="K91" i="14"/>
  <c r="J91" i="14"/>
  <c r="I91" i="14"/>
  <c r="H91" i="14"/>
  <c r="K90" i="14"/>
  <c r="J90" i="14"/>
  <c r="I90" i="14"/>
  <c r="H90" i="14"/>
  <c r="C84" i="14"/>
  <c r="C83" i="14"/>
  <c r="C82" i="14"/>
  <c r="CV54" i="14"/>
  <c r="CU54" i="14"/>
  <c r="CT54" i="14"/>
  <c r="CS54" i="14"/>
  <c r="CP54" i="14"/>
  <c r="BR54" i="14"/>
  <c r="BN54" i="14"/>
  <c r="BL54" i="14"/>
  <c r="AT54" i="14"/>
  <c r="AP54" i="14"/>
  <c r="AN54" i="14"/>
  <c r="AM54" i="14"/>
  <c r="AL54" i="14"/>
  <c r="J54" i="14"/>
  <c r="F54" i="14"/>
  <c r="D54" i="14"/>
  <c r="CR53" i="14"/>
  <c r="CR54" i="14" s="1"/>
  <c r="CQ53" i="14"/>
  <c r="CQ54" i="14" s="1"/>
  <c r="CP53" i="14"/>
  <c r="CO53" i="14"/>
  <c r="CO54" i="14" s="1"/>
  <c r="CN53" i="14"/>
  <c r="CN54" i="14" s="1"/>
  <c r="CM53" i="14"/>
  <c r="CM54" i="14" s="1"/>
  <c r="CL53" i="14"/>
  <c r="CL54" i="14" s="1"/>
  <c r="CK53" i="14"/>
  <c r="CK54" i="14" s="1"/>
  <c r="CJ53" i="14"/>
  <c r="CJ54" i="14" s="1"/>
  <c r="CI53" i="14"/>
  <c r="CI54" i="14" s="1"/>
  <c r="CH53" i="14"/>
  <c r="CH54" i="14" s="1"/>
  <c r="CG53" i="14"/>
  <c r="CG54" i="14" s="1"/>
  <c r="CF53" i="14"/>
  <c r="CF54" i="14" s="1"/>
  <c r="CE53" i="14"/>
  <c r="CE54" i="14" s="1"/>
  <c r="CD53" i="14"/>
  <c r="CD54" i="14" s="1"/>
  <c r="CC53" i="14"/>
  <c r="CC54" i="14" s="1"/>
  <c r="CB53" i="14"/>
  <c r="CB54" i="14" s="1"/>
  <c r="CA53" i="14"/>
  <c r="CA54" i="14" s="1"/>
  <c r="BZ53" i="14"/>
  <c r="BZ54" i="14" s="1"/>
  <c r="BY53" i="14"/>
  <c r="BY54" i="14" s="1"/>
  <c r="BX53" i="14"/>
  <c r="BX54" i="14" s="1"/>
  <c r="BW53" i="14"/>
  <c r="BW54" i="14" s="1"/>
  <c r="BV53" i="14"/>
  <c r="BV54" i="14" s="1"/>
  <c r="BU53" i="14"/>
  <c r="BU54" i="14" s="1"/>
  <c r="BT53" i="14"/>
  <c r="BT54" i="14" s="1"/>
  <c r="BS53" i="14"/>
  <c r="BS54" i="14" s="1"/>
  <c r="BR53" i="14"/>
  <c r="BQ53" i="14"/>
  <c r="BQ54" i="14" s="1"/>
  <c r="BP53" i="14"/>
  <c r="BO53" i="14"/>
  <c r="BO54" i="14" s="1"/>
  <c r="BN53" i="14"/>
  <c r="BM53" i="14"/>
  <c r="BL53" i="14"/>
  <c r="BK53" i="14"/>
  <c r="BK54" i="14" s="1"/>
  <c r="BJ53" i="14"/>
  <c r="L103" i="14" s="1"/>
  <c r="BI53" i="14"/>
  <c r="L97" i="14" s="1"/>
  <c r="BH53" i="14"/>
  <c r="BH54" i="14" s="1"/>
  <c r="BG53" i="14"/>
  <c r="BG54" i="14" s="1"/>
  <c r="BF53" i="14"/>
  <c r="L100" i="14" s="1"/>
  <c r="BE53" i="14"/>
  <c r="BE54" i="14" s="1"/>
  <c r="BD53" i="14"/>
  <c r="L104" i="14" s="1"/>
  <c r="BC53" i="14"/>
  <c r="BC54" i="14" s="1"/>
  <c r="BB53" i="14"/>
  <c r="L99" i="14" s="1"/>
  <c r="BA53" i="14"/>
  <c r="L92" i="14" s="1"/>
  <c r="AZ53" i="14"/>
  <c r="AZ54" i="14" s="1"/>
  <c r="AY53" i="14"/>
  <c r="AY54" i="14" s="1"/>
  <c r="AX53" i="14"/>
  <c r="AX54" i="14" s="1"/>
  <c r="AW53" i="14"/>
  <c r="AW54" i="14" s="1"/>
  <c r="AV53" i="14"/>
  <c r="AV54" i="14" s="1"/>
  <c r="AU53" i="14"/>
  <c r="AU54" i="14" s="1"/>
  <c r="AT53" i="14"/>
  <c r="L95" i="14" s="1"/>
  <c r="AS53" i="14"/>
  <c r="AS54" i="14" s="1"/>
  <c r="AR53" i="14"/>
  <c r="L90" i="14" s="1"/>
  <c r="AQ53" i="14"/>
  <c r="AQ54" i="14" s="1"/>
  <c r="AP53" i="14"/>
  <c r="AO53" i="14"/>
  <c r="AO54" i="14" s="1"/>
  <c r="AN53" i="14"/>
  <c r="AM53" i="14"/>
  <c r="AL53" i="14"/>
  <c r="AK53" i="14"/>
  <c r="AK54" i="14" s="1"/>
  <c r="AJ53" i="14"/>
  <c r="AJ54" i="14" s="1"/>
  <c r="AI53" i="14"/>
  <c r="AI54" i="14" s="1"/>
  <c r="AH53" i="14"/>
  <c r="AH54" i="14" s="1"/>
  <c r="AG53" i="14"/>
  <c r="AG54" i="14" s="1"/>
  <c r="AF53" i="14"/>
  <c r="AF54" i="14" s="1"/>
  <c r="AE53" i="14"/>
  <c r="AE54" i="14" s="1"/>
  <c r="AD53" i="14"/>
  <c r="AD54" i="14" s="1"/>
  <c r="AC53" i="14"/>
  <c r="AC54" i="14" s="1"/>
  <c r="AB53" i="14"/>
  <c r="AB54" i="14" s="1"/>
  <c r="AA53" i="14"/>
  <c r="AA54" i="14" s="1"/>
  <c r="Z53" i="14"/>
  <c r="Z54" i="14" s="1"/>
  <c r="Y53" i="14"/>
  <c r="Y54" i="14" s="1"/>
  <c r="X53" i="14"/>
  <c r="X54" i="14" s="1"/>
  <c r="W53" i="14"/>
  <c r="W54" i="14" s="1"/>
  <c r="V53" i="14"/>
  <c r="V54" i="14" s="1"/>
  <c r="U53" i="14"/>
  <c r="U54" i="14" s="1"/>
  <c r="T53" i="14"/>
  <c r="T54" i="14" s="1"/>
  <c r="S53" i="14"/>
  <c r="S54" i="14" s="1"/>
  <c r="R53" i="14"/>
  <c r="R54" i="14" s="1"/>
  <c r="Q53" i="14"/>
  <c r="Q54" i="14" s="1"/>
  <c r="P53" i="14"/>
  <c r="O53" i="14"/>
  <c r="O54" i="14" s="1"/>
  <c r="N53" i="14"/>
  <c r="N54" i="14" s="1"/>
  <c r="M53" i="14"/>
  <c r="M54" i="14" s="1"/>
  <c r="L53" i="14"/>
  <c r="L54" i="14" s="1"/>
  <c r="K53" i="14"/>
  <c r="K54" i="14" s="1"/>
  <c r="J53" i="14"/>
  <c r="I53" i="14"/>
  <c r="H53" i="14"/>
  <c r="H54" i="14" s="1"/>
  <c r="G53" i="14"/>
  <c r="G54" i="14" s="1"/>
  <c r="F53" i="14"/>
  <c r="E53" i="14"/>
  <c r="E54" i="14" s="1"/>
  <c r="D53" i="14"/>
  <c r="BP54" i="14"/>
  <c r="I54" i="14"/>
  <c r="CW51" i="14"/>
  <c r="CW50" i="14"/>
  <c r="CW49" i="14"/>
  <c r="CW48" i="14"/>
  <c r="CW47" i="14"/>
  <c r="CW46" i="14"/>
  <c r="CW45" i="14"/>
  <c r="CW44" i="14"/>
  <c r="D72" i="14" s="1"/>
  <c r="CW43" i="14"/>
  <c r="D84" i="14" s="1"/>
  <c r="CW42" i="14"/>
  <c r="D83" i="14" s="1"/>
  <c r="CW41" i="14"/>
  <c r="D71" i="14" s="1"/>
  <c r="CW40" i="14"/>
  <c r="D82" i="14" s="1"/>
  <c r="CW39" i="14"/>
  <c r="D70" i="14" s="1"/>
  <c r="CW38" i="14"/>
  <c r="D81" i="14" s="1"/>
  <c r="CW37" i="14"/>
  <c r="D69" i="14" s="1"/>
  <c r="CW36" i="14"/>
  <c r="D80" i="14" s="1"/>
  <c r="CW35" i="14"/>
  <c r="CW34" i="14"/>
  <c r="D68" i="14" s="1"/>
  <c r="CW33" i="14"/>
  <c r="D79" i="14" s="1"/>
  <c r="CW32" i="14"/>
  <c r="D67" i="14" s="1"/>
  <c r="CW31" i="14"/>
  <c r="D66" i="14" s="1"/>
  <c r="CW30" i="14"/>
  <c r="D78" i="14" s="1"/>
  <c r="CW29" i="14"/>
  <c r="CW28" i="14"/>
  <c r="D77" i="14" s="1"/>
  <c r="CW27" i="14"/>
  <c r="CW26" i="14"/>
  <c r="CW25" i="14"/>
  <c r="CW24" i="14"/>
  <c r="CW23" i="14"/>
  <c r="CW22" i="14"/>
  <c r="D65" i="14" s="1"/>
  <c r="CW21" i="14"/>
  <c r="CW20" i="14"/>
  <c r="CW19" i="14"/>
  <c r="CW18" i="14"/>
  <c r="D61" i="14" s="1"/>
  <c r="CW17" i="14"/>
  <c r="D74" i="14" s="1"/>
  <c r="CW16" i="14"/>
  <c r="CW15" i="14"/>
  <c r="CW14" i="14"/>
  <c r="CW13" i="14"/>
  <c r="CW12" i="14"/>
  <c r="CW10" i="14"/>
  <c r="CW9" i="14"/>
  <c r="CV8" i="14"/>
  <c r="CV55" i="14" s="1"/>
  <c r="CL8" i="14"/>
  <c r="CJ8" i="14"/>
  <c r="CH8" i="14"/>
  <c r="BX8" i="14"/>
  <c r="BW8" i="14"/>
  <c r="BV8" i="14"/>
  <c r="BL8" i="14"/>
  <c r="AZ8" i="14"/>
  <c r="AX8" i="14"/>
  <c r="AT8" i="14"/>
  <c r="AT55" i="14" s="1"/>
  <c r="AP8" i="14"/>
  <c r="AP55" i="14" s="1"/>
  <c r="AN8" i="14"/>
  <c r="AN55" i="14" s="1"/>
  <c r="AL8" i="14"/>
  <c r="AB8" i="14"/>
  <c r="AA8" i="14"/>
  <c r="Z8" i="14"/>
  <c r="R8" i="14"/>
  <c r="O8" i="14"/>
  <c r="CS8" i="14"/>
  <c r="CR8" i="14"/>
  <c r="CN8" i="14"/>
  <c r="CK8" i="14"/>
  <c r="CG8" i="14"/>
  <c r="CF8" i="14"/>
  <c r="CB8" i="14"/>
  <c r="BU8" i="14"/>
  <c r="BT8" i="14"/>
  <c r="BP8" i="14"/>
  <c r="BO8" i="14"/>
  <c r="BO55" i="14" s="1"/>
  <c r="BM8" i="14"/>
  <c r="G97" i="14"/>
  <c r="G91" i="14"/>
  <c r="G94" i="14"/>
  <c r="AV8" i="14"/>
  <c r="AR8" i="14"/>
  <c r="AK8" i="14"/>
  <c r="AJ8" i="14"/>
  <c r="AF8" i="14"/>
  <c r="AE8" i="14"/>
  <c r="AE55" i="14" s="1"/>
  <c r="AC8" i="14"/>
  <c r="Y8" i="14"/>
  <c r="X8" i="14"/>
  <c r="T8" i="14"/>
  <c r="L8" i="14"/>
  <c r="I8" i="14"/>
  <c r="H8" i="14"/>
  <c r="K55" i="14" l="1"/>
  <c r="D76" i="14"/>
  <c r="BN55" i="14"/>
  <c r="BJ8" i="14"/>
  <c r="BJ55" i="14" s="1"/>
  <c r="BG8" i="14"/>
  <c r="BG55" i="14" s="1"/>
  <c r="AM55" i="14"/>
  <c r="R55" i="14"/>
  <c r="G63" i="14" s="1"/>
  <c r="D75" i="14"/>
  <c r="AC55" i="14"/>
  <c r="AO55" i="14"/>
  <c r="BY55" i="14"/>
  <c r="CK55" i="14"/>
  <c r="AH55" i="14"/>
  <c r="G76" i="14" s="1"/>
  <c r="CL55" i="14"/>
  <c r="BJ54" i="14"/>
  <c r="K109" i="14"/>
  <c r="M101" i="14"/>
  <c r="L106" i="14"/>
  <c r="AL55" i="14"/>
  <c r="BL55" i="14"/>
  <c r="CP55" i="14"/>
  <c r="D63" i="14"/>
  <c r="CW53" i="14"/>
  <c r="L96" i="14"/>
  <c r="L101" i="14"/>
  <c r="N55" i="14"/>
  <c r="G61" i="14" s="1"/>
  <c r="L94" i="14"/>
  <c r="M94" i="14" s="1"/>
  <c r="M96" i="14"/>
  <c r="BW55" i="14"/>
  <c r="H108" i="14"/>
  <c r="H109" i="14"/>
  <c r="CS55" i="14"/>
  <c r="Z55" i="14"/>
  <c r="G72" i="14" s="1"/>
  <c r="CD55" i="14"/>
  <c r="K108" i="14"/>
  <c r="I109" i="14"/>
  <c r="AZ55" i="14"/>
  <c r="J108" i="14"/>
  <c r="M103" i="14"/>
  <c r="AA55" i="14"/>
  <c r="CH55" i="14"/>
  <c r="AB55" i="14"/>
  <c r="G73" i="14" s="1"/>
  <c r="CI55" i="14"/>
  <c r="D64" i="14"/>
  <c r="BB54" i="14"/>
  <c r="L98" i="14"/>
  <c r="K110" i="14"/>
  <c r="BX55" i="14"/>
  <c r="V55" i="14"/>
  <c r="CJ55" i="14"/>
  <c r="BF54" i="14"/>
  <c r="I108" i="14"/>
  <c r="J109" i="14"/>
  <c r="O55" i="14"/>
  <c r="BV55" i="14"/>
  <c r="AX55" i="14"/>
  <c r="BZ55" i="14"/>
  <c r="AD55" i="14"/>
  <c r="G74" i="14" s="1"/>
  <c r="H55" i="14"/>
  <c r="T55" i="14"/>
  <c r="AF55" i="14"/>
  <c r="G75" i="14" s="1"/>
  <c r="BP55" i="14"/>
  <c r="CB55" i="14"/>
  <c r="CN55" i="14"/>
  <c r="I55" i="14"/>
  <c r="D73" i="14"/>
  <c r="L109" i="14"/>
  <c r="L55" i="14"/>
  <c r="G68" i="14" s="1"/>
  <c r="X55" i="14"/>
  <c r="AJ55" i="14"/>
  <c r="G77" i="14" s="1"/>
  <c r="AV55" i="14"/>
  <c r="BT55" i="14"/>
  <c r="CF55" i="14"/>
  <c r="CR55" i="14"/>
  <c r="Y55" i="14"/>
  <c r="AK55" i="14"/>
  <c r="M97" i="14"/>
  <c r="BU55" i="14"/>
  <c r="CG55" i="14"/>
  <c r="AW8" i="14"/>
  <c r="AW55" i="14" s="1"/>
  <c r="BI8" i="14"/>
  <c r="BI54" i="14"/>
  <c r="P54" i="14"/>
  <c r="CW52" i="14"/>
  <c r="BA54" i="14"/>
  <c r="BM54" i="14"/>
  <c r="BM55" i="14" s="1"/>
  <c r="G90" i="14"/>
  <c r="L91" i="14"/>
  <c r="L108" i="14" s="1"/>
  <c r="G102" i="14"/>
  <c r="L93" i="14"/>
  <c r="L105" i="14"/>
  <c r="M105" i="14" s="1"/>
  <c r="AR54" i="14"/>
  <c r="AR55" i="14" s="1"/>
  <c r="BD54" i="14"/>
  <c r="AS8" i="14"/>
  <c r="AS55" i="14" s="1"/>
  <c r="CW11" i="14"/>
  <c r="D62" i="14" s="1"/>
  <c r="BH8" i="14"/>
  <c r="BH55" i="14" s="1"/>
  <c r="Q11" i="13"/>
  <c r="G67" i="14" l="1"/>
  <c r="K5" i="15"/>
  <c r="K8" i="15" s="1"/>
  <c r="K55" i="15" s="1"/>
  <c r="G67" i="15" s="1"/>
  <c r="D60" i="14"/>
  <c r="M91" i="14"/>
  <c r="CW54" i="14"/>
  <c r="M90" i="14"/>
  <c r="L110" i="14"/>
  <c r="BI55" i="14"/>
  <c r="M102" i="14"/>
  <c r="Q25" i="13"/>
  <c r="S34" i="13"/>
  <c r="Q35" i="13"/>
  <c r="M11" i="13"/>
  <c r="L11" i="13"/>
  <c r="E51" i="12" l="1"/>
  <c r="P35" i="13" l="1"/>
  <c r="L38" i="13" l="1"/>
  <c r="BD50" i="12"/>
  <c r="BB52" i="12"/>
  <c r="BA50" i="12"/>
  <c r="BN50" i="13"/>
  <c r="BM50" i="13"/>
  <c r="I52" i="13"/>
  <c r="BP52" i="13"/>
  <c r="K106" i="13" l="1"/>
  <c r="J106" i="13"/>
  <c r="I106" i="13"/>
  <c r="H106" i="13"/>
  <c r="K105" i="13"/>
  <c r="J105" i="13"/>
  <c r="I105" i="13"/>
  <c r="H105" i="13"/>
  <c r="K104" i="13"/>
  <c r="J104" i="13"/>
  <c r="I104" i="13"/>
  <c r="H104" i="13"/>
  <c r="K103" i="13"/>
  <c r="J103" i="13"/>
  <c r="I103" i="13"/>
  <c r="H103" i="13"/>
  <c r="K102" i="13"/>
  <c r="J102" i="13"/>
  <c r="J110" i="13" s="1"/>
  <c r="I102" i="13"/>
  <c r="I110" i="13" s="1"/>
  <c r="H102" i="13"/>
  <c r="H110" i="13" s="1"/>
  <c r="K101" i="13"/>
  <c r="J101" i="13"/>
  <c r="I101" i="13"/>
  <c r="H101" i="13"/>
  <c r="K100" i="13"/>
  <c r="J100" i="13"/>
  <c r="I100" i="13"/>
  <c r="H100" i="13"/>
  <c r="K99" i="13"/>
  <c r="J99" i="13"/>
  <c r="I99" i="13"/>
  <c r="H99" i="13"/>
  <c r="K98" i="13"/>
  <c r="J98" i="13"/>
  <c r="I98" i="13"/>
  <c r="H98" i="13"/>
  <c r="K97" i="13"/>
  <c r="J97" i="13"/>
  <c r="I97" i="13"/>
  <c r="H97" i="13"/>
  <c r="K96" i="13"/>
  <c r="J96" i="13"/>
  <c r="I96" i="13"/>
  <c r="H96" i="13"/>
  <c r="K95" i="13"/>
  <c r="J95" i="13"/>
  <c r="I95" i="13"/>
  <c r="H95" i="13"/>
  <c r="L94" i="13"/>
  <c r="K94" i="13"/>
  <c r="J94" i="13"/>
  <c r="I94" i="13"/>
  <c r="H94" i="13"/>
  <c r="K93" i="13"/>
  <c r="J93" i="13"/>
  <c r="I93" i="13"/>
  <c r="H93" i="13"/>
  <c r="K92" i="13"/>
  <c r="J92" i="13"/>
  <c r="I92" i="13"/>
  <c r="H92" i="13"/>
  <c r="K91" i="13"/>
  <c r="J91" i="13"/>
  <c r="I91" i="13"/>
  <c r="H91" i="13"/>
  <c r="K90" i="13"/>
  <c r="J90" i="13"/>
  <c r="J108" i="13" s="1"/>
  <c r="I90" i="13"/>
  <c r="H90" i="13"/>
  <c r="C84" i="13"/>
  <c r="D83" i="13"/>
  <c r="C83" i="13"/>
  <c r="C82" i="13"/>
  <c r="D78" i="13"/>
  <c r="CV54" i="13"/>
  <c r="CU54" i="13"/>
  <c r="CT54" i="13"/>
  <c r="CS54" i="13"/>
  <c r="CN54" i="13"/>
  <c r="CM54" i="13"/>
  <c r="BV54" i="13"/>
  <c r="BJ54" i="13"/>
  <c r="BI54" i="13"/>
  <c r="BD54" i="13"/>
  <c r="BC54" i="13"/>
  <c r="AL54" i="13"/>
  <c r="Z54" i="13"/>
  <c r="Y54" i="13"/>
  <c r="T54" i="13"/>
  <c r="S54" i="13"/>
  <c r="CR53" i="13"/>
  <c r="CR54" i="13" s="1"/>
  <c r="CQ53" i="13"/>
  <c r="CQ54" i="13" s="1"/>
  <c r="CP53" i="13"/>
  <c r="CP54" i="13" s="1"/>
  <c r="CO53" i="13"/>
  <c r="CO54" i="13" s="1"/>
  <c r="CN53" i="13"/>
  <c r="CM53" i="13"/>
  <c r="CL53" i="13"/>
  <c r="CL54" i="13" s="1"/>
  <c r="CK53" i="13"/>
  <c r="CK54" i="13" s="1"/>
  <c r="CJ53" i="13"/>
  <c r="CJ54" i="13" s="1"/>
  <c r="CI53" i="13"/>
  <c r="CI54" i="13" s="1"/>
  <c r="CH53" i="13"/>
  <c r="CH54" i="13" s="1"/>
  <c r="CG53" i="13"/>
  <c r="CG54" i="13" s="1"/>
  <c r="CF53" i="13"/>
  <c r="CF54" i="13" s="1"/>
  <c r="CE53" i="13"/>
  <c r="CE54" i="13" s="1"/>
  <c r="CD53" i="13"/>
  <c r="CD54" i="13" s="1"/>
  <c r="CC53" i="13"/>
  <c r="CC54" i="13" s="1"/>
  <c r="CB53" i="13"/>
  <c r="CB54" i="13" s="1"/>
  <c r="CA53" i="13"/>
  <c r="BZ53" i="13"/>
  <c r="BZ54" i="13" s="1"/>
  <c r="BY53" i="13"/>
  <c r="BY54" i="13" s="1"/>
  <c r="BX53" i="13"/>
  <c r="BX54" i="13" s="1"/>
  <c r="BW53" i="13"/>
  <c r="BW54" i="13" s="1"/>
  <c r="BV53" i="13"/>
  <c r="BU53" i="13"/>
  <c r="BU54" i="13" s="1"/>
  <c r="BT53" i="13"/>
  <c r="BT54" i="13" s="1"/>
  <c r="BS53" i="13"/>
  <c r="BS54" i="13" s="1"/>
  <c r="BR53" i="13"/>
  <c r="BR54" i="13" s="1"/>
  <c r="BQ53" i="13"/>
  <c r="BQ54" i="13" s="1"/>
  <c r="BP53" i="13"/>
  <c r="BP54" i="13" s="1"/>
  <c r="BO53" i="13"/>
  <c r="BO54" i="13" s="1"/>
  <c r="BN53" i="13"/>
  <c r="BN54" i="13" s="1"/>
  <c r="BM53" i="13"/>
  <c r="BM54" i="13" s="1"/>
  <c r="BL53" i="13"/>
  <c r="BL54" i="13" s="1"/>
  <c r="BK53" i="13"/>
  <c r="BK54" i="13" s="1"/>
  <c r="BJ53" i="13"/>
  <c r="L103" i="13" s="1"/>
  <c r="BI53" i="13"/>
  <c r="L97" i="13" s="1"/>
  <c r="BH53" i="13"/>
  <c r="BH54" i="13" s="1"/>
  <c r="BG53" i="13"/>
  <c r="BG54" i="13" s="1"/>
  <c r="BF53" i="13"/>
  <c r="BF54" i="13" s="1"/>
  <c r="BE53" i="13"/>
  <c r="BE54" i="13" s="1"/>
  <c r="BD53" i="13"/>
  <c r="L104" i="13" s="1"/>
  <c r="BC53" i="13"/>
  <c r="L98" i="13" s="1"/>
  <c r="BB53" i="13"/>
  <c r="BB54" i="13" s="1"/>
  <c r="BA53" i="13"/>
  <c r="L92" i="13" s="1"/>
  <c r="AZ53" i="13"/>
  <c r="AZ54" i="13" s="1"/>
  <c r="AY53" i="13"/>
  <c r="L106" i="13" s="1"/>
  <c r="AX53" i="13"/>
  <c r="AX54" i="13" s="1"/>
  <c r="AW53" i="13"/>
  <c r="AW54" i="13" s="1"/>
  <c r="AV53" i="13"/>
  <c r="AV54" i="13" s="1"/>
  <c r="AU53" i="13"/>
  <c r="AU54" i="13" s="1"/>
  <c r="AT53" i="13"/>
  <c r="AT54" i="13" s="1"/>
  <c r="AS53" i="13"/>
  <c r="AS54" i="13" s="1"/>
  <c r="AR53" i="13"/>
  <c r="L90" i="13" s="1"/>
  <c r="AQ53" i="13"/>
  <c r="AQ54" i="13" s="1"/>
  <c r="AP53" i="13"/>
  <c r="AP54" i="13" s="1"/>
  <c r="AO53" i="13"/>
  <c r="AO54" i="13" s="1"/>
  <c r="AN53" i="13"/>
  <c r="AN54" i="13" s="1"/>
  <c r="AM53" i="13"/>
  <c r="AM54" i="13" s="1"/>
  <c r="AL53" i="13"/>
  <c r="AK53" i="13"/>
  <c r="AK54" i="13" s="1"/>
  <c r="AJ53" i="13"/>
  <c r="AJ54" i="13" s="1"/>
  <c r="AI53" i="13"/>
  <c r="AI54" i="13" s="1"/>
  <c r="AH53" i="13"/>
  <c r="AH54" i="13" s="1"/>
  <c r="AG53" i="13"/>
  <c r="AG54" i="13" s="1"/>
  <c r="AF53" i="13"/>
  <c r="AF54" i="13" s="1"/>
  <c r="AE53" i="13"/>
  <c r="AE54" i="13" s="1"/>
  <c r="AD53" i="13"/>
  <c r="AD54" i="13" s="1"/>
  <c r="AC53" i="13"/>
  <c r="AC54" i="13" s="1"/>
  <c r="AB53" i="13"/>
  <c r="AB54" i="13" s="1"/>
  <c r="AA53" i="13"/>
  <c r="AA54" i="13" s="1"/>
  <c r="Z53" i="13"/>
  <c r="Y53" i="13"/>
  <c r="X53" i="13"/>
  <c r="X54" i="13" s="1"/>
  <c r="W53" i="13"/>
  <c r="W54" i="13" s="1"/>
  <c r="V53" i="13"/>
  <c r="V54" i="13" s="1"/>
  <c r="U53" i="13"/>
  <c r="U54" i="13" s="1"/>
  <c r="T53" i="13"/>
  <c r="S53" i="13"/>
  <c r="R53" i="13"/>
  <c r="R54" i="13" s="1"/>
  <c r="Q53" i="13"/>
  <c r="Q54" i="13" s="1"/>
  <c r="P53" i="13"/>
  <c r="O53" i="13"/>
  <c r="O54" i="13" s="1"/>
  <c r="N53" i="13"/>
  <c r="N54" i="13" s="1"/>
  <c r="M53" i="13"/>
  <c r="M54" i="13" s="1"/>
  <c r="L53" i="13"/>
  <c r="L54" i="13" s="1"/>
  <c r="K53" i="13"/>
  <c r="K54" i="13" s="1"/>
  <c r="J53" i="13"/>
  <c r="J54" i="13" s="1"/>
  <c r="I53" i="13"/>
  <c r="I54" i="13" s="1"/>
  <c r="H53" i="13"/>
  <c r="H54" i="13" s="1"/>
  <c r="G53" i="13"/>
  <c r="G54" i="13" s="1"/>
  <c r="F53" i="13"/>
  <c r="F54" i="13" s="1"/>
  <c r="E53" i="13"/>
  <c r="E54" i="13" s="1"/>
  <c r="D53" i="13"/>
  <c r="D54" i="13" s="1"/>
  <c r="CW52" i="13"/>
  <c r="CW51" i="13"/>
  <c r="CW50" i="13"/>
  <c r="CW49" i="13"/>
  <c r="CW48" i="13"/>
  <c r="CW47" i="13"/>
  <c r="CW46" i="13"/>
  <c r="CW45" i="13"/>
  <c r="CW44" i="13"/>
  <c r="D72" i="13" s="1"/>
  <c r="CW43" i="13"/>
  <c r="D84" i="13" s="1"/>
  <c r="CW42" i="13"/>
  <c r="CW41" i="13"/>
  <c r="D71" i="13" s="1"/>
  <c r="CW40" i="13"/>
  <c r="D82" i="13" s="1"/>
  <c r="CW39" i="13"/>
  <c r="D70" i="13" s="1"/>
  <c r="CW38" i="13"/>
  <c r="D81" i="13" s="1"/>
  <c r="CW37" i="13"/>
  <c r="D69" i="13" s="1"/>
  <c r="CW36" i="13"/>
  <c r="D80" i="13" s="1"/>
  <c r="CW35" i="13"/>
  <c r="P54" i="13"/>
  <c r="CW34" i="13"/>
  <c r="D68" i="13" s="1"/>
  <c r="CW33" i="13"/>
  <c r="D79" i="13" s="1"/>
  <c r="CW32" i="13"/>
  <c r="D67" i="13" s="1"/>
  <c r="CW31" i="13"/>
  <c r="D66" i="13" s="1"/>
  <c r="CW30" i="13"/>
  <c r="CW29" i="13"/>
  <c r="CW28" i="13"/>
  <c r="CW27" i="13"/>
  <c r="CW26" i="13"/>
  <c r="CW25" i="13"/>
  <c r="CW24" i="13"/>
  <c r="CW23" i="13"/>
  <c r="CW22" i="13"/>
  <c r="D65" i="13" s="1"/>
  <c r="CW21" i="13"/>
  <c r="CW20" i="13"/>
  <c r="CW19" i="13"/>
  <c r="CW18" i="13"/>
  <c r="CW17" i="13"/>
  <c r="D74" i="13" s="1"/>
  <c r="CW16" i="13"/>
  <c r="CW15" i="13"/>
  <c r="CW14" i="13"/>
  <c r="CW13" i="13"/>
  <c r="CW12" i="13"/>
  <c r="D64" i="13" s="1"/>
  <c r="CW10" i="13"/>
  <c r="CW9" i="13"/>
  <c r="D75" i="13" l="1"/>
  <c r="D61" i="13"/>
  <c r="H109" i="13"/>
  <c r="D77" i="13"/>
  <c r="D63" i="13"/>
  <c r="I108" i="13"/>
  <c r="J109" i="13"/>
  <c r="L100" i="13"/>
  <c r="K109" i="13"/>
  <c r="L99" i="13"/>
  <c r="CA54" i="13"/>
  <c r="H108" i="13"/>
  <c r="K110" i="13"/>
  <c r="D76" i="13"/>
  <c r="I109" i="13"/>
  <c r="L93" i="13"/>
  <c r="K108" i="13"/>
  <c r="AR54" i="13"/>
  <c r="CW53" i="13"/>
  <c r="AY54" i="13"/>
  <c r="L101" i="13"/>
  <c r="CW11" i="13"/>
  <c r="D62" i="13" s="1"/>
  <c r="D60" i="13" s="1"/>
  <c r="L96" i="13"/>
  <c r="BA54" i="13"/>
  <c r="L91" i="13"/>
  <c r="L108" i="13" s="1"/>
  <c r="L95" i="13"/>
  <c r="L102" i="13"/>
  <c r="L105" i="13"/>
  <c r="F53" i="12"/>
  <c r="D53" i="12"/>
  <c r="D73" i="13" l="1"/>
  <c r="CW54" i="13"/>
  <c r="L110" i="13"/>
  <c r="L109" i="13"/>
  <c r="Q30" i="10"/>
  <c r="P35" i="11"/>
  <c r="Q35" i="11" s="1"/>
  <c r="Q35" i="12" l="1"/>
  <c r="Q19" i="12"/>
  <c r="Q12" i="12"/>
  <c r="Q11" i="12"/>
  <c r="S44" i="12"/>
  <c r="F40" i="12" l="1"/>
  <c r="E40" i="12"/>
  <c r="P35" i="12" l="1"/>
  <c r="L19" i="11" l="1"/>
  <c r="E62" i="11"/>
  <c r="BD52" i="11" l="1"/>
  <c r="BB50" i="11"/>
  <c r="BC50" i="11"/>
  <c r="BN52" i="12" l="1"/>
  <c r="BP52" i="12"/>
  <c r="F53" i="11"/>
  <c r="L11" i="12"/>
  <c r="Q31" i="10" l="1"/>
  <c r="K106" i="12" l="1"/>
  <c r="J106" i="12"/>
  <c r="I106" i="12"/>
  <c r="H106" i="12"/>
  <c r="K105" i="12"/>
  <c r="J105" i="12"/>
  <c r="I105" i="12"/>
  <c r="H105" i="12"/>
  <c r="K104" i="12"/>
  <c r="J104" i="12"/>
  <c r="I104" i="12"/>
  <c r="H104" i="12"/>
  <c r="K103" i="12"/>
  <c r="J103" i="12"/>
  <c r="I103" i="12"/>
  <c r="I110" i="12" s="1"/>
  <c r="H103" i="12"/>
  <c r="K102" i="12"/>
  <c r="J102" i="12"/>
  <c r="I102" i="12"/>
  <c r="H102" i="12"/>
  <c r="K101" i="12"/>
  <c r="J101" i="12"/>
  <c r="I101" i="12"/>
  <c r="H101" i="12"/>
  <c r="L100" i="12"/>
  <c r="K100" i="12"/>
  <c r="J100" i="12"/>
  <c r="I100" i="12"/>
  <c r="H100" i="12"/>
  <c r="K99" i="12"/>
  <c r="J99" i="12"/>
  <c r="I99" i="12"/>
  <c r="H99" i="12"/>
  <c r="K98" i="12"/>
  <c r="J98" i="12"/>
  <c r="I98" i="12"/>
  <c r="H98" i="12"/>
  <c r="K97" i="12"/>
  <c r="J97" i="12"/>
  <c r="I97" i="12"/>
  <c r="H97" i="12"/>
  <c r="K96" i="12"/>
  <c r="J96" i="12"/>
  <c r="I96" i="12"/>
  <c r="H96" i="12"/>
  <c r="K95" i="12"/>
  <c r="K109" i="12" s="1"/>
  <c r="J95" i="12"/>
  <c r="I95" i="12"/>
  <c r="H95" i="12"/>
  <c r="K94" i="12"/>
  <c r="J94" i="12"/>
  <c r="I94" i="12"/>
  <c r="H94" i="12"/>
  <c r="K93" i="12"/>
  <c r="J93" i="12"/>
  <c r="I93" i="12"/>
  <c r="H93" i="12"/>
  <c r="K92" i="12"/>
  <c r="J92" i="12"/>
  <c r="I92" i="12"/>
  <c r="H92" i="12"/>
  <c r="K91" i="12"/>
  <c r="J91" i="12"/>
  <c r="I91" i="12"/>
  <c r="H91" i="12"/>
  <c r="K90" i="12"/>
  <c r="J90" i="12"/>
  <c r="J108" i="12" s="1"/>
  <c r="I90" i="12"/>
  <c r="I108" i="12" s="1"/>
  <c r="H90" i="12"/>
  <c r="H108" i="12" s="1"/>
  <c r="C84" i="12"/>
  <c r="C83" i="12"/>
  <c r="C82" i="12"/>
  <c r="D67" i="12"/>
  <c r="D66" i="12"/>
  <c r="CV54" i="12"/>
  <c r="CU54" i="12"/>
  <c r="CT54" i="12"/>
  <c r="CS54" i="12"/>
  <c r="CP54" i="12"/>
  <c r="CD54" i="12"/>
  <c r="BW54" i="12"/>
  <c r="BV54" i="12"/>
  <c r="BF54" i="12"/>
  <c r="AT54" i="12"/>
  <c r="AM54" i="12"/>
  <c r="AL54" i="12"/>
  <c r="V54" i="12"/>
  <c r="J54" i="12"/>
  <c r="CR53" i="12"/>
  <c r="CR54" i="12" s="1"/>
  <c r="CQ53" i="12"/>
  <c r="CQ54" i="12" s="1"/>
  <c r="CP53" i="12"/>
  <c r="CO53" i="12"/>
  <c r="CO54" i="12" s="1"/>
  <c r="CN53" i="12"/>
  <c r="CN54" i="12" s="1"/>
  <c r="CM53" i="12"/>
  <c r="CM54" i="12" s="1"/>
  <c r="CL53" i="12"/>
  <c r="CL54" i="12" s="1"/>
  <c r="CK53" i="12"/>
  <c r="CK54" i="12" s="1"/>
  <c r="CJ53" i="12"/>
  <c r="CJ54" i="12" s="1"/>
  <c r="CI53" i="12"/>
  <c r="CI54" i="12" s="1"/>
  <c r="CH53" i="12"/>
  <c r="CH54" i="12" s="1"/>
  <c r="CG53" i="12"/>
  <c r="CG54" i="12" s="1"/>
  <c r="CF53" i="12"/>
  <c r="CF54" i="12" s="1"/>
  <c r="CE53" i="12"/>
  <c r="CE54" i="12" s="1"/>
  <c r="CD53" i="12"/>
  <c r="CC53" i="12"/>
  <c r="CC54" i="12" s="1"/>
  <c r="CB53" i="12"/>
  <c r="CB54" i="12" s="1"/>
  <c r="CA53" i="12"/>
  <c r="CA54" i="12" s="1"/>
  <c r="BZ53" i="12"/>
  <c r="BZ54" i="12" s="1"/>
  <c r="BY53" i="12"/>
  <c r="BY54" i="12" s="1"/>
  <c r="BX53" i="12"/>
  <c r="BX54" i="12" s="1"/>
  <c r="BW53" i="12"/>
  <c r="BV53" i="12"/>
  <c r="BU53" i="12"/>
  <c r="BU54" i="12" s="1"/>
  <c r="BT53" i="12"/>
  <c r="BT54" i="12" s="1"/>
  <c r="BS53" i="12"/>
  <c r="BS54" i="12" s="1"/>
  <c r="BR53" i="12"/>
  <c r="BR54" i="12" s="1"/>
  <c r="BQ53" i="12"/>
  <c r="BQ54" i="12" s="1"/>
  <c r="BP53" i="12"/>
  <c r="BP54" i="12" s="1"/>
  <c r="BO53" i="12"/>
  <c r="BO54" i="12" s="1"/>
  <c r="BN53" i="12"/>
  <c r="BN54" i="12" s="1"/>
  <c r="BM53" i="12"/>
  <c r="BL53" i="12"/>
  <c r="BL54" i="12" s="1"/>
  <c r="BK53" i="12"/>
  <c r="BK54" i="12" s="1"/>
  <c r="BJ53" i="12"/>
  <c r="L103" i="12" s="1"/>
  <c r="BI53" i="12"/>
  <c r="BI54" i="12" s="1"/>
  <c r="BH53" i="12"/>
  <c r="BH54" i="12" s="1"/>
  <c r="BG53" i="12"/>
  <c r="L105" i="12" s="1"/>
  <c r="BF53" i="12"/>
  <c r="BE53" i="12"/>
  <c r="BE54" i="12" s="1"/>
  <c r="BD53" i="12"/>
  <c r="L104" i="12" s="1"/>
  <c r="BC53" i="12"/>
  <c r="BC54" i="12" s="1"/>
  <c r="BB53" i="12"/>
  <c r="BB54" i="12" s="1"/>
  <c r="BA53" i="12"/>
  <c r="L92" i="12" s="1"/>
  <c r="AZ53" i="12"/>
  <c r="AZ54" i="12" s="1"/>
  <c r="AY53" i="12"/>
  <c r="L101" i="12" s="1"/>
  <c r="AX53" i="12"/>
  <c r="AX54" i="12" s="1"/>
  <c r="AW53" i="12"/>
  <c r="AW54" i="12" s="1"/>
  <c r="AV53" i="12"/>
  <c r="AV54" i="12" s="1"/>
  <c r="AU53" i="12"/>
  <c r="L102" i="12" s="1"/>
  <c r="AT53" i="12"/>
  <c r="L95" i="12" s="1"/>
  <c r="AS53" i="12"/>
  <c r="AS54" i="12" s="1"/>
  <c r="AR53" i="12"/>
  <c r="L90" i="12" s="1"/>
  <c r="AQ53" i="12"/>
  <c r="AQ54" i="12" s="1"/>
  <c r="AP53" i="12"/>
  <c r="AP54" i="12" s="1"/>
  <c r="AO53" i="12"/>
  <c r="AO54" i="12" s="1"/>
  <c r="AN53" i="12"/>
  <c r="AN54" i="12" s="1"/>
  <c r="AM53" i="12"/>
  <c r="AL53" i="12"/>
  <c r="AK53" i="12"/>
  <c r="AK54" i="12" s="1"/>
  <c r="AJ53" i="12"/>
  <c r="AJ54" i="12" s="1"/>
  <c r="AI53" i="12"/>
  <c r="AI54" i="12" s="1"/>
  <c r="AH53" i="12"/>
  <c r="AH54" i="12" s="1"/>
  <c r="AG53" i="12"/>
  <c r="AG54" i="12" s="1"/>
  <c r="AF53" i="12"/>
  <c r="AF54" i="12" s="1"/>
  <c r="AE53" i="12"/>
  <c r="AE54" i="12" s="1"/>
  <c r="AD53" i="12"/>
  <c r="AD54" i="12" s="1"/>
  <c r="AC53" i="12"/>
  <c r="AC54" i="12" s="1"/>
  <c r="AB53" i="12"/>
  <c r="AB54" i="12" s="1"/>
  <c r="AA53" i="12"/>
  <c r="AA54" i="12" s="1"/>
  <c r="Z53" i="12"/>
  <c r="Z54" i="12" s="1"/>
  <c r="Y53" i="12"/>
  <c r="Y54" i="12" s="1"/>
  <c r="X53" i="12"/>
  <c r="X54" i="12" s="1"/>
  <c r="W53" i="12"/>
  <c r="W54" i="12" s="1"/>
  <c r="V53" i="12"/>
  <c r="U53" i="12"/>
  <c r="U54" i="12" s="1"/>
  <c r="T53" i="12"/>
  <c r="T54" i="12" s="1"/>
  <c r="S53" i="12"/>
  <c r="R53" i="12"/>
  <c r="R54" i="12" s="1"/>
  <c r="Q53" i="12"/>
  <c r="P53" i="12"/>
  <c r="P54" i="12" s="1"/>
  <c r="O53" i="12"/>
  <c r="O54" i="12" s="1"/>
  <c r="N53" i="12"/>
  <c r="N54" i="12" s="1"/>
  <c r="M53" i="12"/>
  <c r="M54" i="12" s="1"/>
  <c r="L53" i="12"/>
  <c r="L54" i="12" s="1"/>
  <c r="K53" i="12"/>
  <c r="K54" i="12" s="1"/>
  <c r="J53" i="12"/>
  <c r="I53" i="12"/>
  <c r="I54" i="12" s="1"/>
  <c r="H53" i="12"/>
  <c r="H54" i="12" s="1"/>
  <c r="G53" i="12"/>
  <c r="G54" i="12" s="1"/>
  <c r="E53" i="12"/>
  <c r="E54" i="12" s="1"/>
  <c r="D54" i="12"/>
  <c r="BM54" i="12"/>
  <c r="S54" i="12"/>
  <c r="CW51" i="12"/>
  <c r="CW50" i="12"/>
  <c r="CW49" i="12"/>
  <c r="CW48" i="12"/>
  <c r="CW47" i="12"/>
  <c r="CW46" i="12"/>
  <c r="CW45" i="12"/>
  <c r="CW44" i="12"/>
  <c r="D72" i="12" s="1"/>
  <c r="CW43" i="12"/>
  <c r="D84" i="12" s="1"/>
  <c r="CW42" i="12"/>
  <c r="D83" i="12" s="1"/>
  <c r="CW41" i="12"/>
  <c r="D71" i="12" s="1"/>
  <c r="CW40" i="12"/>
  <c r="D82" i="12" s="1"/>
  <c r="CW39" i="12"/>
  <c r="D70" i="12" s="1"/>
  <c r="CW38" i="12"/>
  <c r="D81" i="12" s="1"/>
  <c r="CW37" i="12"/>
  <c r="D69" i="12" s="1"/>
  <c r="CW36" i="12"/>
  <c r="D80" i="12" s="1"/>
  <c r="CW35" i="12"/>
  <c r="CW34" i="12"/>
  <c r="D68" i="12" s="1"/>
  <c r="CW33" i="12"/>
  <c r="D79" i="12" s="1"/>
  <c r="CW32" i="12"/>
  <c r="CW31" i="12"/>
  <c r="CW30" i="12"/>
  <c r="D78" i="12" s="1"/>
  <c r="CW29" i="12"/>
  <c r="CW28" i="12"/>
  <c r="CW27" i="12"/>
  <c r="D63" i="12" s="1"/>
  <c r="CW26" i="12"/>
  <c r="CW25" i="12"/>
  <c r="CW24" i="12"/>
  <c r="CW23" i="12"/>
  <c r="CW22" i="12"/>
  <c r="D65" i="12" s="1"/>
  <c r="CW21" i="12"/>
  <c r="CW20" i="12"/>
  <c r="CW19" i="12"/>
  <c r="CW18" i="12"/>
  <c r="CW17" i="12"/>
  <c r="D74" i="12" s="1"/>
  <c r="CW16" i="12"/>
  <c r="CW15" i="12"/>
  <c r="CW14" i="12"/>
  <c r="CW13" i="12"/>
  <c r="CW12" i="12"/>
  <c r="CW11" i="12"/>
  <c r="CW10" i="12"/>
  <c r="CW9" i="12"/>
  <c r="K110" i="12" l="1"/>
  <c r="K108" i="12"/>
  <c r="D64" i="12"/>
  <c r="D61" i="12"/>
  <c r="D76" i="12"/>
  <c r="D77" i="12"/>
  <c r="L106" i="12"/>
  <c r="AY54" i="12"/>
  <c r="CW53" i="12"/>
  <c r="BG54" i="12"/>
  <c r="H110" i="12"/>
  <c r="AU54" i="12"/>
  <c r="J109" i="12"/>
  <c r="BJ54" i="12"/>
  <c r="L94" i="12"/>
  <c r="J110" i="12"/>
  <c r="H109" i="12"/>
  <c r="D62" i="12"/>
  <c r="D75" i="12"/>
  <c r="I109" i="12"/>
  <c r="L110" i="12"/>
  <c r="L97" i="12"/>
  <c r="L99" i="12"/>
  <c r="L96" i="12"/>
  <c r="CW52" i="12"/>
  <c r="Q54" i="12"/>
  <c r="BA54" i="12"/>
  <c r="L91" i="12"/>
  <c r="F54" i="12"/>
  <c r="L98" i="12"/>
  <c r="L93" i="12"/>
  <c r="AR54" i="12"/>
  <c r="BD54" i="12"/>
  <c r="D60" i="12" l="1"/>
  <c r="D73" i="12"/>
  <c r="L109" i="12"/>
  <c r="L108" i="12"/>
  <c r="CW54" i="12"/>
  <c r="M11" i="11"/>
  <c r="L11" i="11"/>
  <c r="Q19" i="11" l="1"/>
  <c r="Q12" i="11"/>
  <c r="Q11" i="11"/>
  <c r="M28" i="11" l="1"/>
  <c r="BD52" i="10" l="1"/>
  <c r="BD50" i="10"/>
  <c r="BB52" i="10"/>
  <c r="BB50" i="10"/>
  <c r="BC52" i="10"/>
  <c r="BC50" i="10"/>
  <c r="BA52" i="10"/>
  <c r="BA50" i="10"/>
  <c r="F53" i="10"/>
  <c r="BP52" i="11"/>
  <c r="BM52" i="11"/>
  <c r="E40" i="10"/>
  <c r="K106" i="11" l="1"/>
  <c r="J106" i="11"/>
  <c r="I106" i="11"/>
  <c r="H106" i="11"/>
  <c r="K105" i="11"/>
  <c r="J105" i="11"/>
  <c r="I105" i="11"/>
  <c r="H105" i="11"/>
  <c r="K104" i="11"/>
  <c r="J104" i="11"/>
  <c r="I104" i="11"/>
  <c r="H104" i="11"/>
  <c r="K103" i="11"/>
  <c r="J103" i="11"/>
  <c r="I103" i="11"/>
  <c r="H103" i="11"/>
  <c r="K102" i="11"/>
  <c r="J102" i="11"/>
  <c r="I102" i="11"/>
  <c r="I110" i="11" s="1"/>
  <c r="H102" i="11"/>
  <c r="H110" i="11" s="1"/>
  <c r="K101" i="11"/>
  <c r="J101" i="11"/>
  <c r="I101" i="11"/>
  <c r="H101" i="11"/>
  <c r="K100" i="11"/>
  <c r="J100" i="11"/>
  <c r="I100" i="11"/>
  <c r="H100" i="11"/>
  <c r="L99" i="11"/>
  <c r="K99" i="11"/>
  <c r="J99" i="11"/>
  <c r="I99" i="11"/>
  <c r="H99" i="11"/>
  <c r="K98" i="11"/>
  <c r="J98" i="11"/>
  <c r="I98" i="11"/>
  <c r="H98" i="11"/>
  <c r="K97" i="11"/>
  <c r="J97" i="11"/>
  <c r="I97" i="11"/>
  <c r="H97" i="11"/>
  <c r="K96" i="11"/>
  <c r="J96" i="11"/>
  <c r="I96" i="11"/>
  <c r="H96" i="11"/>
  <c r="K95" i="11"/>
  <c r="J95" i="11"/>
  <c r="I95" i="11"/>
  <c r="H95" i="11"/>
  <c r="K94" i="11"/>
  <c r="J94" i="11"/>
  <c r="I94" i="11"/>
  <c r="H94" i="11"/>
  <c r="K93" i="11"/>
  <c r="J93" i="11"/>
  <c r="I93" i="11"/>
  <c r="H93" i="11"/>
  <c r="K92" i="11"/>
  <c r="J92" i="11"/>
  <c r="I92" i="11"/>
  <c r="H92" i="11"/>
  <c r="L91" i="11"/>
  <c r="K91" i="11"/>
  <c r="J91" i="11"/>
  <c r="I91" i="11"/>
  <c r="H91" i="11"/>
  <c r="K90" i="11"/>
  <c r="J90" i="11"/>
  <c r="I90" i="11"/>
  <c r="I108" i="11" s="1"/>
  <c r="H90" i="11"/>
  <c r="C84" i="11"/>
  <c r="C83" i="11"/>
  <c r="C82" i="11"/>
  <c r="CV54" i="11"/>
  <c r="CU54" i="11"/>
  <c r="CT54" i="11"/>
  <c r="CS54" i="11"/>
  <c r="CM54" i="11"/>
  <c r="CL54" i="11"/>
  <c r="CK54" i="11"/>
  <c r="BC54" i="11"/>
  <c r="BB54" i="11"/>
  <c r="BA54" i="11"/>
  <c r="S54" i="11"/>
  <c r="R54" i="11"/>
  <c r="G54" i="11"/>
  <c r="CR53" i="11"/>
  <c r="CR54" i="11" s="1"/>
  <c r="CQ53" i="11"/>
  <c r="CQ54" i="11" s="1"/>
  <c r="CP53" i="11"/>
  <c r="CP54" i="11" s="1"/>
  <c r="CO53" i="11"/>
  <c r="CO54" i="11" s="1"/>
  <c r="CN53" i="11"/>
  <c r="CN54" i="11" s="1"/>
  <c r="CM53" i="11"/>
  <c r="CL53" i="11"/>
  <c r="CK53" i="11"/>
  <c r="CJ53" i="11"/>
  <c r="CJ54" i="11" s="1"/>
  <c r="CI53" i="11"/>
  <c r="CI54" i="11" s="1"/>
  <c r="CH53" i="11"/>
  <c r="CH54" i="11" s="1"/>
  <c r="CG53" i="11"/>
  <c r="CG54" i="11" s="1"/>
  <c r="CF53" i="11"/>
  <c r="CF54" i="11" s="1"/>
  <c r="CE53" i="11"/>
  <c r="CE54" i="11" s="1"/>
  <c r="CD53" i="11"/>
  <c r="CD54" i="11" s="1"/>
  <c r="CC53" i="11"/>
  <c r="CC54" i="11" s="1"/>
  <c r="CB53" i="11"/>
  <c r="CB54" i="11" s="1"/>
  <c r="CA53" i="11"/>
  <c r="BZ53" i="11"/>
  <c r="BZ54" i="11" s="1"/>
  <c r="BY53" i="11"/>
  <c r="BY54" i="11" s="1"/>
  <c r="BX53" i="11"/>
  <c r="BX54" i="11" s="1"/>
  <c r="BW53" i="11"/>
  <c r="BW54" i="11" s="1"/>
  <c r="BV53" i="11"/>
  <c r="BV54" i="11" s="1"/>
  <c r="BU53" i="11"/>
  <c r="BU54" i="11" s="1"/>
  <c r="BT53" i="11"/>
  <c r="BT54" i="11" s="1"/>
  <c r="BS53" i="11"/>
  <c r="BS54" i="11" s="1"/>
  <c r="BR53" i="11"/>
  <c r="BR54" i="11" s="1"/>
  <c r="BQ53" i="11"/>
  <c r="BQ54" i="11" s="1"/>
  <c r="BP53" i="11"/>
  <c r="BO53" i="11"/>
  <c r="BO54" i="11" s="1"/>
  <c r="BN53" i="11"/>
  <c r="BN54" i="11" s="1"/>
  <c r="BM53" i="11"/>
  <c r="BM54" i="11" s="1"/>
  <c r="BL53" i="11"/>
  <c r="BL54" i="11" s="1"/>
  <c r="BK53" i="11"/>
  <c r="BK54" i="11" s="1"/>
  <c r="BJ53" i="11"/>
  <c r="BJ54" i="11" s="1"/>
  <c r="BI53" i="11"/>
  <c r="L97" i="11" s="1"/>
  <c r="BH53" i="11"/>
  <c r="BH54" i="11" s="1"/>
  <c r="BG53" i="11"/>
  <c r="BG54" i="11" s="1"/>
  <c r="BF53" i="11"/>
  <c r="BF54" i="11" s="1"/>
  <c r="BE53" i="11"/>
  <c r="BE54" i="11" s="1"/>
  <c r="BD53" i="11"/>
  <c r="L104" i="11" s="1"/>
  <c r="BC53" i="11"/>
  <c r="L98" i="11" s="1"/>
  <c r="BB53" i="11"/>
  <c r="BA53" i="11"/>
  <c r="L92" i="11" s="1"/>
  <c r="AZ53" i="11"/>
  <c r="AZ54" i="11" s="1"/>
  <c r="AY53" i="11"/>
  <c r="L101" i="11" s="1"/>
  <c r="AX53" i="11"/>
  <c r="AX54" i="11" s="1"/>
  <c r="AW53" i="11"/>
  <c r="L94" i="11" s="1"/>
  <c r="AV53" i="11"/>
  <c r="AV54" i="11" s="1"/>
  <c r="AU53" i="11"/>
  <c r="AU54" i="11" s="1"/>
  <c r="AT53" i="11"/>
  <c r="AT54" i="11" s="1"/>
  <c r="AS53" i="11"/>
  <c r="AS54" i="11" s="1"/>
  <c r="AR53" i="11"/>
  <c r="L90" i="11" s="1"/>
  <c r="AQ53" i="11"/>
  <c r="AQ54" i="11" s="1"/>
  <c r="AP53" i="11"/>
  <c r="AP54" i="11" s="1"/>
  <c r="AO53" i="11"/>
  <c r="AO54" i="11" s="1"/>
  <c r="AN53" i="11"/>
  <c r="AN54" i="11" s="1"/>
  <c r="AM53" i="11"/>
  <c r="AL53" i="11"/>
  <c r="AL54" i="11" s="1"/>
  <c r="AK53" i="11"/>
  <c r="AK54" i="11" s="1"/>
  <c r="AJ53" i="11"/>
  <c r="AJ54" i="11" s="1"/>
  <c r="AI53" i="11"/>
  <c r="AI54" i="11" s="1"/>
  <c r="AH53" i="11"/>
  <c r="AH54" i="11" s="1"/>
  <c r="AG53" i="11"/>
  <c r="AG54" i="11" s="1"/>
  <c r="AF53" i="11"/>
  <c r="AF54" i="11" s="1"/>
  <c r="AE53" i="11"/>
  <c r="AE54" i="11" s="1"/>
  <c r="AD53" i="11"/>
  <c r="AD54" i="11" s="1"/>
  <c r="AC53" i="11"/>
  <c r="AC54" i="11" s="1"/>
  <c r="AB53" i="11"/>
  <c r="AB54" i="11" s="1"/>
  <c r="AA53" i="11"/>
  <c r="AA54" i="11" s="1"/>
  <c r="Z53" i="11"/>
  <c r="Z54" i="11" s="1"/>
  <c r="Y53" i="11"/>
  <c r="Y54" i="11" s="1"/>
  <c r="X53" i="11"/>
  <c r="X54" i="11" s="1"/>
  <c r="W53" i="11"/>
  <c r="W54" i="11" s="1"/>
  <c r="V53" i="11"/>
  <c r="V54" i="11" s="1"/>
  <c r="U53" i="11"/>
  <c r="U54" i="11" s="1"/>
  <c r="T53" i="11"/>
  <c r="T54" i="11" s="1"/>
  <c r="S53" i="11"/>
  <c r="R53" i="11"/>
  <c r="Q53" i="11"/>
  <c r="P53" i="11"/>
  <c r="O53" i="11"/>
  <c r="O54" i="11" s="1"/>
  <c r="N53" i="11"/>
  <c r="N54" i="11" s="1"/>
  <c r="M53" i="11"/>
  <c r="M54" i="11" s="1"/>
  <c r="L53" i="11"/>
  <c r="K53" i="11"/>
  <c r="K54" i="11" s="1"/>
  <c r="J53" i="11"/>
  <c r="J54" i="11" s="1"/>
  <c r="I53" i="11"/>
  <c r="I54" i="11" s="1"/>
  <c r="H53" i="11"/>
  <c r="H54" i="11" s="1"/>
  <c r="G53" i="11"/>
  <c r="F54" i="11"/>
  <c r="D53" i="11"/>
  <c r="D54" i="11" s="1"/>
  <c r="CW52" i="11"/>
  <c r="BP54" i="11"/>
  <c r="CW51" i="11"/>
  <c r="CW50" i="11"/>
  <c r="CW49" i="11"/>
  <c r="CW48" i="11"/>
  <c r="CW47" i="11"/>
  <c r="CW46" i="11"/>
  <c r="CW45" i="11"/>
  <c r="CW44" i="11"/>
  <c r="D72" i="11" s="1"/>
  <c r="CW43" i="11"/>
  <c r="D84" i="11" s="1"/>
  <c r="CW42" i="11"/>
  <c r="D83" i="11" s="1"/>
  <c r="CW41" i="11"/>
  <c r="D71" i="11" s="1"/>
  <c r="AM54" i="11"/>
  <c r="E53" i="11"/>
  <c r="E54" i="11" s="1"/>
  <c r="CW39" i="11"/>
  <c r="D70" i="11" s="1"/>
  <c r="CW38" i="11"/>
  <c r="D81" i="11" s="1"/>
  <c r="L54" i="11"/>
  <c r="CW37" i="11"/>
  <c r="D69" i="11" s="1"/>
  <c r="CW36" i="11"/>
  <c r="D80" i="11" s="1"/>
  <c r="CW34" i="11"/>
  <c r="D68" i="11" s="1"/>
  <c r="CW33" i="11"/>
  <c r="D79" i="11" s="1"/>
  <c r="CW32" i="11"/>
  <c r="D67" i="11" s="1"/>
  <c r="CW31" i="11"/>
  <c r="D66" i="11" s="1"/>
  <c r="CW30" i="11"/>
  <c r="D78" i="11" s="1"/>
  <c r="CW29" i="11"/>
  <c r="CW28" i="11"/>
  <c r="CW26" i="11"/>
  <c r="CW25" i="11"/>
  <c r="CW24" i="11"/>
  <c r="CW23" i="11"/>
  <c r="CW22" i="11"/>
  <c r="D65" i="11" s="1"/>
  <c r="CW21" i="11"/>
  <c r="CW20" i="11"/>
  <c r="CW19" i="11"/>
  <c r="CW18" i="11"/>
  <c r="D61" i="11" s="1"/>
  <c r="CW17" i="11"/>
  <c r="D74" i="11" s="1"/>
  <c r="CW16" i="11"/>
  <c r="CW15" i="11"/>
  <c r="CW14" i="11"/>
  <c r="CW13" i="11"/>
  <c r="CW12" i="11"/>
  <c r="CW11" i="11"/>
  <c r="CW10" i="11"/>
  <c r="CW9" i="11"/>
  <c r="S52" i="10"/>
  <c r="S52" i="9"/>
  <c r="S52" i="8"/>
  <c r="D76" i="11" l="1"/>
  <c r="D64" i="11"/>
  <c r="D62" i="11"/>
  <c r="K108" i="11"/>
  <c r="J108" i="11"/>
  <c r="L103" i="11"/>
  <c r="L93" i="11"/>
  <c r="L108" i="11" s="1"/>
  <c r="K109" i="11"/>
  <c r="D75" i="11"/>
  <c r="L96" i="11"/>
  <c r="D77" i="11"/>
  <c r="CA54" i="11"/>
  <c r="BI54" i="11"/>
  <c r="H108" i="11"/>
  <c r="J109" i="11"/>
  <c r="K110" i="11"/>
  <c r="J110" i="11"/>
  <c r="AW54" i="11"/>
  <c r="H109" i="11"/>
  <c r="I109" i="11"/>
  <c r="Q54" i="11"/>
  <c r="CW35" i="11"/>
  <c r="L106" i="11"/>
  <c r="CW40" i="11"/>
  <c r="D82" i="11" s="1"/>
  <c r="CW53" i="11"/>
  <c r="AY54" i="11"/>
  <c r="P54" i="11"/>
  <c r="CW27" i="11"/>
  <c r="D63" i="11" s="1"/>
  <c r="AR54" i="11"/>
  <c r="BD54" i="11"/>
  <c r="L100" i="11"/>
  <c r="L105" i="11"/>
  <c r="L95" i="11"/>
  <c r="L109" i="11" s="1"/>
  <c r="L102" i="11"/>
  <c r="D60" i="11" l="1"/>
  <c r="D73" i="11"/>
  <c r="L110" i="11"/>
  <c r="CW54" i="11"/>
  <c r="F27" i="10" l="1"/>
  <c r="S30" i="8" l="1"/>
  <c r="S31" i="9"/>
  <c r="Q30" i="8"/>
  <c r="Q31" i="9" l="1"/>
  <c r="P35" i="10"/>
  <c r="Q35" i="10" l="1"/>
  <c r="L38" i="10" l="1"/>
  <c r="BD50" i="9" l="1"/>
  <c r="BC50" i="9"/>
  <c r="F53" i="9" l="1"/>
  <c r="BP52" i="10"/>
  <c r="K106" i="10" l="1"/>
  <c r="J106" i="10"/>
  <c r="I106" i="10"/>
  <c r="H106" i="10"/>
  <c r="K105" i="10"/>
  <c r="J105" i="10"/>
  <c r="I105" i="10"/>
  <c r="H105" i="10"/>
  <c r="K104" i="10"/>
  <c r="J104" i="10"/>
  <c r="I104" i="10"/>
  <c r="H104" i="10"/>
  <c r="K103" i="10"/>
  <c r="J103" i="10"/>
  <c r="I103" i="10"/>
  <c r="H103" i="10"/>
  <c r="K102" i="10"/>
  <c r="J102" i="10"/>
  <c r="I102" i="10"/>
  <c r="I110" i="10" s="1"/>
  <c r="H102" i="10"/>
  <c r="H110" i="10" s="1"/>
  <c r="K101" i="10"/>
  <c r="J101" i="10"/>
  <c r="I101" i="10"/>
  <c r="H101" i="10"/>
  <c r="K100" i="10"/>
  <c r="J100" i="10"/>
  <c r="I100" i="10"/>
  <c r="H100" i="10"/>
  <c r="K99" i="10"/>
  <c r="J99" i="10"/>
  <c r="I99" i="10"/>
  <c r="H99" i="10"/>
  <c r="K98" i="10"/>
  <c r="J98" i="10"/>
  <c r="I98" i="10"/>
  <c r="H98" i="10"/>
  <c r="K97" i="10"/>
  <c r="J97" i="10"/>
  <c r="I97" i="10"/>
  <c r="H97" i="10"/>
  <c r="L96" i="10"/>
  <c r="K96" i="10"/>
  <c r="J96" i="10"/>
  <c r="J109" i="10" s="1"/>
  <c r="I96" i="10"/>
  <c r="H96" i="10"/>
  <c r="K95" i="10"/>
  <c r="J95" i="10"/>
  <c r="I95" i="10"/>
  <c r="H95" i="10"/>
  <c r="K94" i="10"/>
  <c r="J94" i="10"/>
  <c r="I94" i="10"/>
  <c r="H94" i="10"/>
  <c r="K93" i="10"/>
  <c r="J93" i="10"/>
  <c r="I93" i="10"/>
  <c r="H93" i="10"/>
  <c r="K92" i="10"/>
  <c r="J92" i="10"/>
  <c r="I92" i="10"/>
  <c r="H92" i="10"/>
  <c r="L91" i="10"/>
  <c r="K91" i="10"/>
  <c r="J91" i="10"/>
  <c r="I91" i="10"/>
  <c r="H91" i="10"/>
  <c r="K90" i="10"/>
  <c r="J90" i="10"/>
  <c r="I90" i="10"/>
  <c r="H90" i="10"/>
  <c r="H108" i="10" s="1"/>
  <c r="C84" i="10"/>
  <c r="C83" i="10"/>
  <c r="C82" i="10"/>
  <c r="D77" i="10"/>
  <c r="D71" i="10"/>
  <c r="CV54" i="10"/>
  <c r="CU54" i="10"/>
  <c r="CT54" i="10"/>
  <c r="CS54" i="10"/>
  <c r="CK54" i="10"/>
  <c r="CJ54" i="10"/>
  <c r="BZ54" i="10"/>
  <c r="BY54" i="10"/>
  <c r="BX54" i="10"/>
  <c r="AN54" i="10"/>
  <c r="AD54" i="10"/>
  <c r="AC54" i="10"/>
  <c r="AB54" i="10"/>
  <c r="CR53" i="10"/>
  <c r="CR54" i="10" s="1"/>
  <c r="CQ53" i="10"/>
  <c r="CQ54" i="10" s="1"/>
  <c r="CP53" i="10"/>
  <c r="CP54" i="10" s="1"/>
  <c r="CO53" i="10"/>
  <c r="CO54" i="10" s="1"/>
  <c r="CN53" i="10"/>
  <c r="CN54" i="10" s="1"/>
  <c r="CM53" i="10"/>
  <c r="CM54" i="10" s="1"/>
  <c r="CL53" i="10"/>
  <c r="CL54" i="10" s="1"/>
  <c r="CK53" i="10"/>
  <c r="CJ53" i="10"/>
  <c r="CI53" i="10"/>
  <c r="CI54" i="10" s="1"/>
  <c r="CH53" i="10"/>
  <c r="CH54" i="10" s="1"/>
  <c r="CG53" i="10"/>
  <c r="CG54" i="10" s="1"/>
  <c r="CF53" i="10"/>
  <c r="CF54" i="10" s="1"/>
  <c r="CE53" i="10"/>
  <c r="CE54" i="10" s="1"/>
  <c r="CD53" i="10"/>
  <c r="CD54" i="10" s="1"/>
  <c r="CC53" i="10"/>
  <c r="CC54" i="10" s="1"/>
  <c r="CB53" i="10"/>
  <c r="CB54" i="10" s="1"/>
  <c r="CA53" i="10"/>
  <c r="BZ53" i="10"/>
  <c r="BY53" i="10"/>
  <c r="BX53" i="10"/>
  <c r="BW53" i="10"/>
  <c r="BW54" i="10" s="1"/>
  <c r="BV53" i="10"/>
  <c r="BV54" i="10" s="1"/>
  <c r="BU53" i="10"/>
  <c r="BU54" i="10" s="1"/>
  <c r="BT53" i="10"/>
  <c r="BT54" i="10" s="1"/>
  <c r="BS53" i="10"/>
  <c r="BS54" i="10" s="1"/>
  <c r="BR53" i="10"/>
  <c r="BR54" i="10" s="1"/>
  <c r="BQ53" i="10"/>
  <c r="BQ54" i="10" s="1"/>
  <c r="BP53" i="10"/>
  <c r="BP54" i="10" s="1"/>
  <c r="BO53" i="10"/>
  <c r="BO54" i="10" s="1"/>
  <c r="BN53" i="10"/>
  <c r="BN54" i="10" s="1"/>
  <c r="BM53" i="10"/>
  <c r="BM54" i="10" s="1"/>
  <c r="BL53" i="10"/>
  <c r="BL54" i="10" s="1"/>
  <c r="BK53" i="10"/>
  <c r="BK54" i="10" s="1"/>
  <c r="BJ53" i="10"/>
  <c r="L103" i="10" s="1"/>
  <c r="BI53" i="10"/>
  <c r="L97" i="10" s="1"/>
  <c r="BH53" i="10"/>
  <c r="BH54" i="10" s="1"/>
  <c r="BG53" i="10"/>
  <c r="BG54" i="10" s="1"/>
  <c r="BF53" i="10"/>
  <c r="BF54" i="10" s="1"/>
  <c r="BE53" i="10"/>
  <c r="BE54" i="10" s="1"/>
  <c r="BD53" i="10"/>
  <c r="L104" i="10" s="1"/>
  <c r="BC53" i="10"/>
  <c r="BC54" i="10" s="1"/>
  <c r="BB53" i="10"/>
  <c r="L99" i="10" s="1"/>
  <c r="BA53" i="10"/>
  <c r="L92" i="10" s="1"/>
  <c r="AZ53" i="10"/>
  <c r="AZ54" i="10" s="1"/>
  <c r="AY53" i="10"/>
  <c r="L101" i="10" s="1"/>
  <c r="AX53" i="10"/>
  <c r="AX54" i="10" s="1"/>
  <c r="AW53" i="10"/>
  <c r="AW54" i="10" s="1"/>
  <c r="AV53" i="10"/>
  <c r="AV54" i="10" s="1"/>
  <c r="AU53" i="10"/>
  <c r="AU54" i="10" s="1"/>
  <c r="AT53" i="10"/>
  <c r="AT54" i="10" s="1"/>
  <c r="AS53" i="10"/>
  <c r="AS54" i="10" s="1"/>
  <c r="AR53" i="10"/>
  <c r="L90" i="10" s="1"/>
  <c r="AQ53" i="10"/>
  <c r="AQ54" i="10" s="1"/>
  <c r="AP53" i="10"/>
  <c r="AP54" i="10" s="1"/>
  <c r="AO53" i="10"/>
  <c r="AO54" i="10" s="1"/>
  <c r="AN53" i="10"/>
  <c r="AM53" i="10"/>
  <c r="AM54" i="10" s="1"/>
  <c r="AL53" i="10"/>
  <c r="AL54" i="10" s="1"/>
  <c r="AK53" i="10"/>
  <c r="AK54" i="10" s="1"/>
  <c r="AJ53" i="10"/>
  <c r="AJ54" i="10" s="1"/>
  <c r="AI53" i="10"/>
  <c r="AI54" i="10" s="1"/>
  <c r="AH53" i="10"/>
  <c r="AH54" i="10" s="1"/>
  <c r="AG53" i="10"/>
  <c r="AG54" i="10" s="1"/>
  <c r="AF53" i="10"/>
  <c r="AF54" i="10" s="1"/>
  <c r="AE53" i="10"/>
  <c r="AE54" i="10" s="1"/>
  <c r="AD53" i="10"/>
  <c r="AC53" i="10"/>
  <c r="AB53" i="10"/>
  <c r="AA53" i="10"/>
  <c r="AA54" i="10" s="1"/>
  <c r="Z53" i="10"/>
  <c r="Z54" i="10" s="1"/>
  <c r="Y53" i="10"/>
  <c r="Y54" i="10" s="1"/>
  <c r="X53" i="10"/>
  <c r="X54" i="10" s="1"/>
  <c r="W53" i="10"/>
  <c r="W54" i="10" s="1"/>
  <c r="V53" i="10"/>
  <c r="V54" i="10" s="1"/>
  <c r="U53" i="10"/>
  <c r="U54" i="10" s="1"/>
  <c r="T53" i="10"/>
  <c r="T54" i="10" s="1"/>
  <c r="S53" i="10"/>
  <c r="S54" i="10" s="1"/>
  <c r="R53" i="10"/>
  <c r="R54" i="10" s="1"/>
  <c r="Q53" i="10"/>
  <c r="P53" i="10"/>
  <c r="P54" i="10" s="1"/>
  <c r="O53" i="10"/>
  <c r="O54" i="10" s="1"/>
  <c r="N53" i="10"/>
  <c r="N54" i="10" s="1"/>
  <c r="M53" i="10"/>
  <c r="M54" i="10" s="1"/>
  <c r="L53" i="10"/>
  <c r="K53" i="10"/>
  <c r="K54" i="10" s="1"/>
  <c r="J53" i="10"/>
  <c r="J54" i="10" s="1"/>
  <c r="I53" i="10"/>
  <c r="I54" i="10" s="1"/>
  <c r="H53" i="10"/>
  <c r="H54" i="10" s="1"/>
  <c r="G53" i="10"/>
  <c r="G54" i="10" s="1"/>
  <c r="F54" i="10"/>
  <c r="E54" i="10"/>
  <c r="D53" i="10"/>
  <c r="D54" i="10" s="1"/>
  <c r="CW51" i="10"/>
  <c r="CW50" i="10"/>
  <c r="CW49" i="10"/>
  <c r="CW48" i="10"/>
  <c r="CW47" i="10"/>
  <c r="CW46" i="10"/>
  <c r="CW45" i="10"/>
  <c r="CW44" i="10"/>
  <c r="D72" i="10" s="1"/>
  <c r="CW43" i="10"/>
  <c r="D84" i="10" s="1"/>
  <c r="CW42" i="10"/>
  <c r="D83" i="10" s="1"/>
  <c r="CW41" i="10"/>
  <c r="CW40" i="10"/>
  <c r="D82" i="10" s="1"/>
  <c r="CW39" i="10"/>
  <c r="D70" i="10" s="1"/>
  <c r="CW38" i="10"/>
  <c r="D81" i="10" s="1"/>
  <c r="CW37" i="10"/>
  <c r="D69" i="10" s="1"/>
  <c r="CW36" i="10"/>
  <c r="D80" i="10" s="1"/>
  <c r="CW34" i="10"/>
  <c r="D68" i="10" s="1"/>
  <c r="CW33" i="10"/>
  <c r="D79" i="10" s="1"/>
  <c r="CW32" i="10"/>
  <c r="D67" i="10" s="1"/>
  <c r="CW31" i="10"/>
  <c r="D66" i="10" s="1"/>
  <c r="CW30" i="10"/>
  <c r="D78" i="10" s="1"/>
  <c r="CW29" i="10"/>
  <c r="CW28" i="10"/>
  <c r="CW27" i="10"/>
  <c r="CW26" i="10"/>
  <c r="CW25" i="10"/>
  <c r="CW24" i="10"/>
  <c r="CW23" i="10"/>
  <c r="CW22" i="10"/>
  <c r="D65" i="10" s="1"/>
  <c r="CW21" i="10"/>
  <c r="CW20" i="10"/>
  <c r="CW19" i="10"/>
  <c r="CW18" i="10"/>
  <c r="CW17" i="10"/>
  <c r="D74" i="10" s="1"/>
  <c r="CW16" i="10"/>
  <c r="CW15" i="10"/>
  <c r="CW14" i="10"/>
  <c r="CW13" i="10"/>
  <c r="CW12" i="10"/>
  <c r="L54" i="10"/>
  <c r="CW10" i="10"/>
  <c r="CW9" i="10"/>
  <c r="D63" i="10" l="1"/>
  <c r="I108" i="10"/>
  <c r="L98" i="10"/>
  <c r="L94" i="10"/>
  <c r="D61" i="10"/>
  <c r="K110" i="10"/>
  <c r="D64" i="10"/>
  <c r="H109" i="10"/>
  <c r="D75" i="10"/>
  <c r="BA54" i="10"/>
  <c r="I109" i="10"/>
  <c r="BB54" i="10"/>
  <c r="J110" i="10"/>
  <c r="J108" i="10"/>
  <c r="K109" i="10"/>
  <c r="D76" i="10"/>
  <c r="CW53" i="10"/>
  <c r="K108" i="10"/>
  <c r="Q54" i="10"/>
  <c r="CW35" i="10"/>
  <c r="BI54" i="10"/>
  <c r="BJ54" i="10"/>
  <c r="L106" i="10"/>
  <c r="AY54" i="10"/>
  <c r="CA54" i="10"/>
  <c r="L93" i="10"/>
  <c r="L108" i="10" s="1"/>
  <c r="L105" i="10"/>
  <c r="CW52" i="10"/>
  <c r="AR54" i="10"/>
  <c r="BD54" i="10"/>
  <c r="L100" i="10"/>
  <c r="L95" i="10"/>
  <c r="L102" i="10"/>
  <c r="L110" i="10" s="1"/>
  <c r="CW11" i="10"/>
  <c r="D62" i="10" s="1"/>
  <c r="S19" i="9"/>
  <c r="Q19" i="9"/>
  <c r="L109" i="10" l="1"/>
  <c r="D73" i="10"/>
  <c r="D60" i="10"/>
  <c r="CW54" i="10"/>
  <c r="Q35" i="9" l="1"/>
  <c r="Q12" i="9"/>
  <c r="S12" i="9"/>
  <c r="S11" i="9"/>
  <c r="Q11" i="9"/>
  <c r="E6" i="8" l="1"/>
  <c r="P35" i="9" l="1"/>
  <c r="L11" i="9"/>
  <c r="L38" i="9" l="1"/>
  <c r="F53" i="8"/>
  <c r="BP52" i="9"/>
  <c r="BM50" i="9"/>
  <c r="K106" i="9" l="1"/>
  <c r="J106" i="9"/>
  <c r="I106" i="9"/>
  <c r="H106" i="9"/>
  <c r="K105" i="9"/>
  <c r="J105" i="9"/>
  <c r="I105" i="9"/>
  <c r="H105" i="9"/>
  <c r="H110" i="9" s="1"/>
  <c r="K104" i="9"/>
  <c r="J104" i="9"/>
  <c r="I104" i="9"/>
  <c r="H104" i="9"/>
  <c r="K103" i="9"/>
  <c r="J103" i="9"/>
  <c r="I103" i="9"/>
  <c r="H103" i="9"/>
  <c r="L102" i="9"/>
  <c r="K102" i="9"/>
  <c r="J102" i="9"/>
  <c r="I102" i="9"/>
  <c r="H102" i="9"/>
  <c r="L101" i="9"/>
  <c r="K101" i="9"/>
  <c r="J101" i="9"/>
  <c r="I101" i="9"/>
  <c r="H101" i="9"/>
  <c r="L100" i="9"/>
  <c r="K100" i="9"/>
  <c r="J100" i="9"/>
  <c r="I100" i="9"/>
  <c r="H100" i="9"/>
  <c r="K99" i="9"/>
  <c r="J99" i="9"/>
  <c r="I99" i="9"/>
  <c r="H99" i="9"/>
  <c r="K98" i="9"/>
  <c r="J98" i="9"/>
  <c r="I98" i="9"/>
  <c r="H98" i="9"/>
  <c r="K97" i="9"/>
  <c r="J97" i="9"/>
  <c r="I97" i="9"/>
  <c r="H97" i="9"/>
  <c r="K96" i="9"/>
  <c r="J96" i="9"/>
  <c r="I96" i="9"/>
  <c r="H96" i="9"/>
  <c r="H109" i="9" s="1"/>
  <c r="K95" i="9"/>
  <c r="J95" i="9"/>
  <c r="I95" i="9"/>
  <c r="H95" i="9"/>
  <c r="K94" i="9"/>
  <c r="J94" i="9"/>
  <c r="I94" i="9"/>
  <c r="H94" i="9"/>
  <c r="K93" i="9"/>
  <c r="J93" i="9"/>
  <c r="I93" i="9"/>
  <c r="H93" i="9"/>
  <c r="K92" i="9"/>
  <c r="J92" i="9"/>
  <c r="I92" i="9"/>
  <c r="H92" i="9"/>
  <c r="K91" i="9"/>
  <c r="J91" i="9"/>
  <c r="I91" i="9"/>
  <c r="H91" i="9"/>
  <c r="K90" i="9"/>
  <c r="K108" i="9" s="1"/>
  <c r="J90" i="9"/>
  <c r="I90" i="9"/>
  <c r="H90" i="9"/>
  <c r="C84" i="9"/>
  <c r="C83" i="9"/>
  <c r="C82" i="9"/>
  <c r="D79" i="9"/>
  <c r="D74" i="9"/>
  <c r="CV54" i="9"/>
  <c r="CU54" i="9"/>
  <c r="CT54" i="9"/>
  <c r="CS54" i="9"/>
  <c r="CQ54" i="9"/>
  <c r="CO54" i="9"/>
  <c r="CN54" i="9"/>
  <c r="CE54" i="9"/>
  <c r="CB54" i="9"/>
  <c r="BS54" i="9"/>
  <c r="BQ54" i="9"/>
  <c r="BP54" i="9"/>
  <c r="BL54" i="9"/>
  <c r="BG54" i="9"/>
  <c r="BD54" i="9"/>
  <c r="AZ54" i="9"/>
  <c r="AU54" i="9"/>
  <c r="AS54" i="9"/>
  <c r="AR54" i="9"/>
  <c r="AN54" i="9"/>
  <c r="AM54" i="9"/>
  <c r="AI54" i="9"/>
  <c r="AG54" i="9"/>
  <c r="AF54" i="9"/>
  <c r="AB54" i="9"/>
  <c r="W54" i="9"/>
  <c r="U54" i="9"/>
  <c r="T54" i="9"/>
  <c r="O54" i="9"/>
  <c r="N54" i="9"/>
  <c r="H54" i="9"/>
  <c r="D54" i="9"/>
  <c r="CR53" i="9"/>
  <c r="CR54" i="9" s="1"/>
  <c r="CQ53" i="9"/>
  <c r="CP53" i="9"/>
  <c r="CP54" i="9" s="1"/>
  <c r="CO53" i="9"/>
  <c r="CN53" i="9"/>
  <c r="CM53" i="9"/>
  <c r="CM54" i="9" s="1"/>
  <c r="CL53" i="9"/>
  <c r="CL54" i="9" s="1"/>
  <c r="CK53" i="9"/>
  <c r="CK54" i="9" s="1"/>
  <c r="CJ53" i="9"/>
  <c r="CJ54" i="9" s="1"/>
  <c r="CI53" i="9"/>
  <c r="CI54" i="9" s="1"/>
  <c r="CH53" i="9"/>
  <c r="CH54" i="9" s="1"/>
  <c r="CG53" i="9"/>
  <c r="CG54" i="9" s="1"/>
  <c r="CF53" i="9"/>
  <c r="CF54" i="9" s="1"/>
  <c r="CE53" i="9"/>
  <c r="CD53" i="9"/>
  <c r="CD54" i="9" s="1"/>
  <c r="CC53" i="9"/>
  <c r="CC54" i="9" s="1"/>
  <c r="CB53" i="9"/>
  <c r="CA53" i="9"/>
  <c r="BZ53" i="9"/>
  <c r="BZ54" i="9" s="1"/>
  <c r="BY53" i="9"/>
  <c r="BY54" i="9" s="1"/>
  <c r="BX53" i="9"/>
  <c r="BX54" i="9" s="1"/>
  <c r="BW53" i="9"/>
  <c r="BW54" i="9" s="1"/>
  <c r="BV53" i="9"/>
  <c r="BV54" i="9" s="1"/>
  <c r="BU53" i="9"/>
  <c r="BU54" i="9" s="1"/>
  <c r="BT53" i="9"/>
  <c r="BT54" i="9" s="1"/>
  <c r="BS53" i="9"/>
  <c r="BR53" i="9"/>
  <c r="BR54" i="9" s="1"/>
  <c r="BQ53" i="9"/>
  <c r="BP53" i="9"/>
  <c r="BO53" i="9"/>
  <c r="BO54" i="9" s="1"/>
  <c r="BN53" i="9"/>
  <c r="BN54" i="9" s="1"/>
  <c r="BM53" i="9"/>
  <c r="BM54" i="9" s="1"/>
  <c r="BL53" i="9"/>
  <c r="BK53" i="9"/>
  <c r="BK54" i="9" s="1"/>
  <c r="BJ53" i="9"/>
  <c r="L103" i="9" s="1"/>
  <c r="BI53" i="9"/>
  <c r="L97" i="9" s="1"/>
  <c r="BH53" i="9"/>
  <c r="L91" i="9" s="1"/>
  <c r="BG53" i="9"/>
  <c r="L105" i="9" s="1"/>
  <c r="BF53" i="9"/>
  <c r="BF54" i="9" s="1"/>
  <c r="BE53" i="9"/>
  <c r="BE54" i="9" s="1"/>
  <c r="BD53" i="9"/>
  <c r="L104" i="9" s="1"/>
  <c r="BC53" i="9"/>
  <c r="BC54" i="9" s="1"/>
  <c r="BB53" i="9"/>
  <c r="BB54" i="9" s="1"/>
  <c r="BA53" i="9"/>
  <c r="BA54" i="9" s="1"/>
  <c r="AZ53" i="9"/>
  <c r="AY53" i="9"/>
  <c r="AY54" i="9" s="1"/>
  <c r="AX53" i="9"/>
  <c r="AX54" i="9" s="1"/>
  <c r="AW53" i="9"/>
  <c r="AW54" i="9" s="1"/>
  <c r="AV53" i="9"/>
  <c r="AV54" i="9" s="1"/>
  <c r="AU53" i="9"/>
  <c r="AT53" i="9"/>
  <c r="AT54" i="9" s="1"/>
  <c r="AS53" i="9"/>
  <c r="L96" i="9" s="1"/>
  <c r="AR53" i="9"/>
  <c r="L90" i="9" s="1"/>
  <c r="AQ53" i="9"/>
  <c r="AQ54" i="9" s="1"/>
  <c r="AP53" i="9"/>
  <c r="AP54" i="9" s="1"/>
  <c r="AO53" i="9"/>
  <c r="AO54" i="9" s="1"/>
  <c r="AN53" i="9"/>
  <c r="AM53" i="9"/>
  <c r="AL53" i="9"/>
  <c r="AL54" i="9" s="1"/>
  <c r="AK53" i="9"/>
  <c r="AK54" i="9" s="1"/>
  <c r="AJ53" i="9"/>
  <c r="AJ54" i="9" s="1"/>
  <c r="AI53" i="9"/>
  <c r="AH53" i="9"/>
  <c r="AH54" i="9" s="1"/>
  <c r="AG53" i="9"/>
  <c r="AF53" i="9"/>
  <c r="AE53" i="9"/>
  <c r="AE54" i="9" s="1"/>
  <c r="AD53" i="9"/>
  <c r="AD54" i="9" s="1"/>
  <c r="AC53" i="9"/>
  <c r="AC54" i="9" s="1"/>
  <c r="AB53" i="9"/>
  <c r="AA53" i="9"/>
  <c r="AA54" i="9" s="1"/>
  <c r="Z53" i="9"/>
  <c r="Z54" i="9" s="1"/>
  <c r="Y53" i="9"/>
  <c r="Y54" i="9" s="1"/>
  <c r="X53" i="9"/>
  <c r="X54" i="9" s="1"/>
  <c r="W53" i="9"/>
  <c r="V53" i="9"/>
  <c r="V54" i="9" s="1"/>
  <c r="U53" i="9"/>
  <c r="T53" i="9"/>
  <c r="S53" i="9"/>
  <c r="R53" i="9"/>
  <c r="R54" i="9" s="1"/>
  <c r="Q53" i="9"/>
  <c r="P53" i="9"/>
  <c r="O53" i="9"/>
  <c r="N53" i="9"/>
  <c r="M53" i="9"/>
  <c r="M54" i="9" s="1"/>
  <c r="L53" i="9"/>
  <c r="K53" i="9"/>
  <c r="K54" i="9" s="1"/>
  <c r="J53" i="9"/>
  <c r="J54" i="9" s="1"/>
  <c r="I53" i="9"/>
  <c r="I54" i="9" s="1"/>
  <c r="H53" i="9"/>
  <c r="G53" i="9"/>
  <c r="G54" i="9" s="1"/>
  <c r="F54" i="9"/>
  <c r="E53" i="9"/>
  <c r="E54" i="9" s="1"/>
  <c r="D53" i="9"/>
  <c r="CW52" i="9"/>
  <c r="CW51" i="9"/>
  <c r="CW50" i="9"/>
  <c r="CW49" i="9"/>
  <c r="CW48" i="9"/>
  <c r="CW47" i="9"/>
  <c r="CW46" i="9"/>
  <c r="CW45" i="9"/>
  <c r="CW44" i="9"/>
  <c r="D72" i="9" s="1"/>
  <c r="CW43" i="9"/>
  <c r="D84" i="9" s="1"/>
  <c r="CW42" i="9"/>
  <c r="D83" i="9" s="1"/>
  <c r="CW41" i="9"/>
  <c r="D71" i="9" s="1"/>
  <c r="CW40" i="9"/>
  <c r="D82" i="9" s="1"/>
  <c r="CW39" i="9"/>
  <c r="D70" i="9" s="1"/>
  <c r="CW38" i="9"/>
  <c r="D81" i="9" s="1"/>
  <c r="CW37" i="9"/>
  <c r="D69" i="9" s="1"/>
  <c r="CW36" i="9"/>
  <c r="D80" i="9" s="1"/>
  <c r="CW35" i="9"/>
  <c r="CW34" i="9"/>
  <c r="D68" i="9" s="1"/>
  <c r="CW33" i="9"/>
  <c r="CW32" i="9"/>
  <c r="D67" i="9" s="1"/>
  <c r="CW31" i="9"/>
  <c r="D66" i="9" s="1"/>
  <c r="S54" i="9"/>
  <c r="CW29" i="9"/>
  <c r="CW28" i="9"/>
  <c r="CW27" i="9"/>
  <c r="CW26" i="9"/>
  <c r="CW25" i="9"/>
  <c r="CW24" i="9"/>
  <c r="CW23" i="9"/>
  <c r="CW22" i="9"/>
  <c r="D65" i="9" s="1"/>
  <c r="CW21" i="9"/>
  <c r="CW20" i="9"/>
  <c r="CW19" i="9"/>
  <c r="CW18" i="9"/>
  <c r="CW17" i="9"/>
  <c r="CW16" i="9"/>
  <c r="CW15" i="9"/>
  <c r="CW14" i="9"/>
  <c r="CW13" i="9"/>
  <c r="D75" i="9" s="1"/>
  <c r="CW12" i="9"/>
  <c r="CW11" i="9"/>
  <c r="CW10" i="9"/>
  <c r="CW9" i="9"/>
  <c r="D61" i="9" l="1"/>
  <c r="J109" i="9"/>
  <c r="K109" i="9"/>
  <c r="I110" i="9"/>
  <c r="D62" i="9"/>
  <c r="H108" i="9"/>
  <c r="L106" i="9"/>
  <c r="D64" i="9"/>
  <c r="L94" i="9"/>
  <c r="K110" i="9"/>
  <c r="I109" i="9"/>
  <c r="D63" i="9"/>
  <c r="L110" i="9"/>
  <c r="D76" i="9"/>
  <c r="D77" i="9"/>
  <c r="BJ54" i="9"/>
  <c r="I108" i="9"/>
  <c r="J110" i="9"/>
  <c r="J108" i="9"/>
  <c r="L95" i="9"/>
  <c r="Q54" i="9"/>
  <c r="L54" i="9"/>
  <c r="BH54" i="9"/>
  <c r="L92" i="9"/>
  <c r="BI54" i="9"/>
  <c r="L99" i="9"/>
  <c r="CW53" i="9"/>
  <c r="P54" i="9"/>
  <c r="CW30" i="9"/>
  <c r="D78" i="9" s="1"/>
  <c r="L98" i="9"/>
  <c r="CA54" i="9"/>
  <c r="L93" i="9"/>
  <c r="L11" i="8"/>
  <c r="D73" i="9" l="1"/>
  <c r="D60" i="9"/>
  <c r="L109" i="9"/>
  <c r="L108" i="9"/>
  <c r="CW54" i="9"/>
  <c r="Q35" i="8" l="1"/>
  <c r="Q12" i="8"/>
  <c r="Q11" i="8"/>
  <c r="S52" i="7" l="1"/>
  <c r="F51" i="7"/>
  <c r="D6" i="7"/>
  <c r="P35" i="8" l="1"/>
  <c r="D76" i="7" l="1"/>
  <c r="K51" i="7" l="1"/>
  <c r="F53" i="7" l="1"/>
  <c r="BP52" i="8"/>
  <c r="L106" i="8" l="1"/>
  <c r="K106" i="8"/>
  <c r="J106" i="8"/>
  <c r="I106" i="8"/>
  <c r="H106" i="8"/>
  <c r="K105" i="8"/>
  <c r="J105" i="8"/>
  <c r="I105" i="8"/>
  <c r="H105" i="8"/>
  <c r="K104" i="8"/>
  <c r="J104" i="8"/>
  <c r="I104" i="8"/>
  <c r="H104" i="8"/>
  <c r="K103" i="8"/>
  <c r="J103" i="8"/>
  <c r="I103" i="8"/>
  <c r="H103" i="8"/>
  <c r="K102" i="8"/>
  <c r="J102" i="8"/>
  <c r="I102" i="8"/>
  <c r="I110" i="8" s="1"/>
  <c r="H102" i="8"/>
  <c r="K101" i="8"/>
  <c r="J101" i="8"/>
  <c r="I101" i="8"/>
  <c r="H101" i="8"/>
  <c r="K100" i="8"/>
  <c r="J100" i="8"/>
  <c r="I100" i="8"/>
  <c r="H100" i="8"/>
  <c r="K99" i="8"/>
  <c r="J99" i="8"/>
  <c r="I99" i="8"/>
  <c r="H99" i="8"/>
  <c r="K98" i="8"/>
  <c r="J98" i="8"/>
  <c r="I98" i="8"/>
  <c r="H98" i="8"/>
  <c r="K97" i="8"/>
  <c r="J97" i="8"/>
  <c r="I97" i="8"/>
  <c r="H97" i="8"/>
  <c r="K96" i="8"/>
  <c r="J96" i="8"/>
  <c r="I96" i="8"/>
  <c r="H96" i="8"/>
  <c r="K95" i="8"/>
  <c r="J95" i="8"/>
  <c r="I95" i="8"/>
  <c r="H95" i="8"/>
  <c r="K94" i="8"/>
  <c r="J94" i="8"/>
  <c r="I94" i="8"/>
  <c r="H94" i="8"/>
  <c r="K93" i="8"/>
  <c r="J93" i="8"/>
  <c r="I93" i="8"/>
  <c r="H93" i="8"/>
  <c r="K92" i="8"/>
  <c r="J92" i="8"/>
  <c r="I92" i="8"/>
  <c r="H92" i="8"/>
  <c r="K91" i="8"/>
  <c r="J91" i="8"/>
  <c r="I91" i="8"/>
  <c r="H91" i="8"/>
  <c r="K90" i="8"/>
  <c r="J90" i="8"/>
  <c r="I90" i="8"/>
  <c r="H90" i="8"/>
  <c r="C84" i="8"/>
  <c r="C83" i="8"/>
  <c r="C82" i="8"/>
  <c r="CV54" i="8"/>
  <c r="CU54" i="8"/>
  <c r="CT54" i="8"/>
  <c r="CS54" i="8"/>
  <c r="CH54" i="8"/>
  <c r="CG54" i="8"/>
  <c r="CF54" i="8"/>
  <c r="BT54" i="8"/>
  <c r="BJ54" i="8"/>
  <c r="AX54" i="8"/>
  <c r="AV54" i="8"/>
  <c r="AU54" i="8"/>
  <c r="AT54" i="8"/>
  <c r="AS54" i="8"/>
  <c r="AJ54" i="8"/>
  <c r="Z54" i="8"/>
  <c r="Y54" i="8"/>
  <c r="X54" i="8"/>
  <c r="W54" i="8"/>
  <c r="I54" i="8"/>
  <c r="CR53" i="8"/>
  <c r="CR54" i="8" s="1"/>
  <c r="CQ53" i="8"/>
  <c r="CQ54" i="8" s="1"/>
  <c r="CP53" i="8"/>
  <c r="CP54" i="8" s="1"/>
  <c r="CO53" i="8"/>
  <c r="CO54" i="8" s="1"/>
  <c r="CN53" i="8"/>
  <c r="CN54" i="8" s="1"/>
  <c r="CM53" i="8"/>
  <c r="CM54" i="8" s="1"/>
  <c r="CL53" i="8"/>
  <c r="CL54" i="8" s="1"/>
  <c r="CK53" i="8"/>
  <c r="CK54" i="8" s="1"/>
  <c r="CJ53" i="8"/>
  <c r="CJ54" i="8" s="1"/>
  <c r="CI53" i="8"/>
  <c r="CI54" i="8" s="1"/>
  <c r="CH53" i="8"/>
  <c r="CG53" i="8"/>
  <c r="CF53" i="8"/>
  <c r="CE53" i="8"/>
  <c r="CE54" i="8" s="1"/>
  <c r="CD53" i="8"/>
  <c r="CD54" i="8" s="1"/>
  <c r="CC53" i="8"/>
  <c r="CC54" i="8" s="1"/>
  <c r="CB53" i="8"/>
  <c r="CB54" i="8" s="1"/>
  <c r="CA53" i="8"/>
  <c r="CA54" i="8" s="1"/>
  <c r="BZ53" i="8"/>
  <c r="BZ54" i="8" s="1"/>
  <c r="BY53" i="8"/>
  <c r="BY54" i="8" s="1"/>
  <c r="BX53" i="8"/>
  <c r="BX54" i="8" s="1"/>
  <c r="BW53" i="8"/>
  <c r="BW54" i="8" s="1"/>
  <c r="BV53" i="8"/>
  <c r="BV54" i="8" s="1"/>
  <c r="BU53" i="8"/>
  <c r="BU54" i="8" s="1"/>
  <c r="BT53" i="8"/>
  <c r="BS53" i="8"/>
  <c r="BS54" i="8" s="1"/>
  <c r="BR53" i="8"/>
  <c r="BR54" i="8" s="1"/>
  <c r="BQ53" i="8"/>
  <c r="BQ54" i="8" s="1"/>
  <c r="BP53" i="8"/>
  <c r="BP54" i="8" s="1"/>
  <c r="BO53" i="8"/>
  <c r="BO54" i="8" s="1"/>
  <c r="BN53" i="8"/>
  <c r="BN54" i="8" s="1"/>
  <c r="BM53" i="8"/>
  <c r="BL53" i="8"/>
  <c r="BL54" i="8" s="1"/>
  <c r="BK53" i="8"/>
  <c r="BK54" i="8" s="1"/>
  <c r="BJ53" i="8"/>
  <c r="L103" i="8" s="1"/>
  <c r="BI53" i="8"/>
  <c r="BI54" i="8" s="1"/>
  <c r="BH53" i="8"/>
  <c r="L91" i="8" s="1"/>
  <c r="BG53" i="8"/>
  <c r="L105" i="8" s="1"/>
  <c r="BF53" i="8"/>
  <c r="L100" i="8" s="1"/>
  <c r="BE53" i="8"/>
  <c r="L93" i="8" s="1"/>
  <c r="BD53" i="8"/>
  <c r="L104" i="8" s="1"/>
  <c r="BC53" i="8"/>
  <c r="BC54" i="8" s="1"/>
  <c r="BB53" i="8"/>
  <c r="BB54" i="8" s="1"/>
  <c r="BA53" i="8"/>
  <c r="BA54" i="8" s="1"/>
  <c r="AZ53" i="8"/>
  <c r="AZ54" i="8" s="1"/>
  <c r="AY53" i="8"/>
  <c r="L101" i="8" s="1"/>
  <c r="AX53" i="8"/>
  <c r="AW53" i="8"/>
  <c r="L94" i="8" s="1"/>
  <c r="AV53" i="8"/>
  <c r="AU53" i="8"/>
  <c r="L102" i="8" s="1"/>
  <c r="AT53" i="8"/>
  <c r="L95" i="8" s="1"/>
  <c r="AS53" i="8"/>
  <c r="L96" i="8" s="1"/>
  <c r="AR53" i="8"/>
  <c r="L90" i="8" s="1"/>
  <c r="AQ53" i="8"/>
  <c r="AQ54" i="8" s="1"/>
  <c r="AP53" i="8"/>
  <c r="AP54" i="8" s="1"/>
  <c r="AO53" i="8"/>
  <c r="AO54" i="8" s="1"/>
  <c r="AN53" i="8"/>
  <c r="AN54" i="8" s="1"/>
  <c r="AM53" i="8"/>
  <c r="AM54" i="8" s="1"/>
  <c r="AL53" i="8"/>
  <c r="AL54" i="8" s="1"/>
  <c r="AK53" i="8"/>
  <c r="AK54" i="8" s="1"/>
  <c r="AJ53" i="8"/>
  <c r="AI53" i="8"/>
  <c r="AI54" i="8" s="1"/>
  <c r="AH53" i="8"/>
  <c r="AH54" i="8" s="1"/>
  <c r="AG53" i="8"/>
  <c r="AG54" i="8" s="1"/>
  <c r="AF53" i="8"/>
  <c r="AF54" i="8" s="1"/>
  <c r="AE53" i="8"/>
  <c r="AE54" i="8" s="1"/>
  <c r="AD53" i="8"/>
  <c r="AD54" i="8" s="1"/>
  <c r="AC53" i="8"/>
  <c r="AC54" i="8" s="1"/>
  <c r="AB53" i="8"/>
  <c r="AB54" i="8" s="1"/>
  <c r="AA53" i="8"/>
  <c r="AA54" i="8" s="1"/>
  <c r="Z53" i="8"/>
  <c r="Y53" i="8"/>
  <c r="X53" i="8"/>
  <c r="W53" i="8"/>
  <c r="V53" i="8"/>
  <c r="V54" i="8" s="1"/>
  <c r="U53" i="8"/>
  <c r="U54" i="8" s="1"/>
  <c r="T53" i="8"/>
  <c r="T54" i="8" s="1"/>
  <c r="S53" i="8"/>
  <c r="S54" i="8" s="1"/>
  <c r="R53" i="8"/>
  <c r="R54" i="8" s="1"/>
  <c r="Q53" i="8"/>
  <c r="P53" i="8"/>
  <c r="O53" i="8"/>
  <c r="O54" i="8" s="1"/>
  <c r="N53" i="8"/>
  <c r="N54" i="8" s="1"/>
  <c r="J53" i="8"/>
  <c r="J54" i="8" s="1"/>
  <c r="I53" i="8"/>
  <c r="H53" i="8"/>
  <c r="H54" i="8" s="1"/>
  <c r="G53" i="8"/>
  <c r="G54" i="8" s="1"/>
  <c r="F54" i="8"/>
  <c r="E53" i="8"/>
  <c r="E54" i="8" s="1"/>
  <c r="D53" i="8"/>
  <c r="D54" i="8" s="1"/>
  <c r="BM54" i="8"/>
  <c r="CW52" i="8"/>
  <c r="M53" i="8"/>
  <c r="L53" i="8"/>
  <c r="K53" i="8"/>
  <c r="CW50" i="8"/>
  <c r="CW49" i="8"/>
  <c r="CW48" i="8"/>
  <c r="CW47" i="8"/>
  <c r="CW46" i="8"/>
  <c r="CW45" i="8"/>
  <c r="CW44" i="8"/>
  <c r="D72" i="8" s="1"/>
  <c r="CW43" i="8"/>
  <c r="D84" i="8" s="1"/>
  <c r="CW42" i="8"/>
  <c r="D83" i="8" s="1"/>
  <c r="CW41" i="8"/>
  <c r="D71" i="8" s="1"/>
  <c r="CW40" i="8"/>
  <c r="D82" i="8" s="1"/>
  <c r="CW39" i="8"/>
  <c r="D70" i="8" s="1"/>
  <c r="CW38" i="8"/>
  <c r="D81" i="8" s="1"/>
  <c r="CW37" i="8"/>
  <c r="D69" i="8" s="1"/>
  <c r="CW36" i="8"/>
  <c r="D80" i="8" s="1"/>
  <c r="CW35" i="8"/>
  <c r="CW34" i="8"/>
  <c r="D68" i="8" s="1"/>
  <c r="CW33" i="8"/>
  <c r="D79" i="8" s="1"/>
  <c r="CW32" i="8"/>
  <c r="D67" i="8" s="1"/>
  <c r="CW31" i="8"/>
  <c r="D66" i="8" s="1"/>
  <c r="CW30" i="8"/>
  <c r="D78" i="8" s="1"/>
  <c r="CW29" i="8"/>
  <c r="CW28" i="8"/>
  <c r="D77" i="8" s="1"/>
  <c r="CW27" i="8"/>
  <c r="D63" i="8" s="1"/>
  <c r="CW26" i="8"/>
  <c r="CW25" i="8"/>
  <c r="CW24" i="8"/>
  <c r="CW23" i="8"/>
  <c r="D61" i="8" s="1"/>
  <c r="CW22" i="8"/>
  <c r="D65" i="8" s="1"/>
  <c r="CW21" i="8"/>
  <c r="CW20" i="8"/>
  <c r="CW19" i="8"/>
  <c r="CW18" i="8"/>
  <c r="CW17" i="8"/>
  <c r="D74" i="8" s="1"/>
  <c r="CW16" i="8"/>
  <c r="CW15" i="8"/>
  <c r="CW14" i="8"/>
  <c r="CW13" i="8"/>
  <c r="CW12" i="8"/>
  <c r="Q54" i="8"/>
  <c r="CW10" i="8"/>
  <c r="CW9" i="8"/>
  <c r="M51" i="7"/>
  <c r="L51" i="7"/>
  <c r="K108" i="8" l="1"/>
  <c r="D75" i="8"/>
  <c r="D76" i="8"/>
  <c r="D73" i="8" s="1"/>
  <c r="D64" i="8"/>
  <c r="H109" i="8"/>
  <c r="BG54" i="8"/>
  <c r="H108" i="8"/>
  <c r="J109" i="8"/>
  <c r="L97" i="8"/>
  <c r="BF54" i="8"/>
  <c r="BH54" i="8"/>
  <c r="K109" i="8"/>
  <c r="I109" i="8"/>
  <c r="AR54" i="8"/>
  <c r="J108" i="8"/>
  <c r="AW54" i="8"/>
  <c r="H110" i="8"/>
  <c r="BD54" i="8"/>
  <c r="J110" i="8"/>
  <c r="BE54" i="8"/>
  <c r="I108" i="8"/>
  <c r="K110" i="8"/>
  <c r="L54" i="8"/>
  <c r="L110" i="8"/>
  <c r="L99" i="8"/>
  <c r="CW11" i="8"/>
  <c r="D62" i="8" s="1"/>
  <c r="CW51" i="8"/>
  <c r="M54" i="8"/>
  <c r="CW53" i="8"/>
  <c r="AY54" i="8"/>
  <c r="K54" i="8"/>
  <c r="L92" i="8"/>
  <c r="L108" i="8" s="1"/>
  <c r="P54" i="8"/>
  <c r="L98" i="8"/>
  <c r="D60" i="8" l="1"/>
  <c r="CW54" i="8"/>
  <c r="L109" i="8"/>
  <c r="Q35" i="7" l="1"/>
  <c r="Q19" i="7"/>
  <c r="Q12" i="7"/>
  <c r="Q11" i="7"/>
  <c r="F28" i="7"/>
  <c r="M28" i="7"/>
  <c r="S52" i="6" l="1"/>
  <c r="P35" i="7" l="1"/>
  <c r="D6" i="6"/>
  <c r="L38" i="7" l="1"/>
  <c r="BD52" i="6"/>
  <c r="BC52" i="6"/>
  <c r="BN52" i="7"/>
  <c r="F53" i="6"/>
  <c r="BP52" i="7"/>
  <c r="BM52" i="7"/>
  <c r="I52" i="7"/>
  <c r="BL52" i="7"/>
  <c r="L11" i="7"/>
  <c r="M11" i="6" l="1"/>
  <c r="L11" i="6"/>
  <c r="K106" i="7" l="1"/>
  <c r="J106" i="7"/>
  <c r="I106" i="7"/>
  <c r="H106" i="7"/>
  <c r="K105" i="7"/>
  <c r="J105" i="7"/>
  <c r="I105" i="7"/>
  <c r="H105" i="7"/>
  <c r="K104" i="7"/>
  <c r="J104" i="7"/>
  <c r="I104" i="7"/>
  <c r="H104" i="7"/>
  <c r="K103" i="7"/>
  <c r="J103" i="7"/>
  <c r="I103" i="7"/>
  <c r="H103" i="7"/>
  <c r="K102" i="7"/>
  <c r="J102" i="7"/>
  <c r="I102" i="7"/>
  <c r="H102" i="7"/>
  <c r="K101" i="7"/>
  <c r="J101" i="7"/>
  <c r="I101" i="7"/>
  <c r="H101" i="7"/>
  <c r="K100" i="7"/>
  <c r="J100" i="7"/>
  <c r="I100" i="7"/>
  <c r="H100" i="7"/>
  <c r="L99" i="7"/>
  <c r="K99" i="7"/>
  <c r="J99" i="7"/>
  <c r="I99" i="7"/>
  <c r="H99" i="7"/>
  <c r="K98" i="7"/>
  <c r="J98" i="7"/>
  <c r="I98" i="7"/>
  <c r="H98" i="7"/>
  <c r="K97" i="7"/>
  <c r="J97" i="7"/>
  <c r="I97" i="7"/>
  <c r="H97" i="7"/>
  <c r="K96" i="7"/>
  <c r="J96" i="7"/>
  <c r="I96" i="7"/>
  <c r="H96" i="7"/>
  <c r="L95" i="7"/>
  <c r="K95" i="7"/>
  <c r="J95" i="7"/>
  <c r="I95" i="7"/>
  <c r="H95" i="7"/>
  <c r="K94" i="7"/>
  <c r="J94" i="7"/>
  <c r="I94" i="7"/>
  <c r="H94" i="7"/>
  <c r="K93" i="7"/>
  <c r="J93" i="7"/>
  <c r="J108" i="7" s="1"/>
  <c r="I93" i="7"/>
  <c r="H93" i="7"/>
  <c r="K92" i="7"/>
  <c r="J92" i="7"/>
  <c r="I92" i="7"/>
  <c r="H92" i="7"/>
  <c r="K91" i="7"/>
  <c r="J91" i="7"/>
  <c r="I91" i="7"/>
  <c r="H91" i="7"/>
  <c r="K90" i="7"/>
  <c r="J90" i="7"/>
  <c r="I90" i="7"/>
  <c r="H90" i="7"/>
  <c r="C84" i="7"/>
  <c r="C83" i="7"/>
  <c r="C82" i="7"/>
  <c r="CV54" i="7"/>
  <c r="CU54" i="7"/>
  <c r="CT54" i="7"/>
  <c r="CS54" i="7"/>
  <c r="CQ54" i="7"/>
  <c r="CE54" i="7"/>
  <c r="BZ54" i="7"/>
  <c r="BN54" i="7"/>
  <c r="BG54" i="7"/>
  <c r="AU54" i="7"/>
  <c r="AR54" i="7"/>
  <c r="AJ54" i="7"/>
  <c r="AI54" i="7"/>
  <c r="X54" i="7"/>
  <c r="W54" i="7"/>
  <c r="T54" i="7"/>
  <c r="H54" i="7"/>
  <c r="CR53" i="7"/>
  <c r="CR54" i="7" s="1"/>
  <c r="CQ53" i="7"/>
  <c r="CP53" i="7"/>
  <c r="CP54" i="7" s="1"/>
  <c r="CO53" i="7"/>
  <c r="CO54" i="7" s="1"/>
  <c r="CN53" i="7"/>
  <c r="CN54" i="7" s="1"/>
  <c r="CM53" i="7"/>
  <c r="CM54" i="7" s="1"/>
  <c r="CL53" i="7"/>
  <c r="CL54" i="7" s="1"/>
  <c r="CK53" i="7"/>
  <c r="CK54" i="7" s="1"/>
  <c r="CJ53" i="7"/>
  <c r="CJ54" i="7" s="1"/>
  <c r="CI53" i="7"/>
  <c r="CI54" i="7" s="1"/>
  <c r="CH53" i="7"/>
  <c r="CH54" i="7" s="1"/>
  <c r="CG53" i="7"/>
  <c r="CG54" i="7" s="1"/>
  <c r="CF53" i="7"/>
  <c r="CF54" i="7" s="1"/>
  <c r="CE53" i="7"/>
  <c r="CD53" i="7"/>
  <c r="CD54" i="7" s="1"/>
  <c r="CC53" i="7"/>
  <c r="CC54" i="7" s="1"/>
  <c r="CB53" i="7"/>
  <c r="CB54" i="7" s="1"/>
  <c r="CA53" i="7"/>
  <c r="BZ53" i="7"/>
  <c r="BY53" i="7"/>
  <c r="BY54" i="7" s="1"/>
  <c r="BX53" i="7"/>
  <c r="BX54" i="7" s="1"/>
  <c r="BW53" i="7"/>
  <c r="BW54" i="7" s="1"/>
  <c r="BV53" i="7"/>
  <c r="BV54" i="7" s="1"/>
  <c r="BU53" i="7"/>
  <c r="BU54" i="7" s="1"/>
  <c r="BT53" i="7"/>
  <c r="BT54" i="7" s="1"/>
  <c r="BS53" i="7"/>
  <c r="BS54" i="7" s="1"/>
  <c r="BR53" i="7"/>
  <c r="BR54" i="7" s="1"/>
  <c r="BQ53" i="7"/>
  <c r="BQ54" i="7" s="1"/>
  <c r="BP53" i="7"/>
  <c r="BP54" i="7" s="1"/>
  <c r="BO53" i="7"/>
  <c r="BO54" i="7" s="1"/>
  <c r="BN53" i="7"/>
  <c r="BM53" i="7"/>
  <c r="BM54" i="7" s="1"/>
  <c r="BL53" i="7"/>
  <c r="BK53" i="7"/>
  <c r="BK54" i="7" s="1"/>
  <c r="BJ53" i="7"/>
  <c r="L103" i="7" s="1"/>
  <c r="BI53" i="7"/>
  <c r="L97" i="7" s="1"/>
  <c r="BH53" i="7"/>
  <c r="BH54" i="7" s="1"/>
  <c r="BG53" i="7"/>
  <c r="L105" i="7" s="1"/>
  <c r="BF53" i="7"/>
  <c r="BF54" i="7" s="1"/>
  <c r="BE53" i="7"/>
  <c r="BE54" i="7" s="1"/>
  <c r="BD53" i="7"/>
  <c r="L104" i="7" s="1"/>
  <c r="BC53" i="7"/>
  <c r="L98" i="7" s="1"/>
  <c r="BB53" i="7"/>
  <c r="BB54" i="7" s="1"/>
  <c r="BA53" i="7"/>
  <c r="L92" i="7" s="1"/>
  <c r="AZ53" i="7"/>
  <c r="AZ54" i="7" s="1"/>
  <c r="AY53" i="7"/>
  <c r="L101" i="7" s="1"/>
  <c r="AX53" i="7"/>
  <c r="AX54" i="7" s="1"/>
  <c r="AW53" i="7"/>
  <c r="L94" i="7" s="1"/>
  <c r="AV53" i="7"/>
  <c r="AV54" i="7" s="1"/>
  <c r="AU53" i="7"/>
  <c r="L102" i="7" s="1"/>
  <c r="AT53" i="7"/>
  <c r="AT54" i="7" s="1"/>
  <c r="AS53" i="7"/>
  <c r="AS54" i="7" s="1"/>
  <c r="AR53" i="7"/>
  <c r="L90" i="7" s="1"/>
  <c r="AQ53" i="7"/>
  <c r="AQ54" i="7" s="1"/>
  <c r="AP53" i="7"/>
  <c r="AP54" i="7" s="1"/>
  <c r="AO53" i="7"/>
  <c r="AO54" i="7" s="1"/>
  <c r="AN53" i="7"/>
  <c r="AN54" i="7" s="1"/>
  <c r="AM53" i="7"/>
  <c r="AM54" i="7" s="1"/>
  <c r="AL53" i="7"/>
  <c r="AL54" i="7" s="1"/>
  <c r="AK53" i="7"/>
  <c r="AK54" i="7" s="1"/>
  <c r="AJ53" i="7"/>
  <c r="AI53" i="7"/>
  <c r="AH53" i="7"/>
  <c r="AH54" i="7" s="1"/>
  <c r="AG53" i="7"/>
  <c r="AG54" i="7" s="1"/>
  <c r="AF53" i="7"/>
  <c r="AF54" i="7" s="1"/>
  <c r="AE53" i="7"/>
  <c r="AE54" i="7" s="1"/>
  <c r="AD53" i="7"/>
  <c r="AD54" i="7" s="1"/>
  <c r="AC53" i="7"/>
  <c r="AC54" i="7" s="1"/>
  <c r="AB53" i="7"/>
  <c r="AB54" i="7" s="1"/>
  <c r="AA53" i="7"/>
  <c r="AA54" i="7" s="1"/>
  <c r="Z53" i="7"/>
  <c r="Z54" i="7" s="1"/>
  <c r="Y53" i="7"/>
  <c r="Y54" i="7" s="1"/>
  <c r="X53" i="7"/>
  <c r="W53" i="7"/>
  <c r="V53" i="7"/>
  <c r="V54" i="7" s="1"/>
  <c r="U53" i="7"/>
  <c r="U54" i="7" s="1"/>
  <c r="T53" i="7"/>
  <c r="S53" i="7"/>
  <c r="S54" i="7" s="1"/>
  <c r="R53" i="7"/>
  <c r="R54" i="7" s="1"/>
  <c r="Q53" i="7"/>
  <c r="Q54" i="7" s="1"/>
  <c r="P53" i="7"/>
  <c r="P54" i="7" s="1"/>
  <c r="O53" i="7"/>
  <c r="O54" i="7" s="1"/>
  <c r="N53" i="7"/>
  <c r="N54" i="7" s="1"/>
  <c r="K53" i="7"/>
  <c r="K54" i="7" s="1"/>
  <c r="J53" i="7"/>
  <c r="J54" i="7" s="1"/>
  <c r="I53" i="7"/>
  <c r="I54" i="7" s="1"/>
  <c r="H53" i="7"/>
  <c r="G53" i="7"/>
  <c r="G54" i="7" s="1"/>
  <c r="F54" i="7"/>
  <c r="E53" i="7"/>
  <c r="E54" i="7" s="1"/>
  <c r="D53" i="7"/>
  <c r="D54" i="7" s="1"/>
  <c r="CW52" i="7"/>
  <c r="CW51" i="7"/>
  <c r="BL54" i="7"/>
  <c r="CW49" i="7"/>
  <c r="CW48" i="7"/>
  <c r="CW47" i="7"/>
  <c r="CW46" i="7"/>
  <c r="CW45" i="7"/>
  <c r="CW44" i="7"/>
  <c r="D72" i="7" s="1"/>
  <c r="CW43" i="7"/>
  <c r="D84" i="7" s="1"/>
  <c r="CW42" i="7"/>
  <c r="D83" i="7" s="1"/>
  <c r="CW41" i="7"/>
  <c r="D71" i="7" s="1"/>
  <c r="CW40" i="7"/>
  <c r="D82" i="7" s="1"/>
  <c r="CW39" i="7"/>
  <c r="D70" i="7" s="1"/>
  <c r="M53" i="7"/>
  <c r="CW38" i="7"/>
  <c r="D81" i="7" s="1"/>
  <c r="CW37" i="7"/>
  <c r="D69" i="7" s="1"/>
  <c r="CW36" i="7"/>
  <c r="D80" i="7" s="1"/>
  <c r="CW35" i="7"/>
  <c r="CW34" i="7"/>
  <c r="D68" i="7" s="1"/>
  <c r="CW33" i="7"/>
  <c r="D79" i="7" s="1"/>
  <c r="CW32" i="7"/>
  <c r="D67" i="7" s="1"/>
  <c r="CW31" i="7"/>
  <c r="D66" i="7" s="1"/>
  <c r="CW30" i="7"/>
  <c r="D78" i="7" s="1"/>
  <c r="CW29" i="7"/>
  <c r="CW28" i="7"/>
  <c r="CW27" i="7"/>
  <c r="D63" i="7" s="1"/>
  <c r="CW26" i="7"/>
  <c r="CW25" i="7"/>
  <c r="CW24" i="7"/>
  <c r="CW23" i="7"/>
  <c r="CW22" i="7"/>
  <c r="D65" i="7" s="1"/>
  <c r="CW21" i="7"/>
  <c r="CW20" i="7"/>
  <c r="CW19" i="7"/>
  <c r="CW18" i="7"/>
  <c r="CW17" i="7"/>
  <c r="D74" i="7" s="1"/>
  <c r="CW16" i="7"/>
  <c r="CW15" i="7"/>
  <c r="CW14" i="7"/>
  <c r="CW13" i="7"/>
  <c r="CW12" i="7"/>
  <c r="CW11" i="7"/>
  <c r="CW10" i="7"/>
  <c r="CW9" i="7"/>
  <c r="K110" i="7" l="1"/>
  <c r="AW54" i="7"/>
  <c r="D64" i="7"/>
  <c r="BC54" i="7"/>
  <c r="L91" i="7"/>
  <c r="H110" i="7"/>
  <c r="D62" i="7"/>
  <c r="BD54" i="7"/>
  <c r="I110" i="7"/>
  <c r="J110" i="7"/>
  <c r="BI54" i="7"/>
  <c r="H109" i="7"/>
  <c r="H108" i="7"/>
  <c r="I109" i="7"/>
  <c r="D77" i="7"/>
  <c r="CA54" i="7"/>
  <c r="I108" i="7"/>
  <c r="J109" i="7"/>
  <c r="D61" i="7"/>
  <c r="K109" i="7"/>
  <c r="D75" i="7"/>
  <c r="K108" i="7"/>
  <c r="CW50" i="7"/>
  <c r="L53" i="7"/>
  <c r="CW53" i="7" s="1"/>
  <c r="BJ54" i="7"/>
  <c r="L106" i="7"/>
  <c r="L110" i="7" s="1"/>
  <c r="M54" i="7"/>
  <c r="AY54" i="7"/>
  <c r="L96" i="7"/>
  <c r="BA54" i="7"/>
  <c r="L93" i="7"/>
  <c r="L108" i="7" s="1"/>
  <c r="L100" i="7"/>
  <c r="D73" i="7" l="1"/>
  <c r="D60" i="7"/>
  <c r="L54" i="7"/>
  <c r="L109" i="7"/>
  <c r="CW54" i="7" l="1"/>
  <c r="Q30" i="6" l="1"/>
  <c r="Q35" i="6" l="1"/>
  <c r="Q19" i="6"/>
  <c r="S52" i="5" l="1"/>
  <c r="Q37" i="5" l="1"/>
  <c r="F6" i="5"/>
  <c r="P35" i="6" l="1"/>
  <c r="Q35" i="5" l="1"/>
  <c r="Q12" i="5"/>
  <c r="Q11" i="5"/>
  <c r="M38" i="6" l="1"/>
  <c r="L38" i="6"/>
  <c r="BD52" i="5" l="1"/>
  <c r="BD50" i="5"/>
  <c r="BB52" i="5"/>
  <c r="BB50" i="5"/>
  <c r="BC50" i="5"/>
  <c r="BC52" i="5"/>
  <c r="BA52" i="5"/>
  <c r="BA50" i="5"/>
  <c r="BN50" i="6"/>
  <c r="I50" i="6"/>
  <c r="BP52" i="6"/>
  <c r="BL50" i="6"/>
  <c r="K106" i="6" l="1"/>
  <c r="J106" i="6"/>
  <c r="I106" i="6"/>
  <c r="H106" i="6"/>
  <c r="K105" i="6"/>
  <c r="J105" i="6"/>
  <c r="I105" i="6"/>
  <c r="H105" i="6"/>
  <c r="K104" i="6"/>
  <c r="J104" i="6"/>
  <c r="I104" i="6"/>
  <c r="H104" i="6"/>
  <c r="K103" i="6"/>
  <c r="J103" i="6"/>
  <c r="I103" i="6"/>
  <c r="H103" i="6"/>
  <c r="K102" i="6"/>
  <c r="J102" i="6"/>
  <c r="I102" i="6"/>
  <c r="H102" i="6"/>
  <c r="K101" i="6"/>
  <c r="J101" i="6"/>
  <c r="I101" i="6"/>
  <c r="H101" i="6"/>
  <c r="K100" i="6"/>
  <c r="J100" i="6"/>
  <c r="I100" i="6"/>
  <c r="H100" i="6"/>
  <c r="K99" i="6"/>
  <c r="J99" i="6"/>
  <c r="I99" i="6"/>
  <c r="H99" i="6"/>
  <c r="K98" i="6"/>
  <c r="J98" i="6"/>
  <c r="I98" i="6"/>
  <c r="H98" i="6"/>
  <c r="K97" i="6"/>
  <c r="J97" i="6"/>
  <c r="I97" i="6"/>
  <c r="H97" i="6"/>
  <c r="K96" i="6"/>
  <c r="J96" i="6"/>
  <c r="I96" i="6"/>
  <c r="H96" i="6"/>
  <c r="K95" i="6"/>
  <c r="J95" i="6"/>
  <c r="I95" i="6"/>
  <c r="H95" i="6"/>
  <c r="K94" i="6"/>
  <c r="J94" i="6"/>
  <c r="I94" i="6"/>
  <c r="H94" i="6"/>
  <c r="K93" i="6"/>
  <c r="J93" i="6"/>
  <c r="I93" i="6"/>
  <c r="H93" i="6"/>
  <c r="K92" i="6"/>
  <c r="J92" i="6"/>
  <c r="I92" i="6"/>
  <c r="H92" i="6"/>
  <c r="K91" i="6"/>
  <c r="J91" i="6"/>
  <c r="I91" i="6"/>
  <c r="H91" i="6"/>
  <c r="K90" i="6"/>
  <c r="J90" i="6"/>
  <c r="I90" i="6"/>
  <c r="H90" i="6"/>
  <c r="C84" i="6"/>
  <c r="C83" i="6"/>
  <c r="C82" i="6"/>
  <c r="CV54" i="6"/>
  <c r="CU54" i="6"/>
  <c r="CT54" i="6"/>
  <c r="CS54" i="6"/>
  <c r="CJ54" i="6"/>
  <c r="CI54" i="6"/>
  <c r="CH54" i="6"/>
  <c r="BW54" i="6"/>
  <c r="BV54" i="6"/>
  <c r="AT54" i="6"/>
  <c r="AS54" i="6"/>
  <c r="AN54" i="6"/>
  <c r="AM54" i="6"/>
  <c r="CR53" i="6"/>
  <c r="CR54" i="6" s="1"/>
  <c r="CQ53" i="6"/>
  <c r="CQ54" i="6" s="1"/>
  <c r="CP53" i="6"/>
  <c r="CP54" i="6" s="1"/>
  <c r="CO53" i="6"/>
  <c r="CO54" i="6" s="1"/>
  <c r="CN53" i="6"/>
  <c r="CN54" i="6" s="1"/>
  <c r="CM53" i="6"/>
  <c r="CM54" i="6" s="1"/>
  <c r="CL53" i="6"/>
  <c r="CL54" i="6" s="1"/>
  <c r="CK53" i="6"/>
  <c r="CK54" i="6" s="1"/>
  <c r="CJ53" i="6"/>
  <c r="CI53" i="6"/>
  <c r="CH53" i="6"/>
  <c r="CG53" i="6"/>
  <c r="CG54" i="6" s="1"/>
  <c r="CF53" i="6"/>
  <c r="CF54" i="6" s="1"/>
  <c r="CE53" i="6"/>
  <c r="CE54" i="6" s="1"/>
  <c r="CD53" i="6"/>
  <c r="CD54" i="6" s="1"/>
  <c r="CC53" i="6"/>
  <c r="CC54" i="6" s="1"/>
  <c r="CB53" i="6"/>
  <c r="CB54" i="6" s="1"/>
  <c r="CA53" i="6"/>
  <c r="BZ53" i="6"/>
  <c r="BZ54" i="6" s="1"/>
  <c r="BY53" i="6"/>
  <c r="BY54" i="6" s="1"/>
  <c r="BX53" i="6"/>
  <c r="BX54" i="6" s="1"/>
  <c r="BW53" i="6"/>
  <c r="BV53" i="6"/>
  <c r="BU53" i="6"/>
  <c r="BU54" i="6" s="1"/>
  <c r="BT53" i="6"/>
  <c r="BT54" i="6" s="1"/>
  <c r="BS53" i="6"/>
  <c r="BS54" i="6" s="1"/>
  <c r="BR53" i="6"/>
  <c r="BR54" i="6" s="1"/>
  <c r="BQ53" i="6"/>
  <c r="BQ54" i="6" s="1"/>
  <c r="BP53" i="6"/>
  <c r="BP54" i="6" s="1"/>
  <c r="BO53" i="6"/>
  <c r="BO54" i="6" s="1"/>
  <c r="BN53" i="6"/>
  <c r="BN54" i="6" s="1"/>
  <c r="BM53" i="6"/>
  <c r="BM54" i="6" s="1"/>
  <c r="BL53" i="6"/>
  <c r="BL54" i="6" s="1"/>
  <c r="BK53" i="6"/>
  <c r="BK54" i="6" s="1"/>
  <c r="BJ53" i="6"/>
  <c r="L103" i="6" s="1"/>
  <c r="BI53" i="6"/>
  <c r="BH53" i="6"/>
  <c r="BH54" i="6" s="1"/>
  <c r="BG53" i="6"/>
  <c r="BG54" i="6" s="1"/>
  <c r="BF53" i="6"/>
  <c r="BF54" i="6" s="1"/>
  <c r="BE53" i="6"/>
  <c r="BE54" i="6" s="1"/>
  <c r="BD53" i="6"/>
  <c r="BC53" i="6"/>
  <c r="BB53" i="6"/>
  <c r="L99" i="6" s="1"/>
  <c r="BA53" i="6"/>
  <c r="L92" i="6" s="1"/>
  <c r="AZ53" i="6"/>
  <c r="AZ54" i="6" s="1"/>
  <c r="AY53" i="6"/>
  <c r="L101" i="6" s="1"/>
  <c r="AX53" i="6"/>
  <c r="AX54" i="6" s="1"/>
  <c r="AW53" i="6"/>
  <c r="AW54" i="6" s="1"/>
  <c r="AV53" i="6"/>
  <c r="AV54" i="6" s="1"/>
  <c r="AU53" i="6"/>
  <c r="L102" i="6" s="1"/>
  <c r="AT53" i="6"/>
  <c r="L95" i="6" s="1"/>
  <c r="AS53" i="6"/>
  <c r="L96" i="6" s="1"/>
  <c r="AR53" i="6"/>
  <c r="AR54" i="6" s="1"/>
  <c r="AQ53" i="6"/>
  <c r="AQ54" i="6" s="1"/>
  <c r="AP53" i="6"/>
  <c r="AP54" i="6" s="1"/>
  <c r="AO53" i="6"/>
  <c r="AO54" i="6" s="1"/>
  <c r="AN53" i="6"/>
  <c r="AM53" i="6"/>
  <c r="AL53" i="6"/>
  <c r="AL54" i="6" s="1"/>
  <c r="AK53" i="6"/>
  <c r="AK54" i="6" s="1"/>
  <c r="AJ53" i="6"/>
  <c r="AJ54" i="6" s="1"/>
  <c r="AI53" i="6"/>
  <c r="AI54" i="6" s="1"/>
  <c r="AH53" i="6"/>
  <c r="AH54" i="6" s="1"/>
  <c r="AG53" i="6"/>
  <c r="AG54" i="6" s="1"/>
  <c r="AF53" i="6"/>
  <c r="AF54" i="6" s="1"/>
  <c r="AE53" i="6"/>
  <c r="AE54" i="6" s="1"/>
  <c r="AD53" i="6"/>
  <c r="AD54" i="6" s="1"/>
  <c r="AC53" i="6"/>
  <c r="AC54" i="6" s="1"/>
  <c r="AB53" i="6"/>
  <c r="AB54" i="6" s="1"/>
  <c r="AA53" i="6"/>
  <c r="AA54" i="6" s="1"/>
  <c r="Z53" i="6"/>
  <c r="Z54" i="6" s="1"/>
  <c r="Y53" i="6"/>
  <c r="Y54" i="6" s="1"/>
  <c r="X53" i="6"/>
  <c r="X54" i="6" s="1"/>
  <c r="W53" i="6"/>
  <c r="W54" i="6" s="1"/>
  <c r="V53" i="6"/>
  <c r="V54" i="6" s="1"/>
  <c r="U53" i="6"/>
  <c r="U54" i="6" s="1"/>
  <c r="T53" i="6"/>
  <c r="T54" i="6" s="1"/>
  <c r="S53" i="6"/>
  <c r="S54" i="6" s="1"/>
  <c r="R53" i="6"/>
  <c r="R54" i="6" s="1"/>
  <c r="Q53" i="6"/>
  <c r="Q54" i="6" s="1"/>
  <c r="P53" i="6"/>
  <c r="O53" i="6"/>
  <c r="O54" i="6" s="1"/>
  <c r="N53" i="6"/>
  <c r="N54" i="6" s="1"/>
  <c r="M53" i="6"/>
  <c r="M54" i="6" s="1"/>
  <c r="L53" i="6"/>
  <c r="L54" i="6" s="1"/>
  <c r="K53" i="6"/>
  <c r="K54" i="6" s="1"/>
  <c r="J53" i="6"/>
  <c r="J54" i="6" s="1"/>
  <c r="I53" i="6"/>
  <c r="I54" i="6" s="1"/>
  <c r="H53" i="6"/>
  <c r="H54" i="6" s="1"/>
  <c r="G53" i="6"/>
  <c r="G54" i="6" s="1"/>
  <c r="F54" i="6"/>
  <c r="E53" i="6"/>
  <c r="D53" i="6"/>
  <c r="D54" i="6" s="1"/>
  <c r="CW52" i="6"/>
  <c r="CW51" i="6"/>
  <c r="CW50" i="6"/>
  <c r="CW49" i="6"/>
  <c r="CW48" i="6"/>
  <c r="CW47" i="6"/>
  <c r="CW46" i="6"/>
  <c r="CW45" i="6"/>
  <c r="CW44" i="6"/>
  <c r="D72" i="6" s="1"/>
  <c r="CW43" i="6"/>
  <c r="D84" i="6" s="1"/>
  <c r="CW42" i="6"/>
  <c r="D83" i="6" s="1"/>
  <c r="CW41" i="6"/>
  <c r="D71" i="6" s="1"/>
  <c r="CW40" i="6"/>
  <c r="D82" i="6" s="1"/>
  <c r="CW39" i="6"/>
  <c r="D70" i="6" s="1"/>
  <c r="CW38" i="6"/>
  <c r="D81" i="6" s="1"/>
  <c r="CW37" i="6"/>
  <c r="D69" i="6" s="1"/>
  <c r="CW36" i="6"/>
  <c r="D80" i="6" s="1"/>
  <c r="CW35" i="6"/>
  <c r="P54" i="6"/>
  <c r="CW34" i="6"/>
  <c r="D68" i="6" s="1"/>
  <c r="CW33" i="6"/>
  <c r="D79" i="6" s="1"/>
  <c r="CW32" i="6"/>
  <c r="D67" i="6" s="1"/>
  <c r="CW31" i="6"/>
  <c r="D66" i="6" s="1"/>
  <c r="CW30" i="6"/>
  <c r="D78" i="6" s="1"/>
  <c r="CW29" i="6"/>
  <c r="CW28" i="6"/>
  <c r="CW27" i="6"/>
  <c r="CW26" i="6"/>
  <c r="CW25" i="6"/>
  <c r="CW24" i="6"/>
  <c r="CW23" i="6"/>
  <c r="D61" i="6" s="1"/>
  <c r="CW22" i="6"/>
  <c r="D65" i="6" s="1"/>
  <c r="CW21" i="6"/>
  <c r="CW20" i="6"/>
  <c r="CW19" i="6"/>
  <c r="CW18" i="6"/>
  <c r="CW17" i="6"/>
  <c r="D74" i="6" s="1"/>
  <c r="CW16" i="6"/>
  <c r="CW15" i="6"/>
  <c r="CW14" i="6"/>
  <c r="CW13" i="6"/>
  <c r="CW12" i="6"/>
  <c r="CW10" i="6"/>
  <c r="CW9" i="6"/>
  <c r="H108" i="6" l="1"/>
  <c r="J110" i="6"/>
  <c r="AU54" i="6"/>
  <c r="K110" i="6"/>
  <c r="AY54" i="6"/>
  <c r="L105" i="6"/>
  <c r="D76" i="6"/>
  <c r="L100" i="6"/>
  <c r="D64" i="6"/>
  <c r="D75" i="6"/>
  <c r="K108" i="6"/>
  <c r="L93" i="6"/>
  <c r="CA54" i="6"/>
  <c r="J109" i="6"/>
  <c r="BA54" i="6"/>
  <c r="D77" i="6"/>
  <c r="BB54" i="6"/>
  <c r="L94" i="6"/>
  <c r="L106" i="6"/>
  <c r="K109" i="6"/>
  <c r="E54" i="6"/>
  <c r="CW53" i="6"/>
  <c r="CW11" i="6"/>
  <c r="D62" i="6" s="1"/>
  <c r="I110" i="6"/>
  <c r="L104" i="6"/>
  <c r="L110" i="6" s="1"/>
  <c r="BD54" i="6"/>
  <c r="J108" i="6"/>
  <c r="BC54" i="6"/>
  <c r="L98" i="6"/>
  <c r="H110" i="6"/>
  <c r="I108" i="6"/>
  <c r="D63" i="6"/>
  <c r="L90" i="6"/>
  <c r="H109" i="6"/>
  <c r="I109" i="6"/>
  <c r="L91" i="6"/>
  <c r="BJ54" i="6"/>
  <c r="BI54" i="6"/>
  <c r="L97" i="6"/>
  <c r="Q37" i="4"/>
  <c r="D60" i="6" l="1"/>
  <c r="D73" i="6"/>
  <c r="L109" i="6"/>
  <c r="CW54" i="6"/>
  <c r="L108" i="6"/>
  <c r="S52" i="4"/>
  <c r="L27" i="5" l="1"/>
  <c r="M27" i="5"/>
  <c r="P35" i="5"/>
  <c r="P11" i="4"/>
  <c r="L11" i="5" l="1"/>
  <c r="L38" i="5" l="1"/>
  <c r="BP52" i="5"/>
  <c r="F53" i="4" l="1"/>
  <c r="E51" i="4"/>
  <c r="L106" i="5" l="1"/>
  <c r="K106" i="5"/>
  <c r="J106" i="5"/>
  <c r="I106" i="5"/>
  <c r="H106" i="5"/>
  <c r="K105" i="5"/>
  <c r="J105" i="5"/>
  <c r="I105" i="5"/>
  <c r="H105" i="5"/>
  <c r="H110" i="5" s="1"/>
  <c r="K104" i="5"/>
  <c r="J104" i="5"/>
  <c r="I104" i="5"/>
  <c r="H104" i="5"/>
  <c r="L103" i="5"/>
  <c r="K103" i="5"/>
  <c r="J103" i="5"/>
  <c r="I103" i="5"/>
  <c r="H103" i="5"/>
  <c r="K102" i="5"/>
  <c r="J102" i="5"/>
  <c r="I102" i="5"/>
  <c r="I110" i="5" s="1"/>
  <c r="H102" i="5"/>
  <c r="L101" i="5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L94" i="5"/>
  <c r="K94" i="5"/>
  <c r="J94" i="5"/>
  <c r="I94" i="5"/>
  <c r="H94" i="5"/>
  <c r="L93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C84" i="5"/>
  <c r="C83" i="5"/>
  <c r="C82" i="5"/>
  <c r="D76" i="5"/>
  <c r="D72" i="5"/>
  <c r="CV54" i="5"/>
  <c r="CU54" i="5"/>
  <c r="CT54" i="5"/>
  <c r="CS54" i="5"/>
  <c r="CQ54" i="5"/>
  <c r="CO54" i="5"/>
  <c r="CI54" i="5"/>
  <c r="BW54" i="5"/>
  <c r="BV54" i="5"/>
  <c r="BK54" i="5"/>
  <c r="BJ54" i="5"/>
  <c r="BG54" i="5"/>
  <c r="BE54" i="5"/>
  <c r="AY54" i="5"/>
  <c r="AM54" i="5"/>
  <c r="AL54" i="5"/>
  <c r="AI54" i="5"/>
  <c r="AA54" i="5"/>
  <c r="Z54" i="5"/>
  <c r="W54" i="5"/>
  <c r="U54" i="5"/>
  <c r="O54" i="5"/>
  <c r="CR53" i="5"/>
  <c r="CR54" i="5" s="1"/>
  <c r="CQ53" i="5"/>
  <c r="CP53" i="5"/>
  <c r="CP54" i="5" s="1"/>
  <c r="CO53" i="5"/>
  <c r="CN53" i="5"/>
  <c r="CN54" i="5" s="1"/>
  <c r="CM53" i="5"/>
  <c r="CM54" i="5" s="1"/>
  <c r="CL53" i="5"/>
  <c r="CL54" i="5" s="1"/>
  <c r="CK53" i="5"/>
  <c r="CK54" i="5" s="1"/>
  <c r="CJ53" i="5"/>
  <c r="CJ54" i="5" s="1"/>
  <c r="CI53" i="5"/>
  <c r="CH53" i="5"/>
  <c r="CH54" i="5" s="1"/>
  <c r="CG53" i="5"/>
  <c r="CG54" i="5" s="1"/>
  <c r="CF53" i="5"/>
  <c r="CF54" i="5" s="1"/>
  <c r="CE53" i="5"/>
  <c r="CE54" i="5" s="1"/>
  <c r="CD53" i="5"/>
  <c r="CD54" i="5" s="1"/>
  <c r="CC53" i="5"/>
  <c r="CC54" i="5" s="1"/>
  <c r="CB53" i="5"/>
  <c r="CB54" i="5" s="1"/>
  <c r="CA53" i="5"/>
  <c r="BZ53" i="5"/>
  <c r="BZ54" i="5" s="1"/>
  <c r="BY53" i="5"/>
  <c r="BY54" i="5" s="1"/>
  <c r="BX53" i="5"/>
  <c r="BX54" i="5" s="1"/>
  <c r="BW53" i="5"/>
  <c r="BV53" i="5"/>
  <c r="BU53" i="5"/>
  <c r="BU54" i="5" s="1"/>
  <c r="BT53" i="5"/>
  <c r="BT54" i="5" s="1"/>
  <c r="BS53" i="5"/>
  <c r="BS54" i="5" s="1"/>
  <c r="BR53" i="5"/>
  <c r="BR54" i="5" s="1"/>
  <c r="BQ53" i="5"/>
  <c r="BQ54" i="5" s="1"/>
  <c r="BP53" i="5"/>
  <c r="BP54" i="5" s="1"/>
  <c r="BO53" i="5"/>
  <c r="BO54" i="5" s="1"/>
  <c r="BN53" i="5"/>
  <c r="BN54" i="5" s="1"/>
  <c r="BM53" i="5"/>
  <c r="BM54" i="5" s="1"/>
  <c r="BL53" i="5"/>
  <c r="BK53" i="5"/>
  <c r="BJ53" i="5"/>
  <c r="BI53" i="5"/>
  <c r="L97" i="5" s="1"/>
  <c r="BH53" i="5"/>
  <c r="BH54" i="5" s="1"/>
  <c r="BG53" i="5"/>
  <c r="L105" i="5" s="1"/>
  <c r="BF53" i="5"/>
  <c r="BF54" i="5" s="1"/>
  <c r="BE53" i="5"/>
  <c r="BD53" i="5"/>
  <c r="L104" i="5" s="1"/>
  <c r="BC53" i="5"/>
  <c r="BC54" i="5" s="1"/>
  <c r="BB53" i="5"/>
  <c r="BB54" i="5" s="1"/>
  <c r="BA53" i="5"/>
  <c r="L92" i="5" s="1"/>
  <c r="AZ53" i="5"/>
  <c r="AZ54" i="5" s="1"/>
  <c r="AY53" i="5"/>
  <c r="AX53" i="5"/>
  <c r="AX54" i="5" s="1"/>
  <c r="AW53" i="5"/>
  <c r="AW54" i="5" s="1"/>
  <c r="AV53" i="5"/>
  <c r="AV54" i="5" s="1"/>
  <c r="AU53" i="5"/>
  <c r="L102" i="5" s="1"/>
  <c r="AT53" i="5"/>
  <c r="AT54" i="5" s="1"/>
  <c r="AS53" i="5"/>
  <c r="L96" i="5" s="1"/>
  <c r="AR53" i="5"/>
  <c r="L90" i="5" s="1"/>
  <c r="AQ53" i="5"/>
  <c r="AQ54" i="5" s="1"/>
  <c r="AP53" i="5"/>
  <c r="AP54" i="5" s="1"/>
  <c r="AO53" i="5"/>
  <c r="AO54" i="5" s="1"/>
  <c r="AN53" i="5"/>
  <c r="AN54" i="5" s="1"/>
  <c r="AM53" i="5"/>
  <c r="AL53" i="5"/>
  <c r="AK53" i="5"/>
  <c r="AK54" i="5" s="1"/>
  <c r="AJ53" i="5"/>
  <c r="AJ54" i="5" s="1"/>
  <c r="AI53" i="5"/>
  <c r="AH53" i="5"/>
  <c r="AH54" i="5" s="1"/>
  <c r="AG53" i="5"/>
  <c r="AG54" i="5" s="1"/>
  <c r="AF53" i="5"/>
  <c r="AF54" i="5" s="1"/>
  <c r="AE53" i="5"/>
  <c r="AE54" i="5" s="1"/>
  <c r="AD53" i="5"/>
  <c r="AD54" i="5" s="1"/>
  <c r="AC53" i="5"/>
  <c r="AC54" i="5" s="1"/>
  <c r="AB53" i="5"/>
  <c r="AB54" i="5" s="1"/>
  <c r="AA53" i="5"/>
  <c r="Z53" i="5"/>
  <c r="Y53" i="5"/>
  <c r="Y54" i="5" s="1"/>
  <c r="X53" i="5"/>
  <c r="X54" i="5" s="1"/>
  <c r="W53" i="5"/>
  <c r="V53" i="5"/>
  <c r="V54" i="5" s="1"/>
  <c r="U53" i="5"/>
  <c r="T53" i="5"/>
  <c r="T54" i="5" s="1"/>
  <c r="S53" i="5"/>
  <c r="R53" i="5"/>
  <c r="R54" i="5" s="1"/>
  <c r="Q53" i="5"/>
  <c r="P53" i="5"/>
  <c r="P54" i="5" s="1"/>
  <c r="O53" i="5"/>
  <c r="N53" i="5"/>
  <c r="N54" i="5" s="1"/>
  <c r="M53" i="5"/>
  <c r="M54" i="5" s="1"/>
  <c r="L53" i="5"/>
  <c r="K53" i="5"/>
  <c r="K54" i="5" s="1"/>
  <c r="J53" i="5"/>
  <c r="J54" i="5" s="1"/>
  <c r="I53" i="5"/>
  <c r="I54" i="5" s="1"/>
  <c r="H53" i="5"/>
  <c r="H54" i="5" s="1"/>
  <c r="G53" i="5"/>
  <c r="G54" i="5" s="1"/>
  <c r="F53" i="5"/>
  <c r="F54" i="5" s="1"/>
  <c r="E53" i="5"/>
  <c r="E54" i="5" s="1"/>
  <c r="D53" i="5"/>
  <c r="D54" i="5" s="1"/>
  <c r="CW52" i="5"/>
  <c r="CW51" i="5"/>
  <c r="CW50" i="5"/>
  <c r="CW49" i="5"/>
  <c r="CW48" i="5"/>
  <c r="CW47" i="5"/>
  <c r="CW46" i="5"/>
  <c r="CW45" i="5"/>
  <c r="CW44" i="5"/>
  <c r="CW43" i="5"/>
  <c r="D84" i="5" s="1"/>
  <c r="CW42" i="5"/>
  <c r="D83" i="5" s="1"/>
  <c r="CW41" i="5"/>
  <c r="D71" i="5" s="1"/>
  <c r="CW40" i="5"/>
  <c r="D82" i="5" s="1"/>
  <c r="CW39" i="5"/>
  <c r="D70" i="5" s="1"/>
  <c r="CW38" i="5"/>
  <c r="D81" i="5" s="1"/>
  <c r="CW37" i="5"/>
  <c r="D69" i="5" s="1"/>
  <c r="CW36" i="5"/>
  <c r="D80" i="5" s="1"/>
  <c r="CW35" i="5"/>
  <c r="CW34" i="5"/>
  <c r="D68" i="5" s="1"/>
  <c r="CW33" i="5"/>
  <c r="D79" i="5" s="1"/>
  <c r="CW32" i="5"/>
  <c r="D67" i="5" s="1"/>
  <c r="CW31" i="5"/>
  <c r="D66" i="5" s="1"/>
  <c r="CW30" i="5"/>
  <c r="D78" i="5" s="1"/>
  <c r="CW29" i="5"/>
  <c r="CW28" i="5"/>
  <c r="CW27" i="5"/>
  <c r="CW26" i="5"/>
  <c r="CW25" i="5"/>
  <c r="CW24" i="5"/>
  <c r="CW23" i="5"/>
  <c r="D61" i="5" s="1"/>
  <c r="CW22" i="5"/>
  <c r="D65" i="5" s="1"/>
  <c r="CW21" i="5"/>
  <c r="CW20" i="5"/>
  <c r="CW19" i="5"/>
  <c r="CW18" i="5"/>
  <c r="CW17" i="5"/>
  <c r="D74" i="5" s="1"/>
  <c r="CW16" i="5"/>
  <c r="CW15" i="5"/>
  <c r="CW14" i="5"/>
  <c r="CW13" i="5"/>
  <c r="CW12" i="5"/>
  <c r="L54" i="5"/>
  <c r="CW10" i="5"/>
  <c r="CW9" i="5"/>
  <c r="K110" i="5" l="1"/>
  <c r="K109" i="5"/>
  <c r="D63" i="5"/>
  <c r="AU54" i="5"/>
  <c r="I109" i="5"/>
  <c r="J108" i="5"/>
  <c r="J109" i="5"/>
  <c r="H109" i="5"/>
  <c r="D64" i="5"/>
  <c r="J110" i="5"/>
  <c r="I108" i="5"/>
  <c r="H108" i="5"/>
  <c r="D75" i="5"/>
  <c r="CW53" i="5"/>
  <c r="K108" i="5"/>
  <c r="L95" i="5"/>
  <c r="D77" i="5"/>
  <c r="AS54" i="5"/>
  <c r="Q54" i="5"/>
  <c r="L110" i="5"/>
  <c r="BI54" i="5"/>
  <c r="L99" i="5"/>
  <c r="BL54" i="5"/>
  <c r="BA54" i="5"/>
  <c r="L91" i="5"/>
  <c r="L98" i="5"/>
  <c r="S54" i="5"/>
  <c r="CA54" i="5"/>
  <c r="AR54" i="5"/>
  <c r="BD54" i="5"/>
  <c r="L100" i="5"/>
  <c r="CW11" i="5"/>
  <c r="D62" i="5" s="1"/>
  <c r="D73" i="5" l="1"/>
  <c r="D60" i="5"/>
  <c r="L109" i="5"/>
  <c r="L108" i="5"/>
  <c r="CW54" i="5"/>
  <c r="S11" i="4" l="1"/>
  <c r="Q11" i="4"/>
  <c r="Q35" i="4" l="1"/>
  <c r="Q19" i="4"/>
  <c r="S19" i="4"/>
  <c r="Q12" i="4"/>
  <c r="E40" i="4" l="1"/>
  <c r="S52" i="3" l="1"/>
  <c r="S35" i="3"/>
  <c r="F6" i="3"/>
  <c r="E6" i="3"/>
  <c r="Q35" i="3" l="1"/>
  <c r="P35" i="4"/>
  <c r="P35" i="3"/>
  <c r="M51" i="3" l="1"/>
  <c r="L51" i="3"/>
  <c r="K51" i="3"/>
  <c r="L38" i="4" l="1"/>
  <c r="BA50" i="3" l="1"/>
  <c r="BN52" i="4"/>
  <c r="BP52" i="4"/>
  <c r="I52" i="4"/>
  <c r="BL52" i="4"/>
  <c r="L11" i="4"/>
  <c r="K106" i="4" l="1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L102" i="4"/>
  <c r="K102" i="4"/>
  <c r="J102" i="4"/>
  <c r="I102" i="4"/>
  <c r="I110" i="4" s="1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L97" i="4"/>
  <c r="K97" i="4"/>
  <c r="J97" i="4"/>
  <c r="I97" i="4"/>
  <c r="H97" i="4"/>
  <c r="K96" i="4"/>
  <c r="J96" i="4"/>
  <c r="I96" i="4"/>
  <c r="H96" i="4"/>
  <c r="K95" i="4"/>
  <c r="J95" i="4"/>
  <c r="J109" i="4" s="1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L91" i="4"/>
  <c r="K91" i="4"/>
  <c r="J91" i="4"/>
  <c r="I91" i="4"/>
  <c r="H91" i="4"/>
  <c r="K90" i="4"/>
  <c r="J90" i="4"/>
  <c r="J108" i="4" s="1"/>
  <c r="I90" i="4"/>
  <c r="I108" i="4" s="1"/>
  <c r="H90" i="4"/>
  <c r="C84" i="4"/>
  <c r="C83" i="4"/>
  <c r="C82" i="4"/>
  <c r="D78" i="4"/>
  <c r="CV54" i="4"/>
  <c r="CU54" i="4"/>
  <c r="CT54" i="4"/>
  <c r="CS54" i="4"/>
  <c r="CQ54" i="4"/>
  <c r="CP54" i="4"/>
  <c r="CL54" i="4"/>
  <c r="CK54" i="4"/>
  <c r="BZ54" i="4"/>
  <c r="BY54" i="4"/>
  <c r="BR54" i="4"/>
  <c r="BQ54" i="4"/>
  <c r="BF54" i="4"/>
  <c r="BE54" i="4"/>
  <c r="AU54" i="4"/>
  <c r="AT54" i="4"/>
  <c r="AL54" i="4"/>
  <c r="AI54" i="4"/>
  <c r="AH54" i="4"/>
  <c r="AC54" i="4"/>
  <c r="R54" i="4"/>
  <c r="N54" i="4"/>
  <c r="K54" i="4"/>
  <c r="CR53" i="4"/>
  <c r="CR54" i="4" s="1"/>
  <c r="CQ53" i="4"/>
  <c r="CP53" i="4"/>
  <c r="CO53" i="4"/>
  <c r="CO54" i="4" s="1"/>
  <c r="CN53" i="4"/>
  <c r="CN54" i="4" s="1"/>
  <c r="CM53" i="4"/>
  <c r="CM54" i="4" s="1"/>
  <c r="CL53" i="4"/>
  <c r="CK53" i="4"/>
  <c r="CJ53" i="4"/>
  <c r="CJ54" i="4" s="1"/>
  <c r="CI53" i="4"/>
  <c r="CI54" i="4" s="1"/>
  <c r="CH53" i="4"/>
  <c r="CH54" i="4" s="1"/>
  <c r="CG53" i="4"/>
  <c r="CG54" i="4" s="1"/>
  <c r="CF53" i="4"/>
  <c r="CF54" i="4" s="1"/>
  <c r="CE53" i="4"/>
  <c r="CE54" i="4" s="1"/>
  <c r="CD53" i="4"/>
  <c r="CD54" i="4" s="1"/>
  <c r="CC53" i="4"/>
  <c r="CC54" i="4" s="1"/>
  <c r="CB53" i="4"/>
  <c r="CB54" i="4" s="1"/>
  <c r="CA53" i="4"/>
  <c r="BZ53" i="4"/>
  <c r="BY53" i="4"/>
  <c r="BX53" i="4"/>
  <c r="BX54" i="4" s="1"/>
  <c r="BW53" i="4"/>
  <c r="BW54" i="4" s="1"/>
  <c r="BV53" i="4"/>
  <c r="BV54" i="4" s="1"/>
  <c r="BU53" i="4"/>
  <c r="BU54" i="4" s="1"/>
  <c r="BT53" i="4"/>
  <c r="BT54" i="4" s="1"/>
  <c r="BS53" i="4"/>
  <c r="BS54" i="4" s="1"/>
  <c r="BR53" i="4"/>
  <c r="BQ53" i="4"/>
  <c r="BP53" i="4"/>
  <c r="BP54" i="4" s="1"/>
  <c r="BO53" i="4"/>
  <c r="BO54" i="4" s="1"/>
  <c r="BN53" i="4"/>
  <c r="BN54" i="4" s="1"/>
  <c r="BM53" i="4"/>
  <c r="BM54" i="4" s="1"/>
  <c r="BL53" i="4"/>
  <c r="BL54" i="4" s="1"/>
  <c r="BK53" i="4"/>
  <c r="BK54" i="4" s="1"/>
  <c r="BJ53" i="4"/>
  <c r="L103" i="4" s="1"/>
  <c r="BI53" i="4"/>
  <c r="BI54" i="4" s="1"/>
  <c r="BH53" i="4"/>
  <c r="BH54" i="4" s="1"/>
  <c r="BG53" i="4"/>
  <c r="L105" i="4" s="1"/>
  <c r="BF53" i="4"/>
  <c r="L100" i="4" s="1"/>
  <c r="BE53" i="4"/>
  <c r="L93" i="4" s="1"/>
  <c r="BD53" i="4"/>
  <c r="L104" i="4" s="1"/>
  <c r="BC53" i="4"/>
  <c r="BC54" i="4" s="1"/>
  <c r="BB53" i="4"/>
  <c r="L99" i="4" s="1"/>
  <c r="BA53" i="4"/>
  <c r="L92" i="4" s="1"/>
  <c r="AZ53" i="4"/>
  <c r="AZ54" i="4" s="1"/>
  <c r="AY53" i="4"/>
  <c r="AY54" i="4" s="1"/>
  <c r="AX53" i="4"/>
  <c r="AX54" i="4" s="1"/>
  <c r="AW53" i="4"/>
  <c r="AW54" i="4" s="1"/>
  <c r="AV53" i="4"/>
  <c r="AV54" i="4" s="1"/>
  <c r="AU53" i="4"/>
  <c r="AT53" i="4"/>
  <c r="L95" i="4" s="1"/>
  <c r="AS53" i="4"/>
  <c r="L96" i="4" s="1"/>
  <c r="AR53" i="4"/>
  <c r="L90" i="4" s="1"/>
  <c r="AQ53" i="4"/>
  <c r="AQ54" i="4" s="1"/>
  <c r="AP53" i="4"/>
  <c r="AP54" i="4" s="1"/>
  <c r="AO53" i="4"/>
  <c r="AO54" i="4" s="1"/>
  <c r="AN53" i="4"/>
  <c r="AN54" i="4" s="1"/>
  <c r="AM53" i="4"/>
  <c r="AM54" i="4" s="1"/>
  <c r="AL53" i="4"/>
  <c r="AK53" i="4"/>
  <c r="AK54" i="4" s="1"/>
  <c r="AJ53" i="4"/>
  <c r="AJ54" i="4" s="1"/>
  <c r="AI53" i="4"/>
  <c r="AH53" i="4"/>
  <c r="AG53" i="4"/>
  <c r="AG54" i="4" s="1"/>
  <c r="AF53" i="4"/>
  <c r="AF54" i="4" s="1"/>
  <c r="AE53" i="4"/>
  <c r="AE54" i="4" s="1"/>
  <c r="AD53" i="4"/>
  <c r="AD54" i="4" s="1"/>
  <c r="AC53" i="4"/>
  <c r="AB53" i="4"/>
  <c r="AB54" i="4" s="1"/>
  <c r="AA53" i="4"/>
  <c r="AA54" i="4" s="1"/>
  <c r="Z53" i="4"/>
  <c r="Z54" i="4" s="1"/>
  <c r="Y53" i="4"/>
  <c r="Y54" i="4" s="1"/>
  <c r="X53" i="4"/>
  <c r="X54" i="4" s="1"/>
  <c r="W53" i="4"/>
  <c r="W54" i="4" s="1"/>
  <c r="V53" i="4"/>
  <c r="V54" i="4" s="1"/>
  <c r="U53" i="4"/>
  <c r="U54" i="4" s="1"/>
  <c r="T53" i="4"/>
  <c r="T54" i="4" s="1"/>
  <c r="S53" i="4"/>
  <c r="S54" i="4" s="1"/>
  <c r="R53" i="4"/>
  <c r="Q53" i="4"/>
  <c r="P53" i="4"/>
  <c r="P54" i="4" s="1"/>
  <c r="O53" i="4"/>
  <c r="O54" i="4" s="1"/>
  <c r="N53" i="4"/>
  <c r="M53" i="4"/>
  <c r="M54" i="4" s="1"/>
  <c r="L53" i="4"/>
  <c r="K53" i="4"/>
  <c r="J53" i="4"/>
  <c r="J54" i="4" s="1"/>
  <c r="I53" i="4"/>
  <c r="I54" i="4" s="1"/>
  <c r="H53" i="4"/>
  <c r="H54" i="4" s="1"/>
  <c r="G53" i="4"/>
  <c r="G54" i="4" s="1"/>
  <c r="F54" i="4"/>
  <c r="E53" i="4"/>
  <c r="E54" i="4" s="1"/>
  <c r="D53" i="4"/>
  <c r="D54" i="4" s="1"/>
  <c r="CW52" i="4"/>
  <c r="CW51" i="4"/>
  <c r="CW50" i="4"/>
  <c r="CW49" i="4"/>
  <c r="CW48" i="4"/>
  <c r="CW47" i="4"/>
  <c r="CW46" i="4"/>
  <c r="CW45" i="4"/>
  <c r="CW44" i="4"/>
  <c r="D72" i="4" s="1"/>
  <c r="CW43" i="4"/>
  <c r="D84" i="4" s="1"/>
  <c r="CW42" i="4"/>
  <c r="D83" i="4" s="1"/>
  <c r="CW41" i="4"/>
  <c r="D71" i="4" s="1"/>
  <c r="CW40" i="4"/>
  <c r="D82" i="4" s="1"/>
  <c r="CW39" i="4"/>
  <c r="D70" i="4" s="1"/>
  <c r="CW38" i="4"/>
  <c r="D81" i="4" s="1"/>
  <c r="CW37" i="4"/>
  <c r="D69" i="4" s="1"/>
  <c r="CW36" i="4"/>
  <c r="D80" i="4" s="1"/>
  <c r="CW35" i="4"/>
  <c r="CW34" i="4"/>
  <c r="D68" i="4" s="1"/>
  <c r="CW33" i="4"/>
  <c r="D79" i="4" s="1"/>
  <c r="CW32" i="4"/>
  <c r="D67" i="4" s="1"/>
  <c r="CW31" i="4"/>
  <c r="D66" i="4" s="1"/>
  <c r="CW30" i="4"/>
  <c r="CW29" i="4"/>
  <c r="CW28" i="4"/>
  <c r="D77" i="4" s="1"/>
  <c r="CW27" i="4"/>
  <c r="CW26" i="4"/>
  <c r="CW25" i="4"/>
  <c r="CW24" i="4"/>
  <c r="CW23" i="4"/>
  <c r="CW22" i="4"/>
  <c r="D65" i="4" s="1"/>
  <c r="CW21" i="4"/>
  <c r="CW20" i="4"/>
  <c r="CW19" i="4"/>
  <c r="CW18" i="4"/>
  <c r="CW17" i="4"/>
  <c r="D74" i="4" s="1"/>
  <c r="CW16" i="4"/>
  <c r="CW15" i="4"/>
  <c r="CW14" i="4"/>
  <c r="CW13" i="4"/>
  <c r="CW12" i="4"/>
  <c r="D64" i="4" s="1"/>
  <c r="CW11" i="4"/>
  <c r="D62" i="4" s="1"/>
  <c r="CW10" i="4"/>
  <c r="CW9" i="4"/>
  <c r="K110" i="4" l="1"/>
  <c r="K109" i="4"/>
  <c r="K108" i="4"/>
  <c r="D76" i="4"/>
  <c r="BD54" i="4"/>
  <c r="I109" i="4"/>
  <c r="J110" i="4"/>
  <c r="BG54" i="4"/>
  <c r="BJ54" i="4"/>
  <c r="D63" i="4"/>
  <c r="AR54" i="4"/>
  <c r="AS54" i="4"/>
  <c r="L98" i="4"/>
  <c r="BA54" i="4"/>
  <c r="L94" i="4"/>
  <c r="H110" i="4"/>
  <c r="D61" i="4"/>
  <c r="BB54" i="4"/>
  <c r="H108" i="4"/>
  <c r="H109" i="4"/>
  <c r="D75" i="4"/>
  <c r="L54" i="4"/>
  <c r="L106" i="4"/>
  <c r="L101" i="4"/>
  <c r="CW53" i="4"/>
  <c r="Q54" i="4"/>
  <c r="CA54" i="4"/>
  <c r="BD50" i="1"/>
  <c r="BD52" i="1"/>
  <c r="BB52" i="1"/>
  <c r="BB50" i="1"/>
  <c r="BC52" i="1"/>
  <c r="BC50" i="1"/>
  <c r="BA52" i="1"/>
  <c r="BA50" i="1"/>
  <c r="P25" i="3"/>
  <c r="D73" i="4" l="1"/>
  <c r="CW54" i="4"/>
  <c r="L108" i="4"/>
  <c r="D60" i="4"/>
  <c r="L109" i="4"/>
  <c r="L110" i="4"/>
  <c r="S52" i="1" l="1"/>
  <c r="S35" i="1"/>
  <c r="P49" i="1"/>
  <c r="Q49" i="1" s="1"/>
  <c r="Q35" i="1"/>
  <c r="Q25" i="3"/>
  <c r="Q19" i="3"/>
  <c r="Q12" i="3"/>
  <c r="Q11" i="3"/>
  <c r="M51" i="1"/>
  <c r="K51" i="1"/>
  <c r="E62" i="1" l="1"/>
  <c r="F6" i="1"/>
  <c r="BP52" i="3" l="1"/>
  <c r="BM52" i="3"/>
  <c r="I50" i="3"/>
  <c r="M11" i="3"/>
  <c r="L11" i="3"/>
  <c r="R52" i="1" l="1"/>
  <c r="K106" i="3"/>
  <c r="J106" i="3"/>
  <c r="I106" i="3"/>
  <c r="H106" i="3"/>
  <c r="K105" i="3"/>
  <c r="J105" i="3"/>
  <c r="I105" i="3"/>
  <c r="H105" i="3"/>
  <c r="K104" i="3"/>
  <c r="J104" i="3"/>
  <c r="I104" i="3"/>
  <c r="H104" i="3"/>
  <c r="K103" i="3"/>
  <c r="J103" i="3"/>
  <c r="I103" i="3"/>
  <c r="H103" i="3"/>
  <c r="K102" i="3"/>
  <c r="J102" i="3"/>
  <c r="I102" i="3"/>
  <c r="I110" i="3" s="1"/>
  <c r="H102" i="3"/>
  <c r="H110" i="3" s="1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7" i="3"/>
  <c r="J97" i="3"/>
  <c r="I97" i="3"/>
  <c r="H97" i="3"/>
  <c r="K96" i="3"/>
  <c r="J96" i="3"/>
  <c r="I96" i="3"/>
  <c r="H96" i="3"/>
  <c r="K95" i="3"/>
  <c r="J95" i="3"/>
  <c r="J109" i="3" s="1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1" i="3"/>
  <c r="J91" i="3"/>
  <c r="I91" i="3"/>
  <c r="H91" i="3"/>
  <c r="K90" i="3"/>
  <c r="J90" i="3"/>
  <c r="I90" i="3"/>
  <c r="H90" i="3"/>
  <c r="C84" i="3"/>
  <c r="C83" i="3"/>
  <c r="C82" i="3"/>
  <c r="CV54" i="3"/>
  <c r="CU54" i="3"/>
  <c r="CT54" i="3"/>
  <c r="CS54" i="3"/>
  <c r="BW54" i="3"/>
  <c r="BV54" i="3"/>
  <c r="BS54" i="3"/>
  <c r="BR54" i="3"/>
  <c r="AM54" i="3"/>
  <c r="AL54" i="3"/>
  <c r="AI54" i="3"/>
  <c r="AH54" i="3"/>
  <c r="CR53" i="3"/>
  <c r="CR54" i="3" s="1"/>
  <c r="CQ53" i="3"/>
  <c r="CQ54" i="3" s="1"/>
  <c r="CP53" i="3"/>
  <c r="CP54" i="3" s="1"/>
  <c r="CO53" i="3"/>
  <c r="CO54" i="3" s="1"/>
  <c r="CN53" i="3"/>
  <c r="CN54" i="3" s="1"/>
  <c r="CM53" i="3"/>
  <c r="CM54" i="3" s="1"/>
  <c r="CL53" i="3"/>
  <c r="CL54" i="3" s="1"/>
  <c r="CK53" i="3"/>
  <c r="CK54" i="3" s="1"/>
  <c r="CJ53" i="3"/>
  <c r="CJ54" i="3" s="1"/>
  <c r="CI53" i="3"/>
  <c r="CI54" i="3" s="1"/>
  <c r="CH53" i="3"/>
  <c r="CH54" i="3" s="1"/>
  <c r="CG53" i="3"/>
  <c r="CG54" i="3" s="1"/>
  <c r="CF53" i="3"/>
  <c r="CF54" i="3" s="1"/>
  <c r="CE53" i="3"/>
  <c r="CE54" i="3" s="1"/>
  <c r="CD53" i="3"/>
  <c r="CD54" i="3" s="1"/>
  <c r="CC53" i="3"/>
  <c r="CC54" i="3" s="1"/>
  <c r="CB53" i="3"/>
  <c r="CB54" i="3" s="1"/>
  <c r="CA53" i="3"/>
  <c r="BZ53" i="3"/>
  <c r="BZ54" i="3" s="1"/>
  <c r="BY53" i="3"/>
  <c r="BY54" i="3" s="1"/>
  <c r="BX53" i="3"/>
  <c r="BX54" i="3" s="1"/>
  <c r="BW53" i="3"/>
  <c r="BV53" i="3"/>
  <c r="BU53" i="3"/>
  <c r="BU54" i="3" s="1"/>
  <c r="BT53" i="3"/>
  <c r="BT54" i="3" s="1"/>
  <c r="BS53" i="3"/>
  <c r="BR53" i="3"/>
  <c r="BQ53" i="3"/>
  <c r="BQ54" i="3" s="1"/>
  <c r="BP53" i="3"/>
  <c r="BO53" i="3"/>
  <c r="BO54" i="3" s="1"/>
  <c r="BN53" i="3"/>
  <c r="BN54" i="3" s="1"/>
  <c r="BM53" i="3"/>
  <c r="BL53" i="3"/>
  <c r="BL54" i="3" s="1"/>
  <c r="BK53" i="3"/>
  <c r="BK54" i="3" s="1"/>
  <c r="BJ53" i="3"/>
  <c r="L103" i="3" s="1"/>
  <c r="BI53" i="3"/>
  <c r="L97" i="3" s="1"/>
  <c r="BH53" i="3"/>
  <c r="BH54" i="3" s="1"/>
  <c r="BG53" i="3"/>
  <c r="L105" i="3" s="1"/>
  <c r="BF53" i="3"/>
  <c r="L100" i="3" s="1"/>
  <c r="BE53" i="3"/>
  <c r="BE54" i="3" s="1"/>
  <c r="BD53" i="3"/>
  <c r="L104" i="3" s="1"/>
  <c r="BC53" i="3"/>
  <c r="BC54" i="3" s="1"/>
  <c r="BB53" i="3"/>
  <c r="BB54" i="3" s="1"/>
  <c r="BA53" i="3"/>
  <c r="L92" i="3" s="1"/>
  <c r="AZ53" i="3"/>
  <c r="AZ54" i="3" s="1"/>
  <c r="AY53" i="3"/>
  <c r="L106" i="3" s="1"/>
  <c r="AX53" i="3"/>
  <c r="AX54" i="3" s="1"/>
  <c r="AW53" i="3"/>
  <c r="AW54" i="3" s="1"/>
  <c r="AV53" i="3"/>
  <c r="AV54" i="3" s="1"/>
  <c r="AU53" i="3"/>
  <c r="L102" i="3" s="1"/>
  <c r="AT53" i="3"/>
  <c r="L95" i="3" s="1"/>
  <c r="AS53" i="3"/>
  <c r="AS54" i="3" s="1"/>
  <c r="AR53" i="3"/>
  <c r="L90" i="3" s="1"/>
  <c r="AQ53" i="3"/>
  <c r="AQ54" i="3" s="1"/>
  <c r="AP53" i="3"/>
  <c r="AP54" i="3" s="1"/>
  <c r="AO53" i="3"/>
  <c r="AO54" i="3" s="1"/>
  <c r="AN53" i="3"/>
  <c r="AN54" i="3" s="1"/>
  <c r="AM53" i="3"/>
  <c r="AL53" i="3"/>
  <c r="AK53" i="3"/>
  <c r="AK54" i="3" s="1"/>
  <c r="AJ53" i="3"/>
  <c r="AJ54" i="3" s="1"/>
  <c r="AI53" i="3"/>
  <c r="AH53" i="3"/>
  <c r="AG53" i="3"/>
  <c r="AG54" i="3" s="1"/>
  <c r="AF53" i="3"/>
  <c r="AF54" i="3" s="1"/>
  <c r="AE53" i="3"/>
  <c r="AE54" i="3" s="1"/>
  <c r="AD53" i="3"/>
  <c r="AD54" i="3" s="1"/>
  <c r="AC53" i="3"/>
  <c r="AC54" i="3" s="1"/>
  <c r="AB53" i="3"/>
  <c r="AB54" i="3" s="1"/>
  <c r="AA53" i="3"/>
  <c r="AA54" i="3" s="1"/>
  <c r="Z53" i="3"/>
  <c r="Z54" i="3" s="1"/>
  <c r="Y53" i="3"/>
  <c r="Y54" i="3" s="1"/>
  <c r="X53" i="3"/>
  <c r="X54" i="3" s="1"/>
  <c r="W53" i="3"/>
  <c r="W54" i="3" s="1"/>
  <c r="V53" i="3"/>
  <c r="V54" i="3" s="1"/>
  <c r="U53" i="3"/>
  <c r="U54" i="3" s="1"/>
  <c r="T53" i="3"/>
  <c r="T54" i="3" s="1"/>
  <c r="S53" i="3"/>
  <c r="S54" i="3" s="1"/>
  <c r="R53" i="3"/>
  <c r="R54" i="3" s="1"/>
  <c r="Q53" i="3"/>
  <c r="P53" i="3"/>
  <c r="O53" i="3"/>
  <c r="O54" i="3" s="1"/>
  <c r="N53" i="3"/>
  <c r="N54" i="3" s="1"/>
  <c r="M53" i="3"/>
  <c r="M54" i="3" s="1"/>
  <c r="L53" i="3"/>
  <c r="L54" i="3" s="1"/>
  <c r="K53" i="3"/>
  <c r="K54" i="3" s="1"/>
  <c r="J53" i="3"/>
  <c r="J54" i="3" s="1"/>
  <c r="I53" i="3"/>
  <c r="I54" i="3" s="1"/>
  <c r="H53" i="3"/>
  <c r="H54" i="3" s="1"/>
  <c r="G53" i="3"/>
  <c r="G54" i="3" s="1"/>
  <c r="F53" i="3"/>
  <c r="F54" i="3" s="1"/>
  <c r="E53" i="3"/>
  <c r="E54" i="3" s="1"/>
  <c r="D53" i="3"/>
  <c r="D54" i="3" s="1"/>
  <c r="BP54" i="3"/>
  <c r="BM54" i="3"/>
  <c r="CW52" i="3"/>
  <c r="CW51" i="3"/>
  <c r="CW50" i="3"/>
  <c r="CW49" i="3"/>
  <c r="CW48" i="3"/>
  <c r="CW47" i="3"/>
  <c r="CW46" i="3"/>
  <c r="CW45" i="3"/>
  <c r="CW44" i="3"/>
  <c r="D72" i="3" s="1"/>
  <c r="CW43" i="3"/>
  <c r="D84" i="3" s="1"/>
  <c r="CW42" i="3"/>
  <c r="D83" i="3" s="1"/>
  <c r="CW41" i="3"/>
  <c r="D71" i="3" s="1"/>
  <c r="CW40" i="3"/>
  <c r="D82" i="3" s="1"/>
  <c r="CW39" i="3"/>
  <c r="D70" i="3" s="1"/>
  <c r="CW38" i="3"/>
  <c r="D81" i="3" s="1"/>
  <c r="CW37" i="3"/>
  <c r="D69" i="3" s="1"/>
  <c r="CW36" i="3"/>
  <c r="D80" i="3" s="1"/>
  <c r="CW34" i="3"/>
  <c r="D68" i="3" s="1"/>
  <c r="CW33" i="3"/>
  <c r="D79" i="3" s="1"/>
  <c r="CW32" i="3"/>
  <c r="D67" i="3" s="1"/>
  <c r="CW31" i="3"/>
  <c r="D66" i="3" s="1"/>
  <c r="CW30" i="3"/>
  <c r="D78" i="3" s="1"/>
  <c r="CW29" i="3"/>
  <c r="CW28" i="3"/>
  <c r="CW27" i="3"/>
  <c r="CW26" i="3"/>
  <c r="CW25" i="3"/>
  <c r="CW24" i="3"/>
  <c r="CW23" i="3"/>
  <c r="D61" i="3" s="1"/>
  <c r="CW22" i="3"/>
  <c r="D65" i="3" s="1"/>
  <c r="CW21" i="3"/>
  <c r="CW20" i="3"/>
  <c r="CW19" i="3"/>
  <c r="CW18" i="3"/>
  <c r="CW17" i="3"/>
  <c r="D74" i="3" s="1"/>
  <c r="CW16" i="3"/>
  <c r="CW15" i="3"/>
  <c r="CW14" i="3"/>
  <c r="CW13" i="3"/>
  <c r="CW12" i="3"/>
  <c r="D64" i="3" s="1"/>
  <c r="CW11" i="3"/>
  <c r="CW10" i="3"/>
  <c r="CW9" i="3"/>
  <c r="L11" i="1"/>
  <c r="K110" i="3" l="1"/>
  <c r="D76" i="3"/>
  <c r="K108" i="3"/>
  <c r="L110" i="3"/>
  <c r="BJ54" i="3"/>
  <c r="H108" i="3"/>
  <c r="K109" i="3"/>
  <c r="D62" i="3"/>
  <c r="I108" i="3"/>
  <c r="L101" i="3"/>
  <c r="D77" i="3"/>
  <c r="AU54" i="3"/>
  <c r="L94" i="3"/>
  <c r="J110" i="3"/>
  <c r="AY54" i="3"/>
  <c r="H109" i="3"/>
  <c r="BF54" i="3"/>
  <c r="I109" i="3"/>
  <c r="AT54" i="3"/>
  <c r="BG54" i="3"/>
  <c r="J108" i="3"/>
  <c r="D63" i="3"/>
  <c r="Q54" i="3"/>
  <c r="D75" i="3"/>
  <c r="BI54" i="3"/>
  <c r="L99" i="3"/>
  <c r="P54" i="3"/>
  <c r="L96" i="3"/>
  <c r="CW35" i="3"/>
  <c r="CW53" i="3"/>
  <c r="BA54" i="3"/>
  <c r="L91" i="3"/>
  <c r="L108" i="3" s="1"/>
  <c r="L98" i="3"/>
  <c r="CA54" i="3"/>
  <c r="L93" i="3"/>
  <c r="AR54" i="3"/>
  <c r="BD54" i="3"/>
  <c r="D73" i="3" l="1"/>
  <c r="D60" i="3"/>
  <c r="CW54" i="3"/>
  <c r="L109" i="3"/>
  <c r="P19" i="1" l="1"/>
  <c r="L51" i="1" l="1"/>
  <c r="Q19" i="1" l="1"/>
  <c r="Q12" i="1"/>
  <c r="Q11" i="1"/>
  <c r="M39" i="1" l="1"/>
  <c r="BP52" i="1" l="1"/>
  <c r="BM52" i="1"/>
  <c r="I52" i="1"/>
  <c r="M11" i="1" l="1"/>
  <c r="CW11" i="1"/>
  <c r="D62" i="1" s="1"/>
  <c r="CV5" i="1"/>
  <c r="CU5" i="1"/>
  <c r="CU8" i="1" s="1"/>
  <c r="CU55" i="1" s="1"/>
  <c r="CU5" i="3" s="1"/>
  <c r="CU8" i="3" s="1"/>
  <c r="CU55" i="3" s="1"/>
  <c r="CU5" i="4" s="1"/>
  <c r="CU8" i="4" s="1"/>
  <c r="CU55" i="4" s="1"/>
  <c r="CU5" i="5" s="1"/>
  <c r="CU8" i="5" s="1"/>
  <c r="CU55" i="5" s="1"/>
  <c r="CU5" i="6" s="1"/>
  <c r="CU8" i="6" s="1"/>
  <c r="CU55" i="6" s="1"/>
  <c r="CU5" i="7" s="1"/>
  <c r="CU8" i="7" s="1"/>
  <c r="CU55" i="7" s="1"/>
  <c r="CU5" i="8" s="1"/>
  <c r="CU8" i="8" s="1"/>
  <c r="CU55" i="8" s="1"/>
  <c r="CU5" i="9" s="1"/>
  <c r="CU8" i="9" s="1"/>
  <c r="CU55" i="9" s="1"/>
  <c r="CU5" i="10" s="1"/>
  <c r="CU8" i="10" s="1"/>
  <c r="CU55" i="10" s="1"/>
  <c r="CU5" i="11" s="1"/>
  <c r="CU8" i="11" s="1"/>
  <c r="CU55" i="11" s="1"/>
  <c r="CU5" i="12" s="1"/>
  <c r="CU8" i="12" s="1"/>
  <c r="CU55" i="12" s="1"/>
  <c r="CU5" i="13" s="1"/>
  <c r="CU8" i="13" s="1"/>
  <c r="CU55" i="13" s="1"/>
  <c r="CT5" i="1"/>
  <c r="CT8" i="1" s="1"/>
  <c r="CT55" i="1" s="1"/>
  <c r="CT5" i="3" s="1"/>
  <c r="CT8" i="3" s="1"/>
  <c r="CT55" i="3" s="1"/>
  <c r="CT5" i="4" s="1"/>
  <c r="CT8" i="4" s="1"/>
  <c r="CT55" i="4" s="1"/>
  <c r="CT5" i="5" s="1"/>
  <c r="CT8" i="5" s="1"/>
  <c r="CT55" i="5" s="1"/>
  <c r="CT5" i="6" s="1"/>
  <c r="CT8" i="6" s="1"/>
  <c r="CT55" i="6" s="1"/>
  <c r="CT5" i="7" s="1"/>
  <c r="CT8" i="7" s="1"/>
  <c r="CT55" i="7" s="1"/>
  <c r="CT5" i="8" s="1"/>
  <c r="CT8" i="8" s="1"/>
  <c r="CT55" i="8" s="1"/>
  <c r="CT5" i="9" s="1"/>
  <c r="CT8" i="9" s="1"/>
  <c r="CT55" i="9" s="1"/>
  <c r="CT5" i="10" s="1"/>
  <c r="CT8" i="10" s="1"/>
  <c r="CT55" i="10" s="1"/>
  <c r="CT5" i="11" s="1"/>
  <c r="CT8" i="11" s="1"/>
  <c r="CT55" i="11" s="1"/>
  <c r="CT5" i="12" s="1"/>
  <c r="CT8" i="12" s="1"/>
  <c r="CT55" i="12" s="1"/>
  <c r="CT5" i="13" s="1"/>
  <c r="CT8" i="13" s="1"/>
  <c r="CT55" i="13" s="1"/>
  <c r="CS5" i="1"/>
  <c r="CR5" i="1"/>
  <c r="CQ5" i="1"/>
  <c r="CP5" i="1"/>
  <c r="CP8" i="1" s="1"/>
  <c r="CO5" i="1"/>
  <c r="CO8" i="1" s="1"/>
  <c r="CN5" i="1"/>
  <c r="CN8" i="1" s="1"/>
  <c r="CN55" i="1" s="1"/>
  <c r="CN5" i="3" s="1"/>
  <c r="CN8" i="3" s="1"/>
  <c r="CN55" i="3" s="1"/>
  <c r="CN5" i="4" s="1"/>
  <c r="CN8" i="4" s="1"/>
  <c r="CN55" i="4" s="1"/>
  <c r="CN5" i="5" s="1"/>
  <c r="CN8" i="5" s="1"/>
  <c r="CN55" i="5" s="1"/>
  <c r="CN5" i="6" s="1"/>
  <c r="CN8" i="6" s="1"/>
  <c r="CN55" i="6" s="1"/>
  <c r="CN5" i="7" s="1"/>
  <c r="CN8" i="7" s="1"/>
  <c r="CN55" i="7" s="1"/>
  <c r="CN5" i="8" s="1"/>
  <c r="CN8" i="8" s="1"/>
  <c r="CN55" i="8" s="1"/>
  <c r="CN5" i="9" s="1"/>
  <c r="CN8" i="9" s="1"/>
  <c r="CN55" i="9" s="1"/>
  <c r="CN5" i="10" s="1"/>
  <c r="CN8" i="10" s="1"/>
  <c r="CN55" i="10" s="1"/>
  <c r="CN5" i="11" s="1"/>
  <c r="CN8" i="11" s="1"/>
  <c r="CN55" i="11" s="1"/>
  <c r="CN5" i="12" s="1"/>
  <c r="CN8" i="12" s="1"/>
  <c r="CN55" i="12" s="1"/>
  <c r="CN5" i="13" s="1"/>
  <c r="CN8" i="13" s="1"/>
  <c r="CN55" i="13" s="1"/>
  <c r="CM5" i="1"/>
  <c r="CM8" i="1" s="1"/>
  <c r="CM55" i="1" s="1"/>
  <c r="CM5" i="3" s="1"/>
  <c r="CM8" i="3" s="1"/>
  <c r="CM55" i="3" s="1"/>
  <c r="CM5" i="4" s="1"/>
  <c r="CM8" i="4" s="1"/>
  <c r="CM55" i="4" s="1"/>
  <c r="CM5" i="5" s="1"/>
  <c r="CM8" i="5" s="1"/>
  <c r="CM55" i="5" s="1"/>
  <c r="CM5" i="6" s="1"/>
  <c r="CM8" i="6" s="1"/>
  <c r="CM55" i="6" s="1"/>
  <c r="CM5" i="7" s="1"/>
  <c r="CM8" i="7" s="1"/>
  <c r="CM55" i="7" s="1"/>
  <c r="CM5" i="8" s="1"/>
  <c r="CM8" i="8" s="1"/>
  <c r="CM55" i="8" s="1"/>
  <c r="CM5" i="9" s="1"/>
  <c r="CM8" i="9" s="1"/>
  <c r="CM55" i="9" s="1"/>
  <c r="CM5" i="10" s="1"/>
  <c r="CM8" i="10" s="1"/>
  <c r="CM55" i="10" s="1"/>
  <c r="CM5" i="11" s="1"/>
  <c r="CM8" i="11" s="1"/>
  <c r="CM55" i="11" s="1"/>
  <c r="CM5" i="12" s="1"/>
  <c r="CM8" i="12" s="1"/>
  <c r="CM55" i="12" s="1"/>
  <c r="CM5" i="13" s="1"/>
  <c r="CM8" i="13" s="1"/>
  <c r="CM55" i="13" s="1"/>
  <c r="CL5" i="1"/>
  <c r="CK5" i="1"/>
  <c r="CJ5" i="1"/>
  <c r="CI5" i="1"/>
  <c r="CI8" i="1" s="1"/>
  <c r="CH5" i="1"/>
  <c r="CH8" i="1" s="1"/>
  <c r="CG5" i="1"/>
  <c r="CG8" i="1" s="1"/>
  <c r="CG55" i="1" s="1"/>
  <c r="CG5" i="3" s="1"/>
  <c r="CG8" i="3" s="1"/>
  <c r="CG55" i="3" s="1"/>
  <c r="CG5" i="4" s="1"/>
  <c r="CG8" i="4" s="1"/>
  <c r="CG55" i="4" s="1"/>
  <c r="CG5" i="5" s="1"/>
  <c r="CG8" i="5" s="1"/>
  <c r="CG55" i="5" s="1"/>
  <c r="CG5" i="6" s="1"/>
  <c r="CG8" i="6" s="1"/>
  <c r="CG55" i="6" s="1"/>
  <c r="CG5" i="7" s="1"/>
  <c r="CG8" i="7" s="1"/>
  <c r="CG55" i="7" s="1"/>
  <c r="CG5" i="8" s="1"/>
  <c r="CG8" i="8" s="1"/>
  <c r="CG55" i="8" s="1"/>
  <c r="CG5" i="9" s="1"/>
  <c r="CG8" i="9" s="1"/>
  <c r="CG55" i="9" s="1"/>
  <c r="CG5" i="10" s="1"/>
  <c r="CG8" i="10" s="1"/>
  <c r="CG55" i="10" s="1"/>
  <c r="CG5" i="11" s="1"/>
  <c r="CG8" i="11" s="1"/>
  <c r="CG55" i="11" s="1"/>
  <c r="CG5" i="12" s="1"/>
  <c r="CG8" i="12" s="1"/>
  <c r="CG55" i="12" s="1"/>
  <c r="CG5" i="13" s="1"/>
  <c r="CG8" i="13" s="1"/>
  <c r="CG55" i="13" s="1"/>
  <c r="CF5" i="1"/>
  <c r="CE5" i="1"/>
  <c r="CE8" i="1" s="1"/>
  <c r="CD5" i="1"/>
  <c r="CD8" i="1" s="1"/>
  <c r="CC5" i="1"/>
  <c r="CC8" i="1" s="1"/>
  <c r="CB5" i="1"/>
  <c r="CB8" i="1" s="1"/>
  <c r="CB55" i="1" s="1"/>
  <c r="CB5" i="3" s="1"/>
  <c r="CB8" i="3" s="1"/>
  <c r="CB55" i="3" s="1"/>
  <c r="CB5" i="4" s="1"/>
  <c r="CB8" i="4" s="1"/>
  <c r="CB55" i="4" s="1"/>
  <c r="CB5" i="5" s="1"/>
  <c r="CB8" i="5" s="1"/>
  <c r="CB55" i="5" s="1"/>
  <c r="CB5" i="6" s="1"/>
  <c r="CB8" i="6" s="1"/>
  <c r="CB55" i="6" s="1"/>
  <c r="CB5" i="7" s="1"/>
  <c r="CB8" i="7" s="1"/>
  <c r="CB55" i="7" s="1"/>
  <c r="CB5" i="8" s="1"/>
  <c r="CB8" i="8" s="1"/>
  <c r="CB55" i="8" s="1"/>
  <c r="CB5" i="9" s="1"/>
  <c r="CB8" i="9" s="1"/>
  <c r="CB55" i="9" s="1"/>
  <c r="CB5" i="10" s="1"/>
  <c r="CB8" i="10" s="1"/>
  <c r="CB55" i="10" s="1"/>
  <c r="CB5" i="11" s="1"/>
  <c r="CB8" i="11" s="1"/>
  <c r="CB55" i="11" s="1"/>
  <c r="CB5" i="12" s="1"/>
  <c r="CB8" i="12" s="1"/>
  <c r="CB55" i="12" s="1"/>
  <c r="CB5" i="13" s="1"/>
  <c r="CB8" i="13" s="1"/>
  <c r="CB55" i="13" s="1"/>
  <c r="CA5" i="1"/>
  <c r="CA8" i="1" s="1"/>
  <c r="BZ5" i="1"/>
  <c r="BY5" i="1"/>
  <c r="BX5" i="1"/>
  <c r="BW5" i="1"/>
  <c r="BW8" i="1" s="1"/>
  <c r="BV5" i="1"/>
  <c r="BU5" i="1"/>
  <c r="BU8" i="1" s="1"/>
  <c r="BT5" i="1"/>
  <c r="BS5" i="1"/>
  <c r="BR5" i="1"/>
  <c r="BR8" i="1" s="1"/>
  <c r="BQ5" i="1"/>
  <c r="BQ8" i="1" s="1"/>
  <c r="BO5" i="1"/>
  <c r="BO8" i="1" s="1"/>
  <c r="BK5" i="1"/>
  <c r="BK8" i="1" s="1"/>
  <c r="BJ5" i="1"/>
  <c r="BI5" i="1"/>
  <c r="BH5" i="1"/>
  <c r="BG5" i="1"/>
  <c r="BG8" i="1" s="1"/>
  <c r="BF5" i="1"/>
  <c r="BE5" i="1"/>
  <c r="BE8" i="1" s="1"/>
  <c r="AZ5" i="1"/>
  <c r="AY5" i="1"/>
  <c r="G106" i="1" s="1"/>
  <c r="AX5" i="1"/>
  <c r="AX8" i="1" s="1"/>
  <c r="AW5" i="1"/>
  <c r="G94" i="1" s="1"/>
  <c r="AV5" i="1"/>
  <c r="AV8" i="1" s="1"/>
  <c r="AU5" i="1"/>
  <c r="AU8" i="1" s="1"/>
  <c r="AT5" i="1"/>
  <c r="AS5" i="1"/>
  <c r="AR5" i="1"/>
  <c r="AQ5" i="1"/>
  <c r="AQ8" i="1" s="1"/>
  <c r="AP5" i="1"/>
  <c r="AP8" i="1" s="1"/>
  <c r="AP55" i="1" s="1"/>
  <c r="AP5" i="3" s="1"/>
  <c r="AP8" i="3" s="1"/>
  <c r="AP55" i="3" s="1"/>
  <c r="AP5" i="4" s="1"/>
  <c r="AP8" i="4" s="1"/>
  <c r="AP55" i="4" s="1"/>
  <c r="AP5" i="5" s="1"/>
  <c r="AP8" i="5" s="1"/>
  <c r="AP55" i="5" s="1"/>
  <c r="AP5" i="6" s="1"/>
  <c r="AP8" i="6" s="1"/>
  <c r="AP55" i="6" s="1"/>
  <c r="AP5" i="7" s="1"/>
  <c r="AO5" i="1"/>
  <c r="AO8" i="1" s="1"/>
  <c r="AO55" i="1" s="1"/>
  <c r="AO5" i="3" s="1"/>
  <c r="AO8" i="3" s="1"/>
  <c r="AO55" i="3" s="1"/>
  <c r="AO5" i="4" s="1"/>
  <c r="AO8" i="4" s="1"/>
  <c r="AO55" i="4" s="1"/>
  <c r="AO5" i="5" s="1"/>
  <c r="AO8" i="5" s="1"/>
  <c r="AO55" i="5" s="1"/>
  <c r="AO5" i="6" s="1"/>
  <c r="AO8" i="6" s="1"/>
  <c r="AO55" i="6" s="1"/>
  <c r="AO5" i="7" s="1"/>
  <c r="AO8" i="7" s="1"/>
  <c r="AO55" i="7" s="1"/>
  <c r="AO5" i="8" s="1"/>
  <c r="AO8" i="8" s="1"/>
  <c r="AO55" i="8" s="1"/>
  <c r="AO5" i="9" s="1"/>
  <c r="AO8" i="9" s="1"/>
  <c r="AO55" i="9" s="1"/>
  <c r="AO5" i="10" s="1"/>
  <c r="AO8" i="10" s="1"/>
  <c r="AO55" i="10" s="1"/>
  <c r="AO5" i="11" s="1"/>
  <c r="AO8" i="11" s="1"/>
  <c r="AO55" i="11" s="1"/>
  <c r="AO5" i="12" s="1"/>
  <c r="AO8" i="12" s="1"/>
  <c r="AO55" i="12" s="1"/>
  <c r="AO5" i="13" s="1"/>
  <c r="AO8" i="13" s="1"/>
  <c r="AO55" i="13" s="1"/>
  <c r="AN5" i="1"/>
  <c r="AN8" i="1" s="1"/>
  <c r="AM5" i="1"/>
  <c r="AM8" i="1" s="1"/>
  <c r="AL5" i="1"/>
  <c r="AL8" i="1" s="1"/>
  <c r="AJ5" i="1"/>
  <c r="AJ8" i="1" s="1"/>
  <c r="AH5" i="1"/>
  <c r="AI8" i="1" s="1"/>
  <c r="AF5" i="1"/>
  <c r="AF8" i="1" s="1"/>
  <c r="AF55" i="1" s="1"/>
  <c r="AD5" i="1"/>
  <c r="AE5" i="1" s="1"/>
  <c r="AE8" i="1" s="1"/>
  <c r="AB5" i="1"/>
  <c r="AC5" i="1" s="1"/>
  <c r="AC8" i="1" s="1"/>
  <c r="AC55" i="1" s="1"/>
  <c r="AC5" i="3" s="1"/>
  <c r="AC8" i="3" s="1"/>
  <c r="AC55" i="3" s="1"/>
  <c r="AC5" i="4" s="1"/>
  <c r="AC8" i="4" s="1"/>
  <c r="AC55" i="4" s="1"/>
  <c r="AC5" i="5" s="1"/>
  <c r="AC8" i="5" s="1"/>
  <c r="AC55" i="5" s="1"/>
  <c r="AC5" i="6" s="1"/>
  <c r="AC8" i="6" s="1"/>
  <c r="AC55" i="6" s="1"/>
  <c r="AC5" i="7" s="1"/>
  <c r="AC8" i="7" s="1"/>
  <c r="AC55" i="7" s="1"/>
  <c r="AC5" i="8" s="1"/>
  <c r="AC8" i="8" s="1"/>
  <c r="AC55" i="8" s="1"/>
  <c r="AC5" i="9" s="1"/>
  <c r="AC8" i="9" s="1"/>
  <c r="AC55" i="9" s="1"/>
  <c r="AC5" i="10" s="1"/>
  <c r="AC8" i="10" s="1"/>
  <c r="AC55" i="10" s="1"/>
  <c r="AC5" i="11" s="1"/>
  <c r="AC8" i="11" s="1"/>
  <c r="AC55" i="11" s="1"/>
  <c r="AC5" i="12" s="1"/>
  <c r="AC8" i="12" s="1"/>
  <c r="AC55" i="12" s="1"/>
  <c r="AC5" i="13" s="1"/>
  <c r="AC8" i="13" s="1"/>
  <c r="AC55" i="13" s="1"/>
  <c r="Z5" i="1"/>
  <c r="AA5" i="1" s="1"/>
  <c r="AA8" i="1" s="1"/>
  <c r="X5" i="1"/>
  <c r="Y5" i="1" s="1"/>
  <c r="Y8" i="1" s="1"/>
  <c r="V5" i="1"/>
  <c r="W5" i="1" s="1"/>
  <c r="W8" i="1" s="1"/>
  <c r="T5" i="1"/>
  <c r="U5" i="1" s="1"/>
  <c r="U8" i="1" s="1"/>
  <c r="R5" i="1"/>
  <c r="S5" i="1" s="1"/>
  <c r="S8" i="1" s="1"/>
  <c r="P5" i="1"/>
  <c r="Q5" i="1" s="1"/>
  <c r="Q8" i="1" s="1"/>
  <c r="N5" i="1"/>
  <c r="O5" i="1" s="1"/>
  <c r="O8" i="1" s="1"/>
  <c r="M5" i="1"/>
  <c r="M8" i="1" s="1"/>
  <c r="L5" i="1"/>
  <c r="L8" i="1" s="1"/>
  <c r="K5" i="1"/>
  <c r="K8" i="1" s="1"/>
  <c r="J5" i="1"/>
  <c r="H5" i="1"/>
  <c r="H8" i="1" s="1"/>
  <c r="H55" i="1" s="1"/>
  <c r="H5" i="3" s="1"/>
  <c r="H8" i="3" s="1"/>
  <c r="H55" i="3" s="1"/>
  <c r="H5" i="4" s="1"/>
  <c r="H8" i="4" s="1"/>
  <c r="H55" i="4" s="1"/>
  <c r="H5" i="5" s="1"/>
  <c r="H8" i="5" s="1"/>
  <c r="H55" i="5" s="1"/>
  <c r="H5" i="6" s="1"/>
  <c r="H8" i="6" s="1"/>
  <c r="H55" i="6" s="1"/>
  <c r="H5" i="7" s="1"/>
  <c r="H8" i="7" s="1"/>
  <c r="H55" i="7" s="1"/>
  <c r="H5" i="8" s="1"/>
  <c r="H8" i="8" s="1"/>
  <c r="H55" i="8" s="1"/>
  <c r="H5" i="9" s="1"/>
  <c r="H8" i="9" s="1"/>
  <c r="H55" i="9" s="1"/>
  <c r="H5" i="10" s="1"/>
  <c r="H8" i="10" s="1"/>
  <c r="H55" i="10" s="1"/>
  <c r="H5" i="11" s="1"/>
  <c r="H8" i="11" s="1"/>
  <c r="H55" i="11" s="1"/>
  <c r="H5" i="12" s="1"/>
  <c r="H8" i="12" s="1"/>
  <c r="H55" i="12" s="1"/>
  <c r="H5" i="13" s="1"/>
  <c r="H8" i="13" s="1"/>
  <c r="H55" i="13" s="1"/>
  <c r="G5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J110" i="1" s="1"/>
  <c r="I102" i="1"/>
  <c r="I110" i="1" s="1"/>
  <c r="H102" i="1"/>
  <c r="H110" i="1" s="1"/>
  <c r="K101" i="1"/>
  <c r="J101" i="1"/>
  <c r="I101" i="1"/>
  <c r="H101" i="1"/>
  <c r="K100" i="1"/>
  <c r="J100" i="1"/>
  <c r="I100" i="1"/>
  <c r="H100" i="1"/>
  <c r="G100" i="1"/>
  <c r="L99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G91" i="1"/>
  <c r="K90" i="1"/>
  <c r="J90" i="1"/>
  <c r="I90" i="1"/>
  <c r="H90" i="1"/>
  <c r="C84" i="1"/>
  <c r="C83" i="1"/>
  <c r="C82" i="1"/>
  <c r="D76" i="1"/>
  <c r="D72" i="1"/>
  <c r="CV54" i="1"/>
  <c r="CU54" i="1"/>
  <c r="CT54" i="1"/>
  <c r="CS54" i="1"/>
  <c r="CI54" i="1"/>
  <c r="CH54" i="1"/>
  <c r="CG54" i="1"/>
  <c r="BK54" i="1"/>
  <c r="BJ54" i="1"/>
  <c r="BI54" i="1"/>
  <c r="AM54" i="1"/>
  <c r="AL54" i="1"/>
  <c r="AK54" i="1"/>
  <c r="N54" i="1"/>
  <c r="CR53" i="1"/>
  <c r="CR54" i="1" s="1"/>
  <c r="CQ53" i="1"/>
  <c r="CQ54" i="1" s="1"/>
  <c r="CP53" i="1"/>
  <c r="CP54" i="1" s="1"/>
  <c r="CO53" i="1"/>
  <c r="CO54" i="1" s="1"/>
  <c r="CN53" i="1"/>
  <c r="CN54" i="1" s="1"/>
  <c r="CM53" i="1"/>
  <c r="CM54" i="1" s="1"/>
  <c r="CL53" i="1"/>
  <c r="CL54" i="1" s="1"/>
  <c r="CK53" i="1"/>
  <c r="CK54" i="1" s="1"/>
  <c r="CJ53" i="1"/>
  <c r="CJ54" i="1" s="1"/>
  <c r="CI53" i="1"/>
  <c r="CH53" i="1"/>
  <c r="CG53" i="1"/>
  <c r="CF53" i="1"/>
  <c r="CF54" i="1" s="1"/>
  <c r="CE53" i="1"/>
  <c r="CE54" i="1" s="1"/>
  <c r="CD53" i="1"/>
  <c r="CD54" i="1" s="1"/>
  <c r="CC53" i="1"/>
  <c r="CC54" i="1" s="1"/>
  <c r="CB53" i="1"/>
  <c r="CB54" i="1" s="1"/>
  <c r="CA53" i="1"/>
  <c r="BZ53" i="1"/>
  <c r="BZ54" i="1" s="1"/>
  <c r="BY53" i="1"/>
  <c r="BY54" i="1" s="1"/>
  <c r="BX53" i="1"/>
  <c r="BX54" i="1" s="1"/>
  <c r="BW53" i="1"/>
  <c r="BW54" i="1" s="1"/>
  <c r="BV53" i="1"/>
  <c r="BV54" i="1" s="1"/>
  <c r="BU53" i="1"/>
  <c r="BU54" i="1" s="1"/>
  <c r="BT53" i="1"/>
  <c r="BT54" i="1" s="1"/>
  <c r="BS53" i="1"/>
  <c r="BS54" i="1" s="1"/>
  <c r="BR53" i="1"/>
  <c r="BR54" i="1" s="1"/>
  <c r="BQ53" i="1"/>
  <c r="BQ54" i="1" s="1"/>
  <c r="BP53" i="1"/>
  <c r="BO53" i="1"/>
  <c r="BO54" i="1" s="1"/>
  <c r="BN53" i="1"/>
  <c r="BN54" i="1" s="1"/>
  <c r="BM53" i="1"/>
  <c r="BL53" i="1"/>
  <c r="BL54" i="1" s="1"/>
  <c r="BK53" i="1"/>
  <c r="BJ53" i="1"/>
  <c r="L103" i="1" s="1"/>
  <c r="BI53" i="1"/>
  <c r="L97" i="1" s="1"/>
  <c r="BH53" i="1"/>
  <c r="L91" i="1" s="1"/>
  <c r="BG53" i="1"/>
  <c r="BG54" i="1" s="1"/>
  <c r="BF53" i="1"/>
  <c r="BF54" i="1" s="1"/>
  <c r="BE53" i="1"/>
  <c r="L93" i="1" s="1"/>
  <c r="BD53" i="1"/>
  <c r="L104" i="1" s="1"/>
  <c r="BC53" i="1"/>
  <c r="BC54" i="1" s="1"/>
  <c r="BB53" i="1"/>
  <c r="BB54" i="1" s="1"/>
  <c r="BA53" i="1"/>
  <c r="BA54" i="1" s="1"/>
  <c r="AZ53" i="1"/>
  <c r="AZ54" i="1" s="1"/>
  <c r="AY53" i="1"/>
  <c r="L106" i="1" s="1"/>
  <c r="AX53" i="1"/>
  <c r="AX54" i="1" s="1"/>
  <c r="AW53" i="1"/>
  <c r="L94" i="1" s="1"/>
  <c r="AV53" i="1"/>
  <c r="AV54" i="1" s="1"/>
  <c r="AU53" i="1"/>
  <c r="AU54" i="1" s="1"/>
  <c r="AT53" i="1"/>
  <c r="AT54" i="1" s="1"/>
  <c r="AS53" i="1"/>
  <c r="L96" i="1" s="1"/>
  <c r="AR53" i="1"/>
  <c r="L90" i="1" s="1"/>
  <c r="AQ53" i="1"/>
  <c r="AQ54" i="1" s="1"/>
  <c r="AP53" i="1"/>
  <c r="AP54" i="1" s="1"/>
  <c r="AO53" i="1"/>
  <c r="AO54" i="1" s="1"/>
  <c r="AN53" i="1"/>
  <c r="AN54" i="1" s="1"/>
  <c r="AM53" i="1"/>
  <c r="AL53" i="1"/>
  <c r="AK53" i="1"/>
  <c r="AJ53" i="1"/>
  <c r="AJ54" i="1" s="1"/>
  <c r="AI53" i="1"/>
  <c r="AI54" i="1" s="1"/>
  <c r="AH53" i="1"/>
  <c r="AH54" i="1" s="1"/>
  <c r="AG53" i="1"/>
  <c r="AG54" i="1" s="1"/>
  <c r="AF53" i="1"/>
  <c r="AF54" i="1" s="1"/>
  <c r="AE53" i="1"/>
  <c r="AE54" i="1" s="1"/>
  <c r="AD53" i="1"/>
  <c r="AD54" i="1" s="1"/>
  <c r="AC53" i="1"/>
  <c r="AC54" i="1" s="1"/>
  <c r="AB53" i="1"/>
  <c r="AB54" i="1" s="1"/>
  <c r="AA53" i="1"/>
  <c r="AA54" i="1" s="1"/>
  <c r="Z53" i="1"/>
  <c r="Z54" i="1" s="1"/>
  <c r="Y53" i="1"/>
  <c r="Y54" i="1" s="1"/>
  <c r="X53" i="1"/>
  <c r="X54" i="1" s="1"/>
  <c r="W53" i="1"/>
  <c r="W54" i="1" s="1"/>
  <c r="V53" i="1"/>
  <c r="V54" i="1" s="1"/>
  <c r="U53" i="1"/>
  <c r="U54" i="1" s="1"/>
  <c r="T53" i="1"/>
  <c r="T54" i="1" s="1"/>
  <c r="S53" i="1"/>
  <c r="R53" i="1"/>
  <c r="R54" i="1" s="1"/>
  <c r="Q53" i="1"/>
  <c r="Q54" i="1" s="1"/>
  <c r="P53" i="1"/>
  <c r="O53" i="1"/>
  <c r="O54" i="1" s="1"/>
  <c r="N53" i="1"/>
  <c r="M53" i="1"/>
  <c r="L53" i="1"/>
  <c r="K53" i="1"/>
  <c r="K54" i="1" s="1"/>
  <c r="J53" i="1"/>
  <c r="J54" i="1" s="1"/>
  <c r="I53" i="1"/>
  <c r="I54" i="1" s="1"/>
  <c r="H53" i="1"/>
  <c r="H54" i="1" s="1"/>
  <c r="G53" i="1"/>
  <c r="G54" i="1" s="1"/>
  <c r="F53" i="1"/>
  <c r="F54" i="1" s="1"/>
  <c r="E53" i="1"/>
  <c r="D53" i="1"/>
  <c r="D54" i="1" s="1"/>
  <c r="BP54" i="1"/>
  <c r="CW52" i="1"/>
  <c r="CW51" i="1"/>
  <c r="CW50" i="1"/>
  <c r="CW49" i="1"/>
  <c r="CW48" i="1"/>
  <c r="CW47" i="1"/>
  <c r="CW46" i="1"/>
  <c r="CW45" i="1"/>
  <c r="CW44" i="1"/>
  <c r="CW43" i="1"/>
  <c r="D84" i="1" s="1"/>
  <c r="CW42" i="1"/>
  <c r="D83" i="1" s="1"/>
  <c r="CW41" i="1"/>
  <c r="D71" i="1" s="1"/>
  <c r="CW40" i="1"/>
  <c r="D82" i="1" s="1"/>
  <c r="CW39" i="1"/>
  <c r="D70" i="1" s="1"/>
  <c r="CW38" i="1"/>
  <c r="D81" i="1" s="1"/>
  <c r="CW37" i="1"/>
  <c r="D69" i="1" s="1"/>
  <c r="CW36" i="1"/>
  <c r="D80" i="1" s="1"/>
  <c r="CW35" i="1"/>
  <c r="CW34" i="1"/>
  <c r="D68" i="1" s="1"/>
  <c r="CW33" i="1"/>
  <c r="D79" i="1" s="1"/>
  <c r="CW32" i="1"/>
  <c r="D67" i="1" s="1"/>
  <c r="CW31" i="1"/>
  <c r="D66" i="1" s="1"/>
  <c r="CW30" i="1"/>
  <c r="D78" i="1" s="1"/>
  <c r="CW29" i="1"/>
  <c r="CW28" i="1"/>
  <c r="D77" i="1" s="1"/>
  <c r="CW27" i="1"/>
  <c r="CW26" i="1"/>
  <c r="CW25" i="1"/>
  <c r="CW24" i="1"/>
  <c r="CW23" i="1"/>
  <c r="CW22" i="1"/>
  <c r="D65" i="1" s="1"/>
  <c r="CW21" i="1"/>
  <c r="CW20" i="1"/>
  <c r="CW19" i="1"/>
  <c r="CW18" i="1"/>
  <c r="D61" i="1" s="1"/>
  <c r="CW17" i="1"/>
  <c r="D74" i="1" s="1"/>
  <c r="CW16" i="1"/>
  <c r="CW15" i="1"/>
  <c r="CW14" i="1"/>
  <c r="CW13" i="1"/>
  <c r="CW12" i="1"/>
  <c r="D64" i="1" s="1"/>
  <c r="S54" i="1"/>
  <c r="CW10" i="1"/>
  <c r="CW9" i="1"/>
  <c r="CV8" i="1"/>
  <c r="CV55" i="1" s="1"/>
  <c r="CV5" i="3" s="1"/>
  <c r="CV8" i="3" s="1"/>
  <c r="CV55" i="3" s="1"/>
  <c r="CV5" i="4" s="1"/>
  <c r="CV8" i="4" s="1"/>
  <c r="CV55" i="4" s="1"/>
  <c r="CV5" i="5" s="1"/>
  <c r="CV8" i="5" s="1"/>
  <c r="CV55" i="5" s="1"/>
  <c r="CV5" i="6" s="1"/>
  <c r="CV8" i="6" s="1"/>
  <c r="CV55" i="6" s="1"/>
  <c r="CV5" i="7" s="1"/>
  <c r="CV8" i="7" s="1"/>
  <c r="CV55" i="7" s="1"/>
  <c r="CV5" i="8" s="1"/>
  <c r="CV8" i="8" s="1"/>
  <c r="CV55" i="8" s="1"/>
  <c r="CV5" i="9" s="1"/>
  <c r="CV8" i="9" s="1"/>
  <c r="CV55" i="9" s="1"/>
  <c r="CV5" i="10" s="1"/>
  <c r="CV8" i="10" s="1"/>
  <c r="CV55" i="10" s="1"/>
  <c r="CV5" i="11" s="1"/>
  <c r="CV8" i="11" s="1"/>
  <c r="CV55" i="11" s="1"/>
  <c r="CV5" i="12" s="1"/>
  <c r="CV8" i="12" s="1"/>
  <c r="CV55" i="12" s="1"/>
  <c r="CV5" i="13" s="1"/>
  <c r="CV8" i="13" s="1"/>
  <c r="CV55" i="13" s="1"/>
  <c r="CS8" i="1"/>
  <c r="CS55" i="1" s="1"/>
  <c r="CS5" i="3" s="1"/>
  <c r="CS8" i="3" s="1"/>
  <c r="CS55" i="3" s="1"/>
  <c r="CS5" i="4" s="1"/>
  <c r="CS8" i="4" s="1"/>
  <c r="CS55" i="4" s="1"/>
  <c r="CS5" i="5" s="1"/>
  <c r="CS8" i="5" s="1"/>
  <c r="CS55" i="5" s="1"/>
  <c r="CS5" i="6" s="1"/>
  <c r="CS8" i="6" s="1"/>
  <c r="CS55" i="6" s="1"/>
  <c r="CS5" i="7" s="1"/>
  <c r="CS8" i="7" s="1"/>
  <c r="CS55" i="7" s="1"/>
  <c r="CS5" i="8" s="1"/>
  <c r="CS8" i="8" s="1"/>
  <c r="CS55" i="8" s="1"/>
  <c r="CS5" i="9" s="1"/>
  <c r="CS8" i="9" s="1"/>
  <c r="CS55" i="9" s="1"/>
  <c r="CS5" i="10" s="1"/>
  <c r="CS8" i="10" s="1"/>
  <c r="CS55" i="10" s="1"/>
  <c r="CS5" i="11" s="1"/>
  <c r="CS8" i="11" s="1"/>
  <c r="CS55" i="11" s="1"/>
  <c r="CS5" i="12" s="1"/>
  <c r="CS8" i="12" s="1"/>
  <c r="CS55" i="12" s="1"/>
  <c r="CS5" i="13" s="1"/>
  <c r="CS8" i="13" s="1"/>
  <c r="CS55" i="13" s="1"/>
  <c r="CR8" i="1"/>
  <c r="CJ8" i="1"/>
  <c r="CF8" i="1"/>
  <c r="BX8" i="1"/>
  <c r="BV8" i="1"/>
  <c r="BT8" i="1"/>
  <c r="BJ8" i="1"/>
  <c r="BI8" i="1"/>
  <c r="BI55" i="1" s="1"/>
  <c r="BI5" i="3" s="1"/>
  <c r="BH8" i="1"/>
  <c r="BF8" i="1"/>
  <c r="AZ8" i="1"/>
  <c r="AT8" i="1"/>
  <c r="AB8" i="1"/>
  <c r="Z8" i="1"/>
  <c r="J8" i="1"/>
  <c r="CQ8" i="1"/>
  <c r="CL8" i="1"/>
  <c r="CL55" i="1" s="1"/>
  <c r="CL5" i="3" s="1"/>
  <c r="CL8" i="3" s="1"/>
  <c r="CL55" i="3" s="1"/>
  <c r="CL5" i="4" s="1"/>
  <c r="CL8" i="4" s="1"/>
  <c r="CL55" i="4" s="1"/>
  <c r="CL5" i="5" s="1"/>
  <c r="CL8" i="5" s="1"/>
  <c r="CL55" i="5" s="1"/>
  <c r="CL5" i="6" s="1"/>
  <c r="CL8" i="6" s="1"/>
  <c r="CL55" i="6" s="1"/>
  <c r="CL5" i="7" s="1"/>
  <c r="CL8" i="7" s="1"/>
  <c r="CL55" i="7" s="1"/>
  <c r="CL5" i="8" s="1"/>
  <c r="CL8" i="8" s="1"/>
  <c r="CL55" i="8" s="1"/>
  <c r="CL5" i="9" s="1"/>
  <c r="CL8" i="9" s="1"/>
  <c r="CL55" i="9" s="1"/>
  <c r="CL5" i="10" s="1"/>
  <c r="CL8" i="10" s="1"/>
  <c r="CL55" i="10" s="1"/>
  <c r="CL5" i="11" s="1"/>
  <c r="CL8" i="11" s="1"/>
  <c r="CL55" i="11" s="1"/>
  <c r="CL5" i="12" s="1"/>
  <c r="CL8" i="12" s="1"/>
  <c r="CL55" i="12" s="1"/>
  <c r="CL5" i="13" s="1"/>
  <c r="CL8" i="13" s="1"/>
  <c r="CL55" i="13" s="1"/>
  <c r="CK8" i="1"/>
  <c r="CK55" i="1" s="1"/>
  <c r="CK5" i="3" s="1"/>
  <c r="CK8" i="3" s="1"/>
  <c r="CK55" i="3" s="1"/>
  <c r="CK5" i="4" s="1"/>
  <c r="CK8" i="4" s="1"/>
  <c r="CK55" i="4" s="1"/>
  <c r="CK5" i="5" s="1"/>
  <c r="CK8" i="5" s="1"/>
  <c r="CK55" i="5" s="1"/>
  <c r="CK5" i="6" s="1"/>
  <c r="CK8" i="6" s="1"/>
  <c r="CK55" i="6" s="1"/>
  <c r="CK5" i="7" s="1"/>
  <c r="CK8" i="7" s="1"/>
  <c r="CK55" i="7" s="1"/>
  <c r="CK5" i="8" s="1"/>
  <c r="CK8" i="8" s="1"/>
  <c r="CK55" i="8" s="1"/>
  <c r="CK5" i="9" s="1"/>
  <c r="CK8" i="9" s="1"/>
  <c r="CK55" i="9" s="1"/>
  <c r="CK5" i="10" s="1"/>
  <c r="CK8" i="10" s="1"/>
  <c r="CK55" i="10" s="1"/>
  <c r="CK5" i="11" s="1"/>
  <c r="CK8" i="11" s="1"/>
  <c r="CK55" i="11" s="1"/>
  <c r="CK5" i="12" s="1"/>
  <c r="CK8" i="12" s="1"/>
  <c r="CK55" i="12" s="1"/>
  <c r="CK5" i="13" s="1"/>
  <c r="CK8" i="13" s="1"/>
  <c r="CK55" i="13" s="1"/>
  <c r="BZ8" i="1"/>
  <c r="BZ55" i="1" s="1"/>
  <c r="BZ5" i="3" s="1"/>
  <c r="BZ8" i="3" s="1"/>
  <c r="BZ55" i="3" s="1"/>
  <c r="BZ5" i="4" s="1"/>
  <c r="BZ8" i="4" s="1"/>
  <c r="BZ55" i="4" s="1"/>
  <c r="BZ5" i="5" s="1"/>
  <c r="BZ8" i="5" s="1"/>
  <c r="BZ55" i="5" s="1"/>
  <c r="BZ5" i="6" s="1"/>
  <c r="BZ8" i="6" s="1"/>
  <c r="BZ55" i="6" s="1"/>
  <c r="BZ5" i="7" s="1"/>
  <c r="BZ8" i="7" s="1"/>
  <c r="BZ55" i="7" s="1"/>
  <c r="BZ5" i="8" s="1"/>
  <c r="BZ8" i="8" s="1"/>
  <c r="BZ55" i="8" s="1"/>
  <c r="BZ5" i="9" s="1"/>
  <c r="BZ8" i="9" s="1"/>
  <c r="BZ55" i="9" s="1"/>
  <c r="BZ5" i="10" s="1"/>
  <c r="BZ8" i="10" s="1"/>
  <c r="BZ55" i="10" s="1"/>
  <c r="BZ5" i="11" s="1"/>
  <c r="BZ8" i="11" s="1"/>
  <c r="BZ55" i="11" s="1"/>
  <c r="BZ5" i="12" s="1"/>
  <c r="BZ8" i="12" s="1"/>
  <c r="BZ55" i="12" s="1"/>
  <c r="BZ5" i="13" s="1"/>
  <c r="BZ8" i="13" s="1"/>
  <c r="BZ55" i="13" s="1"/>
  <c r="BY8" i="1"/>
  <c r="BY55" i="1" s="1"/>
  <c r="BY5" i="3" s="1"/>
  <c r="BY8" i="3" s="1"/>
  <c r="BY55" i="3" s="1"/>
  <c r="BY5" i="4" s="1"/>
  <c r="BY8" i="4" s="1"/>
  <c r="BY55" i="4" s="1"/>
  <c r="BY5" i="5" s="1"/>
  <c r="BY8" i="5" s="1"/>
  <c r="BY55" i="5" s="1"/>
  <c r="BY5" i="6" s="1"/>
  <c r="BY8" i="6" s="1"/>
  <c r="BY55" i="6" s="1"/>
  <c r="BY5" i="7" s="1"/>
  <c r="BY8" i="7" s="1"/>
  <c r="BY55" i="7" s="1"/>
  <c r="BY5" i="8" s="1"/>
  <c r="BY8" i="8" s="1"/>
  <c r="BY55" i="8" s="1"/>
  <c r="BY5" i="9" s="1"/>
  <c r="BY8" i="9" s="1"/>
  <c r="BY55" i="9" s="1"/>
  <c r="BY5" i="10" s="1"/>
  <c r="BY8" i="10" s="1"/>
  <c r="BY55" i="10" s="1"/>
  <c r="BY5" i="11" s="1"/>
  <c r="BY8" i="11" s="1"/>
  <c r="BY55" i="11" s="1"/>
  <c r="BY5" i="12" s="1"/>
  <c r="BY8" i="12" s="1"/>
  <c r="BY55" i="12" s="1"/>
  <c r="BY5" i="13" s="1"/>
  <c r="BY8" i="13" s="1"/>
  <c r="BY55" i="13" s="1"/>
  <c r="BS8" i="1"/>
  <c r="G103" i="1"/>
  <c r="M103" i="1" s="1"/>
  <c r="G97" i="1"/>
  <c r="G95" i="1"/>
  <c r="G96" i="1"/>
  <c r="AR8" i="1"/>
  <c r="AD8" i="1"/>
  <c r="AD55" i="1" s="1"/>
  <c r="R8" i="1"/>
  <c r="G8" i="1"/>
  <c r="X8" i="1" l="1"/>
  <c r="T8" i="1"/>
  <c r="T55" i="1" s="1"/>
  <c r="T5" i="3" s="1"/>
  <c r="T8" i="3" s="1"/>
  <c r="T55" i="3" s="1"/>
  <c r="T5" i="4" s="1"/>
  <c r="T8" i="4" s="1"/>
  <c r="T55" i="4" s="1"/>
  <c r="T5" i="5" s="1"/>
  <c r="T8" i="5" s="1"/>
  <c r="T55" i="5" s="1"/>
  <c r="T5" i="6" s="1"/>
  <c r="T8" i="6" s="1"/>
  <c r="T55" i="6" s="1"/>
  <c r="T5" i="7" s="1"/>
  <c r="T8" i="7" s="1"/>
  <c r="T55" i="7" s="1"/>
  <c r="T5" i="8" s="1"/>
  <c r="T8" i="8" s="1"/>
  <c r="T55" i="8" s="1"/>
  <c r="T5" i="9" s="1"/>
  <c r="T8" i="9" s="1"/>
  <c r="T55" i="9" s="1"/>
  <c r="T5" i="10" s="1"/>
  <c r="T8" i="10" s="1"/>
  <c r="T55" i="10" s="1"/>
  <c r="T5" i="11" s="1"/>
  <c r="T8" i="11" s="1"/>
  <c r="T55" i="11" s="1"/>
  <c r="T5" i="12" s="1"/>
  <c r="T8" i="12" s="1"/>
  <c r="T55" i="12" s="1"/>
  <c r="T5" i="13" s="1"/>
  <c r="T8" i="13" s="1"/>
  <c r="T55" i="13" s="1"/>
  <c r="V8" i="1"/>
  <c r="AP8" i="7"/>
  <c r="AY8" i="1"/>
  <c r="G101" i="1"/>
  <c r="N8" i="1"/>
  <c r="K109" i="1"/>
  <c r="P8" i="1"/>
  <c r="G74" i="1"/>
  <c r="AD5" i="3"/>
  <c r="AD8" i="3" s="1"/>
  <c r="AD55" i="3" s="1"/>
  <c r="BI8" i="3"/>
  <c r="BI55" i="3" s="1"/>
  <c r="BI5" i="4" s="1"/>
  <c r="G97" i="3"/>
  <c r="M97" i="3" s="1"/>
  <c r="G75" i="1"/>
  <c r="AF5" i="3"/>
  <c r="AF8" i="3" s="1"/>
  <c r="AF55" i="3" s="1"/>
  <c r="AH8" i="1"/>
  <c r="AH55" i="1" s="1"/>
  <c r="AG5" i="1"/>
  <c r="AG8" i="1" s="1"/>
  <c r="AG55" i="1" s="1"/>
  <c r="AG5" i="3" s="1"/>
  <c r="AG8" i="3" s="1"/>
  <c r="AG55" i="3" s="1"/>
  <c r="AG5" i="4" s="1"/>
  <c r="AG8" i="4" s="1"/>
  <c r="AG55" i="4" s="1"/>
  <c r="AG5" i="5" s="1"/>
  <c r="AG8" i="5" s="1"/>
  <c r="AG55" i="5" s="1"/>
  <c r="AG5" i="6" s="1"/>
  <c r="AG8" i="6" s="1"/>
  <c r="AG55" i="6" s="1"/>
  <c r="AG5" i="7" s="1"/>
  <c r="AG8" i="7" s="1"/>
  <c r="AG55" i="7" s="1"/>
  <c r="AG5" i="8" s="1"/>
  <c r="AG8" i="8" s="1"/>
  <c r="AG55" i="8" s="1"/>
  <c r="AG5" i="9" s="1"/>
  <c r="AG8" i="9" s="1"/>
  <c r="AG55" i="9" s="1"/>
  <c r="AG5" i="10" s="1"/>
  <c r="AG8" i="10" s="1"/>
  <c r="AG55" i="10" s="1"/>
  <c r="AG5" i="11" s="1"/>
  <c r="AG8" i="11" s="1"/>
  <c r="AG55" i="11" s="1"/>
  <c r="AG5" i="12" s="1"/>
  <c r="AG8" i="12" s="1"/>
  <c r="AG55" i="12" s="1"/>
  <c r="AG5" i="13" s="1"/>
  <c r="AG8" i="13" s="1"/>
  <c r="AG55" i="13" s="1"/>
  <c r="AK5" i="1"/>
  <c r="AK8" i="1" s="1"/>
  <c r="AK55" i="1" s="1"/>
  <c r="AK5" i="3" s="1"/>
  <c r="AK8" i="3" s="1"/>
  <c r="AK55" i="3" s="1"/>
  <c r="AK5" i="4" s="1"/>
  <c r="AK8" i="4" s="1"/>
  <c r="AK55" i="4" s="1"/>
  <c r="AK5" i="5" s="1"/>
  <c r="AK8" i="5" s="1"/>
  <c r="AK55" i="5" s="1"/>
  <c r="AK5" i="6" s="1"/>
  <c r="AK8" i="6" s="1"/>
  <c r="AK55" i="6" s="1"/>
  <c r="AK5" i="7" s="1"/>
  <c r="AK8" i="7" s="1"/>
  <c r="AK55" i="7" s="1"/>
  <c r="AK5" i="8" s="1"/>
  <c r="AK8" i="8" s="1"/>
  <c r="AK55" i="8" s="1"/>
  <c r="AK5" i="9" s="1"/>
  <c r="AK8" i="9" s="1"/>
  <c r="AK55" i="9" s="1"/>
  <c r="AK5" i="10" s="1"/>
  <c r="AK8" i="10" s="1"/>
  <c r="AK55" i="10" s="1"/>
  <c r="AK5" i="11" s="1"/>
  <c r="AK8" i="11" s="1"/>
  <c r="AK55" i="11" s="1"/>
  <c r="AK5" i="12" s="1"/>
  <c r="AK8" i="12" s="1"/>
  <c r="AK55" i="12" s="1"/>
  <c r="AK5" i="13" s="1"/>
  <c r="AK8" i="13" s="1"/>
  <c r="AK55" i="13" s="1"/>
  <c r="M54" i="1"/>
  <c r="M55" i="1" s="1"/>
  <c r="R55" i="1"/>
  <c r="L54" i="1"/>
  <c r="L55" i="1" s="1"/>
  <c r="AW8" i="1"/>
  <c r="J55" i="1"/>
  <c r="J5" i="3" s="1"/>
  <c r="J8" i="3" s="1"/>
  <c r="J55" i="3" s="1"/>
  <c r="J5" i="4" s="1"/>
  <c r="J8" i="4" s="1"/>
  <c r="J55" i="4" s="1"/>
  <c r="J5" i="5" s="1"/>
  <c r="J8" i="5" s="1"/>
  <c r="J55" i="5" s="1"/>
  <c r="J5" i="6" s="1"/>
  <c r="J8" i="6" s="1"/>
  <c r="J55" i="6" s="1"/>
  <c r="J5" i="7" s="1"/>
  <c r="J8" i="7" s="1"/>
  <c r="J55" i="7" s="1"/>
  <c r="J5" i="8" s="1"/>
  <c r="J8" i="8" s="1"/>
  <c r="J55" i="8" s="1"/>
  <c r="J5" i="9" s="1"/>
  <c r="J8" i="9" s="1"/>
  <c r="J55" i="9" s="1"/>
  <c r="J5" i="10" s="1"/>
  <c r="J8" i="10" s="1"/>
  <c r="J55" i="10" s="1"/>
  <c r="J5" i="11" s="1"/>
  <c r="J8" i="11" s="1"/>
  <c r="J55" i="11" s="1"/>
  <c r="J5" i="12" s="1"/>
  <c r="J8" i="12" s="1"/>
  <c r="J55" i="12" s="1"/>
  <c r="J5" i="13" s="1"/>
  <c r="J8" i="13" s="1"/>
  <c r="J55" i="13" s="1"/>
  <c r="V55" i="1"/>
  <c r="V5" i="3" s="1"/>
  <c r="V8" i="3" s="1"/>
  <c r="V55" i="3" s="1"/>
  <c r="V5" i="4" s="1"/>
  <c r="V8" i="4" s="1"/>
  <c r="V55" i="4" s="1"/>
  <c r="V5" i="5" s="1"/>
  <c r="V8" i="5" s="1"/>
  <c r="V55" i="5" s="1"/>
  <c r="V5" i="6" s="1"/>
  <c r="V8" i="6" s="1"/>
  <c r="V55" i="6" s="1"/>
  <c r="V5" i="7" s="1"/>
  <c r="V8" i="7" s="1"/>
  <c r="V55" i="7" s="1"/>
  <c r="V5" i="8" s="1"/>
  <c r="V8" i="8" s="1"/>
  <c r="V55" i="8" s="1"/>
  <c r="V5" i="9" s="1"/>
  <c r="V8" i="9" s="1"/>
  <c r="V55" i="9" s="1"/>
  <c r="V5" i="10" s="1"/>
  <c r="V8" i="10" s="1"/>
  <c r="V55" i="10" s="1"/>
  <c r="V5" i="11" s="1"/>
  <c r="V8" i="11" s="1"/>
  <c r="V55" i="11" s="1"/>
  <c r="V5" i="12" s="1"/>
  <c r="V8" i="12" s="1"/>
  <c r="V55" i="12" s="1"/>
  <c r="V5" i="13" s="1"/>
  <c r="V8" i="13" s="1"/>
  <c r="V55" i="13" s="1"/>
  <c r="AT55" i="1"/>
  <c r="AT5" i="3" s="1"/>
  <c r="BF55" i="1"/>
  <c r="BF5" i="3" s="1"/>
  <c r="BR55" i="1"/>
  <c r="BR5" i="3" s="1"/>
  <c r="BR8" i="3" s="1"/>
  <c r="BR55" i="3" s="1"/>
  <c r="BR5" i="4" s="1"/>
  <c r="BR8" i="4" s="1"/>
  <c r="BR55" i="4" s="1"/>
  <c r="BR5" i="5" s="1"/>
  <c r="BR8" i="5" s="1"/>
  <c r="BR55" i="5" s="1"/>
  <c r="BR5" i="6" s="1"/>
  <c r="BR8" i="6" s="1"/>
  <c r="BR55" i="6" s="1"/>
  <c r="BR5" i="7" s="1"/>
  <c r="BR8" i="7" s="1"/>
  <c r="BR55" i="7" s="1"/>
  <c r="BR5" i="8" s="1"/>
  <c r="BR8" i="8" s="1"/>
  <c r="BR55" i="8" s="1"/>
  <c r="BR5" i="9" s="1"/>
  <c r="BR8" i="9" s="1"/>
  <c r="BR55" i="9" s="1"/>
  <c r="BR5" i="10" s="1"/>
  <c r="BR8" i="10" s="1"/>
  <c r="BR55" i="10" s="1"/>
  <c r="BR5" i="11" s="1"/>
  <c r="BR8" i="11" s="1"/>
  <c r="BR55" i="11" s="1"/>
  <c r="BR5" i="12" s="1"/>
  <c r="BR8" i="12" s="1"/>
  <c r="BR55" i="12" s="1"/>
  <c r="BR5" i="13" s="1"/>
  <c r="BR8" i="13" s="1"/>
  <c r="BR55" i="13" s="1"/>
  <c r="CD55" i="1"/>
  <c r="CD5" i="3" s="1"/>
  <c r="CD8" i="3" s="1"/>
  <c r="CD55" i="3" s="1"/>
  <c r="CD5" i="4" s="1"/>
  <c r="CD8" i="4" s="1"/>
  <c r="CD55" i="4" s="1"/>
  <c r="CD5" i="5" s="1"/>
  <c r="CD8" i="5" s="1"/>
  <c r="CD55" i="5" s="1"/>
  <c r="CD5" i="6" s="1"/>
  <c r="CD8" i="6" s="1"/>
  <c r="CD55" i="6" s="1"/>
  <c r="CD5" i="7" s="1"/>
  <c r="CD8" i="7" s="1"/>
  <c r="CD55" i="7" s="1"/>
  <c r="CD5" i="8" s="1"/>
  <c r="CD8" i="8" s="1"/>
  <c r="CD55" i="8" s="1"/>
  <c r="CD5" i="9" s="1"/>
  <c r="CD8" i="9" s="1"/>
  <c r="CD55" i="9" s="1"/>
  <c r="CD5" i="10" s="1"/>
  <c r="CD8" i="10" s="1"/>
  <c r="CD55" i="10" s="1"/>
  <c r="CD5" i="11" s="1"/>
  <c r="CD8" i="11" s="1"/>
  <c r="CD55" i="11" s="1"/>
  <c r="CD5" i="12" s="1"/>
  <c r="CD8" i="12" s="1"/>
  <c r="CD55" i="12" s="1"/>
  <c r="CD5" i="13" s="1"/>
  <c r="CD8" i="13" s="1"/>
  <c r="CD55" i="13" s="1"/>
  <c r="CP55" i="1"/>
  <c r="CP5" i="3" s="1"/>
  <c r="CP8" i="3" s="1"/>
  <c r="CP55" i="3" s="1"/>
  <c r="CP5" i="4" s="1"/>
  <c r="CP8" i="4" s="1"/>
  <c r="CP55" i="4" s="1"/>
  <c r="CP5" i="5" s="1"/>
  <c r="CP8" i="5" s="1"/>
  <c r="CP55" i="5" s="1"/>
  <c r="CP5" i="6" s="1"/>
  <c r="CP8" i="6" s="1"/>
  <c r="CP55" i="6" s="1"/>
  <c r="CP5" i="7" s="1"/>
  <c r="CP8" i="7" s="1"/>
  <c r="CP55" i="7" s="1"/>
  <c r="CP5" i="8" s="1"/>
  <c r="CP8" i="8" s="1"/>
  <c r="CP55" i="8" s="1"/>
  <c r="CP5" i="9" s="1"/>
  <c r="CP8" i="9" s="1"/>
  <c r="CP55" i="9" s="1"/>
  <c r="CP5" i="10" s="1"/>
  <c r="CP8" i="10" s="1"/>
  <c r="CP55" i="10" s="1"/>
  <c r="CP5" i="11" s="1"/>
  <c r="CP8" i="11" s="1"/>
  <c r="CP55" i="11" s="1"/>
  <c r="CP5" i="12" s="1"/>
  <c r="CP8" i="12" s="1"/>
  <c r="CP55" i="12" s="1"/>
  <c r="CP5" i="13" s="1"/>
  <c r="CP8" i="13" s="1"/>
  <c r="CP55" i="13" s="1"/>
  <c r="AZ55" i="1"/>
  <c r="AZ5" i="3" s="1"/>
  <c r="AZ8" i="3" s="1"/>
  <c r="AZ55" i="3" s="1"/>
  <c r="AZ5" i="4" s="1"/>
  <c r="AZ8" i="4" s="1"/>
  <c r="AZ55" i="4" s="1"/>
  <c r="AZ5" i="5" s="1"/>
  <c r="AZ8" i="5" s="1"/>
  <c r="AZ55" i="5" s="1"/>
  <c r="AZ5" i="6" s="1"/>
  <c r="AZ8" i="6" s="1"/>
  <c r="AZ55" i="6" s="1"/>
  <c r="AZ5" i="7" s="1"/>
  <c r="AZ8" i="7" s="1"/>
  <c r="AZ55" i="7" s="1"/>
  <c r="AZ5" i="8" s="1"/>
  <c r="AZ8" i="8" s="1"/>
  <c r="AZ55" i="8" s="1"/>
  <c r="AZ5" i="9" s="1"/>
  <c r="AZ8" i="9" s="1"/>
  <c r="AZ55" i="9" s="1"/>
  <c r="AZ5" i="10" s="1"/>
  <c r="AZ8" i="10" s="1"/>
  <c r="AZ55" i="10" s="1"/>
  <c r="AZ5" i="11" s="1"/>
  <c r="AZ8" i="11" s="1"/>
  <c r="AZ55" i="11" s="1"/>
  <c r="AZ5" i="12" s="1"/>
  <c r="AZ8" i="12" s="1"/>
  <c r="AZ55" i="12" s="1"/>
  <c r="AZ5" i="13" s="1"/>
  <c r="AZ8" i="13" s="1"/>
  <c r="AZ55" i="13" s="1"/>
  <c r="AA55" i="1"/>
  <c r="AA5" i="3" s="1"/>
  <c r="AA8" i="3" s="1"/>
  <c r="AA55" i="3" s="1"/>
  <c r="AA5" i="4" s="1"/>
  <c r="AA8" i="4" s="1"/>
  <c r="AA55" i="4" s="1"/>
  <c r="AA5" i="5" s="1"/>
  <c r="AA8" i="5" s="1"/>
  <c r="AA55" i="5" s="1"/>
  <c r="AA5" i="6" s="1"/>
  <c r="AA8" i="6" s="1"/>
  <c r="AA55" i="6" s="1"/>
  <c r="AA5" i="7" s="1"/>
  <c r="AA8" i="7" s="1"/>
  <c r="AA55" i="7" s="1"/>
  <c r="AA5" i="8" s="1"/>
  <c r="AA8" i="8" s="1"/>
  <c r="AA55" i="8" s="1"/>
  <c r="AA5" i="9" s="1"/>
  <c r="AA8" i="9" s="1"/>
  <c r="AA55" i="9" s="1"/>
  <c r="AA5" i="10" s="1"/>
  <c r="AA8" i="10" s="1"/>
  <c r="AA55" i="10" s="1"/>
  <c r="AA5" i="11" s="1"/>
  <c r="AA8" i="11" s="1"/>
  <c r="AA55" i="11" s="1"/>
  <c r="AA5" i="12" s="1"/>
  <c r="AA8" i="12" s="1"/>
  <c r="AA55" i="12" s="1"/>
  <c r="AA5" i="13" s="1"/>
  <c r="AA8" i="13" s="1"/>
  <c r="AA55" i="13" s="1"/>
  <c r="BW55" i="1"/>
  <c r="BW5" i="3" s="1"/>
  <c r="BW8" i="3" s="1"/>
  <c r="BW55" i="3" s="1"/>
  <c r="BW5" i="4" s="1"/>
  <c r="BW8" i="4" s="1"/>
  <c r="BW55" i="4" s="1"/>
  <c r="BW5" i="5" s="1"/>
  <c r="BW8" i="5" s="1"/>
  <c r="BW55" i="5" s="1"/>
  <c r="BW5" i="6" s="1"/>
  <c r="BW8" i="6" s="1"/>
  <c r="BW55" i="6" s="1"/>
  <c r="BW5" i="7" s="1"/>
  <c r="BW8" i="7" s="1"/>
  <c r="BW55" i="7" s="1"/>
  <c r="BW5" i="8" s="1"/>
  <c r="BW8" i="8" s="1"/>
  <c r="BW55" i="8" s="1"/>
  <c r="BW5" i="9" s="1"/>
  <c r="BW8" i="9" s="1"/>
  <c r="BW55" i="9" s="1"/>
  <c r="BW5" i="10" s="1"/>
  <c r="BW8" i="10" s="1"/>
  <c r="BW55" i="10" s="1"/>
  <c r="BW5" i="11" s="1"/>
  <c r="BW8" i="11" s="1"/>
  <c r="BW55" i="11" s="1"/>
  <c r="BW5" i="12" s="1"/>
  <c r="BW8" i="12" s="1"/>
  <c r="BW55" i="12" s="1"/>
  <c r="BW5" i="13" s="1"/>
  <c r="BW8" i="13" s="1"/>
  <c r="BW55" i="13" s="1"/>
  <c r="M91" i="1"/>
  <c r="L101" i="1"/>
  <c r="AB55" i="1"/>
  <c r="BH55" i="1"/>
  <c r="BH5" i="3" s="1"/>
  <c r="CF55" i="1"/>
  <c r="CF5" i="3" s="1"/>
  <c r="CF8" i="3" s="1"/>
  <c r="CF55" i="3" s="1"/>
  <c r="CF5" i="4" s="1"/>
  <c r="CF8" i="4" s="1"/>
  <c r="CF55" i="4" s="1"/>
  <c r="CF5" i="5" s="1"/>
  <c r="CF8" i="5" s="1"/>
  <c r="CF55" i="5" s="1"/>
  <c r="CF5" i="6" s="1"/>
  <c r="CF8" i="6" s="1"/>
  <c r="CF55" i="6" s="1"/>
  <c r="CF5" i="7" s="1"/>
  <c r="CF8" i="7" s="1"/>
  <c r="CF55" i="7" s="1"/>
  <c r="CF5" i="8" s="1"/>
  <c r="CF8" i="8" s="1"/>
  <c r="CF55" i="8" s="1"/>
  <c r="CF5" i="9" s="1"/>
  <c r="CF8" i="9" s="1"/>
  <c r="CF55" i="9" s="1"/>
  <c r="CF5" i="10" s="1"/>
  <c r="CF8" i="10" s="1"/>
  <c r="CF55" i="10" s="1"/>
  <c r="CF5" i="11" s="1"/>
  <c r="CF8" i="11" s="1"/>
  <c r="CF55" i="11" s="1"/>
  <c r="CF5" i="12" s="1"/>
  <c r="CF8" i="12" s="1"/>
  <c r="CF55" i="12" s="1"/>
  <c r="CF5" i="13" s="1"/>
  <c r="CF8" i="13" s="1"/>
  <c r="CF55" i="13" s="1"/>
  <c r="AS54" i="1"/>
  <c r="K110" i="1"/>
  <c r="AJ55" i="1"/>
  <c r="CC55" i="1"/>
  <c r="CC5" i="3" s="1"/>
  <c r="CC8" i="3" s="1"/>
  <c r="CC55" i="3" s="1"/>
  <c r="CC5" i="4" s="1"/>
  <c r="CC8" i="4" s="1"/>
  <c r="CC55" i="4" s="1"/>
  <c r="CC5" i="5" s="1"/>
  <c r="CC8" i="5" s="1"/>
  <c r="CC55" i="5" s="1"/>
  <c r="CC5" i="6" s="1"/>
  <c r="CC8" i="6" s="1"/>
  <c r="CC55" i="6" s="1"/>
  <c r="CC5" i="7" s="1"/>
  <c r="CC8" i="7" s="1"/>
  <c r="CC55" i="7" s="1"/>
  <c r="CC5" i="8" s="1"/>
  <c r="CC8" i="8" s="1"/>
  <c r="CC55" i="8" s="1"/>
  <c r="CC5" i="9" s="1"/>
  <c r="CC8" i="9" s="1"/>
  <c r="CC55" i="9" s="1"/>
  <c r="CC5" i="10" s="1"/>
  <c r="CC8" i="10" s="1"/>
  <c r="CC55" i="10" s="1"/>
  <c r="CC5" i="11" s="1"/>
  <c r="CC8" i="11" s="1"/>
  <c r="CC55" i="11" s="1"/>
  <c r="CC5" i="12" s="1"/>
  <c r="CC8" i="12" s="1"/>
  <c r="CC55" i="12" s="1"/>
  <c r="CC5" i="13" s="1"/>
  <c r="CC8" i="13" s="1"/>
  <c r="CC55" i="13" s="1"/>
  <c r="M96" i="1"/>
  <c r="BQ55" i="1"/>
  <c r="BQ5" i="3" s="1"/>
  <c r="BQ8" i="3" s="1"/>
  <c r="BQ55" i="3" s="1"/>
  <c r="BQ5" i="4" s="1"/>
  <c r="BQ8" i="4" s="1"/>
  <c r="BQ55" i="4" s="1"/>
  <c r="BQ5" i="5" s="1"/>
  <c r="BQ8" i="5" s="1"/>
  <c r="BQ55" i="5" s="1"/>
  <c r="BQ5" i="6" s="1"/>
  <c r="BQ8" i="6" s="1"/>
  <c r="BQ55" i="6" s="1"/>
  <c r="BQ5" i="7" s="1"/>
  <c r="BQ8" i="7" s="1"/>
  <c r="BQ55" i="7" s="1"/>
  <c r="BQ5" i="8" s="1"/>
  <c r="BQ8" i="8" s="1"/>
  <c r="BQ55" i="8" s="1"/>
  <c r="BQ5" i="9" s="1"/>
  <c r="BQ8" i="9" s="1"/>
  <c r="BQ55" i="9" s="1"/>
  <c r="BQ5" i="10" s="1"/>
  <c r="BQ8" i="10" s="1"/>
  <c r="BQ55" i="10" s="1"/>
  <c r="BQ5" i="11" s="1"/>
  <c r="BQ8" i="11" s="1"/>
  <c r="BQ55" i="11" s="1"/>
  <c r="BQ5" i="12" s="1"/>
  <c r="BQ8" i="12" s="1"/>
  <c r="BQ55" i="12" s="1"/>
  <c r="BQ5" i="13" s="1"/>
  <c r="BQ8" i="13" s="1"/>
  <c r="BQ55" i="13" s="1"/>
  <c r="CO55" i="1"/>
  <c r="CO5" i="3" s="1"/>
  <c r="CO8" i="3" s="1"/>
  <c r="CO55" i="3" s="1"/>
  <c r="CO5" i="4" s="1"/>
  <c r="CO8" i="4" s="1"/>
  <c r="CO55" i="4" s="1"/>
  <c r="CO5" i="5" s="1"/>
  <c r="CO8" i="5" s="1"/>
  <c r="CO55" i="5" s="1"/>
  <c r="CO5" i="6" s="1"/>
  <c r="CO8" i="6" s="1"/>
  <c r="CO55" i="6" s="1"/>
  <c r="CO5" i="7" s="1"/>
  <c r="CO8" i="7" s="1"/>
  <c r="CO55" i="7" s="1"/>
  <c r="CO5" i="8" s="1"/>
  <c r="CO8" i="8" s="1"/>
  <c r="CO55" i="8" s="1"/>
  <c r="CO5" i="9" s="1"/>
  <c r="CO8" i="9" s="1"/>
  <c r="CO55" i="9" s="1"/>
  <c r="CO5" i="10" s="1"/>
  <c r="CO8" i="10" s="1"/>
  <c r="CO55" i="10" s="1"/>
  <c r="CO5" i="11" s="1"/>
  <c r="CO8" i="11" s="1"/>
  <c r="CO55" i="11" s="1"/>
  <c r="CO5" i="12" s="1"/>
  <c r="CO8" i="12" s="1"/>
  <c r="CO55" i="12" s="1"/>
  <c r="CO5" i="13" s="1"/>
  <c r="CO8" i="13" s="1"/>
  <c r="CO55" i="13" s="1"/>
  <c r="N55" i="1"/>
  <c r="AL55" i="1"/>
  <c r="AL5" i="3" s="1"/>
  <c r="AL8" i="3" s="1"/>
  <c r="AL55" i="3" s="1"/>
  <c r="AL5" i="4" s="1"/>
  <c r="AL8" i="4" s="1"/>
  <c r="AL55" i="4" s="1"/>
  <c r="AL5" i="5" s="1"/>
  <c r="AL8" i="5" s="1"/>
  <c r="AL55" i="5" s="1"/>
  <c r="AL5" i="6" s="1"/>
  <c r="AL8" i="6" s="1"/>
  <c r="AL55" i="6" s="1"/>
  <c r="AL5" i="7" s="1"/>
  <c r="AL8" i="7" s="1"/>
  <c r="AL55" i="7" s="1"/>
  <c r="AL5" i="8" s="1"/>
  <c r="AL8" i="8" s="1"/>
  <c r="AL55" i="8" s="1"/>
  <c r="AL5" i="9" s="1"/>
  <c r="AL8" i="9" s="1"/>
  <c r="AL55" i="9" s="1"/>
  <c r="AL5" i="10" s="1"/>
  <c r="AL8" i="10" s="1"/>
  <c r="AL55" i="10" s="1"/>
  <c r="AL5" i="11" s="1"/>
  <c r="AL8" i="11" s="1"/>
  <c r="AL55" i="11" s="1"/>
  <c r="AL5" i="12" s="1"/>
  <c r="AL8" i="12" s="1"/>
  <c r="AL55" i="12" s="1"/>
  <c r="AL5" i="13" s="1"/>
  <c r="AL8" i="13" s="1"/>
  <c r="AL55" i="13" s="1"/>
  <c r="BJ55" i="1"/>
  <c r="BJ5" i="3" s="1"/>
  <c r="CH55" i="1"/>
  <c r="CH5" i="3" s="1"/>
  <c r="CH8" i="3" s="1"/>
  <c r="CH55" i="3" s="1"/>
  <c r="CH5" i="4" s="1"/>
  <c r="CH8" i="4" s="1"/>
  <c r="CH55" i="4" s="1"/>
  <c r="CH5" i="5" s="1"/>
  <c r="CH8" i="5" s="1"/>
  <c r="CH55" i="5" s="1"/>
  <c r="CH5" i="6" s="1"/>
  <c r="CH8" i="6" s="1"/>
  <c r="CH55" i="6" s="1"/>
  <c r="CH5" i="7" s="1"/>
  <c r="CH8" i="7" s="1"/>
  <c r="CH55" i="7" s="1"/>
  <c r="CH5" i="8" s="1"/>
  <c r="CH8" i="8" s="1"/>
  <c r="CH55" i="8" s="1"/>
  <c r="CH5" i="9" s="1"/>
  <c r="CH8" i="9" s="1"/>
  <c r="CH55" i="9" s="1"/>
  <c r="CH5" i="10" s="1"/>
  <c r="CH8" i="10" s="1"/>
  <c r="CH55" i="10" s="1"/>
  <c r="CH5" i="11" s="1"/>
  <c r="CH8" i="11" s="1"/>
  <c r="CH55" i="11" s="1"/>
  <c r="CH5" i="12" s="1"/>
  <c r="CH8" i="12" s="1"/>
  <c r="CH55" i="12" s="1"/>
  <c r="CH5" i="13" s="1"/>
  <c r="CH8" i="13" s="1"/>
  <c r="CH55" i="13" s="1"/>
  <c r="O55" i="1"/>
  <c r="O5" i="3" s="1"/>
  <c r="O8" i="3" s="1"/>
  <c r="O55" i="3" s="1"/>
  <c r="O5" i="4" s="1"/>
  <c r="O8" i="4" s="1"/>
  <c r="O55" i="4" s="1"/>
  <c r="O5" i="5" s="1"/>
  <c r="O8" i="5" s="1"/>
  <c r="O55" i="5" s="1"/>
  <c r="O5" i="6" s="1"/>
  <c r="O8" i="6" s="1"/>
  <c r="O55" i="6" s="1"/>
  <c r="O5" i="7" s="1"/>
  <c r="O8" i="7" s="1"/>
  <c r="O55" i="7" s="1"/>
  <c r="O5" i="8" s="1"/>
  <c r="O8" i="8" s="1"/>
  <c r="O55" i="8" s="1"/>
  <c r="O5" i="9" s="1"/>
  <c r="O8" i="9" s="1"/>
  <c r="O55" i="9" s="1"/>
  <c r="O5" i="10" s="1"/>
  <c r="O8" i="10" s="1"/>
  <c r="O55" i="10" s="1"/>
  <c r="O5" i="11" s="1"/>
  <c r="O8" i="11" s="1"/>
  <c r="O55" i="11" s="1"/>
  <c r="O5" i="12" s="1"/>
  <c r="O8" i="12" s="1"/>
  <c r="O55" i="12" s="1"/>
  <c r="O5" i="13" s="1"/>
  <c r="O8" i="13" s="1"/>
  <c r="O55" i="13" s="1"/>
  <c r="AM55" i="1"/>
  <c r="AM5" i="3" s="1"/>
  <c r="AM8" i="3" s="1"/>
  <c r="AM55" i="3" s="1"/>
  <c r="AM5" i="4" s="1"/>
  <c r="AM8" i="4" s="1"/>
  <c r="AM55" i="4" s="1"/>
  <c r="AM5" i="5" s="1"/>
  <c r="AM8" i="5" s="1"/>
  <c r="AM55" i="5" s="1"/>
  <c r="AM5" i="6" s="1"/>
  <c r="AM8" i="6" s="1"/>
  <c r="AM55" i="6" s="1"/>
  <c r="AM5" i="7" s="1"/>
  <c r="AM8" i="7" s="1"/>
  <c r="AM55" i="7" s="1"/>
  <c r="AM5" i="8" s="1"/>
  <c r="AM8" i="8" s="1"/>
  <c r="AM55" i="8" s="1"/>
  <c r="AM5" i="9" s="1"/>
  <c r="AM8" i="9" s="1"/>
  <c r="AM55" i="9" s="1"/>
  <c r="AM5" i="10" s="1"/>
  <c r="AM8" i="10" s="1"/>
  <c r="AM55" i="10" s="1"/>
  <c r="AM5" i="11" s="1"/>
  <c r="AM8" i="11" s="1"/>
  <c r="AM55" i="11" s="1"/>
  <c r="AM5" i="12" s="1"/>
  <c r="AM8" i="12" s="1"/>
  <c r="AM55" i="12" s="1"/>
  <c r="AM5" i="13" s="1"/>
  <c r="AM8" i="13" s="1"/>
  <c r="AM55" i="13" s="1"/>
  <c r="BK55" i="1"/>
  <c r="BK5" i="3" s="1"/>
  <c r="BK8" i="3" s="1"/>
  <c r="BK55" i="3" s="1"/>
  <c r="BK5" i="4" s="1"/>
  <c r="BK8" i="4" s="1"/>
  <c r="BK55" i="4" s="1"/>
  <c r="BK5" i="5" s="1"/>
  <c r="BK8" i="5" s="1"/>
  <c r="BK55" i="5" s="1"/>
  <c r="BK5" i="6" s="1"/>
  <c r="BK8" i="6" s="1"/>
  <c r="BK55" i="6" s="1"/>
  <c r="BK5" i="7" s="1"/>
  <c r="BK8" i="7" s="1"/>
  <c r="BK55" i="7" s="1"/>
  <c r="BK5" i="8" s="1"/>
  <c r="BK8" i="8" s="1"/>
  <c r="BK55" i="8" s="1"/>
  <c r="BK5" i="9" s="1"/>
  <c r="BK8" i="9" s="1"/>
  <c r="BK55" i="9" s="1"/>
  <c r="BK5" i="10" s="1"/>
  <c r="BK8" i="10" s="1"/>
  <c r="BK55" i="10" s="1"/>
  <c r="BK5" i="11" s="1"/>
  <c r="BK8" i="11" s="1"/>
  <c r="BK55" i="11" s="1"/>
  <c r="BK5" i="12" s="1"/>
  <c r="BK8" i="12" s="1"/>
  <c r="BK55" i="12" s="1"/>
  <c r="BK5" i="13" s="1"/>
  <c r="BK8" i="13" s="1"/>
  <c r="BK55" i="13" s="1"/>
  <c r="BK5" i="14" s="1"/>
  <c r="BK8" i="14" s="1"/>
  <c r="BK55" i="14" s="1"/>
  <c r="BK5" i="15" s="1"/>
  <c r="BK8" i="15" s="1"/>
  <c r="BK55" i="15" s="1"/>
  <c r="BK5" i="16" s="1"/>
  <c r="BK8" i="16" s="1"/>
  <c r="BK55" i="16" s="1"/>
  <c r="BK5" i="17" s="1"/>
  <c r="BK8" i="17" s="1"/>
  <c r="BK55" i="17" s="1"/>
  <c r="BK5" i="18" s="1"/>
  <c r="BK8" i="18" s="1"/>
  <c r="BK55" i="18" s="1"/>
  <c r="BK5" i="19" s="1"/>
  <c r="BK8" i="19" s="1"/>
  <c r="BK55" i="19" s="1"/>
  <c r="CI55" i="1"/>
  <c r="CI5" i="3" s="1"/>
  <c r="CI8" i="3" s="1"/>
  <c r="CI55" i="3" s="1"/>
  <c r="CI5" i="4" s="1"/>
  <c r="CI8" i="4" s="1"/>
  <c r="CI55" i="4" s="1"/>
  <c r="CI5" i="5" s="1"/>
  <c r="CI8" i="5" s="1"/>
  <c r="CI55" i="5" s="1"/>
  <c r="CI5" i="6" s="1"/>
  <c r="CI8" i="6" s="1"/>
  <c r="CI55" i="6" s="1"/>
  <c r="CI5" i="7" s="1"/>
  <c r="CI8" i="7" s="1"/>
  <c r="CI55" i="7" s="1"/>
  <c r="CI5" i="8" s="1"/>
  <c r="CI8" i="8" s="1"/>
  <c r="CI55" i="8" s="1"/>
  <c r="CI5" i="9" s="1"/>
  <c r="CI8" i="9" s="1"/>
  <c r="CI55" i="9" s="1"/>
  <c r="CI5" i="10" s="1"/>
  <c r="CI8" i="10" s="1"/>
  <c r="CI55" i="10" s="1"/>
  <c r="CI5" i="11" s="1"/>
  <c r="CI8" i="11" s="1"/>
  <c r="CI55" i="11" s="1"/>
  <c r="CI5" i="12" s="1"/>
  <c r="CI8" i="12" s="1"/>
  <c r="CI55" i="12" s="1"/>
  <c r="CI5" i="13" s="1"/>
  <c r="CI8" i="13" s="1"/>
  <c r="CI55" i="13" s="1"/>
  <c r="AW54" i="1"/>
  <c r="H109" i="1"/>
  <c r="Q55" i="1"/>
  <c r="Q5" i="3" s="1"/>
  <c r="Q8" i="3" s="1"/>
  <c r="Q55" i="3" s="1"/>
  <c r="Q5" i="4" s="1"/>
  <c r="Q8" i="4" s="1"/>
  <c r="Q55" i="4" s="1"/>
  <c r="Q5" i="5" s="1"/>
  <c r="Q8" i="5" s="1"/>
  <c r="Q55" i="5" s="1"/>
  <c r="Q5" i="6" s="1"/>
  <c r="Q8" i="6" s="1"/>
  <c r="Q55" i="6" s="1"/>
  <c r="Q5" i="7" s="1"/>
  <c r="Q8" i="7" s="1"/>
  <c r="Q55" i="7" s="1"/>
  <c r="Q5" i="8" s="1"/>
  <c r="Q8" i="8" s="1"/>
  <c r="Q55" i="8" s="1"/>
  <c r="Q5" i="9" s="1"/>
  <c r="Q8" i="9" s="1"/>
  <c r="Q55" i="9" s="1"/>
  <c r="Q5" i="10" s="1"/>
  <c r="Q8" i="10" s="1"/>
  <c r="Q55" i="10" s="1"/>
  <c r="Q5" i="11" s="1"/>
  <c r="Q8" i="11" s="1"/>
  <c r="Q55" i="11" s="1"/>
  <c r="Q5" i="12" s="1"/>
  <c r="D75" i="1"/>
  <c r="D73" i="1" s="1"/>
  <c r="AY54" i="1"/>
  <c r="H108" i="1"/>
  <c r="J109" i="1"/>
  <c r="BX55" i="1"/>
  <c r="BX5" i="3" s="1"/>
  <c r="BX8" i="3" s="1"/>
  <c r="BX55" i="3" s="1"/>
  <c r="BX5" i="4" s="1"/>
  <c r="BX8" i="4" s="1"/>
  <c r="BX55" i="4" s="1"/>
  <c r="BX5" i="5" s="1"/>
  <c r="BX8" i="5" s="1"/>
  <c r="BX55" i="5" s="1"/>
  <c r="BX5" i="6" s="1"/>
  <c r="BX8" i="6" s="1"/>
  <c r="BX55" i="6" s="1"/>
  <c r="BX5" i="7" s="1"/>
  <c r="BX8" i="7" s="1"/>
  <c r="BX55" i="7" s="1"/>
  <c r="BX5" i="8" s="1"/>
  <c r="BX8" i="8" s="1"/>
  <c r="BX55" i="8" s="1"/>
  <c r="BX5" i="9" s="1"/>
  <c r="BX8" i="9" s="1"/>
  <c r="BX55" i="9" s="1"/>
  <c r="BX5" i="10" s="1"/>
  <c r="BX8" i="10" s="1"/>
  <c r="BX55" i="10" s="1"/>
  <c r="BX5" i="11" s="1"/>
  <c r="BX8" i="11" s="1"/>
  <c r="BX55" i="11" s="1"/>
  <c r="BX5" i="12" s="1"/>
  <c r="BX8" i="12" s="1"/>
  <c r="BX55" i="12" s="1"/>
  <c r="BX5" i="13" s="1"/>
  <c r="BX8" i="13" s="1"/>
  <c r="BX55" i="13" s="1"/>
  <c r="CJ55" i="1"/>
  <c r="CJ5" i="3" s="1"/>
  <c r="CJ8" i="3" s="1"/>
  <c r="CJ55" i="3" s="1"/>
  <c r="CJ5" i="4" s="1"/>
  <c r="CJ8" i="4" s="1"/>
  <c r="CJ55" i="4" s="1"/>
  <c r="CJ5" i="5" s="1"/>
  <c r="CJ8" i="5" s="1"/>
  <c r="CJ55" i="5" s="1"/>
  <c r="CJ5" i="6" s="1"/>
  <c r="CJ8" i="6" s="1"/>
  <c r="CJ55" i="6" s="1"/>
  <c r="CJ5" i="7" s="1"/>
  <c r="CJ8" i="7" s="1"/>
  <c r="CJ55" i="7" s="1"/>
  <c r="CJ5" i="8" s="1"/>
  <c r="CJ8" i="8" s="1"/>
  <c r="CJ55" i="8" s="1"/>
  <c r="CJ5" i="9" s="1"/>
  <c r="CJ8" i="9" s="1"/>
  <c r="CJ55" i="9" s="1"/>
  <c r="CJ5" i="10" s="1"/>
  <c r="CJ8" i="10" s="1"/>
  <c r="CJ55" i="10" s="1"/>
  <c r="CJ5" i="11" s="1"/>
  <c r="CJ8" i="11" s="1"/>
  <c r="CJ55" i="11" s="1"/>
  <c r="CJ5" i="12" s="1"/>
  <c r="CJ8" i="12" s="1"/>
  <c r="CJ55" i="12" s="1"/>
  <c r="CJ5" i="13" s="1"/>
  <c r="CJ8" i="13" s="1"/>
  <c r="CJ55" i="13" s="1"/>
  <c r="M94" i="1"/>
  <c r="M97" i="1"/>
  <c r="X55" i="1"/>
  <c r="X5" i="3" s="1"/>
  <c r="X8" i="3" s="1"/>
  <c r="X55" i="3" s="1"/>
  <c r="X5" i="4" s="1"/>
  <c r="X8" i="4" s="1"/>
  <c r="X55" i="4" s="1"/>
  <c r="X5" i="5" s="1"/>
  <c r="X8" i="5" s="1"/>
  <c r="X55" i="5" s="1"/>
  <c r="X5" i="6" s="1"/>
  <c r="X8" i="6" s="1"/>
  <c r="X55" i="6" s="1"/>
  <c r="X5" i="7" s="1"/>
  <c r="X8" i="7" s="1"/>
  <c r="X55" i="7" s="1"/>
  <c r="X5" i="8" s="1"/>
  <c r="X8" i="8" s="1"/>
  <c r="X55" i="8" s="1"/>
  <c r="X5" i="9" s="1"/>
  <c r="X8" i="9" s="1"/>
  <c r="X55" i="9" s="1"/>
  <c r="X5" i="10" s="1"/>
  <c r="X8" i="10" s="1"/>
  <c r="X55" i="10" s="1"/>
  <c r="X5" i="11" s="1"/>
  <c r="X8" i="11" s="1"/>
  <c r="X55" i="11" s="1"/>
  <c r="X5" i="12" s="1"/>
  <c r="X8" i="12" s="1"/>
  <c r="X55" i="12" s="1"/>
  <c r="X5" i="13" s="1"/>
  <c r="X8" i="13" s="1"/>
  <c r="X55" i="13" s="1"/>
  <c r="AV55" i="1"/>
  <c r="AV5" i="3" s="1"/>
  <c r="AV8" i="3" s="1"/>
  <c r="AV55" i="3" s="1"/>
  <c r="AV5" i="4" s="1"/>
  <c r="AV8" i="4" s="1"/>
  <c r="AV55" i="4" s="1"/>
  <c r="AV5" i="5" s="1"/>
  <c r="AV8" i="5" s="1"/>
  <c r="AV55" i="5" s="1"/>
  <c r="AV5" i="6" s="1"/>
  <c r="AV8" i="6" s="1"/>
  <c r="AV55" i="6" s="1"/>
  <c r="AV5" i="7" s="1"/>
  <c r="AV8" i="7" s="1"/>
  <c r="AV55" i="7" s="1"/>
  <c r="AV5" i="8" s="1"/>
  <c r="AV8" i="8" s="1"/>
  <c r="AV55" i="8" s="1"/>
  <c r="AV5" i="9" s="1"/>
  <c r="AV8" i="9" s="1"/>
  <c r="AV55" i="9" s="1"/>
  <c r="AV5" i="10" s="1"/>
  <c r="AV8" i="10" s="1"/>
  <c r="AV55" i="10" s="1"/>
  <c r="AV5" i="11" s="1"/>
  <c r="AV8" i="11" s="1"/>
  <c r="AV55" i="11" s="1"/>
  <c r="AV5" i="12" s="1"/>
  <c r="AV8" i="12" s="1"/>
  <c r="AV55" i="12" s="1"/>
  <c r="AV5" i="13" s="1"/>
  <c r="AV8" i="13" s="1"/>
  <c r="AV55" i="13" s="1"/>
  <c r="BT55" i="1"/>
  <c r="BT5" i="3" s="1"/>
  <c r="BT8" i="3" s="1"/>
  <c r="BT55" i="3" s="1"/>
  <c r="BT5" i="4" s="1"/>
  <c r="BT8" i="4" s="1"/>
  <c r="BT55" i="4" s="1"/>
  <c r="BT5" i="5" s="1"/>
  <c r="BT8" i="5" s="1"/>
  <c r="BT55" i="5" s="1"/>
  <c r="BT5" i="6" s="1"/>
  <c r="BT8" i="6" s="1"/>
  <c r="BT55" i="6" s="1"/>
  <c r="BT5" i="7" s="1"/>
  <c r="BT8" i="7" s="1"/>
  <c r="BT55" i="7" s="1"/>
  <c r="BT5" i="8" s="1"/>
  <c r="BT8" i="8" s="1"/>
  <c r="BT55" i="8" s="1"/>
  <c r="BT5" i="9" s="1"/>
  <c r="BT8" i="9" s="1"/>
  <c r="BT55" i="9" s="1"/>
  <c r="BT5" i="10" s="1"/>
  <c r="BT8" i="10" s="1"/>
  <c r="BT55" i="10" s="1"/>
  <c r="BT5" i="11" s="1"/>
  <c r="BT8" i="11" s="1"/>
  <c r="BT55" i="11" s="1"/>
  <c r="BT5" i="12" s="1"/>
  <c r="BT8" i="12" s="1"/>
  <c r="BT55" i="12" s="1"/>
  <c r="BT5" i="13" s="1"/>
  <c r="BT8" i="13" s="1"/>
  <c r="BT55" i="13" s="1"/>
  <c r="CR55" i="1"/>
  <c r="CR5" i="3" s="1"/>
  <c r="CR8" i="3" s="1"/>
  <c r="CR55" i="3" s="1"/>
  <c r="CR5" i="4" s="1"/>
  <c r="CR8" i="4" s="1"/>
  <c r="CR55" i="4" s="1"/>
  <c r="CR5" i="5" s="1"/>
  <c r="CR8" i="5" s="1"/>
  <c r="CR55" i="5" s="1"/>
  <c r="CR5" i="6" s="1"/>
  <c r="CR8" i="6" s="1"/>
  <c r="CR55" i="6" s="1"/>
  <c r="CR5" i="7" s="1"/>
  <c r="CR8" i="7" s="1"/>
  <c r="CR55" i="7" s="1"/>
  <c r="CR5" i="8" s="1"/>
  <c r="CR8" i="8" s="1"/>
  <c r="CR55" i="8" s="1"/>
  <c r="CR5" i="9" s="1"/>
  <c r="CR8" i="9" s="1"/>
  <c r="CR55" i="9" s="1"/>
  <c r="CR5" i="10" s="1"/>
  <c r="CR8" i="10" s="1"/>
  <c r="CR55" i="10" s="1"/>
  <c r="CR5" i="11" s="1"/>
  <c r="CR8" i="11" s="1"/>
  <c r="CR55" i="11" s="1"/>
  <c r="CR5" i="12" s="1"/>
  <c r="CR8" i="12" s="1"/>
  <c r="CR55" i="12" s="1"/>
  <c r="CR5" i="13" s="1"/>
  <c r="CR8" i="13" s="1"/>
  <c r="CR55" i="13" s="1"/>
  <c r="I108" i="1"/>
  <c r="L92" i="1"/>
  <c r="Y55" i="1"/>
  <c r="Y5" i="3" s="1"/>
  <c r="Y8" i="3" s="1"/>
  <c r="Y55" i="3" s="1"/>
  <c r="Y5" i="4" s="1"/>
  <c r="Y8" i="4" s="1"/>
  <c r="Y55" i="4" s="1"/>
  <c r="Y5" i="5" s="1"/>
  <c r="Y8" i="5" s="1"/>
  <c r="Y55" i="5" s="1"/>
  <c r="Y5" i="6" s="1"/>
  <c r="Y8" i="6" s="1"/>
  <c r="Y55" i="6" s="1"/>
  <c r="Y5" i="7" s="1"/>
  <c r="Y8" i="7" s="1"/>
  <c r="Y55" i="7" s="1"/>
  <c r="Y5" i="8" s="1"/>
  <c r="Y8" i="8" s="1"/>
  <c r="Y55" i="8" s="1"/>
  <c r="Y5" i="9" s="1"/>
  <c r="Y8" i="9" s="1"/>
  <c r="Y55" i="9" s="1"/>
  <c r="Y5" i="10" s="1"/>
  <c r="Y8" i="10" s="1"/>
  <c r="Y55" i="10" s="1"/>
  <c r="Y5" i="11" s="1"/>
  <c r="Y8" i="11" s="1"/>
  <c r="Y55" i="11" s="1"/>
  <c r="Y5" i="12" s="1"/>
  <c r="Y8" i="12" s="1"/>
  <c r="Y55" i="12" s="1"/>
  <c r="Y5" i="13" s="1"/>
  <c r="Y8" i="13" s="1"/>
  <c r="Y55" i="13" s="1"/>
  <c r="BU55" i="1"/>
  <c r="BU5" i="3" s="1"/>
  <c r="BU8" i="3" s="1"/>
  <c r="BU55" i="3" s="1"/>
  <c r="BU5" i="4" s="1"/>
  <c r="BU8" i="4" s="1"/>
  <c r="BU55" i="4" s="1"/>
  <c r="BU5" i="5" s="1"/>
  <c r="BU8" i="5" s="1"/>
  <c r="BU55" i="5" s="1"/>
  <c r="BU5" i="6" s="1"/>
  <c r="BU8" i="6" s="1"/>
  <c r="BU55" i="6" s="1"/>
  <c r="BU5" i="7" s="1"/>
  <c r="BU8" i="7" s="1"/>
  <c r="BU55" i="7" s="1"/>
  <c r="BU5" i="8" s="1"/>
  <c r="BU8" i="8" s="1"/>
  <c r="BU55" i="8" s="1"/>
  <c r="BU5" i="9" s="1"/>
  <c r="BU8" i="9" s="1"/>
  <c r="BU55" i="9" s="1"/>
  <c r="BU5" i="10" s="1"/>
  <c r="BU8" i="10" s="1"/>
  <c r="BU55" i="10" s="1"/>
  <c r="BU5" i="11" s="1"/>
  <c r="BU8" i="11" s="1"/>
  <c r="BU55" i="11" s="1"/>
  <c r="BU5" i="12" s="1"/>
  <c r="BU8" i="12" s="1"/>
  <c r="BU55" i="12" s="1"/>
  <c r="BU5" i="13" s="1"/>
  <c r="BU8" i="13" s="1"/>
  <c r="BU55" i="13" s="1"/>
  <c r="D63" i="1"/>
  <c r="D60" i="1" s="1"/>
  <c r="BE54" i="1"/>
  <c r="BE55" i="1" s="1"/>
  <c r="BE5" i="3" s="1"/>
  <c r="J108" i="1"/>
  <c r="U55" i="1"/>
  <c r="U5" i="3" s="1"/>
  <c r="U8" i="3" s="1"/>
  <c r="U55" i="3" s="1"/>
  <c r="U5" i="4" s="1"/>
  <c r="U8" i="4" s="1"/>
  <c r="U55" i="4" s="1"/>
  <c r="U5" i="5" s="1"/>
  <c r="U8" i="5" s="1"/>
  <c r="U55" i="5" s="1"/>
  <c r="U5" i="6" s="1"/>
  <c r="U8" i="6" s="1"/>
  <c r="U55" i="6" s="1"/>
  <c r="U5" i="7" s="1"/>
  <c r="U8" i="7" s="1"/>
  <c r="U55" i="7" s="1"/>
  <c r="U5" i="8" s="1"/>
  <c r="U8" i="8" s="1"/>
  <c r="U55" i="8" s="1"/>
  <c r="U5" i="9" s="1"/>
  <c r="U8" i="9" s="1"/>
  <c r="U55" i="9" s="1"/>
  <c r="U5" i="10" s="1"/>
  <c r="U8" i="10" s="1"/>
  <c r="U55" i="10" s="1"/>
  <c r="U5" i="11" s="1"/>
  <c r="U8" i="11" s="1"/>
  <c r="U55" i="11" s="1"/>
  <c r="U5" i="12" s="1"/>
  <c r="U8" i="12" s="1"/>
  <c r="U55" i="12" s="1"/>
  <c r="U5" i="13" s="1"/>
  <c r="U8" i="13" s="1"/>
  <c r="U55" i="13" s="1"/>
  <c r="AN55" i="1"/>
  <c r="AN5" i="3" s="1"/>
  <c r="AN8" i="3" s="1"/>
  <c r="AN55" i="3" s="1"/>
  <c r="AN5" i="4" s="1"/>
  <c r="AN8" i="4" s="1"/>
  <c r="AN55" i="4" s="1"/>
  <c r="AN5" i="5" s="1"/>
  <c r="AN8" i="5" s="1"/>
  <c r="AN55" i="5" s="1"/>
  <c r="AN5" i="6" s="1"/>
  <c r="AN8" i="6" s="1"/>
  <c r="AN55" i="6" s="1"/>
  <c r="AN5" i="7" s="1"/>
  <c r="AN8" i="7" s="1"/>
  <c r="AN55" i="7" s="1"/>
  <c r="AN5" i="8" s="1"/>
  <c r="AN8" i="8" s="1"/>
  <c r="AN55" i="8" s="1"/>
  <c r="AN5" i="9" s="1"/>
  <c r="AN8" i="9" s="1"/>
  <c r="AN55" i="9" s="1"/>
  <c r="AN5" i="10" s="1"/>
  <c r="AN8" i="10" s="1"/>
  <c r="AN55" i="10" s="1"/>
  <c r="AN5" i="11" s="1"/>
  <c r="AN8" i="11" s="1"/>
  <c r="AN55" i="11" s="1"/>
  <c r="AN5" i="12" s="1"/>
  <c r="AN8" i="12" s="1"/>
  <c r="AN55" i="12" s="1"/>
  <c r="AN5" i="13" s="1"/>
  <c r="AN8" i="13" s="1"/>
  <c r="AN55" i="13" s="1"/>
  <c r="M106" i="1"/>
  <c r="Z55" i="1"/>
  <c r="AX55" i="1"/>
  <c r="AX5" i="3" s="1"/>
  <c r="BV55" i="1"/>
  <c r="BV5" i="3" s="1"/>
  <c r="BV8" i="3" s="1"/>
  <c r="BV55" i="3" s="1"/>
  <c r="BV5" i="4" s="1"/>
  <c r="BV8" i="4" s="1"/>
  <c r="BV55" i="4" s="1"/>
  <c r="BV5" i="5" s="1"/>
  <c r="BV8" i="5" s="1"/>
  <c r="BV55" i="5" s="1"/>
  <c r="BV5" i="6" s="1"/>
  <c r="BV8" i="6" s="1"/>
  <c r="BV55" i="6" s="1"/>
  <c r="BV5" i="7" s="1"/>
  <c r="BV8" i="7" s="1"/>
  <c r="BV55" i="7" s="1"/>
  <c r="BV5" i="8" s="1"/>
  <c r="BV8" i="8" s="1"/>
  <c r="BV55" i="8" s="1"/>
  <c r="BV5" i="9" s="1"/>
  <c r="BV8" i="9" s="1"/>
  <c r="BV55" i="9" s="1"/>
  <c r="BV5" i="10" s="1"/>
  <c r="BV8" i="10" s="1"/>
  <c r="BV55" i="10" s="1"/>
  <c r="BV5" i="11" s="1"/>
  <c r="BV8" i="11" s="1"/>
  <c r="BV55" i="11" s="1"/>
  <c r="BV5" i="12" s="1"/>
  <c r="BV8" i="12" s="1"/>
  <c r="BV55" i="12" s="1"/>
  <c r="BV5" i="13" s="1"/>
  <c r="BV8" i="13" s="1"/>
  <c r="BV55" i="13" s="1"/>
  <c r="BH54" i="1"/>
  <c r="K108" i="1"/>
  <c r="I109" i="1"/>
  <c r="G55" i="1"/>
  <c r="G5" i="3" s="1"/>
  <c r="G8" i="3" s="1"/>
  <c r="G55" i="3" s="1"/>
  <c r="G5" i="4" s="1"/>
  <c r="G8" i="4" s="1"/>
  <c r="G55" i="4" s="1"/>
  <c r="G5" i="5" s="1"/>
  <c r="G8" i="5" s="1"/>
  <c r="G55" i="5" s="1"/>
  <c r="G5" i="6" s="1"/>
  <c r="G8" i="6" s="1"/>
  <c r="G55" i="6" s="1"/>
  <c r="G5" i="7" s="1"/>
  <c r="G8" i="7" s="1"/>
  <c r="G55" i="7" s="1"/>
  <c r="G5" i="8" s="1"/>
  <c r="G8" i="8" s="1"/>
  <c r="G55" i="8" s="1"/>
  <c r="G5" i="9" s="1"/>
  <c r="G8" i="9" s="1"/>
  <c r="G55" i="9" s="1"/>
  <c r="G5" i="10" s="1"/>
  <c r="G8" i="10" s="1"/>
  <c r="G55" i="10" s="1"/>
  <c r="G5" i="11" s="1"/>
  <c r="G8" i="11" s="1"/>
  <c r="G55" i="11" s="1"/>
  <c r="G5" i="12" s="1"/>
  <c r="G8" i="12" s="1"/>
  <c r="G55" i="12" s="1"/>
  <c r="G5" i="13" s="1"/>
  <c r="G8" i="13" s="1"/>
  <c r="G55" i="13" s="1"/>
  <c r="S55" i="1"/>
  <c r="S5" i="3" s="1"/>
  <c r="AE55" i="1"/>
  <c r="AE5" i="3" s="1"/>
  <c r="AE8" i="3" s="1"/>
  <c r="AE55" i="3" s="1"/>
  <c r="AE5" i="4" s="1"/>
  <c r="AE8" i="4" s="1"/>
  <c r="AE55" i="4" s="1"/>
  <c r="AE5" i="5" s="1"/>
  <c r="AE8" i="5" s="1"/>
  <c r="AE55" i="5" s="1"/>
  <c r="AE5" i="6" s="1"/>
  <c r="AE8" i="6" s="1"/>
  <c r="AE55" i="6" s="1"/>
  <c r="AE5" i="7" s="1"/>
  <c r="AE8" i="7" s="1"/>
  <c r="AE55" i="7" s="1"/>
  <c r="AE5" i="8" s="1"/>
  <c r="AE8" i="8" s="1"/>
  <c r="AE55" i="8" s="1"/>
  <c r="AE5" i="9" s="1"/>
  <c r="AE8" i="9" s="1"/>
  <c r="AE55" i="9" s="1"/>
  <c r="AE5" i="10" s="1"/>
  <c r="AE8" i="10" s="1"/>
  <c r="AE55" i="10" s="1"/>
  <c r="AE5" i="11" s="1"/>
  <c r="AE8" i="11" s="1"/>
  <c r="AE55" i="11" s="1"/>
  <c r="AE5" i="12" s="1"/>
  <c r="AE8" i="12" s="1"/>
  <c r="AE55" i="12" s="1"/>
  <c r="AE5" i="13" s="1"/>
  <c r="AE8" i="13" s="1"/>
  <c r="AE55" i="13" s="1"/>
  <c r="AQ55" i="1"/>
  <c r="AQ5" i="3" s="1"/>
  <c r="AQ8" i="3" s="1"/>
  <c r="AQ55" i="3" s="1"/>
  <c r="AQ5" i="4" s="1"/>
  <c r="AQ8" i="4" s="1"/>
  <c r="AQ55" i="4" s="1"/>
  <c r="AQ5" i="5" s="1"/>
  <c r="AQ8" i="5" s="1"/>
  <c r="AQ55" i="5" s="1"/>
  <c r="AQ5" i="6" s="1"/>
  <c r="AQ8" i="6" s="1"/>
  <c r="AQ55" i="6" s="1"/>
  <c r="AQ5" i="7" s="1"/>
  <c r="AQ8" i="7" s="1"/>
  <c r="AQ55" i="7" s="1"/>
  <c r="AQ5" i="8" s="1"/>
  <c r="AQ8" i="8" s="1"/>
  <c r="AQ55" i="8" s="1"/>
  <c r="AQ5" i="9" s="1"/>
  <c r="AQ8" i="9" s="1"/>
  <c r="AQ55" i="9" s="1"/>
  <c r="AQ5" i="10" s="1"/>
  <c r="AQ8" i="10" s="1"/>
  <c r="AQ55" i="10" s="1"/>
  <c r="AQ5" i="11" s="1"/>
  <c r="AQ8" i="11" s="1"/>
  <c r="AQ55" i="11" s="1"/>
  <c r="AQ5" i="12" s="1"/>
  <c r="AQ8" i="12" s="1"/>
  <c r="AQ55" i="12" s="1"/>
  <c r="AQ5" i="13" s="1"/>
  <c r="AQ8" i="13" s="1"/>
  <c r="AQ55" i="13" s="1"/>
  <c r="BO55" i="1"/>
  <c r="BO5" i="3" s="1"/>
  <c r="BO8" i="3" s="1"/>
  <c r="BO55" i="3" s="1"/>
  <c r="BO5" i="4" s="1"/>
  <c r="BO8" i="4" s="1"/>
  <c r="BO55" i="4" s="1"/>
  <c r="BO5" i="5" s="1"/>
  <c r="BO8" i="5" s="1"/>
  <c r="BO55" i="5" s="1"/>
  <c r="BO5" i="6" s="1"/>
  <c r="BO8" i="6" s="1"/>
  <c r="BO55" i="6" s="1"/>
  <c r="BO5" i="7" s="1"/>
  <c r="BO8" i="7" s="1"/>
  <c r="BO55" i="7" s="1"/>
  <c r="BO5" i="8" s="1"/>
  <c r="BO8" i="8" s="1"/>
  <c r="BO55" i="8" s="1"/>
  <c r="BO5" i="9" s="1"/>
  <c r="BO8" i="9" s="1"/>
  <c r="BO55" i="9" s="1"/>
  <c r="BO5" i="10" s="1"/>
  <c r="BO8" i="10" s="1"/>
  <c r="BO55" i="10" s="1"/>
  <c r="BO5" i="11" s="1"/>
  <c r="BO8" i="11" s="1"/>
  <c r="BO55" i="11" s="1"/>
  <c r="BO5" i="12" s="1"/>
  <c r="BO8" i="12" s="1"/>
  <c r="BO55" i="12" s="1"/>
  <c r="BO5" i="13" s="1"/>
  <c r="BO8" i="13" s="1"/>
  <c r="BO55" i="13" s="1"/>
  <c r="CA55" i="1"/>
  <c r="CA5" i="3" s="1"/>
  <c r="CA8" i="3" s="1"/>
  <c r="CA55" i="3" s="1"/>
  <c r="CA5" i="4" s="1"/>
  <c r="CA8" i="4" s="1"/>
  <c r="CA55" i="4" s="1"/>
  <c r="CA5" i="5" s="1"/>
  <c r="CA8" i="5" s="1"/>
  <c r="CA55" i="5" s="1"/>
  <c r="CA5" i="6" s="1"/>
  <c r="CA8" i="6" s="1"/>
  <c r="CA55" i="6" s="1"/>
  <c r="CA5" i="7" s="1"/>
  <c r="CA8" i="7" s="1"/>
  <c r="CA55" i="7" s="1"/>
  <c r="CA5" i="8" s="1"/>
  <c r="CA8" i="8" s="1"/>
  <c r="CA55" i="8" s="1"/>
  <c r="CA5" i="9" s="1"/>
  <c r="CA8" i="9" s="1"/>
  <c r="CA55" i="9" s="1"/>
  <c r="CA5" i="10" s="1"/>
  <c r="CA8" i="10" s="1"/>
  <c r="CA55" i="10" s="1"/>
  <c r="CA5" i="11" s="1"/>
  <c r="CA8" i="11" s="1"/>
  <c r="CA55" i="11" s="1"/>
  <c r="CA5" i="12" s="1"/>
  <c r="CA8" i="12" s="1"/>
  <c r="CA55" i="12" s="1"/>
  <c r="CA5" i="13" s="1"/>
  <c r="CA8" i="13" s="1"/>
  <c r="CA55" i="13" s="1"/>
  <c r="K55" i="1"/>
  <c r="AI55" i="1"/>
  <c r="AI5" i="3" s="1"/>
  <c r="AI8" i="3" s="1"/>
  <c r="AI55" i="3" s="1"/>
  <c r="AI5" i="4" s="1"/>
  <c r="AI8" i="4" s="1"/>
  <c r="AI55" i="4" s="1"/>
  <c r="AI5" i="5" s="1"/>
  <c r="AI8" i="5" s="1"/>
  <c r="AI55" i="5" s="1"/>
  <c r="AI5" i="6" s="1"/>
  <c r="AI8" i="6" s="1"/>
  <c r="AI55" i="6" s="1"/>
  <c r="AI5" i="7" s="1"/>
  <c r="AI8" i="7" s="1"/>
  <c r="AI55" i="7" s="1"/>
  <c r="AI5" i="8" s="1"/>
  <c r="AI8" i="8" s="1"/>
  <c r="AI55" i="8" s="1"/>
  <c r="AI5" i="9" s="1"/>
  <c r="AI8" i="9" s="1"/>
  <c r="AI55" i="9" s="1"/>
  <c r="AI5" i="10" s="1"/>
  <c r="AI8" i="10" s="1"/>
  <c r="AI55" i="10" s="1"/>
  <c r="AI5" i="11" s="1"/>
  <c r="AI8" i="11" s="1"/>
  <c r="AI55" i="11" s="1"/>
  <c r="AI5" i="12" s="1"/>
  <c r="AI8" i="12" s="1"/>
  <c r="AI55" i="12" s="1"/>
  <c r="AI5" i="13" s="1"/>
  <c r="AI8" i="13" s="1"/>
  <c r="AI55" i="13" s="1"/>
  <c r="BG55" i="1"/>
  <c r="BG5" i="3" s="1"/>
  <c r="CE55" i="1"/>
  <c r="CE5" i="3" s="1"/>
  <c r="CE8" i="3" s="1"/>
  <c r="CE55" i="3" s="1"/>
  <c r="CE5" i="4" s="1"/>
  <c r="CE8" i="4" s="1"/>
  <c r="CE55" i="4" s="1"/>
  <c r="CE5" i="5" s="1"/>
  <c r="CE8" i="5" s="1"/>
  <c r="CE55" i="5" s="1"/>
  <c r="CE5" i="6" s="1"/>
  <c r="CE8" i="6" s="1"/>
  <c r="CE55" i="6" s="1"/>
  <c r="CE5" i="7" s="1"/>
  <c r="CE8" i="7" s="1"/>
  <c r="CE55" i="7" s="1"/>
  <c r="CE5" i="8" s="1"/>
  <c r="CE8" i="8" s="1"/>
  <c r="CE55" i="8" s="1"/>
  <c r="CE5" i="9" s="1"/>
  <c r="CE8" i="9" s="1"/>
  <c r="CE55" i="9" s="1"/>
  <c r="CE5" i="10" s="1"/>
  <c r="CE8" i="10" s="1"/>
  <c r="CE55" i="10" s="1"/>
  <c r="CE5" i="11" s="1"/>
  <c r="CE8" i="11" s="1"/>
  <c r="CE55" i="11" s="1"/>
  <c r="CE5" i="12" s="1"/>
  <c r="CE8" i="12" s="1"/>
  <c r="CE55" i="12" s="1"/>
  <c r="CE5" i="13" s="1"/>
  <c r="CE8" i="13" s="1"/>
  <c r="CE55" i="13" s="1"/>
  <c r="W55" i="1"/>
  <c r="W5" i="3" s="1"/>
  <c r="W8" i="3" s="1"/>
  <c r="W55" i="3" s="1"/>
  <c r="W5" i="4" s="1"/>
  <c r="W8" i="4" s="1"/>
  <c r="W55" i="4" s="1"/>
  <c r="W5" i="5" s="1"/>
  <c r="W8" i="5" s="1"/>
  <c r="W55" i="5" s="1"/>
  <c r="W5" i="6" s="1"/>
  <c r="W8" i="6" s="1"/>
  <c r="W55" i="6" s="1"/>
  <c r="W5" i="7" s="1"/>
  <c r="W8" i="7" s="1"/>
  <c r="W55" i="7" s="1"/>
  <c r="W5" i="8" s="1"/>
  <c r="W8" i="8" s="1"/>
  <c r="W55" i="8" s="1"/>
  <c r="W5" i="9" s="1"/>
  <c r="W8" i="9" s="1"/>
  <c r="W55" i="9" s="1"/>
  <c r="W5" i="10" s="1"/>
  <c r="W8" i="10" s="1"/>
  <c r="W55" i="10" s="1"/>
  <c r="W5" i="11" s="1"/>
  <c r="W8" i="11" s="1"/>
  <c r="W55" i="11" s="1"/>
  <c r="W5" i="12" s="1"/>
  <c r="W8" i="12" s="1"/>
  <c r="W55" i="12" s="1"/>
  <c r="W5" i="13" s="1"/>
  <c r="W8" i="13" s="1"/>
  <c r="W55" i="13" s="1"/>
  <c r="AU55" i="1"/>
  <c r="AU5" i="3" s="1"/>
  <c r="BS55" i="1"/>
  <c r="BS5" i="3" s="1"/>
  <c r="BS8" i="3" s="1"/>
  <c r="BS55" i="3" s="1"/>
  <c r="BS5" i="4" s="1"/>
  <c r="BS8" i="4" s="1"/>
  <c r="BS55" i="4" s="1"/>
  <c r="BS5" i="5" s="1"/>
  <c r="BS8" i="5" s="1"/>
  <c r="BS55" i="5" s="1"/>
  <c r="BS5" i="6" s="1"/>
  <c r="BS8" i="6" s="1"/>
  <c r="BS55" i="6" s="1"/>
  <c r="BS5" i="7" s="1"/>
  <c r="BS8" i="7" s="1"/>
  <c r="BS55" i="7" s="1"/>
  <c r="BS5" i="8" s="1"/>
  <c r="BS8" i="8" s="1"/>
  <c r="BS55" i="8" s="1"/>
  <c r="BS5" i="9" s="1"/>
  <c r="BS8" i="9" s="1"/>
  <c r="BS55" i="9" s="1"/>
  <c r="BS5" i="10" s="1"/>
  <c r="BS8" i="10" s="1"/>
  <c r="BS55" i="10" s="1"/>
  <c r="BS5" i="11" s="1"/>
  <c r="BS8" i="11" s="1"/>
  <c r="BS55" i="11" s="1"/>
  <c r="BS5" i="12" s="1"/>
  <c r="BS8" i="12" s="1"/>
  <c r="BS55" i="12" s="1"/>
  <c r="BS5" i="13" s="1"/>
  <c r="BS8" i="13" s="1"/>
  <c r="BS55" i="13" s="1"/>
  <c r="CQ55" i="1"/>
  <c r="CQ5" i="3" s="1"/>
  <c r="CQ8" i="3" s="1"/>
  <c r="CQ55" i="3" s="1"/>
  <c r="CQ5" i="4" s="1"/>
  <c r="CQ8" i="4" s="1"/>
  <c r="CQ55" i="4" s="1"/>
  <c r="CQ5" i="5" s="1"/>
  <c r="CQ8" i="5" s="1"/>
  <c r="CQ55" i="5" s="1"/>
  <c r="CQ5" i="6" s="1"/>
  <c r="CQ8" i="6" s="1"/>
  <c r="CQ55" i="6" s="1"/>
  <c r="CQ5" i="7" s="1"/>
  <c r="CQ8" i="7" s="1"/>
  <c r="CQ55" i="7" s="1"/>
  <c r="CQ5" i="8" s="1"/>
  <c r="CQ8" i="8" s="1"/>
  <c r="CQ55" i="8" s="1"/>
  <c r="CQ5" i="9" s="1"/>
  <c r="CQ8" i="9" s="1"/>
  <c r="CQ55" i="9" s="1"/>
  <c r="CQ5" i="10" s="1"/>
  <c r="CQ8" i="10" s="1"/>
  <c r="CQ55" i="10" s="1"/>
  <c r="CQ5" i="11" s="1"/>
  <c r="CQ8" i="11" s="1"/>
  <c r="CQ55" i="11" s="1"/>
  <c r="CQ5" i="12" s="1"/>
  <c r="CQ8" i="12" s="1"/>
  <c r="CQ55" i="12" s="1"/>
  <c r="CQ5" i="13" s="1"/>
  <c r="CQ8" i="13" s="1"/>
  <c r="CQ55" i="13" s="1"/>
  <c r="G93" i="1"/>
  <c r="M93" i="1" s="1"/>
  <c r="G105" i="1"/>
  <c r="P54" i="1"/>
  <c r="P55" i="1" s="1"/>
  <c r="E54" i="1"/>
  <c r="BM54" i="1"/>
  <c r="G90" i="1"/>
  <c r="G102" i="1"/>
  <c r="CW53" i="1"/>
  <c r="L98" i="1"/>
  <c r="CA54" i="1"/>
  <c r="L105" i="1"/>
  <c r="AS8" i="1"/>
  <c r="AR54" i="1"/>
  <c r="AR55" i="1" s="1"/>
  <c r="AR5" i="3" s="1"/>
  <c r="BD54" i="1"/>
  <c r="L100" i="1"/>
  <c r="M100" i="1" s="1"/>
  <c r="L95" i="1"/>
  <c r="M95" i="1" s="1"/>
  <c r="L102" i="1"/>
  <c r="M101" i="1" l="1"/>
  <c r="AY55" i="1"/>
  <c r="AY5" i="3" s="1"/>
  <c r="Q8" i="12"/>
  <c r="AP55" i="7"/>
  <c r="AP5" i="8" s="1"/>
  <c r="AP8" i="8" s="1"/>
  <c r="AP55" i="8" s="1"/>
  <c r="AP5" i="9" s="1"/>
  <c r="AP8" i="9" s="1"/>
  <c r="AP55" i="9" s="1"/>
  <c r="AP5" i="10" s="1"/>
  <c r="AP8" i="10" s="1"/>
  <c r="AP55" i="10" s="1"/>
  <c r="AP5" i="11" s="1"/>
  <c r="AP8" i="11" s="1"/>
  <c r="AP55" i="11" s="1"/>
  <c r="AP5" i="12" s="1"/>
  <c r="AP8" i="12" s="1"/>
  <c r="AP55" i="12" s="1"/>
  <c r="AP5" i="13" s="1"/>
  <c r="AP8" i="13" s="1"/>
  <c r="AP55" i="13" s="1"/>
  <c r="G75" i="3"/>
  <c r="AF5" i="4"/>
  <c r="AF8" i="4" s="1"/>
  <c r="AF55" i="4" s="1"/>
  <c r="G97" i="4"/>
  <c r="M97" i="4" s="1"/>
  <c r="BI8" i="4"/>
  <c r="BI55" i="4" s="1"/>
  <c r="BI5" i="5" s="1"/>
  <c r="G74" i="3"/>
  <c r="AD5" i="4"/>
  <c r="AD8" i="4" s="1"/>
  <c r="AD55" i="4" s="1"/>
  <c r="G68" i="1"/>
  <c r="L5" i="3"/>
  <c r="L8" i="3" s="1"/>
  <c r="L55" i="3" s="1"/>
  <c r="G101" i="3"/>
  <c r="M101" i="3" s="1"/>
  <c r="AX8" i="3"/>
  <c r="AX55" i="3" s="1"/>
  <c r="AX5" i="4" s="1"/>
  <c r="G72" i="1"/>
  <c r="Z5" i="3"/>
  <c r="Z8" i="3" s="1"/>
  <c r="Z55" i="3" s="1"/>
  <c r="G67" i="1"/>
  <c r="K5" i="3"/>
  <c r="K8" i="3" s="1"/>
  <c r="K55" i="3" s="1"/>
  <c r="G69" i="1"/>
  <c r="M5" i="3"/>
  <c r="M8" i="3" s="1"/>
  <c r="M55" i="3" s="1"/>
  <c r="G62" i="1"/>
  <c r="P5" i="3"/>
  <c r="P8" i="3" s="1"/>
  <c r="P55" i="3" s="1"/>
  <c r="G77" i="1"/>
  <c r="AJ5" i="3"/>
  <c r="AJ8" i="3" s="1"/>
  <c r="AJ55" i="3" s="1"/>
  <c r="BE8" i="3"/>
  <c r="BE55" i="3" s="1"/>
  <c r="BE5" i="4" s="1"/>
  <c r="G93" i="3"/>
  <c r="M93" i="3" s="1"/>
  <c r="BF8" i="3"/>
  <c r="BF55" i="3" s="1"/>
  <c r="BF5" i="4" s="1"/>
  <c r="G100" i="3"/>
  <c r="M100" i="3" s="1"/>
  <c r="AR8" i="3"/>
  <c r="AR55" i="3" s="1"/>
  <c r="AR5" i="4" s="1"/>
  <c r="G90" i="3"/>
  <c r="AT8" i="3"/>
  <c r="AT55" i="3" s="1"/>
  <c r="AT5" i="4" s="1"/>
  <c r="G95" i="3"/>
  <c r="G76" i="1"/>
  <c r="AH5" i="3"/>
  <c r="AH8" i="3" s="1"/>
  <c r="AH55" i="3" s="1"/>
  <c r="BJ8" i="3"/>
  <c r="BJ55" i="3" s="1"/>
  <c r="BJ5" i="4" s="1"/>
  <c r="G103" i="3"/>
  <c r="M103" i="3" s="1"/>
  <c r="G73" i="1"/>
  <c r="AB5" i="3"/>
  <c r="AB8" i="3" s="1"/>
  <c r="AB55" i="3" s="1"/>
  <c r="BH8" i="3"/>
  <c r="BH55" i="3" s="1"/>
  <c r="BH5" i="4" s="1"/>
  <c r="G91" i="3"/>
  <c r="M91" i="3" s="1"/>
  <c r="G102" i="3"/>
  <c r="AU8" i="3"/>
  <c r="AU55" i="3" s="1"/>
  <c r="AU5" i="4" s="1"/>
  <c r="G105" i="3"/>
  <c r="M105" i="3" s="1"/>
  <c r="BG8" i="3"/>
  <c r="BG55" i="3" s="1"/>
  <c r="BG5" i="4" s="1"/>
  <c r="G106" i="3"/>
  <c r="M106" i="3" s="1"/>
  <c r="AY8" i="3"/>
  <c r="AY55" i="3" s="1"/>
  <c r="AY5" i="4" s="1"/>
  <c r="G61" i="1"/>
  <c r="N5" i="3"/>
  <c r="N8" i="3" s="1"/>
  <c r="N55" i="3" s="1"/>
  <c r="S8" i="3"/>
  <c r="G63" i="1"/>
  <c r="R5" i="3"/>
  <c r="R8" i="3" s="1"/>
  <c r="R55" i="3" s="1"/>
  <c r="AW55" i="1"/>
  <c r="AW5" i="3" s="1"/>
  <c r="CW54" i="1"/>
  <c r="L108" i="1"/>
  <c r="AS55" i="1"/>
  <c r="AS5" i="3" s="1"/>
  <c r="M102" i="1"/>
  <c r="L110" i="1"/>
  <c r="M90" i="1"/>
  <c r="M105" i="1"/>
  <c r="L109" i="1"/>
  <c r="Q55" i="12" l="1"/>
  <c r="Q5" i="13" s="1"/>
  <c r="Q8" i="13" s="1"/>
  <c r="Q55" i="13" s="1"/>
  <c r="Q5" i="14" s="1"/>
  <c r="Q8" i="14" s="1"/>
  <c r="Q55" i="14" s="1"/>
  <c r="Q5" i="15" s="1"/>
  <c r="Q8" i="15" s="1"/>
  <c r="Q55" i="15" s="1"/>
  <c r="Q5" i="16" s="1"/>
  <c r="Q8" i="16" s="1"/>
  <c r="Q55" i="16" s="1"/>
  <c r="Q5" i="17" s="1"/>
  <c r="Q8" i="17" s="1"/>
  <c r="Q55" i="17" s="1"/>
  <c r="Q5" i="18" s="1"/>
  <c r="Q8" i="18" s="1"/>
  <c r="Q55" i="18" s="1"/>
  <c r="Q5" i="19" s="1"/>
  <c r="Q8" i="19" s="1"/>
  <c r="Q55" i="19" s="1"/>
  <c r="G72" i="3"/>
  <c r="Z5" i="4"/>
  <c r="Z8" i="4" s="1"/>
  <c r="Z55" i="4" s="1"/>
  <c r="AX8" i="4"/>
  <c r="AX55" i="4" s="1"/>
  <c r="AX5" i="5" s="1"/>
  <c r="G101" i="4"/>
  <c r="M101" i="4" s="1"/>
  <c r="BE8" i="4"/>
  <c r="BE55" i="4" s="1"/>
  <c r="BE5" i="5" s="1"/>
  <c r="G93" i="4"/>
  <c r="M93" i="4" s="1"/>
  <c r="G77" i="3"/>
  <c r="AJ5" i="4"/>
  <c r="AJ8" i="4" s="1"/>
  <c r="AJ55" i="4" s="1"/>
  <c r="BF8" i="4"/>
  <c r="BF55" i="4" s="1"/>
  <c r="BF5" i="5" s="1"/>
  <c r="G100" i="4"/>
  <c r="M100" i="4" s="1"/>
  <c r="G91" i="4"/>
  <c r="M91" i="4" s="1"/>
  <c r="BH8" i="4"/>
  <c r="BH55" i="4" s="1"/>
  <c r="BH5" i="5" s="1"/>
  <c r="G61" i="3"/>
  <c r="N5" i="4"/>
  <c r="N8" i="4" s="1"/>
  <c r="N55" i="4" s="1"/>
  <c r="G62" i="3"/>
  <c r="P5" i="4"/>
  <c r="P8" i="4" s="1"/>
  <c r="P55" i="4" s="1"/>
  <c r="G74" i="4"/>
  <c r="AD5" i="5"/>
  <c r="AD8" i="5" s="1"/>
  <c r="AD55" i="5" s="1"/>
  <c r="G106" i="4"/>
  <c r="M106" i="4" s="1"/>
  <c r="AY8" i="4"/>
  <c r="AY55" i="4" s="1"/>
  <c r="AY5" i="5" s="1"/>
  <c r="G73" i="3"/>
  <c r="AB5" i="4"/>
  <c r="AB8" i="4" s="1"/>
  <c r="AB55" i="4" s="1"/>
  <c r="G103" i="4"/>
  <c r="M103" i="4" s="1"/>
  <c r="BJ8" i="4"/>
  <c r="BJ55" i="4" s="1"/>
  <c r="BJ5" i="5" s="1"/>
  <c r="BG8" i="4"/>
  <c r="BG55" i="4" s="1"/>
  <c r="BG5" i="5" s="1"/>
  <c r="G105" i="4"/>
  <c r="M105" i="4" s="1"/>
  <c r="BI8" i="5"/>
  <c r="BI55" i="5" s="1"/>
  <c r="BI5" i="6" s="1"/>
  <c r="G97" i="5"/>
  <c r="M97" i="5" s="1"/>
  <c r="G95" i="4"/>
  <c r="M95" i="4" s="1"/>
  <c r="AT8" i="4"/>
  <c r="AT55" i="4" s="1"/>
  <c r="AT5" i="5" s="1"/>
  <c r="G76" i="3"/>
  <c r="AH5" i="4"/>
  <c r="AH8" i="4" s="1"/>
  <c r="AH55" i="4" s="1"/>
  <c r="G75" i="4"/>
  <c r="AF5" i="5"/>
  <c r="AF8" i="5" s="1"/>
  <c r="AF55" i="5" s="1"/>
  <c r="G63" i="3"/>
  <c r="R5" i="4"/>
  <c r="R8" i="4" s="1"/>
  <c r="R55" i="4" s="1"/>
  <c r="AU8" i="4"/>
  <c r="AU55" i="4" s="1"/>
  <c r="AU5" i="5" s="1"/>
  <c r="G102" i="4"/>
  <c r="M102" i="4" s="1"/>
  <c r="G90" i="4"/>
  <c r="M90" i="4" s="1"/>
  <c r="AR8" i="4"/>
  <c r="AR55" i="4" s="1"/>
  <c r="AR5" i="5" s="1"/>
  <c r="G69" i="3"/>
  <c r="M5" i="4"/>
  <c r="M8" i="4" s="1"/>
  <c r="M55" i="4" s="1"/>
  <c r="G68" i="3"/>
  <c r="L5" i="4"/>
  <c r="L8" i="4" s="1"/>
  <c r="L55" i="4" s="1"/>
  <c r="G67" i="3"/>
  <c r="K5" i="4"/>
  <c r="K8" i="4" s="1"/>
  <c r="K55" i="4" s="1"/>
  <c r="M95" i="3"/>
  <c r="M102" i="3"/>
  <c r="AW8" i="3"/>
  <c r="AW55" i="3" s="1"/>
  <c r="AW5" i="4" s="1"/>
  <c r="G94" i="3"/>
  <c r="M94" i="3" s="1"/>
  <c r="M90" i="3"/>
  <c r="G96" i="3"/>
  <c r="M96" i="3" s="1"/>
  <c r="AS8" i="3"/>
  <c r="AS55" i="3" s="1"/>
  <c r="AS5" i="4" s="1"/>
  <c r="S55" i="3"/>
  <c r="S5" i="4" s="1"/>
  <c r="S8" i="4" s="1"/>
  <c r="S55" i="4" s="1"/>
  <c r="S5" i="5" s="1"/>
  <c r="S8" i="5" s="1"/>
  <c r="S55" i="5" s="1"/>
  <c r="S5" i="6" s="1"/>
  <c r="S8" i="6" s="1"/>
  <c r="S55" i="6" s="1"/>
  <c r="S5" i="7" s="1"/>
  <c r="S8" i="7" s="1"/>
  <c r="S55" i="7" s="1"/>
  <c r="S5" i="8" s="1"/>
  <c r="S8" i="8" s="1"/>
  <c r="S55" i="8" s="1"/>
  <c r="S5" i="9" s="1"/>
  <c r="S8" i="9" s="1"/>
  <c r="S55" i="9" s="1"/>
  <c r="S5" i="10" s="1"/>
  <c r="S8" i="10" s="1"/>
  <c r="S55" i="10" s="1"/>
  <c r="S5" i="11" s="1"/>
  <c r="S8" i="11" s="1"/>
  <c r="S55" i="11" s="1"/>
  <c r="S5" i="12" s="1"/>
  <c r="S8" i="12" s="1"/>
  <c r="S55" i="12" s="1"/>
  <c r="S5" i="13" s="1"/>
  <c r="S8" i="13" s="1"/>
  <c r="S55" i="13" s="1"/>
  <c r="S5" i="14" s="1"/>
  <c r="S8" i="14" s="1"/>
  <c r="S55" i="14" s="1"/>
  <c r="S5" i="15" s="1"/>
  <c r="S8" i="15" s="1"/>
  <c r="S55" i="15" s="1"/>
  <c r="S5" i="16" s="1"/>
  <c r="S8" i="16" s="1"/>
  <c r="S55" i="16" s="1"/>
  <c r="S5" i="17" s="1"/>
  <c r="S8" i="17" s="1"/>
  <c r="S55" i="17" s="1"/>
  <c r="S5" i="18" s="1"/>
  <c r="S8" i="18" s="1"/>
  <c r="S55" i="18" s="1"/>
  <c r="S5" i="19" s="1"/>
  <c r="S8" i="19" s="1"/>
  <c r="S55" i="19" s="1"/>
  <c r="BL5" i="1"/>
  <c r="I5" i="1"/>
  <c r="I8" i="1" s="1"/>
  <c r="I55" i="1" s="1"/>
  <c r="I5" i="3" s="1"/>
  <c r="I8" i="3" s="1"/>
  <c r="I55" i="3" s="1"/>
  <c r="I5" i="4" s="1"/>
  <c r="I8" i="4" s="1"/>
  <c r="I55" i="4" s="1"/>
  <c r="I5" i="5" s="1"/>
  <c r="I8" i="5" s="1"/>
  <c r="I55" i="5" s="1"/>
  <c r="I5" i="6" s="1"/>
  <c r="I8" i="6" s="1"/>
  <c r="I55" i="6" s="1"/>
  <c r="I5" i="7" s="1"/>
  <c r="I8" i="7" s="1"/>
  <c r="I55" i="7" s="1"/>
  <c r="I5" i="8" s="1"/>
  <c r="I8" i="8" s="1"/>
  <c r="I55" i="8" s="1"/>
  <c r="I5" i="9" s="1"/>
  <c r="I8" i="9" s="1"/>
  <c r="I55" i="9" s="1"/>
  <c r="I5" i="10" s="1"/>
  <c r="I8" i="10" s="1"/>
  <c r="I55" i="10" s="1"/>
  <c r="I5" i="11" s="1"/>
  <c r="I8" i="11" s="1"/>
  <c r="I55" i="11" s="1"/>
  <c r="I5" i="12" s="1"/>
  <c r="I8" i="12" s="1"/>
  <c r="I55" i="12" s="1"/>
  <c r="I5" i="13" s="1"/>
  <c r="I8" i="13" s="1"/>
  <c r="I55" i="13" s="1"/>
  <c r="BH8" i="5" l="1"/>
  <c r="BH55" i="5" s="1"/>
  <c r="BH5" i="6" s="1"/>
  <c r="G91" i="5"/>
  <c r="M91" i="5" s="1"/>
  <c r="G77" i="4"/>
  <c r="AJ5" i="5"/>
  <c r="AJ8" i="5" s="1"/>
  <c r="AJ55" i="5" s="1"/>
  <c r="G73" i="4"/>
  <c r="AB5" i="5"/>
  <c r="AB8" i="5" s="1"/>
  <c r="AB55" i="5" s="1"/>
  <c r="G74" i="5"/>
  <c r="AD5" i="6"/>
  <c r="AD8" i="6" s="1"/>
  <c r="AD55" i="6" s="1"/>
  <c r="G63" i="4"/>
  <c r="R5" i="5"/>
  <c r="R8" i="5" s="1"/>
  <c r="R55" i="5" s="1"/>
  <c r="G67" i="4"/>
  <c r="K5" i="5"/>
  <c r="K8" i="5" s="1"/>
  <c r="K55" i="5" s="1"/>
  <c r="G76" i="4"/>
  <c r="AH5" i="5"/>
  <c r="AH8" i="5" s="1"/>
  <c r="AH55" i="5" s="1"/>
  <c r="BE8" i="5"/>
  <c r="BE55" i="5" s="1"/>
  <c r="BE5" i="6" s="1"/>
  <c r="G93" i="5"/>
  <c r="M93" i="5" s="1"/>
  <c r="G106" i="5"/>
  <c r="M106" i="5" s="1"/>
  <c r="AY8" i="5"/>
  <c r="AY55" i="5" s="1"/>
  <c r="AY5" i="6" s="1"/>
  <c r="G96" i="4"/>
  <c r="M96" i="4" s="1"/>
  <c r="AS8" i="4"/>
  <c r="AS55" i="4" s="1"/>
  <c r="AS5" i="5" s="1"/>
  <c r="P5" i="5"/>
  <c r="P8" i="5" s="1"/>
  <c r="P55" i="5" s="1"/>
  <c r="G62" i="4"/>
  <c r="BI8" i="6"/>
  <c r="BI55" i="6" s="1"/>
  <c r="BI5" i="7" s="1"/>
  <c r="G97" i="6"/>
  <c r="M97" i="6" s="1"/>
  <c r="AX8" i="5"/>
  <c r="AX55" i="5" s="1"/>
  <c r="AX5" i="6" s="1"/>
  <c r="G101" i="5"/>
  <c r="M101" i="5" s="1"/>
  <c r="G95" i="5"/>
  <c r="M95" i="5" s="1"/>
  <c r="AT8" i="5"/>
  <c r="AT55" i="5" s="1"/>
  <c r="AT5" i="6" s="1"/>
  <c r="G72" i="4"/>
  <c r="Z5" i="5"/>
  <c r="Z8" i="5" s="1"/>
  <c r="Z55" i="5" s="1"/>
  <c r="G103" i="5"/>
  <c r="M103" i="5" s="1"/>
  <c r="BJ8" i="5"/>
  <c r="BJ55" i="5" s="1"/>
  <c r="BJ5" i="6" s="1"/>
  <c r="G75" i="5"/>
  <c r="AF5" i="6"/>
  <c r="AF8" i="6" s="1"/>
  <c r="AF55" i="6" s="1"/>
  <c r="BF8" i="5"/>
  <c r="BF55" i="5" s="1"/>
  <c r="BF5" i="6" s="1"/>
  <c r="G100" i="5"/>
  <c r="M100" i="5" s="1"/>
  <c r="G68" i="4"/>
  <c r="L5" i="5"/>
  <c r="L8" i="5" s="1"/>
  <c r="L55" i="5" s="1"/>
  <c r="G69" i="4"/>
  <c r="M5" i="5"/>
  <c r="M8" i="5" s="1"/>
  <c r="M55" i="5" s="1"/>
  <c r="G90" i="5"/>
  <c r="M90" i="5" s="1"/>
  <c r="AR8" i="5"/>
  <c r="AR55" i="5" s="1"/>
  <c r="AR5" i="6" s="1"/>
  <c r="G61" i="4"/>
  <c r="N5" i="5"/>
  <c r="N8" i="5" s="1"/>
  <c r="N55" i="5" s="1"/>
  <c r="G94" i="4"/>
  <c r="M94" i="4" s="1"/>
  <c r="AW8" i="4"/>
  <c r="AW55" i="4" s="1"/>
  <c r="AW5" i="5" s="1"/>
  <c r="AU8" i="5"/>
  <c r="AU55" i="5" s="1"/>
  <c r="AU5" i="6" s="1"/>
  <c r="G102" i="5"/>
  <c r="M102" i="5" s="1"/>
  <c r="G105" i="5"/>
  <c r="M105" i="5" s="1"/>
  <c r="BG8" i="5"/>
  <c r="BG55" i="5" s="1"/>
  <c r="BG5" i="6" s="1"/>
  <c r="BL8" i="1"/>
  <c r="BP5" i="1"/>
  <c r="BP8" i="1" s="1"/>
  <c r="BP55" i="1" s="1"/>
  <c r="BP5" i="3" s="1"/>
  <c r="BP8" i="3" s="1"/>
  <c r="BP55" i="3" s="1"/>
  <c r="BP5" i="4" s="1"/>
  <c r="BP8" i="4" s="1"/>
  <c r="BP55" i="4" s="1"/>
  <c r="BP5" i="5" s="1"/>
  <c r="BP8" i="5" s="1"/>
  <c r="BP55" i="5" s="1"/>
  <c r="BP5" i="6" s="1"/>
  <c r="BP8" i="6" s="1"/>
  <c r="BP55" i="6" s="1"/>
  <c r="BP5" i="7" s="1"/>
  <c r="BP8" i="7" s="1"/>
  <c r="BP55" i="7" s="1"/>
  <c r="BP5" i="8" s="1"/>
  <c r="BP8" i="8" s="1"/>
  <c r="BP55" i="8" s="1"/>
  <c r="BP5" i="9" s="1"/>
  <c r="BP8" i="9" s="1"/>
  <c r="BP55" i="9" s="1"/>
  <c r="BP5" i="10" s="1"/>
  <c r="BP8" i="10" s="1"/>
  <c r="BP55" i="10" s="1"/>
  <c r="BP5" i="11" s="1"/>
  <c r="BP8" i="11" s="1"/>
  <c r="BP55" i="11" s="1"/>
  <c r="BP5" i="12" s="1"/>
  <c r="BP8" i="12" s="1"/>
  <c r="BP55" i="12" s="1"/>
  <c r="BP5" i="13" s="1"/>
  <c r="BP8" i="13" s="1"/>
  <c r="BP55" i="13" s="1"/>
  <c r="BN5" i="1"/>
  <c r="BN8" i="1" s="1"/>
  <c r="BN55" i="1" s="1"/>
  <c r="BN5" i="3" s="1"/>
  <c r="BN8" i="3" s="1"/>
  <c r="BN55" i="3" s="1"/>
  <c r="BN5" i="4" s="1"/>
  <c r="BN8" i="4" s="1"/>
  <c r="BN55" i="4" s="1"/>
  <c r="BN5" i="5" s="1"/>
  <c r="BN8" i="5" s="1"/>
  <c r="BN55" i="5" s="1"/>
  <c r="BN5" i="6" s="1"/>
  <c r="BN8" i="6" s="1"/>
  <c r="BN55" i="6" s="1"/>
  <c r="BN5" i="7" s="1"/>
  <c r="BN8" i="7" s="1"/>
  <c r="BN55" i="7" s="1"/>
  <c r="BN5" i="8" s="1"/>
  <c r="BN8" i="8" s="1"/>
  <c r="BN55" i="8" s="1"/>
  <c r="BN5" i="9" s="1"/>
  <c r="BN8" i="9" s="1"/>
  <c r="BN55" i="9" s="1"/>
  <c r="BN5" i="10" s="1"/>
  <c r="BN8" i="10" s="1"/>
  <c r="BN55" i="10" s="1"/>
  <c r="BN5" i="11" s="1"/>
  <c r="BN8" i="11" s="1"/>
  <c r="BN55" i="11" s="1"/>
  <c r="BN5" i="12" s="1"/>
  <c r="BN8" i="12" s="1"/>
  <c r="BN55" i="12" s="1"/>
  <c r="BN5" i="13" s="1"/>
  <c r="BN8" i="13" s="1"/>
  <c r="BN55" i="13" s="1"/>
  <c r="BM5" i="1"/>
  <c r="BM8" i="1" s="1"/>
  <c r="BM55" i="1" s="1"/>
  <c r="BM5" i="3" s="1"/>
  <c r="BM8" i="3" s="1"/>
  <c r="BM55" i="3" s="1"/>
  <c r="BM5" i="4" s="1"/>
  <c r="BM8" i="4" s="1"/>
  <c r="BM55" i="4" s="1"/>
  <c r="BM5" i="5" s="1"/>
  <c r="BM8" i="5" s="1"/>
  <c r="BM55" i="5" s="1"/>
  <c r="BM5" i="6" s="1"/>
  <c r="BM8" i="6" s="1"/>
  <c r="BM55" i="6" s="1"/>
  <c r="BM5" i="7" s="1"/>
  <c r="BM8" i="7" s="1"/>
  <c r="BM55" i="7" s="1"/>
  <c r="BM5" i="8" s="1"/>
  <c r="BM8" i="8" s="1"/>
  <c r="BM55" i="8" s="1"/>
  <c r="BM5" i="9" s="1"/>
  <c r="BM8" i="9" s="1"/>
  <c r="BM55" i="9" s="1"/>
  <c r="BM5" i="10" s="1"/>
  <c r="BM8" i="10" s="1"/>
  <c r="BM55" i="10" s="1"/>
  <c r="BM5" i="11" s="1"/>
  <c r="BM8" i="11" s="1"/>
  <c r="BM55" i="11" s="1"/>
  <c r="BM5" i="12" s="1"/>
  <c r="BM8" i="12" s="1"/>
  <c r="BM55" i="12" s="1"/>
  <c r="BM5" i="13" s="1"/>
  <c r="BM8" i="13" s="1"/>
  <c r="BM55" i="13" s="1"/>
  <c r="BI8" i="7" l="1"/>
  <c r="BI55" i="7" s="1"/>
  <c r="BI5" i="8" s="1"/>
  <c r="G97" i="7"/>
  <c r="M97" i="7" s="1"/>
  <c r="G75" i="6"/>
  <c r="AF5" i="7"/>
  <c r="AF8" i="7" s="1"/>
  <c r="AF55" i="7" s="1"/>
  <c r="G74" i="6"/>
  <c r="AD5" i="7"/>
  <c r="AD8" i="7" s="1"/>
  <c r="AD55" i="7" s="1"/>
  <c r="G67" i="5"/>
  <c r="K5" i="6"/>
  <c r="K8" i="6" s="1"/>
  <c r="K55" i="6" s="1"/>
  <c r="G102" i="6"/>
  <c r="AU8" i="6"/>
  <c r="AU55" i="6" s="1"/>
  <c r="AU5" i="7" s="1"/>
  <c r="G63" i="5"/>
  <c r="R5" i="6"/>
  <c r="R8" i="6" s="1"/>
  <c r="R55" i="6" s="1"/>
  <c r="G62" i="5"/>
  <c r="P5" i="6"/>
  <c r="P8" i="6" s="1"/>
  <c r="P55" i="6" s="1"/>
  <c r="AW8" i="5"/>
  <c r="AW55" i="5" s="1"/>
  <c r="AW5" i="6" s="1"/>
  <c r="G94" i="5"/>
  <c r="M94" i="5" s="1"/>
  <c r="G96" i="5"/>
  <c r="M96" i="5" s="1"/>
  <c r="AS8" i="5"/>
  <c r="AS55" i="5" s="1"/>
  <c r="AS5" i="6" s="1"/>
  <c r="G72" i="5"/>
  <c r="Z5" i="6"/>
  <c r="Z8" i="6" s="1"/>
  <c r="Z55" i="6" s="1"/>
  <c r="AY8" i="6"/>
  <c r="AY55" i="6" s="1"/>
  <c r="AY5" i="7" s="1"/>
  <c r="G106" i="6"/>
  <c r="M106" i="6" s="1"/>
  <c r="G73" i="5"/>
  <c r="AB5" i="6"/>
  <c r="AB8" i="6" s="1"/>
  <c r="AB55" i="6" s="1"/>
  <c r="G61" i="5"/>
  <c r="N5" i="6"/>
  <c r="N8" i="6" s="1"/>
  <c r="N55" i="6" s="1"/>
  <c r="G95" i="6"/>
  <c r="AT8" i="6"/>
  <c r="AT55" i="6" s="1"/>
  <c r="AT5" i="7" s="1"/>
  <c r="G77" i="5"/>
  <c r="AJ5" i="6"/>
  <c r="AJ8" i="6" s="1"/>
  <c r="AJ55" i="6" s="1"/>
  <c r="BE8" i="6"/>
  <c r="BE55" i="6" s="1"/>
  <c r="BE5" i="7" s="1"/>
  <c r="G93" i="6"/>
  <c r="BG8" i="6"/>
  <c r="BG55" i="6" s="1"/>
  <c r="BG5" i="7" s="1"/>
  <c r="G105" i="6"/>
  <c r="M105" i="6" s="1"/>
  <c r="L5" i="6"/>
  <c r="L8" i="6" s="1"/>
  <c r="L55" i="6" s="1"/>
  <c r="G68" i="5"/>
  <c r="G76" i="5"/>
  <c r="AH5" i="6"/>
  <c r="AH8" i="6" s="1"/>
  <c r="AH55" i="6" s="1"/>
  <c r="G100" i="6"/>
  <c r="M100" i="6" s="1"/>
  <c r="BF8" i="6"/>
  <c r="BF55" i="6" s="1"/>
  <c r="BF5" i="7" s="1"/>
  <c r="G103" i="6"/>
  <c r="M103" i="6" s="1"/>
  <c r="BJ8" i="6"/>
  <c r="BJ55" i="6" s="1"/>
  <c r="BJ5" i="7" s="1"/>
  <c r="G90" i="6"/>
  <c r="M90" i="6" s="1"/>
  <c r="AR8" i="6"/>
  <c r="AR55" i="6" s="1"/>
  <c r="AR5" i="7" s="1"/>
  <c r="G69" i="5"/>
  <c r="M5" i="6"/>
  <c r="M8" i="6" s="1"/>
  <c r="M55" i="6" s="1"/>
  <c r="AX8" i="6"/>
  <c r="AX55" i="6" s="1"/>
  <c r="AX5" i="7" s="1"/>
  <c r="G101" i="6"/>
  <c r="M101" i="6" s="1"/>
  <c r="BH8" i="6"/>
  <c r="BH55" i="6" s="1"/>
  <c r="BH5" i="7" s="1"/>
  <c r="G91" i="6"/>
  <c r="M91" i="6" s="1"/>
  <c r="BL55" i="1"/>
  <c r="BL5" i="3" s="1"/>
  <c r="BL8" i="3" s="1"/>
  <c r="BL55" i="3" s="1"/>
  <c r="BL5" i="4" s="1"/>
  <c r="BL8" i="4" s="1"/>
  <c r="BL55" i="4" s="1"/>
  <c r="BL5" i="5" s="1"/>
  <c r="BL8" i="5" s="1"/>
  <c r="BL55" i="5" s="1"/>
  <c r="BL5" i="6" s="1"/>
  <c r="BL8" i="6" s="1"/>
  <c r="BL55" i="6" s="1"/>
  <c r="BL5" i="7" s="1"/>
  <c r="BL8" i="7" s="1"/>
  <c r="BL55" i="7" s="1"/>
  <c r="BL5" i="8" s="1"/>
  <c r="BL8" i="8" s="1"/>
  <c r="BL55" i="8" s="1"/>
  <c r="BL5" i="9" s="1"/>
  <c r="BL8" i="9" s="1"/>
  <c r="BL55" i="9" s="1"/>
  <c r="BL5" i="10" s="1"/>
  <c r="BL8" i="10" s="1"/>
  <c r="BL55" i="10" s="1"/>
  <c r="BL5" i="11" s="1"/>
  <c r="BL8" i="11" s="1"/>
  <c r="BL55" i="11" s="1"/>
  <c r="BL5" i="12" s="1"/>
  <c r="BL8" i="12" s="1"/>
  <c r="BL55" i="12" s="1"/>
  <c r="BL5" i="13" s="1"/>
  <c r="BL8" i="13" s="1"/>
  <c r="BL55" i="13" s="1"/>
  <c r="G73" i="6" l="1"/>
  <c r="AB5" i="7"/>
  <c r="AB8" i="7" s="1"/>
  <c r="AB55" i="7" s="1"/>
  <c r="G63" i="6"/>
  <c r="R5" i="7"/>
  <c r="R8" i="7" s="1"/>
  <c r="R55" i="7" s="1"/>
  <c r="AX8" i="7"/>
  <c r="AX55" i="7" s="1"/>
  <c r="AX5" i="8" s="1"/>
  <c r="G101" i="7"/>
  <c r="M101" i="7" s="1"/>
  <c r="AU8" i="7"/>
  <c r="AU55" i="7" s="1"/>
  <c r="AU5" i="8" s="1"/>
  <c r="G102" i="7"/>
  <c r="M102" i="7" s="1"/>
  <c r="AY8" i="7"/>
  <c r="AY55" i="7" s="1"/>
  <c r="AY5" i="8" s="1"/>
  <c r="G106" i="7"/>
  <c r="M106" i="7" s="1"/>
  <c r="G67" i="6"/>
  <c r="K5" i="7"/>
  <c r="K8" i="7" s="1"/>
  <c r="K55" i="7" s="1"/>
  <c r="BE8" i="7"/>
  <c r="BE55" i="7" s="1"/>
  <c r="BE5" i="8" s="1"/>
  <c r="G93" i="7"/>
  <c r="M93" i="7" s="1"/>
  <c r="G77" i="6"/>
  <c r="AJ5" i="7"/>
  <c r="AJ8" i="7" s="1"/>
  <c r="AJ55" i="7" s="1"/>
  <c r="G74" i="7"/>
  <c r="AD5" i="8"/>
  <c r="AD8" i="8" s="1"/>
  <c r="AD55" i="8" s="1"/>
  <c r="G105" i="7"/>
  <c r="M105" i="7" s="1"/>
  <c r="BG8" i="7"/>
  <c r="BG55" i="7" s="1"/>
  <c r="BG5" i="8" s="1"/>
  <c r="G103" i="7"/>
  <c r="M103" i="7" s="1"/>
  <c r="BJ8" i="7"/>
  <c r="BJ55" i="7" s="1"/>
  <c r="BJ5" i="8" s="1"/>
  <c r="G75" i="7"/>
  <c r="AF5" i="8"/>
  <c r="AF8" i="8" s="1"/>
  <c r="AF55" i="8" s="1"/>
  <c r="AR8" i="7"/>
  <c r="AR55" i="7" s="1"/>
  <c r="AR5" i="8" s="1"/>
  <c r="G90" i="7"/>
  <c r="M90" i="7" s="1"/>
  <c r="G76" i="6"/>
  <c r="AH5" i="7"/>
  <c r="AH8" i="7" s="1"/>
  <c r="AH55" i="7" s="1"/>
  <c r="G72" i="6"/>
  <c r="Z5" i="7"/>
  <c r="Z8" i="7" s="1"/>
  <c r="Z55" i="7" s="1"/>
  <c r="BF8" i="7"/>
  <c r="BF55" i="7" s="1"/>
  <c r="BF5" i="8" s="1"/>
  <c r="G100" i="7"/>
  <c r="M100" i="7" s="1"/>
  <c r="AT8" i="7"/>
  <c r="AT55" i="7" s="1"/>
  <c r="AT5" i="8" s="1"/>
  <c r="G95" i="7"/>
  <c r="M95" i="7" s="1"/>
  <c r="G61" i="6"/>
  <c r="N5" i="7"/>
  <c r="N8" i="7" s="1"/>
  <c r="N55" i="7" s="1"/>
  <c r="G62" i="6"/>
  <c r="P5" i="7"/>
  <c r="P8" i="7" s="1"/>
  <c r="P55" i="7" s="1"/>
  <c r="G91" i="7"/>
  <c r="M91" i="7" s="1"/>
  <c r="BH8" i="7"/>
  <c r="BH55" i="7" s="1"/>
  <c r="BH5" i="8" s="1"/>
  <c r="G97" i="8"/>
  <c r="M97" i="8" s="1"/>
  <c r="BI8" i="8"/>
  <c r="BI55" i="8" s="1"/>
  <c r="BI5" i="9" s="1"/>
  <c r="G69" i="6"/>
  <c r="M5" i="7"/>
  <c r="M8" i="7" s="1"/>
  <c r="M55" i="7" s="1"/>
  <c r="G68" i="6"/>
  <c r="L5" i="7"/>
  <c r="G96" i="6"/>
  <c r="M96" i="6" s="1"/>
  <c r="AS8" i="6"/>
  <c r="AS55" i="6" s="1"/>
  <c r="AS5" i="7" s="1"/>
  <c r="M95" i="6"/>
  <c r="AW8" i="6"/>
  <c r="AW55" i="6" s="1"/>
  <c r="AW5" i="7" s="1"/>
  <c r="G94" i="6"/>
  <c r="M94" i="6" s="1"/>
  <c r="M102" i="6"/>
  <c r="M93" i="6"/>
  <c r="E5" i="1"/>
  <c r="G74" i="8" l="1"/>
  <c r="AD5" i="9"/>
  <c r="AD8" i="9" s="1"/>
  <c r="AD55" i="9" s="1"/>
  <c r="G75" i="8"/>
  <c r="AF5" i="9"/>
  <c r="AF8" i="9" s="1"/>
  <c r="AF55" i="9" s="1"/>
  <c r="BI8" i="9"/>
  <c r="BI55" i="9" s="1"/>
  <c r="BI5" i="10" s="1"/>
  <c r="G97" i="9"/>
  <c r="M97" i="9" s="1"/>
  <c r="G61" i="7"/>
  <c r="N5" i="8"/>
  <c r="N8" i="8" s="1"/>
  <c r="N55" i="8" s="1"/>
  <c r="G67" i="7"/>
  <c r="K5" i="8"/>
  <c r="K8" i="8" s="1"/>
  <c r="K55" i="8" s="1"/>
  <c r="G103" i="8"/>
  <c r="M103" i="8" s="1"/>
  <c r="BJ8" i="8"/>
  <c r="BJ55" i="8" s="1"/>
  <c r="BJ5" i="9" s="1"/>
  <c r="AY8" i="8"/>
  <c r="AY55" i="8" s="1"/>
  <c r="AY5" i="9" s="1"/>
  <c r="G106" i="8"/>
  <c r="M106" i="8" s="1"/>
  <c r="BG8" i="8"/>
  <c r="BG55" i="8" s="1"/>
  <c r="BG5" i="9" s="1"/>
  <c r="G105" i="8"/>
  <c r="M105" i="8" s="1"/>
  <c r="AU8" i="8"/>
  <c r="AU55" i="8" s="1"/>
  <c r="AU5" i="9" s="1"/>
  <c r="G102" i="8"/>
  <c r="G95" i="8"/>
  <c r="AT8" i="8"/>
  <c r="AT55" i="8" s="1"/>
  <c r="AT5" i="9" s="1"/>
  <c r="G100" i="8"/>
  <c r="M100" i="8" s="1"/>
  <c r="BF8" i="8"/>
  <c r="BF55" i="8" s="1"/>
  <c r="BF5" i="9" s="1"/>
  <c r="AX8" i="8"/>
  <c r="AX55" i="8" s="1"/>
  <c r="AX5" i="9" s="1"/>
  <c r="G101" i="8"/>
  <c r="M101" i="8" s="1"/>
  <c r="G77" i="7"/>
  <c r="AJ5" i="8"/>
  <c r="AJ8" i="8" s="1"/>
  <c r="AJ55" i="8" s="1"/>
  <c r="G63" i="7"/>
  <c r="R5" i="8"/>
  <c r="R8" i="8" s="1"/>
  <c r="R55" i="8" s="1"/>
  <c r="G69" i="7"/>
  <c r="M5" i="8"/>
  <c r="M8" i="8" s="1"/>
  <c r="M55" i="8" s="1"/>
  <c r="G72" i="7"/>
  <c r="Z5" i="8"/>
  <c r="Z8" i="8" s="1"/>
  <c r="Z55" i="8" s="1"/>
  <c r="BH8" i="8"/>
  <c r="BH55" i="8" s="1"/>
  <c r="BH5" i="9" s="1"/>
  <c r="G91" i="8"/>
  <c r="M91" i="8" s="1"/>
  <c r="G62" i="7"/>
  <c r="P5" i="8"/>
  <c r="P8" i="8" s="1"/>
  <c r="P55" i="8" s="1"/>
  <c r="G73" i="7"/>
  <c r="AB5" i="8"/>
  <c r="AB8" i="8" s="1"/>
  <c r="AB55" i="8" s="1"/>
  <c r="G96" i="7"/>
  <c r="M96" i="7" s="1"/>
  <c r="AS8" i="7"/>
  <c r="AS55" i="7" s="1"/>
  <c r="AS5" i="8" s="1"/>
  <c r="G76" i="7"/>
  <c r="AH5" i="8"/>
  <c r="AH8" i="8" s="1"/>
  <c r="AH55" i="8" s="1"/>
  <c r="AW8" i="7"/>
  <c r="AW55" i="7" s="1"/>
  <c r="AW5" i="8" s="1"/>
  <c r="G94" i="7"/>
  <c r="M94" i="7" s="1"/>
  <c r="AR8" i="8"/>
  <c r="AR55" i="8" s="1"/>
  <c r="AR5" i="9" s="1"/>
  <c r="G90" i="8"/>
  <c r="BE8" i="8"/>
  <c r="BE55" i="8" s="1"/>
  <c r="BE5" i="9" s="1"/>
  <c r="G93" i="8"/>
  <c r="M93" i="8" s="1"/>
  <c r="L8" i="7"/>
  <c r="E8" i="1"/>
  <c r="F5" i="1"/>
  <c r="F8" i="1" s="1"/>
  <c r="F55" i="1" s="1"/>
  <c r="F5" i="3" s="1"/>
  <c r="F8" i="3" s="1"/>
  <c r="F55" i="3" s="1"/>
  <c r="F5" i="4" s="1"/>
  <c r="F8" i="4" s="1"/>
  <c r="F55" i="4" s="1"/>
  <c r="F5" i="5" s="1"/>
  <c r="G103" i="9" l="1"/>
  <c r="M103" i="9" s="1"/>
  <c r="BJ8" i="9"/>
  <c r="BJ55" i="9" s="1"/>
  <c r="BJ5" i="10" s="1"/>
  <c r="G62" i="8"/>
  <c r="P5" i="9"/>
  <c r="P8" i="9" s="1"/>
  <c r="P55" i="9" s="1"/>
  <c r="G100" i="9"/>
  <c r="M100" i="9" s="1"/>
  <c r="BF8" i="9"/>
  <c r="BF55" i="9" s="1"/>
  <c r="BF5" i="10" s="1"/>
  <c r="G91" i="9"/>
  <c r="M91" i="9" s="1"/>
  <c r="BH8" i="9"/>
  <c r="BH55" i="9" s="1"/>
  <c r="BH5" i="10" s="1"/>
  <c r="BE8" i="9"/>
  <c r="BE55" i="9" s="1"/>
  <c r="BE5" i="10" s="1"/>
  <c r="G93" i="9"/>
  <c r="M93" i="9" s="1"/>
  <c r="AT8" i="9"/>
  <c r="AT55" i="9" s="1"/>
  <c r="AT5" i="10" s="1"/>
  <c r="G95" i="9"/>
  <c r="M95" i="9" s="1"/>
  <c r="AR8" i="9"/>
  <c r="AR55" i="9" s="1"/>
  <c r="AR5" i="10" s="1"/>
  <c r="G90" i="9"/>
  <c r="M90" i="9" s="1"/>
  <c r="AX8" i="9"/>
  <c r="AX55" i="9" s="1"/>
  <c r="AX5" i="10" s="1"/>
  <c r="G101" i="9"/>
  <c r="M101" i="9" s="1"/>
  <c r="G67" i="8"/>
  <c r="K5" i="9"/>
  <c r="K8" i="9" s="1"/>
  <c r="K55" i="9" s="1"/>
  <c r="G72" i="8"/>
  <c r="Z5" i="9"/>
  <c r="Z8" i="9" s="1"/>
  <c r="Z55" i="9" s="1"/>
  <c r="G61" i="8"/>
  <c r="N5" i="9"/>
  <c r="N8" i="9" s="1"/>
  <c r="N55" i="9" s="1"/>
  <c r="G76" i="8"/>
  <c r="AH5" i="9"/>
  <c r="AH8" i="9" s="1"/>
  <c r="AH55" i="9" s="1"/>
  <c r="G69" i="8"/>
  <c r="M5" i="9"/>
  <c r="M8" i="9" s="1"/>
  <c r="M55" i="9" s="1"/>
  <c r="AU8" i="9"/>
  <c r="AU55" i="9" s="1"/>
  <c r="AU5" i="10" s="1"/>
  <c r="G102" i="9"/>
  <c r="M102" i="9" s="1"/>
  <c r="G97" i="10"/>
  <c r="M97" i="10" s="1"/>
  <c r="BI8" i="10"/>
  <c r="BI55" i="10" s="1"/>
  <c r="BI5" i="11" s="1"/>
  <c r="G63" i="8"/>
  <c r="R5" i="9"/>
  <c r="R8" i="9" s="1"/>
  <c r="R55" i="9" s="1"/>
  <c r="G75" i="9"/>
  <c r="AF5" i="10"/>
  <c r="AF8" i="10" s="1"/>
  <c r="AF55" i="10" s="1"/>
  <c r="G105" i="9"/>
  <c r="M105" i="9" s="1"/>
  <c r="BG8" i="9"/>
  <c r="BG55" i="9" s="1"/>
  <c r="BG5" i="10" s="1"/>
  <c r="G77" i="8"/>
  <c r="AJ5" i="9"/>
  <c r="AJ8" i="9" s="1"/>
  <c r="AJ55" i="9" s="1"/>
  <c r="G74" i="9"/>
  <c r="AD5" i="10"/>
  <c r="AD8" i="10" s="1"/>
  <c r="AD55" i="10" s="1"/>
  <c r="G73" i="8"/>
  <c r="AB5" i="9"/>
  <c r="AB8" i="9" s="1"/>
  <c r="AB55" i="9" s="1"/>
  <c r="AY8" i="9"/>
  <c r="AY55" i="9" s="1"/>
  <c r="AY5" i="10" s="1"/>
  <c r="G106" i="9"/>
  <c r="M106" i="9" s="1"/>
  <c r="M102" i="8"/>
  <c r="AS8" i="8"/>
  <c r="AS55" i="8" s="1"/>
  <c r="AS5" i="9" s="1"/>
  <c r="G96" i="8"/>
  <c r="M96" i="8" s="1"/>
  <c r="M90" i="8"/>
  <c r="G94" i="8"/>
  <c r="M94" i="8" s="1"/>
  <c r="AW8" i="8"/>
  <c r="AW55" i="8" s="1"/>
  <c r="AW5" i="9" s="1"/>
  <c r="M95" i="8"/>
  <c r="L55" i="7"/>
  <c r="L5" i="8" s="1"/>
  <c r="L8" i="8" s="1"/>
  <c r="L55" i="8" s="1"/>
  <c r="F8" i="5"/>
  <c r="F55" i="5" s="1"/>
  <c r="F5" i="6" s="1"/>
  <c r="F8" i="6" s="1"/>
  <c r="F55" i="6" s="1"/>
  <c r="F5" i="7" s="1"/>
  <c r="F8" i="7" s="1"/>
  <c r="F55" i="7" s="1"/>
  <c r="F5" i="8" s="1"/>
  <c r="F8" i="8" s="1"/>
  <c r="F55" i="8" s="1"/>
  <c r="F5" i="9" s="1"/>
  <c r="E55" i="1"/>
  <c r="E5" i="3" s="1"/>
  <c r="G90" i="10" l="1"/>
  <c r="M90" i="10" s="1"/>
  <c r="AR8" i="10"/>
  <c r="AR55" i="10" s="1"/>
  <c r="AR5" i="11" s="1"/>
  <c r="BG8" i="10"/>
  <c r="BG55" i="10" s="1"/>
  <c r="BG5" i="11" s="1"/>
  <c r="G105" i="10"/>
  <c r="M105" i="10" s="1"/>
  <c r="G76" i="9"/>
  <c r="AH5" i="10"/>
  <c r="AH8" i="10" s="1"/>
  <c r="AH55" i="10" s="1"/>
  <c r="BE8" i="10"/>
  <c r="BE55" i="10" s="1"/>
  <c r="BE5" i="11" s="1"/>
  <c r="G93" i="10"/>
  <c r="M93" i="10" s="1"/>
  <c r="G95" i="10"/>
  <c r="M95" i="10" s="1"/>
  <c r="AT8" i="10"/>
  <c r="AT55" i="10" s="1"/>
  <c r="AT5" i="11" s="1"/>
  <c r="G72" i="9"/>
  <c r="Z5" i="10"/>
  <c r="Z8" i="10" s="1"/>
  <c r="Z55" i="10" s="1"/>
  <c r="G91" i="10"/>
  <c r="M91" i="10" s="1"/>
  <c r="BH8" i="10"/>
  <c r="BH55" i="10" s="1"/>
  <c r="BH5" i="11" s="1"/>
  <c r="AY8" i="10"/>
  <c r="AY55" i="10" s="1"/>
  <c r="AY5" i="11" s="1"/>
  <c r="G106" i="10"/>
  <c r="M106" i="10" s="1"/>
  <c r="G75" i="10"/>
  <c r="AF5" i="11"/>
  <c r="AF8" i="11" s="1"/>
  <c r="AF55" i="11" s="1"/>
  <c r="G67" i="9"/>
  <c r="K5" i="10"/>
  <c r="K8" i="10" s="1"/>
  <c r="K55" i="10" s="1"/>
  <c r="BF8" i="10"/>
  <c r="BF55" i="10" s="1"/>
  <c r="BF5" i="11" s="1"/>
  <c r="G100" i="10"/>
  <c r="M100" i="10" s="1"/>
  <c r="G63" i="9"/>
  <c r="R5" i="10"/>
  <c r="R8" i="10" s="1"/>
  <c r="R55" i="10" s="1"/>
  <c r="G97" i="11"/>
  <c r="M97" i="11" s="1"/>
  <c r="BI8" i="11"/>
  <c r="BI55" i="11" s="1"/>
  <c r="BI5" i="12" s="1"/>
  <c r="G96" i="9"/>
  <c r="M96" i="9" s="1"/>
  <c r="AS8" i="9"/>
  <c r="AS55" i="9" s="1"/>
  <c r="AS5" i="10" s="1"/>
  <c r="G68" i="8"/>
  <c r="L5" i="9"/>
  <c r="L8" i="9" s="1"/>
  <c r="L55" i="9" s="1"/>
  <c r="G74" i="10"/>
  <c r="AD5" i="11"/>
  <c r="AD8" i="11" s="1"/>
  <c r="AD55" i="11" s="1"/>
  <c r="G62" i="9"/>
  <c r="P5" i="10"/>
  <c r="P8" i="10" s="1"/>
  <c r="P55" i="10" s="1"/>
  <c r="G61" i="9"/>
  <c r="N5" i="10"/>
  <c r="N8" i="10" s="1"/>
  <c r="N55" i="10" s="1"/>
  <c r="G73" i="9"/>
  <c r="AB5" i="10"/>
  <c r="AB8" i="10" s="1"/>
  <c r="AB55" i="10" s="1"/>
  <c r="G102" i="10"/>
  <c r="M102" i="10" s="1"/>
  <c r="AU8" i="10"/>
  <c r="AU55" i="10" s="1"/>
  <c r="AU5" i="11" s="1"/>
  <c r="G101" i="10"/>
  <c r="M101" i="10" s="1"/>
  <c r="AX8" i="10"/>
  <c r="AX55" i="10" s="1"/>
  <c r="AX5" i="11" s="1"/>
  <c r="AW8" i="9"/>
  <c r="AW55" i="9" s="1"/>
  <c r="AW5" i="10" s="1"/>
  <c r="G94" i="9"/>
  <c r="M94" i="9" s="1"/>
  <c r="G77" i="9"/>
  <c r="AJ5" i="10"/>
  <c r="AJ8" i="10" s="1"/>
  <c r="AJ55" i="10" s="1"/>
  <c r="G69" i="9"/>
  <c r="M5" i="10"/>
  <c r="M8" i="10" s="1"/>
  <c r="M55" i="10" s="1"/>
  <c r="G103" i="10"/>
  <c r="M103" i="10" s="1"/>
  <c r="BJ8" i="10"/>
  <c r="BJ55" i="10" s="1"/>
  <c r="BJ5" i="11" s="1"/>
  <c r="F8" i="9"/>
  <c r="G68" i="7"/>
  <c r="E8" i="3"/>
  <c r="BD5" i="1"/>
  <c r="BB5" i="1"/>
  <c r="BC5" i="1"/>
  <c r="G74" i="11" l="1"/>
  <c r="AD5" i="12"/>
  <c r="AD8" i="12" s="1"/>
  <c r="AD55" i="12" s="1"/>
  <c r="G75" i="11"/>
  <c r="AF5" i="12"/>
  <c r="AF8" i="12" s="1"/>
  <c r="AF55" i="12" s="1"/>
  <c r="G97" i="12"/>
  <c r="M97" i="12" s="1"/>
  <c r="BI8" i="12"/>
  <c r="BI55" i="12" s="1"/>
  <c r="BI5" i="13" s="1"/>
  <c r="AW8" i="10"/>
  <c r="AW55" i="10" s="1"/>
  <c r="AW5" i="11" s="1"/>
  <c r="G94" i="10"/>
  <c r="M94" i="10" s="1"/>
  <c r="G69" i="10"/>
  <c r="M5" i="11"/>
  <c r="M8" i="11" s="1"/>
  <c r="M55" i="11" s="1"/>
  <c r="G61" i="10"/>
  <c r="N5" i="11"/>
  <c r="N8" i="11" s="1"/>
  <c r="N55" i="11" s="1"/>
  <c r="G63" i="10"/>
  <c r="R5" i="11"/>
  <c r="R8" i="11" s="1"/>
  <c r="R55" i="11" s="1"/>
  <c r="G72" i="10"/>
  <c r="Z5" i="11"/>
  <c r="Z8" i="11" s="1"/>
  <c r="Z55" i="11" s="1"/>
  <c r="G62" i="10"/>
  <c r="P5" i="11"/>
  <c r="P8" i="11" s="1"/>
  <c r="P55" i="11" s="1"/>
  <c r="BE8" i="11"/>
  <c r="BE55" i="11" s="1"/>
  <c r="BE5" i="12" s="1"/>
  <c r="G93" i="11"/>
  <c r="M93" i="11" s="1"/>
  <c r="G95" i="11"/>
  <c r="M95" i="11" s="1"/>
  <c r="AT8" i="11"/>
  <c r="AT55" i="11" s="1"/>
  <c r="AT5" i="12" s="1"/>
  <c r="G76" i="10"/>
  <c r="AH5" i="11"/>
  <c r="AH8" i="11" s="1"/>
  <c r="AH55" i="11" s="1"/>
  <c r="BF8" i="11"/>
  <c r="BF55" i="11" s="1"/>
  <c r="BF5" i="12" s="1"/>
  <c r="G100" i="11"/>
  <c r="M100" i="11" s="1"/>
  <c r="G101" i="11"/>
  <c r="M101" i="11" s="1"/>
  <c r="AX8" i="11"/>
  <c r="AX55" i="11" s="1"/>
  <c r="AX5" i="12" s="1"/>
  <c r="G68" i="9"/>
  <c r="L5" i="10"/>
  <c r="L8" i="10" s="1"/>
  <c r="L55" i="10" s="1"/>
  <c r="G102" i="11"/>
  <c r="M102" i="11" s="1"/>
  <c r="AU8" i="11"/>
  <c r="AU55" i="11" s="1"/>
  <c r="AU5" i="12" s="1"/>
  <c r="G96" i="10"/>
  <c r="M96" i="10" s="1"/>
  <c r="AS8" i="10"/>
  <c r="AS55" i="10" s="1"/>
  <c r="AS5" i="11" s="1"/>
  <c r="G67" i="10"/>
  <c r="K5" i="11"/>
  <c r="K8" i="11" s="1"/>
  <c r="K55" i="11" s="1"/>
  <c r="G106" i="11"/>
  <c r="M106" i="11" s="1"/>
  <c r="AY8" i="11"/>
  <c r="AY55" i="11" s="1"/>
  <c r="AY5" i="12" s="1"/>
  <c r="BG8" i="11"/>
  <c r="BG55" i="11" s="1"/>
  <c r="BG5" i="12" s="1"/>
  <c r="G105" i="11"/>
  <c r="M105" i="11" s="1"/>
  <c r="G77" i="10"/>
  <c r="AJ5" i="11"/>
  <c r="AJ8" i="11" s="1"/>
  <c r="AJ55" i="11" s="1"/>
  <c r="G103" i="11"/>
  <c r="M103" i="11" s="1"/>
  <c r="BJ8" i="11"/>
  <c r="BJ55" i="11" s="1"/>
  <c r="BJ5" i="12" s="1"/>
  <c r="G73" i="10"/>
  <c r="AB5" i="11"/>
  <c r="AB8" i="11" s="1"/>
  <c r="AB55" i="11" s="1"/>
  <c r="G91" i="11"/>
  <c r="M91" i="11" s="1"/>
  <c r="BH8" i="11"/>
  <c r="BH55" i="11" s="1"/>
  <c r="BH5" i="12" s="1"/>
  <c r="AR8" i="11"/>
  <c r="AR55" i="11" s="1"/>
  <c r="AR5" i="12" s="1"/>
  <c r="G90" i="11"/>
  <c r="M90" i="11" s="1"/>
  <c r="F55" i="9"/>
  <c r="F5" i="10" s="1"/>
  <c r="E55" i="3"/>
  <c r="E5" i="4" s="1"/>
  <c r="E8" i="4" s="1"/>
  <c r="E55" i="4" s="1"/>
  <c r="E5" i="5" s="1"/>
  <c r="E8" i="5" s="1"/>
  <c r="E55" i="5" s="1"/>
  <c r="BD8" i="1"/>
  <c r="BD55" i="1" s="1"/>
  <c r="BD5" i="3" s="1"/>
  <c r="G104" i="1"/>
  <c r="G99" i="1"/>
  <c r="M99" i="1" s="1"/>
  <c r="BB8" i="1"/>
  <c r="BB55" i="1" s="1"/>
  <c r="BB5" i="3" s="1"/>
  <c r="BC8" i="1"/>
  <c r="BC55" i="1" s="1"/>
  <c r="BC5" i="3" s="1"/>
  <c r="G98" i="1"/>
  <c r="BI8" i="13" l="1"/>
  <c r="BI55" i="13" s="1"/>
  <c r="G97" i="13"/>
  <c r="M97" i="13" s="1"/>
  <c r="G75" i="12"/>
  <c r="AF5" i="13"/>
  <c r="AF8" i="13" s="1"/>
  <c r="AF55" i="13" s="1"/>
  <c r="G75" i="13" s="1"/>
  <c r="G74" i="12"/>
  <c r="AD5" i="13"/>
  <c r="AD8" i="13" s="1"/>
  <c r="AD55" i="13" s="1"/>
  <c r="G74" i="13" s="1"/>
  <c r="G91" i="12"/>
  <c r="M91" i="12" s="1"/>
  <c r="BH8" i="12"/>
  <c r="BH55" i="12" s="1"/>
  <c r="BH5" i="13" s="1"/>
  <c r="G67" i="11"/>
  <c r="K5" i="12"/>
  <c r="K8" i="12" s="1"/>
  <c r="K55" i="12" s="1"/>
  <c r="G76" i="11"/>
  <c r="AH5" i="12"/>
  <c r="AH8" i="12" s="1"/>
  <c r="AH55" i="12" s="1"/>
  <c r="G61" i="11"/>
  <c r="N5" i="12"/>
  <c r="N8" i="12" s="1"/>
  <c r="N55" i="12" s="1"/>
  <c r="G103" i="12"/>
  <c r="M103" i="12" s="1"/>
  <c r="BJ8" i="12"/>
  <c r="BJ55" i="12" s="1"/>
  <c r="BJ5" i="13" s="1"/>
  <c r="AU8" i="12"/>
  <c r="AU55" i="12" s="1"/>
  <c r="AU5" i="13" s="1"/>
  <c r="G102" i="12"/>
  <c r="M102" i="12" s="1"/>
  <c r="G95" i="12"/>
  <c r="M95" i="12" s="1"/>
  <c r="AT8" i="12"/>
  <c r="AT55" i="12" s="1"/>
  <c r="AT5" i="13" s="1"/>
  <c r="G93" i="12"/>
  <c r="M93" i="12" s="1"/>
  <c r="BE8" i="12"/>
  <c r="BE55" i="12" s="1"/>
  <c r="BE5" i="13" s="1"/>
  <c r="G69" i="11"/>
  <c r="M5" i="12"/>
  <c r="M8" i="12" s="1"/>
  <c r="M55" i="12" s="1"/>
  <c r="G62" i="11"/>
  <c r="P5" i="12"/>
  <c r="P8" i="12" s="1"/>
  <c r="P55" i="12" s="1"/>
  <c r="G77" i="11"/>
  <c r="AJ5" i="12"/>
  <c r="AJ8" i="12" s="1"/>
  <c r="AJ55" i="12" s="1"/>
  <c r="G73" i="11"/>
  <c r="AB5" i="12"/>
  <c r="AB8" i="12" s="1"/>
  <c r="AB55" i="12" s="1"/>
  <c r="G72" i="11"/>
  <c r="Z5" i="12"/>
  <c r="Z8" i="12" s="1"/>
  <c r="Z55" i="12" s="1"/>
  <c r="G101" i="12"/>
  <c r="M101" i="12" s="1"/>
  <c r="AX8" i="12"/>
  <c r="AX55" i="12" s="1"/>
  <c r="AX5" i="13" s="1"/>
  <c r="G105" i="12"/>
  <c r="M105" i="12" s="1"/>
  <c r="BG8" i="12"/>
  <c r="BG55" i="12" s="1"/>
  <c r="BG5" i="13" s="1"/>
  <c r="G63" i="11"/>
  <c r="R5" i="12"/>
  <c r="R8" i="12" s="1"/>
  <c r="R55" i="12" s="1"/>
  <c r="G106" i="12"/>
  <c r="M106" i="12" s="1"/>
  <c r="AY8" i="12"/>
  <c r="AY55" i="12" s="1"/>
  <c r="AY5" i="13" s="1"/>
  <c r="AR8" i="12"/>
  <c r="AR55" i="12" s="1"/>
  <c r="AR5" i="13" s="1"/>
  <c r="G90" i="12"/>
  <c r="M90" i="12" s="1"/>
  <c r="BF8" i="12"/>
  <c r="BF55" i="12" s="1"/>
  <c r="BF5" i="13" s="1"/>
  <c r="G100" i="12"/>
  <c r="M100" i="12" s="1"/>
  <c r="G68" i="10"/>
  <c r="L5" i="11"/>
  <c r="L8" i="11" s="1"/>
  <c r="L55" i="11" s="1"/>
  <c r="AS8" i="11"/>
  <c r="AS55" i="11" s="1"/>
  <c r="AS5" i="12" s="1"/>
  <c r="G96" i="11"/>
  <c r="M96" i="11" s="1"/>
  <c r="G94" i="11"/>
  <c r="M94" i="11" s="1"/>
  <c r="AW8" i="11"/>
  <c r="AW55" i="11" s="1"/>
  <c r="AW5" i="12" s="1"/>
  <c r="F8" i="10"/>
  <c r="BC8" i="3"/>
  <c r="BC55" i="3" s="1"/>
  <c r="BC5" i="4" s="1"/>
  <c r="G98" i="3"/>
  <c r="G99" i="3"/>
  <c r="M99" i="3" s="1"/>
  <c r="BB8" i="3"/>
  <c r="BB55" i="3" s="1"/>
  <c r="BB5" i="4" s="1"/>
  <c r="G104" i="3"/>
  <c r="BD8" i="3"/>
  <c r="BD55" i="3" s="1"/>
  <c r="BD5" i="4" s="1"/>
  <c r="M104" i="1"/>
  <c r="M110" i="1" s="1"/>
  <c r="G110" i="1"/>
  <c r="G109" i="1"/>
  <c r="M98" i="1"/>
  <c r="M109" i="1" s="1"/>
  <c r="BG8" i="13" l="1"/>
  <c r="BG55" i="13" s="1"/>
  <c r="G105" i="13"/>
  <c r="M105" i="13" s="1"/>
  <c r="G69" i="12"/>
  <c r="M5" i="13"/>
  <c r="M8" i="13" s="1"/>
  <c r="M55" i="13" s="1"/>
  <c r="G76" i="12"/>
  <c r="AH5" i="13"/>
  <c r="AH8" i="13" s="1"/>
  <c r="AH55" i="13" s="1"/>
  <c r="G76" i="13" s="1"/>
  <c r="G101" i="13"/>
  <c r="M101" i="13" s="1"/>
  <c r="AX8" i="13"/>
  <c r="AX55" i="13" s="1"/>
  <c r="BE8" i="13"/>
  <c r="BE55" i="13" s="1"/>
  <c r="BE5" i="14" s="1"/>
  <c r="G93" i="13"/>
  <c r="M93" i="13" s="1"/>
  <c r="G67" i="12"/>
  <c r="K5" i="13"/>
  <c r="K8" i="13" s="1"/>
  <c r="K55" i="13" s="1"/>
  <c r="G67" i="13" s="1"/>
  <c r="G95" i="13"/>
  <c r="M95" i="13" s="1"/>
  <c r="AT8" i="13"/>
  <c r="AT55" i="13" s="1"/>
  <c r="G91" i="13"/>
  <c r="M91" i="13" s="1"/>
  <c r="BH8" i="13"/>
  <c r="BH55" i="13" s="1"/>
  <c r="BF8" i="13"/>
  <c r="BF55" i="13" s="1"/>
  <c r="BF5" i="14" s="1"/>
  <c r="G100" i="13"/>
  <c r="M100" i="13" s="1"/>
  <c r="G73" i="12"/>
  <c r="AB5" i="13"/>
  <c r="AB8" i="13" s="1"/>
  <c r="AB55" i="13" s="1"/>
  <c r="G73" i="13" s="1"/>
  <c r="AR8" i="13"/>
  <c r="AR55" i="13" s="1"/>
  <c r="G90" i="13"/>
  <c r="M90" i="13" s="1"/>
  <c r="AU8" i="13"/>
  <c r="AU55" i="13" s="1"/>
  <c r="G102" i="13"/>
  <c r="M102" i="13" s="1"/>
  <c r="AY8" i="13"/>
  <c r="AY55" i="13" s="1"/>
  <c r="AY5" i="14" s="1"/>
  <c r="G106" i="13"/>
  <c r="M106" i="13" s="1"/>
  <c r="G103" i="13"/>
  <c r="M103" i="13" s="1"/>
  <c r="BJ8" i="13"/>
  <c r="BJ55" i="13" s="1"/>
  <c r="G72" i="12"/>
  <c r="Z5" i="13"/>
  <c r="Z8" i="13" s="1"/>
  <c r="Z55" i="13" s="1"/>
  <c r="G72" i="13" s="1"/>
  <c r="G62" i="12"/>
  <c r="P5" i="13"/>
  <c r="P8" i="13" s="1"/>
  <c r="P55" i="13" s="1"/>
  <c r="G61" i="12"/>
  <c r="N5" i="13"/>
  <c r="N8" i="13" s="1"/>
  <c r="N55" i="13" s="1"/>
  <c r="G61" i="13" s="1"/>
  <c r="G77" i="12"/>
  <c r="AJ5" i="13"/>
  <c r="AJ8" i="13" s="1"/>
  <c r="AJ55" i="13" s="1"/>
  <c r="G77" i="13" s="1"/>
  <c r="G63" i="12"/>
  <c r="R5" i="13"/>
  <c r="R8" i="13" s="1"/>
  <c r="R55" i="13" s="1"/>
  <c r="G63" i="13" s="1"/>
  <c r="AS8" i="12"/>
  <c r="AS55" i="12" s="1"/>
  <c r="AS5" i="13" s="1"/>
  <c r="G96" i="12"/>
  <c r="M96" i="12" s="1"/>
  <c r="G94" i="12"/>
  <c r="M94" i="12" s="1"/>
  <c r="AW8" i="12"/>
  <c r="AW55" i="12" s="1"/>
  <c r="AW5" i="13" s="1"/>
  <c r="G68" i="11"/>
  <c r="L5" i="12"/>
  <c r="L8" i="12" s="1"/>
  <c r="L55" i="12" s="1"/>
  <c r="F55" i="10"/>
  <c r="F5" i="11" s="1"/>
  <c r="F8" i="11" s="1"/>
  <c r="F55" i="11" s="1"/>
  <c r="F5" i="12" s="1"/>
  <c r="E5" i="6"/>
  <c r="E8" i="6" s="1"/>
  <c r="E55" i="6" s="1"/>
  <c r="E5" i="7" s="1"/>
  <c r="G104" i="4"/>
  <c r="BD8" i="4"/>
  <c r="BD55" i="4" s="1"/>
  <c r="BD5" i="5" s="1"/>
  <c r="G99" i="4"/>
  <c r="M99" i="4" s="1"/>
  <c r="BB8" i="4"/>
  <c r="BB55" i="4" s="1"/>
  <c r="BB5" i="5" s="1"/>
  <c r="BC8" i="4"/>
  <c r="BC55" i="4" s="1"/>
  <c r="BC5" i="5" s="1"/>
  <c r="G98" i="4"/>
  <c r="M104" i="3"/>
  <c r="M110" i="3" s="1"/>
  <c r="G110" i="3"/>
  <c r="M98" i="3"/>
  <c r="M109" i="3" s="1"/>
  <c r="G109" i="3"/>
  <c r="BA5" i="1"/>
  <c r="G100" i="14" l="1"/>
  <c r="M100" i="14" s="1"/>
  <c r="BF8" i="14"/>
  <c r="BF55" i="14" s="1"/>
  <c r="BF5" i="15" s="1"/>
  <c r="BE8" i="14"/>
  <c r="BE55" i="14" s="1"/>
  <c r="BE5" i="15" s="1"/>
  <c r="G93" i="14"/>
  <c r="M93" i="14" s="1"/>
  <c r="AY8" i="14"/>
  <c r="AY55" i="14" s="1"/>
  <c r="AY5" i="15" s="1"/>
  <c r="G106" i="14"/>
  <c r="M106" i="14" s="1"/>
  <c r="G62" i="13"/>
  <c r="P5" i="14"/>
  <c r="P8" i="14" s="1"/>
  <c r="P55" i="14" s="1"/>
  <c r="G69" i="13"/>
  <c r="M5" i="14"/>
  <c r="M8" i="14" s="1"/>
  <c r="M55" i="14" s="1"/>
  <c r="G69" i="14" s="1"/>
  <c r="G68" i="12"/>
  <c r="L5" i="13"/>
  <c r="L8" i="13" s="1"/>
  <c r="L55" i="13" s="1"/>
  <c r="G68" i="13" s="1"/>
  <c r="AS8" i="13"/>
  <c r="AS55" i="13" s="1"/>
  <c r="G96" i="13"/>
  <c r="M96" i="13" s="1"/>
  <c r="G94" i="13"/>
  <c r="M94" i="13" s="1"/>
  <c r="AW8" i="13"/>
  <c r="AW55" i="13" s="1"/>
  <c r="F8" i="12"/>
  <c r="E8" i="7"/>
  <c r="G104" i="5"/>
  <c r="BD8" i="5"/>
  <c r="BD55" i="5" s="1"/>
  <c r="BD5" i="6" s="1"/>
  <c r="G99" i="5"/>
  <c r="M99" i="5" s="1"/>
  <c r="BB8" i="5"/>
  <c r="BB55" i="5" s="1"/>
  <c r="BB5" i="6" s="1"/>
  <c r="BC8" i="5"/>
  <c r="BC55" i="5" s="1"/>
  <c r="BC5" i="6" s="1"/>
  <c r="G98" i="5"/>
  <c r="M104" i="4"/>
  <c r="M110" i="4" s="1"/>
  <c r="G110" i="4"/>
  <c r="M98" i="4"/>
  <c r="M109" i="4" s="1"/>
  <c r="G109" i="4"/>
  <c r="G92" i="1"/>
  <c r="BA8" i="1"/>
  <c r="BF8" i="15" l="1"/>
  <c r="BF55" i="15" s="1"/>
  <c r="BF5" i="16" s="1"/>
  <c r="G100" i="15"/>
  <c r="M100" i="15" s="1"/>
  <c r="BE8" i="15"/>
  <c r="BE55" i="15" s="1"/>
  <c r="BE5" i="16" s="1"/>
  <c r="G93" i="15"/>
  <c r="M93" i="15" s="1"/>
  <c r="AY8" i="15"/>
  <c r="AY55" i="15" s="1"/>
  <c r="AY5" i="16" s="1"/>
  <c r="G106" i="15"/>
  <c r="M106" i="15" s="1"/>
  <c r="G62" i="14"/>
  <c r="P5" i="15"/>
  <c r="P8" i="15" s="1"/>
  <c r="P55" i="15" s="1"/>
  <c r="F55" i="12"/>
  <c r="F5" i="13" s="1"/>
  <c r="E55" i="7"/>
  <c r="E5" i="8" s="1"/>
  <c r="E8" i="8" s="1"/>
  <c r="E55" i="8" s="1"/>
  <c r="E5" i="9" s="1"/>
  <c r="E8" i="9" s="1"/>
  <c r="E55" i="9" s="1"/>
  <c r="E5" i="10" s="1"/>
  <c r="E8" i="10" s="1"/>
  <c r="E55" i="10" s="1"/>
  <c r="E5" i="11" s="1"/>
  <c r="G98" i="6"/>
  <c r="BC8" i="6"/>
  <c r="BC55" i="6" s="1"/>
  <c r="BC5" i="7" s="1"/>
  <c r="G99" i="6"/>
  <c r="M99" i="6" s="1"/>
  <c r="BB8" i="6"/>
  <c r="BB55" i="6" s="1"/>
  <c r="BB5" i="7" s="1"/>
  <c r="G104" i="6"/>
  <c r="BD8" i="6"/>
  <c r="BD55" i="6" s="1"/>
  <c r="BD5" i="7" s="1"/>
  <c r="M104" i="5"/>
  <c r="M110" i="5" s="1"/>
  <c r="G110" i="5"/>
  <c r="G109" i="5"/>
  <c r="M98" i="5"/>
  <c r="M109" i="5" s="1"/>
  <c r="BA55" i="1"/>
  <c r="BA5" i="3" s="1"/>
  <c r="M92" i="1"/>
  <c r="M108" i="1" s="1"/>
  <c r="G108" i="1"/>
  <c r="BF8" i="16" l="1"/>
  <c r="BF55" i="16" s="1"/>
  <c r="BF5" i="17" s="1"/>
  <c r="G100" i="16"/>
  <c r="M100" i="16" s="1"/>
  <c r="BE8" i="16"/>
  <c r="BE55" i="16" s="1"/>
  <c r="BE5" i="17" s="1"/>
  <c r="G93" i="16"/>
  <c r="M93" i="16" s="1"/>
  <c r="G106" i="16"/>
  <c r="M106" i="16" s="1"/>
  <c r="AY8" i="16"/>
  <c r="AY55" i="16" s="1"/>
  <c r="AY5" i="17" s="1"/>
  <c r="G62" i="15"/>
  <c r="P5" i="16"/>
  <c r="P8" i="16" s="1"/>
  <c r="P55" i="16" s="1"/>
  <c r="F8" i="13"/>
  <c r="E8" i="11"/>
  <c r="BD8" i="7"/>
  <c r="BD55" i="7" s="1"/>
  <c r="BD5" i="8" s="1"/>
  <c r="G104" i="7"/>
  <c r="G99" i="7"/>
  <c r="M99" i="7" s="1"/>
  <c r="BB8" i="7"/>
  <c r="BB55" i="7" s="1"/>
  <c r="BB5" i="8" s="1"/>
  <c r="BC8" i="7"/>
  <c r="BC55" i="7" s="1"/>
  <c r="BC5" i="8" s="1"/>
  <c r="G98" i="7"/>
  <c r="M104" i="6"/>
  <c r="M110" i="6" s="1"/>
  <c r="G110" i="6"/>
  <c r="M98" i="6"/>
  <c r="M109" i="6" s="1"/>
  <c r="G109" i="6"/>
  <c r="G92" i="3"/>
  <c r="BA8" i="3"/>
  <c r="BA55" i="3" s="1"/>
  <c r="BA5" i="4" s="1"/>
  <c r="D5" i="1"/>
  <c r="BF8" i="17" l="1"/>
  <c r="BF55" i="17" s="1"/>
  <c r="BF5" i="18" s="1"/>
  <c r="G100" i="17"/>
  <c r="M100" i="17" s="1"/>
  <c r="BE8" i="17"/>
  <c r="BE55" i="17" s="1"/>
  <c r="BE5" i="18" s="1"/>
  <c r="G93" i="17"/>
  <c r="M93" i="17" s="1"/>
  <c r="G106" i="17"/>
  <c r="M106" i="17" s="1"/>
  <c r="AY8" i="17"/>
  <c r="AY55" i="17" s="1"/>
  <c r="AY5" i="18" s="1"/>
  <c r="G62" i="16"/>
  <c r="P5" i="17"/>
  <c r="P8" i="17" s="1"/>
  <c r="P55" i="17" s="1"/>
  <c r="F55" i="13"/>
  <c r="F5" i="14" s="1"/>
  <c r="F8" i="14" s="1"/>
  <c r="F55" i="14" s="1"/>
  <c r="F5" i="15" s="1"/>
  <c r="F8" i="15" s="1"/>
  <c r="F55" i="15" s="1"/>
  <c r="F5" i="16" s="1"/>
  <c r="F8" i="16" s="1"/>
  <c r="F55" i="16" s="1"/>
  <c r="F5" i="17" s="1"/>
  <c r="E55" i="11"/>
  <c r="E5" i="12" s="1"/>
  <c r="E8" i="12" s="1"/>
  <c r="E55" i="12" s="1"/>
  <c r="E5" i="13" s="1"/>
  <c r="E8" i="13" s="1"/>
  <c r="E55" i="13" s="1"/>
  <c r="E5" i="14" s="1"/>
  <c r="E8" i="14" s="1"/>
  <c r="E55" i="14" s="1"/>
  <c r="E5" i="15" s="1"/>
  <c r="E8" i="15" s="1"/>
  <c r="E55" i="15" s="1"/>
  <c r="E5" i="16" s="1"/>
  <c r="E8" i="16" s="1"/>
  <c r="E55" i="16" s="1"/>
  <c r="E5" i="17" s="1"/>
  <c r="E8" i="17" s="1"/>
  <c r="E55" i="17" s="1"/>
  <c r="E5" i="18" s="1"/>
  <c r="E8" i="18" s="1"/>
  <c r="E55" i="18" s="1"/>
  <c r="E5" i="19" s="1"/>
  <c r="BC8" i="8"/>
  <c r="BC55" i="8" s="1"/>
  <c r="BC5" i="9" s="1"/>
  <c r="G98" i="8"/>
  <c r="BB8" i="8"/>
  <c r="BB55" i="8" s="1"/>
  <c r="BB5" i="9" s="1"/>
  <c r="G99" i="8"/>
  <c r="M99" i="8" s="1"/>
  <c r="BD8" i="8"/>
  <c r="BD55" i="8" s="1"/>
  <c r="BD5" i="9" s="1"/>
  <c r="G104" i="8"/>
  <c r="M104" i="7"/>
  <c r="M110" i="7" s="1"/>
  <c r="G110" i="7"/>
  <c r="M98" i="7"/>
  <c r="M109" i="7" s="1"/>
  <c r="G109" i="7"/>
  <c r="G92" i="4"/>
  <c r="BA8" i="4"/>
  <c r="M92" i="3"/>
  <c r="M108" i="3" s="1"/>
  <c r="G108" i="3"/>
  <c r="D8" i="1"/>
  <c r="CW5" i="1"/>
  <c r="BF8" i="18" l="1"/>
  <c r="BF55" i="18" s="1"/>
  <c r="BF5" i="19" s="1"/>
  <c r="G100" i="18"/>
  <c r="M100" i="18" s="1"/>
  <c r="G93" i="18"/>
  <c r="M93" i="18" s="1"/>
  <c r="BE8" i="18"/>
  <c r="BE55" i="18" s="1"/>
  <c r="BE5" i="19" s="1"/>
  <c r="AY8" i="18"/>
  <c r="AY55" i="18" s="1"/>
  <c r="AY5" i="19" s="1"/>
  <c r="G106" i="18"/>
  <c r="M106" i="18" s="1"/>
  <c r="G62" i="17"/>
  <c r="P5" i="18"/>
  <c r="P8" i="18" s="1"/>
  <c r="P55" i="18" s="1"/>
  <c r="E8" i="19"/>
  <c r="F8" i="17"/>
  <c r="BD8" i="9"/>
  <c r="BD55" i="9" s="1"/>
  <c r="BD5" i="10" s="1"/>
  <c r="G104" i="9"/>
  <c r="G99" i="9"/>
  <c r="M99" i="9" s="1"/>
  <c r="BB8" i="9"/>
  <c r="BB55" i="9" s="1"/>
  <c r="BB5" i="10" s="1"/>
  <c r="BC8" i="9"/>
  <c r="BC55" i="9" s="1"/>
  <c r="BC5" i="10" s="1"/>
  <c r="G98" i="9"/>
  <c r="M104" i="8"/>
  <c r="M110" i="8" s="1"/>
  <c r="G110" i="8"/>
  <c r="M98" i="8"/>
  <c r="M109" i="8" s="1"/>
  <c r="G109" i="8"/>
  <c r="BA55" i="4"/>
  <c r="BA5" i="5" s="1"/>
  <c r="M92" i="4"/>
  <c r="M108" i="4" s="1"/>
  <c r="G108" i="4"/>
  <c r="D55" i="1"/>
  <c r="CW8" i="1"/>
  <c r="BF8" i="19" l="1"/>
  <c r="BF55" i="19" s="1"/>
  <c r="G100" i="19"/>
  <c r="M100" i="19" s="1"/>
  <c r="G93" i="19"/>
  <c r="M93" i="19" s="1"/>
  <c r="BE8" i="19"/>
  <c r="BE55" i="19" s="1"/>
  <c r="G106" i="19"/>
  <c r="M106" i="19" s="1"/>
  <c r="AY8" i="19"/>
  <c r="AY55" i="19" s="1"/>
  <c r="G62" i="18"/>
  <c r="P5" i="19"/>
  <c r="P8" i="19" s="1"/>
  <c r="P55" i="19" s="1"/>
  <c r="G62" i="19" s="1"/>
  <c r="E55" i="19"/>
  <c r="F55" i="17"/>
  <c r="F5" i="18" s="1"/>
  <c r="F8" i="18" s="1"/>
  <c r="F55" i="18" s="1"/>
  <c r="F5" i="19" s="1"/>
  <c r="F8" i="19" s="1"/>
  <c r="F55" i="19" s="1"/>
  <c r="BD8" i="10"/>
  <c r="BD55" i="10" s="1"/>
  <c r="BD5" i="11" s="1"/>
  <c r="G104" i="10"/>
  <c r="G99" i="10"/>
  <c r="M99" i="10" s="1"/>
  <c r="BB8" i="10"/>
  <c r="BB55" i="10" s="1"/>
  <c r="BB5" i="11" s="1"/>
  <c r="BC8" i="10"/>
  <c r="BC55" i="10" s="1"/>
  <c r="BC5" i="11" s="1"/>
  <c r="G98" i="10"/>
  <c r="M104" i="9"/>
  <c r="M110" i="9" s="1"/>
  <c r="G110" i="9"/>
  <c r="M98" i="9"/>
  <c r="M109" i="9" s="1"/>
  <c r="G109" i="9"/>
  <c r="G92" i="5"/>
  <c r="BA8" i="5"/>
  <c r="CW55" i="1"/>
  <c r="D5" i="3"/>
  <c r="G104" i="11" l="1"/>
  <c r="BD8" i="11"/>
  <c r="BD55" i="11" s="1"/>
  <c r="BD5" i="12" s="1"/>
  <c r="BB8" i="11"/>
  <c r="BB55" i="11" s="1"/>
  <c r="BB5" i="12" s="1"/>
  <c r="G99" i="11"/>
  <c r="M99" i="11" s="1"/>
  <c r="BC8" i="11"/>
  <c r="BC55" i="11" s="1"/>
  <c r="BC5" i="12" s="1"/>
  <c r="G98" i="11"/>
  <c r="M104" i="10"/>
  <c r="M110" i="10" s="1"/>
  <c r="G110" i="10"/>
  <c r="M98" i="10"/>
  <c r="M109" i="10" s="1"/>
  <c r="G109" i="10"/>
  <c r="M92" i="5"/>
  <c r="M108" i="5" s="1"/>
  <c r="G108" i="5"/>
  <c r="BA55" i="5"/>
  <c r="BA5" i="6" s="1"/>
  <c r="D8" i="3"/>
  <c r="CW5" i="3"/>
  <c r="BD8" i="12" l="1"/>
  <c r="BD55" i="12" s="1"/>
  <c r="BD5" i="13" s="1"/>
  <c r="G104" i="12"/>
  <c r="BB8" i="12"/>
  <c r="BB55" i="12" s="1"/>
  <c r="BB5" i="13" s="1"/>
  <c r="G99" i="12"/>
  <c r="M99" i="12" s="1"/>
  <c r="G98" i="12"/>
  <c r="BC8" i="12"/>
  <c r="BC55" i="12" s="1"/>
  <c r="BC5" i="13" s="1"/>
  <c r="G110" i="11"/>
  <c r="M104" i="11"/>
  <c r="M110" i="11" s="1"/>
  <c r="G109" i="11"/>
  <c r="M98" i="11"/>
  <c r="M109" i="11" s="1"/>
  <c r="G92" i="6"/>
  <c r="BA8" i="6"/>
  <c r="BA55" i="6" s="1"/>
  <c r="BA5" i="7" s="1"/>
  <c r="D55" i="3"/>
  <c r="CW8" i="3"/>
  <c r="BD8" i="13" l="1"/>
  <c r="BD55" i="13" s="1"/>
  <c r="BD5" i="14" s="1"/>
  <c r="G104" i="13"/>
  <c r="BB8" i="13"/>
  <c r="BB55" i="13" s="1"/>
  <c r="BB5" i="14" s="1"/>
  <c r="G99" i="13"/>
  <c r="M99" i="13" s="1"/>
  <c r="G98" i="13"/>
  <c r="BC8" i="13"/>
  <c r="BC55" i="13" s="1"/>
  <c r="BC5" i="14" s="1"/>
  <c r="M104" i="12"/>
  <c r="M110" i="12" s="1"/>
  <c r="G110" i="12"/>
  <c r="M98" i="12"/>
  <c r="M109" i="12" s="1"/>
  <c r="G109" i="12"/>
  <c r="BA8" i="7"/>
  <c r="G92" i="7"/>
  <c r="M92" i="6"/>
  <c r="M108" i="6" s="1"/>
  <c r="G108" i="6"/>
  <c r="CW55" i="3"/>
  <c r="D5" i="4"/>
  <c r="BD8" i="14" l="1"/>
  <c r="BD55" i="14" s="1"/>
  <c r="BD5" i="15" s="1"/>
  <c r="G104" i="14"/>
  <c r="BB8" i="14"/>
  <c r="BB55" i="14" s="1"/>
  <c r="BB5" i="15" s="1"/>
  <c r="G99" i="14"/>
  <c r="M99" i="14" s="1"/>
  <c r="BC8" i="14"/>
  <c r="BC55" i="14" s="1"/>
  <c r="BC5" i="15" s="1"/>
  <c r="G98" i="14"/>
  <c r="M104" i="13"/>
  <c r="M110" i="13" s="1"/>
  <c r="G110" i="13"/>
  <c r="M98" i="13"/>
  <c r="M109" i="13" s="1"/>
  <c r="G109" i="13"/>
  <c r="M92" i="7"/>
  <c r="M108" i="7" s="1"/>
  <c r="G108" i="7"/>
  <c r="BA55" i="7"/>
  <c r="BA5" i="8" s="1"/>
  <c r="D8" i="4"/>
  <c r="CW5" i="4"/>
  <c r="BC8" i="15" l="1"/>
  <c r="BC55" i="15" s="1"/>
  <c r="BC5" i="16" s="1"/>
  <c r="G98" i="15"/>
  <c r="G99" i="15"/>
  <c r="M99" i="15" s="1"/>
  <c r="BB8" i="15"/>
  <c r="BB55" i="15" s="1"/>
  <c r="BB5" i="16" s="1"/>
  <c r="BD8" i="15"/>
  <c r="BD55" i="15" s="1"/>
  <c r="BD5" i="16" s="1"/>
  <c r="G104" i="15"/>
  <c r="M104" i="14"/>
  <c r="M110" i="14" s="1"/>
  <c r="G110" i="14"/>
  <c r="M98" i="14"/>
  <c r="M109" i="14" s="1"/>
  <c r="G109" i="14"/>
  <c r="G92" i="8"/>
  <c r="BA8" i="8"/>
  <c r="BA55" i="8" s="1"/>
  <c r="BA5" i="9" s="1"/>
  <c r="D55" i="4"/>
  <c r="CW8" i="4"/>
  <c r="BD8" i="16" l="1"/>
  <c r="BD55" i="16" s="1"/>
  <c r="BD5" i="17" s="1"/>
  <c r="G104" i="16"/>
  <c r="G99" i="16"/>
  <c r="M99" i="16" s="1"/>
  <c r="BB8" i="16"/>
  <c r="BB55" i="16" s="1"/>
  <c r="BB5" i="17" s="1"/>
  <c r="BC8" i="16"/>
  <c r="BC55" i="16" s="1"/>
  <c r="BC5" i="17" s="1"/>
  <c r="G98" i="16"/>
  <c r="M104" i="15"/>
  <c r="M110" i="15" s="1"/>
  <c r="G110" i="15"/>
  <c r="M98" i="15"/>
  <c r="M109" i="15" s="1"/>
  <c r="G109" i="15"/>
  <c r="G92" i="9"/>
  <c r="BA8" i="9"/>
  <c r="M92" i="8"/>
  <c r="M108" i="8" s="1"/>
  <c r="G108" i="8"/>
  <c r="CW55" i="4"/>
  <c r="D5" i="5"/>
  <c r="D8" i="5" s="1"/>
  <c r="D55" i="5" s="1"/>
  <c r="BD8" i="17" l="1"/>
  <c r="BD55" i="17" s="1"/>
  <c r="BD5" i="18" s="1"/>
  <c r="G104" i="17"/>
  <c r="G99" i="17"/>
  <c r="M99" i="17" s="1"/>
  <c r="BB8" i="17"/>
  <c r="BB55" i="17" s="1"/>
  <c r="BB5" i="18" s="1"/>
  <c r="BC8" i="17"/>
  <c r="BC55" i="17" s="1"/>
  <c r="BC5" i="18" s="1"/>
  <c r="G98" i="17"/>
  <c r="M104" i="16"/>
  <c r="M110" i="16" s="1"/>
  <c r="G110" i="16"/>
  <c r="M98" i="16"/>
  <c r="M109" i="16" s="1"/>
  <c r="G109" i="16"/>
  <c r="BA55" i="9"/>
  <c r="BA5" i="10" s="1"/>
  <c r="M92" i="9"/>
  <c r="M108" i="9" s="1"/>
  <c r="G108" i="9"/>
  <c r="CW5" i="5"/>
  <c r="G104" i="18" l="1"/>
  <c r="BD8" i="18"/>
  <c r="BD55" i="18" s="1"/>
  <c r="BD5" i="19" s="1"/>
  <c r="BB8" i="18"/>
  <c r="BB55" i="18" s="1"/>
  <c r="BB5" i="19" s="1"/>
  <c r="G99" i="18"/>
  <c r="M99" i="18" s="1"/>
  <c r="G98" i="18"/>
  <c r="BC8" i="18"/>
  <c r="BC55" i="18" s="1"/>
  <c r="BC5" i="19" s="1"/>
  <c r="M104" i="17"/>
  <c r="M110" i="17" s="1"/>
  <c r="G110" i="17"/>
  <c r="M98" i="17"/>
  <c r="M109" i="17" s="1"/>
  <c r="G109" i="17"/>
  <c r="BA8" i="10"/>
  <c r="G92" i="10"/>
  <c r="CW8" i="5"/>
  <c r="BD8" i="19" l="1"/>
  <c r="BD55" i="19" s="1"/>
  <c r="G104" i="19"/>
  <c r="BB8" i="19"/>
  <c r="BB55" i="19" s="1"/>
  <c r="G99" i="19"/>
  <c r="M99" i="19" s="1"/>
  <c r="BC8" i="19"/>
  <c r="BC55" i="19" s="1"/>
  <c r="G98" i="19"/>
  <c r="M104" i="18"/>
  <c r="M110" i="18" s="1"/>
  <c r="G110" i="18"/>
  <c r="M98" i="18"/>
  <c r="M109" i="18" s="1"/>
  <c r="G109" i="18"/>
  <c r="M92" i="10"/>
  <c r="M108" i="10" s="1"/>
  <c r="G108" i="10"/>
  <c r="BA55" i="10"/>
  <c r="BA5" i="11" s="1"/>
  <c r="CW55" i="5"/>
  <c r="D5" i="6"/>
  <c r="G110" i="19" l="1"/>
  <c r="M104" i="19"/>
  <c r="M110" i="19" s="1"/>
  <c r="M98" i="19"/>
  <c r="M109" i="19" s="1"/>
  <c r="G109" i="19"/>
  <c r="BA8" i="11"/>
  <c r="G92" i="11"/>
  <c r="D8" i="6"/>
  <c r="CW5" i="6"/>
  <c r="M92" i="11" l="1"/>
  <c r="M108" i="11" s="1"/>
  <c r="G108" i="11"/>
  <c r="BA55" i="11"/>
  <c r="BA5" i="12" s="1"/>
  <c r="D55" i="6"/>
  <c r="CW8" i="6"/>
  <c r="BA8" i="12" l="1"/>
  <c r="G92" i="12"/>
  <c r="CW55" i="6"/>
  <c r="D5" i="7"/>
  <c r="M92" i="12" l="1"/>
  <c r="M108" i="12" s="1"/>
  <c r="G108" i="12"/>
  <c r="BA55" i="12"/>
  <c r="BA5" i="13" s="1"/>
  <c r="D8" i="7"/>
  <c r="D55" i="7" s="1"/>
  <c r="D5" i="8" s="1"/>
  <c r="CW5" i="7"/>
  <c r="G92" i="13" l="1"/>
  <c r="BA8" i="13"/>
  <c r="D8" i="8"/>
  <c r="CW5" i="8"/>
  <c r="CW55" i="7"/>
  <c r="CW8" i="7"/>
  <c r="BA55" i="13" l="1"/>
  <c r="BA5" i="14" s="1"/>
  <c r="M92" i="13"/>
  <c r="M108" i="13" s="1"/>
  <c r="G108" i="13"/>
  <c r="D55" i="8"/>
  <c r="CW8" i="8"/>
  <c r="G92" i="14" l="1"/>
  <c r="BA8" i="14"/>
  <c r="CW55" i="8"/>
  <c r="D5" i="9"/>
  <c r="BA55" i="14" l="1"/>
  <c r="BA5" i="15" s="1"/>
  <c r="M92" i="14"/>
  <c r="M108" i="14" s="1"/>
  <c r="G108" i="14"/>
  <c r="D8" i="9"/>
  <c r="CW5" i="9"/>
  <c r="G92" i="15" l="1"/>
  <c r="BA8" i="15"/>
  <c r="D55" i="9"/>
  <c r="CW8" i="9"/>
  <c r="BA55" i="15" l="1"/>
  <c r="BA5" i="16" s="1"/>
  <c r="M92" i="15"/>
  <c r="M108" i="15" s="1"/>
  <c r="G108" i="15"/>
  <c r="CW55" i="9"/>
  <c r="D5" i="10"/>
  <c r="G92" i="16" l="1"/>
  <c r="BA8" i="16"/>
  <c r="D8" i="10"/>
  <c r="CW5" i="10"/>
  <c r="BA55" i="16" l="1"/>
  <c r="BA5" i="17" s="1"/>
  <c r="M92" i="16"/>
  <c r="M108" i="16" s="1"/>
  <c r="G108" i="16"/>
  <c r="D55" i="10"/>
  <c r="CW8" i="10"/>
  <c r="G92" i="17" l="1"/>
  <c r="BA8" i="17"/>
  <c r="BA55" i="17" s="1"/>
  <c r="BA5" i="18" s="1"/>
  <c r="CW55" i="10"/>
  <c r="D5" i="11"/>
  <c r="BA8" i="18" l="1"/>
  <c r="BA55" i="18" s="1"/>
  <c r="BA5" i="19" s="1"/>
  <c r="G92" i="18"/>
  <c r="M92" i="17"/>
  <c r="M108" i="17" s="1"/>
  <c r="G108" i="17"/>
  <c r="D8" i="11"/>
  <c r="CW5" i="11"/>
  <c r="BA8" i="19" l="1"/>
  <c r="G92" i="19"/>
  <c r="M92" i="18"/>
  <c r="M108" i="18" s="1"/>
  <c r="G108" i="18"/>
  <c r="D55" i="11"/>
  <c r="CW8" i="11"/>
  <c r="G108" i="19" l="1"/>
  <c r="M92" i="19"/>
  <c r="M108" i="19" s="1"/>
  <c r="BA55" i="19"/>
  <c r="CW55" i="11"/>
  <c r="D5" i="12"/>
  <c r="D8" i="12" l="1"/>
  <c r="CW5" i="12"/>
  <c r="D55" i="12" l="1"/>
  <c r="CW8" i="12"/>
  <c r="CW55" i="12" l="1"/>
  <c r="D5" i="13"/>
  <c r="D8" i="13" l="1"/>
  <c r="CW5" i="13"/>
  <c r="D55" i="13" l="1"/>
  <c r="CW8" i="13"/>
  <c r="CW55" i="13" l="1"/>
  <c r="D5" i="14"/>
  <c r="D8" i="14" l="1"/>
  <c r="CW5" i="14"/>
  <c r="D55" i="14" l="1"/>
  <c r="CW8" i="14"/>
  <c r="CW55" i="14" l="1"/>
  <c r="D5" i="15"/>
  <c r="D8" i="15" l="1"/>
  <c r="CW5" i="15"/>
  <c r="D55" i="15" l="1"/>
  <c r="CW8" i="15"/>
  <c r="CW55" i="15" l="1"/>
  <c r="D5" i="16"/>
  <c r="D8" i="16" l="1"/>
  <c r="CW5" i="16"/>
  <c r="D55" i="16" l="1"/>
  <c r="CW8" i="16"/>
  <c r="CW55" i="16" l="1"/>
  <c r="D5" i="17"/>
  <c r="D8" i="17" l="1"/>
  <c r="CW5" i="17"/>
  <c r="D55" i="17" l="1"/>
  <c r="CW8" i="17"/>
  <c r="CW55" i="17" l="1"/>
  <c r="D5" i="18"/>
  <c r="D8" i="18" l="1"/>
  <c r="CW5" i="18"/>
  <c r="D55" i="18" l="1"/>
  <c r="CW8" i="18"/>
  <c r="CW55" i="18" l="1"/>
  <c r="D5" i="19"/>
  <c r="D8" i="19" l="1"/>
  <c r="CW5" i="19"/>
  <c r="D55" i="19" l="1"/>
  <c r="CW8" i="19"/>
  <c r="CW55" i="19" l="1"/>
</calcChain>
</file>

<file path=xl/comments1.xml><?xml version="1.0" encoding="utf-8"?>
<comments xmlns="http://schemas.openxmlformats.org/spreadsheetml/2006/main">
  <authors>
    <author>Carolina Salcedo Bermudez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Pensionados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Agencia El Libertador abona a Soluciones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Swap Citi
Swap JP
Llamado al margen BOFA
Llamado al margen BBVA
Llamado al margen JP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Swap BOFA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P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Traslado por error en abono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Int BN Amazon
Swap's
Inversoras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10.xml><?xml version="1.0" encoding="utf-8"?>
<comments xmlns="http://schemas.openxmlformats.org/spreadsheetml/2006/main">
  <authors>
    <author>Carolina Salcedo Bermudez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ICA</t>
        </r>
      </text>
    </comment>
    <comment ref="BZ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$2.500 MM Colfondos
</t>
        </r>
      </text>
    </comment>
    <comment ref="CA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$1.500 MM Reinting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Swap IBR Bancolombia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GS
Llamado al margen JP
Swap GS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Int Bn Yankees pendientes de abono
Swap's GS
Boceas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Compra ETF debitado el 13-06-2025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11.xml><?xml version="1.0" encoding="utf-8"?>
<comments xmlns="http://schemas.openxmlformats.org/spreadsheetml/2006/main">
  <authors>
    <author>Carolina Salcedo Bermudez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GMF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GMF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GS
Llamado al margen BBVA
Llamado al margen JP
</t>
        </r>
      </text>
    </comment>
    <comment ref="R44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Davivienda abono a la cuenta 9644 de Pagaduría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12.xml><?xml version="1.0" encoding="utf-8"?>
<comments xmlns="http://schemas.openxmlformats.org/spreadsheetml/2006/main">
  <authors>
    <author>Carolina Salcedo Bermudez</author>
  </authors>
  <commentList>
    <comment ref="BZ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Colfondos $2.436 MM</t>
        </r>
      </text>
    </comment>
    <comment ref="CA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Libertador $3.000 MM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Libertador $3.000 MM 
Intercia $1.600 MM
Planos ptes $1.400 MM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Int BN Yankees 16-06-2025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FCP BROOKFIELD INFRASTR F IV_A LP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GS
Llamado al margen BBVA
Llamado al margen JP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BOFA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BOFA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Int BN Yankees 16-06-2025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13.xml><?xml version="1.0" encoding="utf-8"?>
<comments xmlns="http://schemas.openxmlformats.org/spreadsheetml/2006/main">
  <authors>
    <author>Carolina Salcedo Bermudez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Auto ICA</t>
        </r>
      </text>
    </comment>
    <comment ref="BZ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Colfondos $2.900 MM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14.xml><?xml version="1.0" encoding="utf-8"?>
<comments xmlns="http://schemas.openxmlformats.org/spreadsheetml/2006/main">
  <authors>
    <author>Carolina Salcedo Bermudez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Adtiva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Adtiva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Adtiva
ICA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FCP Brookfield Infrastructure Fund V (BIF V)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GS
Llamado al margen BBVA
Llamado al margen JP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15.xml><?xml version="1.0" encoding="utf-8"?>
<comments xmlns="http://schemas.openxmlformats.org/spreadsheetml/2006/main">
  <authors>
    <author>Carolina Salcedo Bermudez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Renta y Rete Fuente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Agencia de Seguros abona a Soluciones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Banco Itau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GS
Llamado al margen JP
Llamado al margen CITI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16.xml><?xml version="1.0" encoding="utf-8"?>
<comments xmlns="http://schemas.openxmlformats.org/spreadsheetml/2006/main">
  <authors>
    <author>Carolina Salcedo Bermudez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Consejeros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Consejeros
GMF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Consejeros
Rete Fuente
GMF</t>
        </r>
      </text>
    </comment>
    <comment ref="BZ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$5.300 mm Colfondos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$7.000 MM Indemnizaciones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Pago Int Crédito Banco Itau pendiente del 24-06-2025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FCP Dover Street IX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FCP Dover Street XI 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BBVA
Llamado al margen GS
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CITI</t>
        </r>
      </text>
    </comment>
    <comment ref="AM40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Soluciones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D74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Pago de excedente de intereses crédito Banco Itau por Bolivar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17.xml><?xml version="1.0" encoding="utf-8"?>
<comments xmlns="http://schemas.openxmlformats.org/spreadsheetml/2006/main">
  <authors>
    <author>Carolina Salcedo Bermudez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SOI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SOI
Finanseguros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SOI
Finanseguros</t>
        </r>
      </text>
    </comment>
    <comment ref="BZ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$1.600 MM Colfondos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Adebol $2.000 MM
Comisiones Davivienda $12.000 MM
Adecco $2.500 MM
Fundación SantaFE $1.500 MM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Comisiones Davivienda $9.200 MM
Indemnizaciones $2.500 MM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Banco de Bogotá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Banco de Bogotá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GS
Llamado al margen JP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BBVA MADRID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Compra ETF cumplimiento el 27-06-2025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18.xml><?xml version="1.0" encoding="utf-8"?>
<comments xmlns="http://schemas.openxmlformats.org/spreadsheetml/2006/main">
  <authors>
    <author>Carolina Salcedo Bermudez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SOI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SOI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$7.000 MM Indemnizaciones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El Libertador abona a Negocios e Inv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JP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Compra ETF con cumplimiento el 30-06-2025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2.xml><?xml version="1.0" encoding="utf-8"?>
<comments xmlns="http://schemas.openxmlformats.org/spreadsheetml/2006/main">
  <authors>
    <author>Carolina Salcedo Bermudez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SOI
GMF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GMF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Indemnizaciones Tesoro Nacional $9.500 MM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FCP Pantheon
FCP Carlyle Investment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GS
Llamado al margen JP
Int Colateral BBVA
Int Colateral CITI
Int Colateral JP
Int Colateral GS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JP Morgan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3.xml><?xml version="1.0" encoding="utf-8"?>
<comments xmlns="http://schemas.openxmlformats.org/spreadsheetml/2006/main">
  <authors>
    <author>Carolina Salcedo Bermudez</author>
  </authors>
  <commentList>
    <comment ref="P11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Int TIME
Int BN Amazon 03-06-2025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Int BN Amazon 03-06-2025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GS
Llamado al margen BBVA
Llamado al margen JP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BBVA Madrid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4.xml><?xml version="1.0" encoding="utf-8"?>
<comments xmlns="http://schemas.openxmlformats.org/spreadsheetml/2006/main">
  <authors>
    <author>Lady Yazmin Hoyos Romero</author>
    <author>Carolina Salcedo Bermudez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Lady Yazmin Hoyos Romero:</t>
        </r>
        <r>
          <rPr>
            <sz val="9"/>
            <color indexed="81"/>
            <rFont val="Tahoma"/>
            <family val="2"/>
          </rPr>
          <t xml:space="preserve">
Inverfaz orden de pago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Lady Yazmin Hoyos Romero:</t>
        </r>
        <r>
          <rPr>
            <sz val="9"/>
            <color indexed="81"/>
            <rFont val="Tahoma"/>
            <family val="2"/>
          </rPr>
          <t xml:space="preserve">
CITI: Enviar 730.000 por devolución de garantías
JPM: Enviar 2.180.000 por devolución de garantías
BBVA: No hay movimientos
GS: Enviar 2.120.000 por devolución de garantías
BOFA: Enviar 930.000 por devolución de garantías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Lady Yazmin Hoyos Romero:</t>
        </r>
        <r>
          <rPr>
            <sz val="9"/>
            <color indexed="81"/>
            <rFont val="Tahoma"/>
            <family val="2"/>
          </rPr>
          <t xml:space="preserve">
JP MORGAN</t>
        </r>
      </text>
    </comment>
    <comment ref="C49" authorId="1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E63" authorId="1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Retiro Grupo abonado el 05-06-2025</t>
        </r>
      </text>
    </comment>
    <comment ref="K89" authorId="1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1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5.xml><?xml version="1.0" encoding="utf-8"?>
<comments xmlns="http://schemas.openxmlformats.org/spreadsheetml/2006/main">
  <authors>
    <author>Carolina Salcedo Bermudez</author>
  </authors>
  <commentLis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GS</t>
        </r>
      </text>
    </comment>
    <comment ref="P3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BBVA Madrid doble moneda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Inversoras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Compra ETF cumplimiento el 10-06-2025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6.xml><?xml version="1.0" encoding="utf-8"?>
<comments xmlns="http://schemas.openxmlformats.org/spreadsheetml/2006/main">
  <authors>
    <author>Carolina Salcedo Bermudez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GMF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GMF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Inv Bolivar recibe de Facilities</t>
        </r>
      </text>
    </comment>
    <comment ref="AQ1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Inv Bolivar recibe de Facilities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GS
Llamado al margen BBVA
Llamado al margen JP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Inv Bolivar recibe de Facilities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Distribución FCP Altra con abono a Corredores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Inv Bolivar recibe de Facilities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Distribución FCP Altra con abono a Corredores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Compra ETF debitada el 09-06-2025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7.xml><?xml version="1.0" encoding="utf-8"?>
<comments xmlns="http://schemas.openxmlformats.org/spreadsheetml/2006/main">
  <authors>
    <author>Carolina Salcedo Bermudez</author>
  </authors>
  <commentLis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GS
Llamado al margen JP
Llamado al margen CITI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D74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Pago Bonos Grupo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Compra ETF cumplimiento 12-06-2025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8.xml><?xml version="1.0" encoding="utf-8"?>
<comments xmlns="http://schemas.openxmlformats.org/spreadsheetml/2006/main">
  <authors>
    <author>Carolina Salcedo Bermudez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ICA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ICA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BBVA
Llamado al margen JP
Llamado al margen CITI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Diferencia en cambio Venta ETF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Compra ETF debitado el 11-06-2025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comments9.xml><?xml version="1.0" encoding="utf-8"?>
<comments xmlns="http://schemas.openxmlformats.org/spreadsheetml/2006/main">
  <authors>
    <author>Carolina Salcedo Bermudez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consejeros
ICA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consejeros
ICA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Nomina consejeros
ICA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fosiga $17.800 MM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Préstamo a Sentido</t>
        </r>
      </text>
    </comment>
    <comment ref="AM1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Sentido recibe de Grupo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Llamado al margen BOFA
Llamado al margen GS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$1.577.366,21 son EUR 330 que ingresaron a la cuenta Bolivar</t>
        </r>
      </text>
    </comment>
    <comment ref="AM40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Soluciones
Sentido
Multi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Valores que no corresponden a Op Tesorería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Excento de GMF la divisas por valor de 1.577.366,21 (6.310)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Compra ETF cumplimiento 16-06-2025</t>
        </r>
      </text>
    </comment>
    <comment ref="K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Rendimientos + Recaudo primas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Carolina Salcedo Bermudez:</t>
        </r>
        <r>
          <rPr>
            <sz val="9"/>
            <color indexed="81"/>
            <rFont val="Tahoma"/>
            <family val="2"/>
          </rPr>
          <t xml:space="preserve">
Impuestos/Comisiones/
GMF/Divisas/Embargos</t>
        </r>
      </text>
    </comment>
  </commentList>
</comments>
</file>

<file path=xl/sharedStrings.xml><?xml version="1.0" encoding="utf-8"?>
<sst xmlns="http://schemas.openxmlformats.org/spreadsheetml/2006/main" count="8602" uniqueCount="212">
  <si>
    <t>OPERACIONES DE TESORERÍA</t>
  </si>
  <si>
    <t>LIBRE INVERSION</t>
  </si>
  <si>
    <t>FIC LIFE USD</t>
  </si>
  <si>
    <t>FIC VIDA PESOS</t>
  </si>
  <si>
    <t>FIC LATIN VIDA PESOS</t>
  </si>
  <si>
    <t>PAGADURÍA</t>
  </si>
  <si>
    <t>CAPITALIZADORA</t>
  </si>
  <si>
    <t>SEGUROS BOLÍVAR</t>
  </si>
  <si>
    <t>COMERCIALES</t>
  </si>
  <si>
    <t>CAPITALIZADORA AHO</t>
  </si>
  <si>
    <t>SEGUROS BOLÍVAR AHO</t>
  </si>
  <si>
    <t>SEGUROS BOLÍVAR ARL</t>
  </si>
  <si>
    <t>COMERCIALES AHO</t>
  </si>
  <si>
    <t>CAPITALIZADORA US$</t>
  </si>
  <si>
    <t>CAPITALIZADORA PESOS</t>
  </si>
  <si>
    <t>SEGUROS BOLÍVAR US$</t>
  </si>
  <si>
    <t>SEGUROS BOLÍVAR PESOS</t>
  </si>
  <si>
    <t>COMERCIALES US$</t>
  </si>
  <si>
    <t>COMERCIALES PESOS</t>
  </si>
  <si>
    <t>GRUPO BOLIVAR US$</t>
  </si>
  <si>
    <t>GRUPO BOLIVAR PESOS</t>
  </si>
  <si>
    <t>SEISA US$</t>
  </si>
  <si>
    <t>SEISA PESOS</t>
  </si>
  <si>
    <t>RIBI US$</t>
  </si>
  <si>
    <t>RIBI PESOS</t>
  </si>
  <si>
    <t>GRUPO BOLIVAR</t>
  </si>
  <si>
    <t>INVERSORAS</t>
  </si>
  <si>
    <t>SALUD EPS BOLIVAR</t>
  </si>
  <si>
    <t>SALUD IPS BOLIVAR</t>
  </si>
  <si>
    <t>SERVICIOS BOLIVAR</t>
  </si>
  <si>
    <t>SEGUROS BOLÍVAR USD</t>
  </si>
  <si>
    <t>COMERCIALES USD</t>
  </si>
  <si>
    <t>TOTALES</t>
  </si>
  <si>
    <t>BANCO DAVIVIENDA</t>
  </si>
  <si>
    <t>BANCO REPUBLICA</t>
  </si>
  <si>
    <t>CITIBANK COMP</t>
  </si>
  <si>
    <t>JP MORGAN</t>
  </si>
  <si>
    <t>DAVIVIENDA INT</t>
  </si>
  <si>
    <t>DAVIVIENDA</t>
  </si>
  <si>
    <t>FACILITIES</t>
  </si>
  <si>
    <t>BANCO DE BOGOTA</t>
  </si>
  <si>
    <t>ITAÚ</t>
  </si>
  <si>
    <t>CORFIDIARIO</t>
  </si>
  <si>
    <t>BANCO COLPATRIA</t>
  </si>
  <si>
    <t>BANCOLOMBIA</t>
  </si>
  <si>
    <t>CITIBANK REASEGUROS</t>
  </si>
  <si>
    <t>BANCO POPULAR</t>
  </si>
  <si>
    <t>BBVA</t>
  </si>
  <si>
    <t>BANCO DE OCCIDENTE</t>
  </si>
  <si>
    <t>CITIBANK</t>
  </si>
  <si>
    <t>AV VILLAS - AHO</t>
  </si>
  <si>
    <t>BANCO PICHINCHA</t>
  </si>
  <si>
    <t>DAVIVIENDA INT REASEGUROS</t>
  </si>
  <si>
    <t>TIPO OP</t>
  </si>
  <si>
    <t>OP</t>
  </si>
  <si>
    <t>CONCEPTO</t>
  </si>
  <si>
    <t>62250766-0</t>
  </si>
  <si>
    <t>62250774-0</t>
  </si>
  <si>
    <t>62250782-0</t>
  </si>
  <si>
    <t>867614010</t>
  </si>
  <si>
    <t>010002000127</t>
  </si>
  <si>
    <t>010003000003</t>
  </si>
  <si>
    <t>000977298</t>
  </si>
  <si>
    <t>000268649</t>
  </si>
  <si>
    <t>000977280</t>
  </si>
  <si>
    <t>000977272</t>
  </si>
  <si>
    <t>000826701</t>
  </si>
  <si>
    <t>005597176</t>
  </si>
  <si>
    <t>005595639</t>
  </si>
  <si>
    <t>005597183</t>
  </si>
  <si>
    <t>005595646</t>
  </si>
  <si>
    <t>2113700</t>
  </si>
  <si>
    <t>2114920</t>
  </si>
  <si>
    <t>2113692</t>
  </si>
  <si>
    <t>2113718</t>
  </si>
  <si>
    <t>0172120172</t>
  </si>
  <si>
    <t>0172120180</t>
  </si>
  <si>
    <t>0172120199</t>
  </si>
  <si>
    <t>17171122902</t>
  </si>
  <si>
    <t>17171123003</t>
  </si>
  <si>
    <t>´03199361537</t>
  </si>
  <si>
    <t>036273662</t>
  </si>
  <si>
    <t>036297810</t>
  </si>
  <si>
    <t>036273688</t>
  </si>
  <si>
    <t>40195224</t>
  </si>
  <si>
    <t>40298119</t>
  </si>
  <si>
    <t>40299661</t>
  </si>
  <si>
    <t>137017554</t>
  </si>
  <si>
    <t>137008629</t>
  </si>
  <si>
    <t>137017562</t>
  </si>
  <si>
    <t>SALDO INICIAL</t>
  </si>
  <si>
    <t>CONSUMO</t>
  </si>
  <si>
    <t>VENTANILLA</t>
  </si>
  <si>
    <t>SALDO NETO INICIAL PAGADURÍA</t>
  </si>
  <si>
    <t>RENTA FIJA</t>
  </si>
  <si>
    <t>I</t>
  </si>
  <si>
    <t>PAGOS INTERCOMPAÑÍAS</t>
  </si>
  <si>
    <t>E</t>
  </si>
  <si>
    <t>INGRESOS INTERESES</t>
  </si>
  <si>
    <t>INGRESO REDENCIÓN TÍTULOS</t>
  </si>
  <si>
    <t>APERTURA ACTIVO FINANCIERO</t>
  </si>
  <si>
    <t>CANCELACIÓN ACTIVO FINANCIERO</t>
  </si>
  <si>
    <t>INTERESES ACTIVO FINANCIERO</t>
  </si>
  <si>
    <t>CANCELACIÓN KW</t>
  </si>
  <si>
    <t>PAGO INTERESES KW</t>
  </si>
  <si>
    <t>APERTURA KW</t>
  </si>
  <si>
    <t>COMPRA TÍTULOS</t>
  </si>
  <si>
    <t>COMPRA SIMULTÁNEA ACTIVA</t>
  </si>
  <si>
    <t>REDENCIÓN SIMULTÁNEA PASIVA</t>
  </si>
  <si>
    <t>VENTA TÍTULOS</t>
  </si>
  <si>
    <t>COMPRA SIMULTÁNEA PASIVA</t>
  </si>
  <si>
    <t>REDENCIÓN SIMULTÁNEA ACTIVA</t>
  </si>
  <si>
    <t>DISTRIBUCIÓN FCP</t>
  </si>
  <si>
    <t>LLAMADO CAPITAL FCP</t>
  </si>
  <si>
    <t>RETIRO DE CAPITAL ENCARGOS</t>
  </si>
  <si>
    <t>INCREMENTO DE CAPITAL ENCARGOS</t>
  </si>
  <si>
    <t>TRASLADO ARL</t>
  </si>
  <si>
    <t>RENTA VARIABLE</t>
  </si>
  <si>
    <t>COMPRA ACCIONES</t>
  </si>
  <si>
    <t>VENTA ACCIONES</t>
  </si>
  <si>
    <t>INGRESO DIVIDENDOS</t>
  </si>
  <si>
    <t>EGRESO DIVIDENDOS</t>
  </si>
  <si>
    <t>INGRESO DIVIDENDOS ETF</t>
  </si>
  <si>
    <t>DERIVADOS</t>
  </si>
  <si>
    <t>SWAP</t>
  </si>
  <si>
    <t>OPCIONES</t>
  </si>
  <si>
    <t>FORWARD</t>
  </si>
  <si>
    <t>DIVISAS</t>
  </si>
  <si>
    <t>COMPRA DIVISAS OTRAS ÁREAS</t>
  </si>
  <si>
    <t>VENTA DIVISAS OTRAS ÁREAS</t>
  </si>
  <si>
    <t>COMPRA DIVISAS REASEGUROS</t>
  </si>
  <si>
    <t>COMPRA DIVISAS COMPENSACIÓN</t>
  </si>
  <si>
    <t>VENTAS DIVISAS COMPENSACIÓN</t>
  </si>
  <si>
    <t>OTROS</t>
  </si>
  <si>
    <t>GARANTÍA SIMULTÁNEA</t>
  </si>
  <si>
    <t>EMBARGOS</t>
  </si>
  <si>
    <t>RECAUDO PRIMAS</t>
  </si>
  <si>
    <t>IMPUESTOS</t>
  </si>
  <si>
    <t>COMISIONES</t>
  </si>
  <si>
    <t>RENDIMIENTOS</t>
  </si>
  <si>
    <t>GMF</t>
  </si>
  <si>
    <t>SUB-TOTAL TESORERÍA</t>
  </si>
  <si>
    <t>SALDO FINAL CUENTAS</t>
  </si>
  <si>
    <t xml:space="preserve">  </t>
  </si>
  <si>
    <t>SOBREGIRO 28 FEBRERO 2025</t>
  </si>
  <si>
    <t>15.000 MM</t>
  </si>
  <si>
    <t>135.000 MM</t>
  </si>
  <si>
    <t>50.000 MM</t>
  </si>
  <si>
    <t>TOTAL ENTRADAS</t>
  </si>
  <si>
    <t xml:space="preserve">SALDO </t>
  </si>
  <si>
    <t>APERTURA DE CREDITOS Y SIMULTÁNEAS</t>
  </si>
  <si>
    <t>CITIBANK COMP CAP</t>
  </si>
  <si>
    <t xml:space="preserve">COBRO INTERESES </t>
  </si>
  <si>
    <t>CITIBANK COMP BOL</t>
  </si>
  <si>
    <t>RETIROS ENCARGOS FIDUCIARIOS</t>
  </si>
  <si>
    <t>CITIBANK COMP CLS</t>
  </si>
  <si>
    <t>REDENCION SIMULTANEAS Y REINTEGROS</t>
  </si>
  <si>
    <t>VENTAS</t>
  </si>
  <si>
    <t>VENTAS DE ACCIONES</t>
  </si>
  <si>
    <t>BANREPUBLICA</t>
  </si>
  <si>
    <t>CAP</t>
  </si>
  <si>
    <t>BOL</t>
  </si>
  <si>
    <t>CLS</t>
  </si>
  <si>
    <t>DAVIVIENDA INTERNAL</t>
  </si>
  <si>
    <t>SALDO</t>
  </si>
  <si>
    <t>TOTAL SALIDAS</t>
  </si>
  <si>
    <t>COBRO INTERESES CREDITOS</t>
  </si>
  <si>
    <t>COMPRA</t>
  </si>
  <si>
    <t>SOCIEDADES</t>
  </si>
  <si>
    <t>CANCELACIONES CREDITOS Y SIMULTÁNEAS</t>
  </si>
  <si>
    <t>SEISA</t>
  </si>
  <si>
    <t>INCREMENTOS ENCARGOS FIDUCIARIOS</t>
  </si>
  <si>
    <t>RIBI</t>
  </si>
  <si>
    <t>COMPAÑÍA</t>
  </si>
  <si>
    <t>NÚMERO DE CUENTA</t>
  </si>
  <si>
    <t>PORTAFOLIO</t>
  </si>
  <si>
    <t>ENTIDAD</t>
  </si>
  <si>
    <t>RETIROS K Y DIST FCP</t>
  </si>
  <si>
    <t>INC K Y LLAMADO FCP</t>
  </si>
  <si>
    <t>TRASLADO</t>
  </si>
  <si>
    <t>COMISIONES Y OTROS</t>
  </si>
  <si>
    <t>SALDO FINAL</t>
  </si>
  <si>
    <t>Capitalizadora</t>
  </si>
  <si>
    <t xml:space="preserve"> 01-CH </t>
  </si>
  <si>
    <t>Banco de Bogotá</t>
  </si>
  <si>
    <t>17171123071</t>
  </si>
  <si>
    <t>Bancolombia</t>
  </si>
  <si>
    <t>Corficolombiana</t>
  </si>
  <si>
    <t>Banco Colpatria</t>
  </si>
  <si>
    <t>Banco Itau</t>
  </si>
  <si>
    <t>Bolívar</t>
  </si>
  <si>
    <t xml:space="preserve"> 02-C3 </t>
  </si>
  <si>
    <t xml:space="preserve"> 02-C7 </t>
  </si>
  <si>
    <t xml:space="preserve"> 02-C5 </t>
  </si>
  <si>
    <t xml:space="preserve"> 02-C2 </t>
  </si>
  <si>
    <t xml:space="preserve"> 02-C6 </t>
  </si>
  <si>
    <t xml:space="preserve"> 02-C4 </t>
  </si>
  <si>
    <t xml:space="preserve"> 02-CH </t>
  </si>
  <si>
    <t>Comerciales</t>
  </si>
  <si>
    <t xml:space="preserve"> 03-C2 </t>
  </si>
  <si>
    <t xml:space="preserve"> 03-CH </t>
  </si>
  <si>
    <t>TOTAL CAPITALIZADORA</t>
  </si>
  <si>
    <t>TOTAL BOLÍVAR</t>
  </si>
  <si>
    <t>TOTAL COMERCIALES</t>
  </si>
  <si>
    <t>ok</t>
  </si>
  <si>
    <t>Bolívar paga Div a Grupo</t>
  </si>
  <si>
    <t>Soluciones paga Div a Grupo</t>
  </si>
  <si>
    <t>Bol paga div a Soluciones</t>
  </si>
  <si>
    <t>Bol paga div a Inv Anagrama</t>
  </si>
  <si>
    <t>Bol paga div a Multi</t>
  </si>
  <si>
    <t>Bol paga div a Inv Financieras</t>
  </si>
  <si>
    <t>SOBREGIRO 31 MARZO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</si>
</sst>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_ * #,##0.00_ ;_ * \-#,##0.00_ ;_ * &quot;-&quot;??_ ;_ @_ "/>
    <numFmt numFmtId="169" formatCode="\U&quot;$&quot;#,##0.00"/>
    <numFmt numFmtId="170" formatCode="\U\$#,##0.00"/>
    <numFmt numFmtId="171" formatCode="_ &quot;$&quot;\ * #,##0.00_ ;_ &quot;$&quot;\ * \-#,##0.00_ ;_ &quot;$&quot;\ * &quot;-&quot;??_ ;_ @_ "/>
    <numFmt numFmtId="172" formatCode="0.0%"/>
    <numFmt numFmtId="173" formatCode="_(&quot;$&quot;\ * #,##0.00_);_(&quot;$&quot;\ * \(#,##0.00\);_(&quot;$&quot;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9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68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9" fillId="0" borderId="0"/>
  </cellStyleXfs>
  <cellXfs count="16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2" borderId="4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" fontId="0" fillId="2" borderId="4" xfId="0" applyNumberFormat="1" applyFont="1" applyFill="1" applyBorder="1" applyAlignment="1">
      <alignment horizontal="center"/>
    </xf>
    <xf numFmtId="1" fontId="0" fillId="2" borderId="4" xfId="0" quotePrefix="1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5" borderId="4" xfId="0" applyFont="1" applyFill="1" applyBorder="1" applyAlignment="1">
      <alignment horizontal="center"/>
    </xf>
    <xf numFmtId="164" fontId="0" fillId="5" borderId="4" xfId="1" applyFont="1" applyFill="1" applyBorder="1" applyAlignment="1">
      <alignment horizontal="center"/>
    </xf>
    <xf numFmtId="164" fontId="0" fillId="4" borderId="4" xfId="1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4" borderId="4" xfId="0" applyFont="1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1" fontId="0" fillId="4" borderId="4" xfId="0" quotePrefix="1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left"/>
    </xf>
    <xf numFmtId="164" fontId="0" fillId="6" borderId="4" xfId="1" applyFont="1" applyFill="1" applyBorder="1"/>
    <xf numFmtId="164" fontId="4" fillId="6" borderId="4" xfId="1" applyFont="1" applyFill="1" applyBorder="1"/>
    <xf numFmtId="164" fontId="1" fillId="6" borderId="4" xfId="1" applyFont="1" applyFill="1" applyBorder="1"/>
    <xf numFmtId="164" fontId="5" fillId="6" borderId="4" xfId="1" applyFont="1" applyFill="1" applyBorder="1"/>
    <xf numFmtId="164" fontId="0" fillId="6" borderId="4" xfId="1" applyNumberFormat="1" applyFont="1" applyFill="1" applyBorder="1"/>
    <xf numFmtId="0" fontId="0" fillId="7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left"/>
    </xf>
    <xf numFmtId="164" fontId="0" fillId="7" borderId="4" xfId="1" applyFont="1" applyFill="1" applyBorder="1"/>
    <xf numFmtId="164" fontId="1" fillId="7" borderId="4" xfId="1" applyFont="1" applyFill="1" applyBorder="1"/>
    <xf numFmtId="0" fontId="0" fillId="8" borderId="4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left"/>
    </xf>
    <xf numFmtId="164" fontId="0" fillId="8" borderId="4" xfId="1" applyFont="1" applyFill="1" applyBorder="1"/>
    <xf numFmtId="164" fontId="1" fillId="8" borderId="4" xfId="1" applyFont="1" applyFill="1" applyBorder="1"/>
    <xf numFmtId="164" fontId="4" fillId="8" borderId="4" xfId="1" applyFont="1" applyFill="1" applyBorder="1"/>
    <xf numFmtId="164" fontId="2" fillId="8" borderId="4" xfId="1" applyFont="1" applyFill="1" applyBorder="1"/>
    <xf numFmtId="0" fontId="0" fillId="9" borderId="4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left"/>
    </xf>
    <xf numFmtId="164" fontId="1" fillId="9" borderId="4" xfId="1" applyFont="1" applyFill="1" applyBorder="1"/>
    <xf numFmtId="164" fontId="0" fillId="9" borderId="4" xfId="1" applyFont="1" applyFill="1" applyBorder="1"/>
    <xf numFmtId="0" fontId="0" fillId="10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left"/>
    </xf>
    <xf numFmtId="164" fontId="1" fillId="10" borderId="4" xfId="1" applyFont="1" applyFill="1" applyBorder="1"/>
    <xf numFmtId="164" fontId="0" fillId="10" borderId="4" xfId="1" applyFont="1" applyFill="1" applyBorder="1"/>
    <xf numFmtId="0" fontId="0" fillId="11" borderId="4" xfId="0" applyFont="1" applyFill="1" applyBorder="1" applyAlignment="1">
      <alignment horizontal="left"/>
    </xf>
    <xf numFmtId="164" fontId="0" fillId="11" borderId="4" xfId="1" applyFont="1" applyFill="1" applyBorder="1"/>
    <xf numFmtId="164" fontId="1" fillId="11" borderId="4" xfId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12" borderId="4" xfId="0" applyFont="1" applyFill="1" applyBorder="1" applyAlignment="1">
      <alignment horizontal="left"/>
    </xf>
    <xf numFmtId="164" fontId="3" fillId="12" borderId="4" xfId="0" applyNumberFormat="1" applyFont="1" applyFill="1" applyBorder="1"/>
    <xf numFmtId="164" fontId="0" fillId="0" borderId="0" xfId="1" applyFont="1"/>
    <xf numFmtId="43" fontId="0" fillId="0" borderId="0" xfId="0" applyNumberFormat="1" applyFont="1"/>
    <xf numFmtId="164" fontId="0" fillId="0" borderId="0" xfId="0" applyNumberFormat="1" applyFont="1"/>
    <xf numFmtId="4" fontId="0" fillId="0" borderId="0" xfId="0" applyNumberFormat="1" applyFont="1" applyFill="1" applyBorder="1"/>
    <xf numFmtId="0" fontId="0" fillId="0" borderId="0" xfId="0" applyFont="1" applyBorder="1"/>
    <xf numFmtId="165" fontId="0" fillId="0" borderId="0" xfId="1" applyNumberFormat="1" applyFont="1"/>
    <xf numFmtId="164" fontId="0" fillId="0" borderId="0" xfId="1" applyNumberFormat="1" applyFont="1"/>
    <xf numFmtId="4" fontId="3" fillId="0" borderId="0" xfId="0" applyNumberFormat="1" applyFont="1"/>
    <xf numFmtId="164" fontId="3" fillId="0" borderId="0" xfId="1" applyFont="1" applyAlignment="1">
      <alignment horizontal="left"/>
    </xf>
    <xf numFmtId="164" fontId="1" fillId="0" borderId="0" xfId="1" applyFont="1"/>
    <xf numFmtId="43" fontId="6" fillId="0" borderId="0" xfId="0" applyNumberFormat="1" applyFont="1"/>
    <xf numFmtId="164" fontId="0" fillId="0" borderId="0" xfId="1" applyFont="1" applyFill="1"/>
    <xf numFmtId="43" fontId="0" fillId="0" borderId="0" xfId="0" applyNumberFormat="1" applyFont="1" applyFill="1"/>
    <xf numFmtId="164" fontId="0" fillId="0" borderId="0" xfId="1" applyNumberFormat="1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164" fontId="1" fillId="0" borderId="0" xfId="1" applyFont="1" applyFill="1"/>
    <xf numFmtId="166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Alignment="1">
      <alignment horizontal="center"/>
    </xf>
    <xf numFmtId="164" fontId="8" fillId="0" borderId="0" xfId="1" applyFont="1" applyAlignment="1">
      <alignment horizontal="left"/>
    </xf>
    <xf numFmtId="164" fontId="3" fillId="0" borderId="0" xfId="1" applyFont="1" applyFill="1"/>
    <xf numFmtId="0" fontId="3" fillId="0" borderId="0" xfId="0" applyFont="1" applyFill="1" applyAlignment="1">
      <alignment horizontal="right"/>
    </xf>
    <xf numFmtId="167" fontId="0" fillId="0" borderId="0" xfId="1" applyNumberFormat="1" applyFont="1"/>
    <xf numFmtId="165" fontId="0" fillId="0" borderId="0" xfId="1" applyNumberFormat="1" applyFont="1" applyFill="1"/>
    <xf numFmtId="0" fontId="10" fillId="0" borderId="4" xfId="4" applyFont="1" applyBorder="1"/>
    <xf numFmtId="166" fontId="10" fillId="0" borderId="4" xfId="1" applyNumberFormat="1" applyFont="1" applyFill="1" applyBorder="1"/>
    <xf numFmtId="0" fontId="10" fillId="13" borderId="4" xfId="4" applyFont="1" applyFill="1" applyBorder="1" applyAlignment="1">
      <alignment horizontal="center"/>
    </xf>
    <xf numFmtId="164" fontId="10" fillId="0" borderId="0" xfId="3" applyNumberFormat="1" applyFont="1"/>
    <xf numFmtId="165" fontId="8" fillId="0" borderId="0" xfId="1" applyNumberFormat="1" applyFont="1" applyAlignment="1">
      <alignment horizontal="left"/>
    </xf>
    <xf numFmtId="0" fontId="4" fillId="0" borderId="4" xfId="4" applyFont="1" applyBorder="1"/>
    <xf numFmtId="166" fontId="4" fillId="0" borderId="4" xfId="1" applyNumberFormat="1" applyFont="1" applyFill="1" applyBorder="1"/>
    <xf numFmtId="168" fontId="4" fillId="13" borderId="4" xfId="5" applyFont="1" applyFill="1" applyBorder="1"/>
    <xf numFmtId="169" fontId="4" fillId="13" borderId="4" xfId="4" applyNumberFormat="1" applyFont="1" applyFill="1" applyBorder="1" applyAlignment="1">
      <alignment horizontal="right"/>
    </xf>
    <xf numFmtId="170" fontId="4" fillId="13" borderId="4" xfId="4" applyNumberFormat="1" applyFont="1" applyFill="1" applyBorder="1" applyAlignment="1">
      <alignment horizontal="right"/>
    </xf>
    <xf numFmtId="164" fontId="10" fillId="0" borderId="0" xfId="1" applyFont="1"/>
    <xf numFmtId="164" fontId="3" fillId="0" borderId="0" xfId="1" applyFont="1"/>
    <xf numFmtId="165" fontId="11" fillId="0" borderId="0" xfId="1" applyNumberFormat="1" applyFont="1" applyAlignment="1">
      <alignment horizontal="left"/>
    </xf>
    <xf numFmtId="0" fontId="0" fillId="0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4" fillId="0" borderId="0" xfId="1" applyFont="1"/>
    <xf numFmtId="0" fontId="0" fillId="0" borderId="0" xfId="0" applyFill="1" applyAlignment="1">
      <alignment horizontal="left"/>
    </xf>
    <xf numFmtId="0" fontId="4" fillId="0" borderId="4" xfId="4" applyFont="1" applyBorder="1" applyAlignment="1">
      <alignment horizontal="left" vertical="center" wrapText="1"/>
    </xf>
    <xf numFmtId="164" fontId="0" fillId="0" borderId="0" xfId="1" applyFont="1" applyFill="1" applyBorder="1"/>
    <xf numFmtId="0" fontId="10" fillId="14" borderId="4" xfId="4" applyFont="1" applyFill="1" applyBorder="1"/>
    <xf numFmtId="0" fontId="10" fillId="14" borderId="4" xfId="4" applyFont="1" applyFill="1" applyBorder="1" applyAlignment="1">
      <alignment horizontal="center"/>
    </xf>
    <xf numFmtId="0" fontId="0" fillId="0" borderId="0" xfId="0" applyFill="1"/>
    <xf numFmtId="0" fontId="4" fillId="14" borderId="4" xfId="4" applyFont="1" applyFill="1" applyBorder="1"/>
    <xf numFmtId="171" fontId="4" fillId="14" borderId="4" xfId="6" applyFont="1" applyFill="1" applyBorder="1" applyAlignment="1">
      <alignment horizontal="right"/>
    </xf>
    <xf numFmtId="16" fontId="0" fillId="0" borderId="0" xfId="1" applyNumberFormat="1" applyFont="1"/>
    <xf numFmtId="164" fontId="3" fillId="0" borderId="0" xfId="0" applyNumberFormat="1" applyFont="1"/>
    <xf numFmtId="164" fontId="3" fillId="0" borderId="0" xfId="1" applyFont="1" applyFill="1" applyBorder="1"/>
    <xf numFmtId="0" fontId="4" fillId="0" borderId="0" xfId="4" applyFont="1"/>
    <xf numFmtId="164" fontId="4" fillId="0" borderId="0" xfId="1" applyFont="1" applyFill="1"/>
    <xf numFmtId="0" fontId="10" fillId="15" borderId="4" xfId="4" applyFont="1" applyFill="1" applyBorder="1" applyAlignment="1">
      <alignment horizontal="center"/>
    </xf>
    <xf numFmtId="0" fontId="4" fillId="15" borderId="4" xfId="4" applyFont="1" applyFill="1" applyBorder="1" applyAlignment="1">
      <alignment horizontal="left"/>
    </xf>
    <xf numFmtId="169" fontId="4" fillId="15" borderId="4" xfId="4" applyNumberFormat="1" applyFont="1" applyFill="1" applyBorder="1" applyAlignment="1">
      <alignment horizontal="right"/>
    </xf>
    <xf numFmtId="0" fontId="10" fillId="0" borderId="0" xfId="4" applyFont="1" applyBorder="1"/>
    <xf numFmtId="166" fontId="12" fillId="0" borderId="0" xfId="1" applyNumberFormat="1" applyFont="1" applyFill="1" applyBorder="1"/>
    <xf numFmtId="40" fontId="4" fillId="15" borderId="4" xfId="5" applyNumberFormat="1" applyFont="1" applyFill="1" applyBorder="1" applyAlignment="1">
      <alignment horizontal="left"/>
    </xf>
    <xf numFmtId="170" fontId="4" fillId="15" borderId="4" xfId="4" applyNumberFormat="1" applyFont="1" applyFill="1" applyBorder="1" applyAlignment="1">
      <alignment horizontal="right"/>
    </xf>
    <xf numFmtId="2" fontId="0" fillId="0" borderId="0" xfId="0" applyNumberFormat="1" applyFont="1"/>
    <xf numFmtId="9" fontId="0" fillId="0" borderId="0" xfId="0" applyNumberFormat="1" applyFont="1" applyFill="1"/>
    <xf numFmtId="40" fontId="4" fillId="15" borderId="4" xfId="4" applyNumberFormat="1" applyFont="1" applyFill="1" applyBorder="1" applyAlignment="1">
      <alignment horizontal="left"/>
    </xf>
    <xf numFmtId="166" fontId="4" fillId="0" borderId="4" xfId="1" applyNumberFormat="1" applyFont="1" applyBorder="1"/>
    <xf numFmtId="166" fontId="0" fillId="0" borderId="4" xfId="1" applyNumberFormat="1" applyFont="1" applyBorder="1"/>
    <xf numFmtId="10" fontId="0" fillId="0" borderId="0" xfId="0" applyNumberFormat="1" applyFont="1"/>
    <xf numFmtId="10" fontId="1" fillId="0" borderId="0" xfId="1" applyNumberFormat="1" applyFont="1"/>
    <xf numFmtId="172" fontId="0" fillId="0" borderId="0" xfId="3" applyNumberFormat="1" applyFont="1"/>
    <xf numFmtId="166" fontId="0" fillId="0" borderId="4" xfId="1" applyNumberFormat="1" applyFont="1" applyFill="1" applyBorder="1"/>
    <xf numFmtId="0" fontId="0" fillId="0" borderId="4" xfId="0" applyFont="1" applyBorder="1" applyAlignment="1">
      <alignment horizontal="left"/>
    </xf>
    <xf numFmtId="168" fontId="10" fillId="0" borderId="4" xfId="7" applyFont="1" applyBorder="1" applyAlignment="1">
      <alignment horizontal="center"/>
    </xf>
    <xf numFmtId="0" fontId="10" fillId="0" borderId="4" xfId="4" applyFont="1" applyBorder="1" applyAlignment="1">
      <alignment horizontal="center"/>
    </xf>
    <xf numFmtId="164" fontId="10" fillId="0" borderId="4" xfId="1" applyFont="1" applyBorder="1" applyAlignment="1">
      <alignment horizontal="center"/>
    </xf>
    <xf numFmtId="173" fontId="10" fillId="0" borderId="4" xfId="2" applyFont="1" applyBorder="1" applyAlignment="1">
      <alignment horizontal="center"/>
    </xf>
    <xf numFmtId="168" fontId="10" fillId="0" borderId="4" xfId="5" applyNumberFormat="1" applyFont="1" applyFill="1" applyBorder="1" applyAlignment="1">
      <alignment horizontal="center"/>
    </xf>
    <xf numFmtId="168" fontId="10" fillId="0" borderId="4" xfId="7" applyFont="1" applyFill="1" applyBorder="1" applyAlignment="1">
      <alignment horizontal="center"/>
    </xf>
    <xf numFmtId="168" fontId="4" fillId="0" borderId="4" xfId="7" applyFont="1" applyBorder="1" applyAlignment="1">
      <alignment horizontal="center"/>
    </xf>
    <xf numFmtId="0" fontId="4" fillId="0" borderId="4" xfId="4" applyFont="1" applyBorder="1" applyAlignment="1">
      <alignment horizontal="center"/>
    </xf>
    <xf numFmtId="168" fontId="4" fillId="0" borderId="4" xfId="7" applyFont="1" applyBorder="1"/>
    <xf numFmtId="164" fontId="4" fillId="0" borderId="4" xfId="1" applyFont="1" applyBorder="1"/>
    <xf numFmtId="168" fontId="4" fillId="0" borderId="4" xfId="5" applyNumberFormat="1" applyFont="1" applyFill="1" applyBorder="1" applyAlignment="1">
      <alignment horizontal="center"/>
    </xf>
    <xf numFmtId="168" fontId="4" fillId="0" borderId="4" xfId="5" applyNumberFormat="1" applyFont="1" applyFill="1" applyBorder="1"/>
    <xf numFmtId="164" fontId="4" fillId="0" borderId="4" xfId="1" applyFont="1" applyFill="1" applyBorder="1"/>
    <xf numFmtId="49" fontId="4" fillId="0" borderId="4" xfId="8" applyNumberFormat="1" applyFont="1" applyFill="1" applyBorder="1" applyAlignment="1">
      <alignment horizontal="center"/>
    </xf>
    <xf numFmtId="164" fontId="4" fillId="0" borderId="0" xfId="1" applyFont="1" applyFill="1" applyBorder="1"/>
    <xf numFmtId="168" fontId="4" fillId="0" borderId="0" xfId="5" applyNumberFormat="1" applyFont="1" applyFill="1" applyBorder="1"/>
    <xf numFmtId="164" fontId="0" fillId="0" borderId="0" xfId="1" applyFont="1" applyFill="1" applyAlignment="1">
      <alignment horizontal="right"/>
    </xf>
    <xf numFmtId="0" fontId="0" fillId="0" borderId="0" xfId="0" applyBorder="1"/>
    <xf numFmtId="0" fontId="15" fillId="0" borderId="0" xfId="0" applyFont="1"/>
    <xf numFmtId="164" fontId="7" fillId="0" borderId="0" xfId="1" applyFont="1" applyFill="1"/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center"/>
    </xf>
    <xf numFmtId="0" fontId="4" fillId="0" borderId="5" xfId="4" applyFont="1" applyBorder="1" applyAlignment="1">
      <alignment horizontal="center" vertical="center" textRotation="90" wrapText="1"/>
    </xf>
    <xf numFmtId="0" fontId="4" fillId="0" borderId="7" xfId="4" applyFont="1" applyBorder="1" applyAlignment="1">
      <alignment horizontal="center" vertical="center" textRotation="90" wrapText="1"/>
    </xf>
    <xf numFmtId="0" fontId="4" fillId="0" borderId="6" xfId="4" applyFont="1" applyBorder="1" applyAlignment="1">
      <alignment horizontal="center" vertical="center" textRotation="90" wrapText="1"/>
    </xf>
    <xf numFmtId="0" fontId="0" fillId="7" borderId="4" xfId="0" applyFont="1" applyFill="1" applyBorder="1" applyAlignment="1">
      <alignment horizontal="center" vertical="center" textRotation="90" wrapText="1"/>
    </xf>
    <xf numFmtId="0" fontId="0" fillId="8" borderId="4" xfId="0" applyFont="1" applyFill="1" applyBorder="1" applyAlignment="1">
      <alignment horizontal="center" vertical="center" textRotation="90" wrapText="1"/>
    </xf>
    <xf numFmtId="0" fontId="0" fillId="9" borderId="4" xfId="0" applyFont="1" applyFill="1" applyBorder="1" applyAlignment="1">
      <alignment horizontal="center" vertical="center" textRotation="90" wrapText="1"/>
    </xf>
    <xf numFmtId="0" fontId="0" fillId="10" borderId="4" xfId="0" applyFont="1" applyFill="1" applyBorder="1" applyAlignment="1">
      <alignment horizontal="center" vertical="center" textRotation="90" wrapText="1"/>
    </xf>
    <xf numFmtId="0" fontId="4" fillId="0" borderId="4" xfId="4" applyFont="1" applyBorder="1" applyAlignment="1">
      <alignment horizontal="center" vertical="center" textRotation="90" wrapText="1"/>
    </xf>
    <xf numFmtId="0" fontId="0" fillId="6" borderId="4" xfId="0" applyFont="1" applyFill="1" applyBorder="1" applyAlignment="1">
      <alignment horizontal="center" vertical="center" textRotation="90" wrapText="1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textRotation="90" wrapText="1"/>
    </xf>
    <xf numFmtId="0" fontId="0" fillId="4" borderId="7" xfId="0" applyFont="1" applyFill="1" applyBorder="1" applyAlignment="1">
      <alignment horizontal="center" vertical="center" textRotation="90" wrapText="1"/>
    </xf>
    <xf numFmtId="0" fontId="0" fillId="4" borderId="6" xfId="0" applyFont="1" applyFill="1" applyBorder="1" applyAlignment="1">
      <alignment horizontal="center" vertical="center" textRotation="90" wrapText="1"/>
    </xf>
  </cellXfs>
  <cellStyles count="9">
    <cellStyle name="Millares" xfId="1" builtinId="3"/>
    <cellStyle name="Millares 2" xfId="7"/>
    <cellStyle name="Millares_AGO2008DEF" xfId="5"/>
    <cellStyle name="Moneda" xfId="2" builtinId="4"/>
    <cellStyle name="Moneda_AGO2008DEF" xfId="6"/>
    <cellStyle name="Normal" xfId="0" builtinId="0"/>
    <cellStyle name="Normal 2" xfId="4"/>
    <cellStyle name="Normal 7" xfId="8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Y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 02"/>
      <sheetName val="MAYO 05"/>
      <sheetName val="MAYO 06"/>
      <sheetName val="MAYO 07"/>
      <sheetName val="MAYO 08"/>
      <sheetName val="MAYO 09"/>
      <sheetName val="MAYO 12"/>
      <sheetName val="MAYO 13"/>
      <sheetName val="MAYO 14"/>
      <sheetName val="MAYO 15"/>
      <sheetName val="MAYO 16"/>
      <sheetName val="MAYO 19"/>
      <sheetName val="MAYO 20"/>
      <sheetName val="MAYO 21"/>
      <sheetName val="MAYO 22"/>
      <sheetName val="MAYO 23"/>
      <sheetName val="MAYO 26"/>
      <sheetName val="MAYO 27"/>
      <sheetName val="MAYO 28"/>
      <sheetName val="MAYO 29"/>
      <sheetName val="MAYO 30"/>
      <sheetName val="CONSOLID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5">
          <cell r="D55">
            <v>437111.87281994516</v>
          </cell>
          <cell r="E55">
            <v>32498586.727886811</v>
          </cell>
          <cell r="F55">
            <v>13984315.087604396</v>
          </cell>
          <cell r="G55">
            <v>0</v>
          </cell>
          <cell r="H55">
            <v>0</v>
          </cell>
          <cell r="I55">
            <v>133332.01519457897</v>
          </cell>
          <cell r="J55">
            <v>0</v>
          </cell>
          <cell r="K55">
            <v>215532.65846014288</v>
          </cell>
          <cell r="L55">
            <v>5197062.4391489932</v>
          </cell>
          <cell r="M55">
            <v>170153.90574686555</v>
          </cell>
          <cell r="N55">
            <v>177265.5199999999</v>
          </cell>
          <cell r="P55">
            <v>19522988.240842715</v>
          </cell>
          <cell r="R55">
            <v>616055.26451000012</v>
          </cell>
          <cell r="T55">
            <v>0</v>
          </cell>
          <cell r="V55">
            <v>0</v>
          </cell>
          <cell r="X55">
            <v>0</v>
          </cell>
          <cell r="Z55">
            <v>9662.5274983807467</v>
          </cell>
          <cell r="AB55">
            <v>7542.7499999967404</v>
          </cell>
          <cell r="AD55">
            <v>5155</v>
          </cell>
          <cell r="AF55">
            <v>7956.8699999451637</v>
          </cell>
          <cell r="AH55">
            <v>118215.98999999718</v>
          </cell>
          <cell r="AJ55">
            <v>674466.83999999822</v>
          </cell>
          <cell r="AL55">
            <v>21576152.436255224</v>
          </cell>
          <cell r="AM55">
            <v>59734561.023795351</v>
          </cell>
          <cell r="AN55">
            <v>6276507.6901499992</v>
          </cell>
          <cell r="AO55">
            <v>1091269.40043144</v>
          </cell>
          <cell r="AP55">
            <v>5285267.3108801506</v>
          </cell>
          <cell r="AQ55">
            <v>2357744.2128221639</v>
          </cell>
          <cell r="AR55">
            <v>33846.145451993005</v>
          </cell>
          <cell r="AS55">
            <v>6.2909079996137462</v>
          </cell>
          <cell r="AT55">
            <v>11.244432002509914</v>
          </cell>
          <cell r="AU55">
            <v>70745.806203997287</v>
          </cell>
          <cell r="AV55">
            <v>525146.68653480266</v>
          </cell>
          <cell r="AW55">
            <v>86119.091979996796</v>
          </cell>
          <cell r="AX55">
            <v>1047.2966740010875</v>
          </cell>
          <cell r="AY55">
            <v>164299.37773599816</v>
          </cell>
          <cell r="AZ55">
            <v>23389.865177323234</v>
          </cell>
          <cell r="BA55">
            <v>202782.3417240069</v>
          </cell>
          <cell r="BB55">
            <v>70222.358219991133</v>
          </cell>
          <cell r="BC55">
            <v>267875.23284799868</v>
          </cell>
          <cell r="BD55">
            <v>17115.411599989831</v>
          </cell>
          <cell r="BE55">
            <v>256586.81289368056</v>
          </cell>
          <cell r="BF55">
            <v>321949.5492303599</v>
          </cell>
          <cell r="BG55">
            <v>35109.526218882762</v>
          </cell>
          <cell r="BH55">
            <v>26531.768320002102</v>
          </cell>
          <cell r="BI55">
            <v>526567.9691583903</v>
          </cell>
          <cell r="BJ55">
            <v>198192.37105456018</v>
          </cell>
          <cell r="BK55">
            <v>3412735.3475220124</v>
          </cell>
          <cell r="BL55">
            <v>113187.08963244606</v>
          </cell>
          <cell r="BM55">
            <v>1073055.6436371638</v>
          </cell>
          <cell r="BN55">
            <v>1222595.915227381</v>
          </cell>
          <cell r="BO55">
            <v>3.4691202304202307E-3</v>
          </cell>
          <cell r="BP55">
            <v>256.30560932906548</v>
          </cell>
          <cell r="BQ55">
            <v>4.0128798844989433E-3</v>
          </cell>
          <cell r="BR55">
            <v>645484.5260000031</v>
          </cell>
          <cell r="BS55">
            <v>2650869.4086606889</v>
          </cell>
          <cell r="BT55">
            <v>258402.12493201916</v>
          </cell>
          <cell r="BU55">
            <v>1061203.2376361911</v>
          </cell>
          <cell r="BV55">
            <v>8025.4488600000004</v>
          </cell>
          <cell r="BW55">
            <v>397883.49299000081</v>
          </cell>
          <cell r="BX55">
            <v>12663.664475599246</v>
          </cell>
          <cell r="BY55">
            <v>705695.13094000029</v>
          </cell>
          <cell r="BZ55">
            <v>4242904.7641399894</v>
          </cell>
          <cell r="CA55">
            <v>7313612.5655599935</v>
          </cell>
          <cell r="CB55">
            <v>18918.56624</v>
          </cell>
          <cell r="CC55">
            <v>905567.0501799999</v>
          </cell>
          <cell r="CD55">
            <v>0</v>
          </cell>
          <cell r="CE55">
            <v>28452.444999999996</v>
          </cell>
          <cell r="CF55">
            <v>696622.45958999998</v>
          </cell>
          <cell r="CG55">
            <v>194020.58999999994</v>
          </cell>
          <cell r="CH55">
            <v>2.9318200000000001</v>
          </cell>
          <cell r="CI55">
            <v>813161.95743999921</v>
          </cell>
          <cell r="CJ55">
            <v>201938.84803999978</v>
          </cell>
          <cell r="CK55">
            <v>0</v>
          </cell>
          <cell r="CL55">
            <v>0</v>
          </cell>
          <cell r="CM55">
            <v>79545.207070000004</v>
          </cell>
          <cell r="CN55">
            <v>662749.23605000007</v>
          </cell>
          <cell r="CO55">
            <v>736446.43431999965</v>
          </cell>
          <cell r="CP55">
            <v>9152723.6727600005</v>
          </cell>
          <cell r="CQ55">
            <v>377918.49939999997</v>
          </cell>
          <cell r="CR55">
            <v>877844.95927000046</v>
          </cell>
          <cell r="CS55">
            <v>5010.51</v>
          </cell>
          <cell r="CT55">
            <v>20511.762362899997</v>
          </cell>
          <cell r="CU55">
            <v>5010.51</v>
          </cell>
          <cell r="CV55">
            <v>20511.762362899997</v>
          </cell>
        </row>
      </sheetData>
      <sheetData sheetId="2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'[1]MAYO 30'!$D$55</f>
        <v>437111.87281994516</v>
      </c>
      <c r="E5" s="18">
        <f>'[1]MAYO 30'!$E$55</f>
        <v>32498586.727886811</v>
      </c>
      <c r="F5" s="18">
        <f>'[1]MAYO 30'!$F$55</f>
        <v>13984315.087604396</v>
      </c>
      <c r="G5" s="18">
        <f>'[1]MAYO 30'!$G$55</f>
        <v>0</v>
      </c>
      <c r="H5" s="18">
        <f>'[1]MAYO 30'!$H$55</f>
        <v>0</v>
      </c>
      <c r="I5" s="18">
        <f>'[1]MAYO 30'!$I$55</f>
        <v>133332.01519457897</v>
      </c>
      <c r="J5" s="18">
        <f>'[1]MAYO 30'!$J$55</f>
        <v>0</v>
      </c>
      <c r="K5" s="18">
        <f>'[1]MAYO 30'!$K$55</f>
        <v>215532.65846014288</v>
      </c>
      <c r="L5" s="18">
        <f>'[1]MAYO 30'!$L$55</f>
        <v>5197062.4391489932</v>
      </c>
      <c r="M5" s="18">
        <f>'[1]MAYO 30'!$M$55</f>
        <v>170153.90574686555</v>
      </c>
      <c r="N5" s="18">
        <f>'[1]MAYO 30'!$N$55</f>
        <v>177265.5199999999</v>
      </c>
      <c r="O5" s="18">
        <f>(N5*4148.72)/1000</f>
        <v>735425.00813439966</v>
      </c>
      <c r="P5" s="18">
        <f>'[1]MAYO 30'!$P$55</f>
        <v>19522988.240842715</v>
      </c>
      <c r="Q5" s="18">
        <f>(P5*4148.72)/1000</f>
        <v>80995411.774548993</v>
      </c>
      <c r="R5" s="18">
        <f>'[1]MAYO 30'!$R$55</f>
        <v>616055.26451000012</v>
      </c>
      <c r="S5" s="18">
        <f>(R5*4148.72)/1000</f>
        <v>2555840.7969779279</v>
      </c>
      <c r="T5" s="18">
        <f>'[1]MAYO 30'!$T$55</f>
        <v>0</v>
      </c>
      <c r="U5" s="18">
        <f>(T5*4148.72)/1000</f>
        <v>0</v>
      </c>
      <c r="V5" s="18">
        <f>'[1]MAYO 30'!$V$55</f>
        <v>0</v>
      </c>
      <c r="W5" s="18">
        <f>(V5*4148.72)/1000</f>
        <v>0</v>
      </c>
      <c r="X5" s="18">
        <f>'[1]MAYO 30'!$X$55</f>
        <v>0</v>
      </c>
      <c r="Y5" s="18">
        <f>(X5*4148.72)/1000</f>
        <v>0</v>
      </c>
      <c r="Z5" s="18">
        <f>'[1]MAYO 30'!$Z$55</f>
        <v>9662.5274983807467</v>
      </c>
      <c r="AA5" s="18">
        <f>(Z5*4148.72)/1000</f>
        <v>40087.12108308218</v>
      </c>
      <c r="AB5" s="18">
        <f>'[1]MAYO 30'!$AB$55</f>
        <v>7542.7499999967404</v>
      </c>
      <c r="AC5" s="18">
        <f>(AB5*4148.72)/1000</f>
        <v>31292.757779986478</v>
      </c>
      <c r="AD5" s="18">
        <f>'[1]MAYO 30'!$AD$55</f>
        <v>5155</v>
      </c>
      <c r="AE5" s="18">
        <f>(AD5*4148.72)/1000</f>
        <v>21386.651600000001</v>
      </c>
      <c r="AF5" s="18">
        <f>'[1]MAYO 30'!$AF$55</f>
        <v>7956.8699999451637</v>
      </c>
      <c r="AG5" s="18">
        <f>(AF5*4148.72)/1000</f>
        <v>33010.825706172502</v>
      </c>
      <c r="AH5" s="18">
        <f>'[1]MAYO 30'!$AH$55</f>
        <v>118215.98999999718</v>
      </c>
      <c r="AI5" s="18">
        <f>(AH5*4148.72)/1000</f>
        <v>490445.04203278833</v>
      </c>
      <c r="AJ5" s="18">
        <f>'[1]MAYO 30'!$AJ$55</f>
        <v>674466.83999999822</v>
      </c>
      <c r="AK5" s="18">
        <f>(AJ5*4148.72)/1000</f>
        <v>2798174.0684447926</v>
      </c>
      <c r="AL5" s="18">
        <f>'[1]MAYO 30'!$AL$55</f>
        <v>21576152.436255224</v>
      </c>
      <c r="AM5" s="18">
        <f>'[1]MAYO 30'!$AM$55</f>
        <v>59734561.023795351</v>
      </c>
      <c r="AN5" s="18">
        <f>'[1]MAYO 30'!$AN$55</f>
        <v>6276507.6901499992</v>
      </c>
      <c r="AO5" s="18">
        <f>'[1]MAYO 30'!$AO$55</f>
        <v>1091269.40043144</v>
      </c>
      <c r="AP5" s="18">
        <f>'[1]MAYO 30'!$AP$55</f>
        <v>5285267.3108801506</v>
      </c>
      <c r="AQ5" s="18">
        <f>'[1]MAYO 30'!$AQ$55</f>
        <v>2357744.2128221639</v>
      </c>
      <c r="AR5" s="18">
        <f>'[1]MAYO 30'!$AR$55</f>
        <v>33846.145451993005</v>
      </c>
      <c r="AS5" s="18">
        <f>'[1]MAYO 30'!$AS$55</f>
        <v>6.2909079996137462</v>
      </c>
      <c r="AT5" s="18">
        <f>'[1]MAYO 30'!$AT$55</f>
        <v>11.244432002509914</v>
      </c>
      <c r="AU5" s="18">
        <f>'[1]MAYO 30'!$AU$55</f>
        <v>70745.806203997287</v>
      </c>
      <c r="AV5" s="18">
        <f>'[1]MAYO 30'!$AV$55</f>
        <v>525146.68653480266</v>
      </c>
      <c r="AW5" s="18">
        <f>'[1]MAYO 30'!$AW$55</f>
        <v>86119.091979996796</v>
      </c>
      <c r="AX5" s="18">
        <f>'[1]MAYO 30'!$AX$55</f>
        <v>1047.2966740010875</v>
      </c>
      <c r="AY5" s="18">
        <f>'[1]MAYO 30'!$AY$55</f>
        <v>164299.37773599816</v>
      </c>
      <c r="AZ5" s="18">
        <f>'[1]MAYO 30'!$AZ$55</f>
        <v>23389.865177323234</v>
      </c>
      <c r="BA5" s="18">
        <f>'[1]MAYO 30'!$BA$55</f>
        <v>202782.3417240069</v>
      </c>
      <c r="BB5" s="18">
        <f>'[1]MAYO 30'!$BB$55</f>
        <v>70222.358219991133</v>
      </c>
      <c r="BC5" s="18">
        <f>'[1]MAYO 30'!$BC$55</f>
        <v>267875.23284799868</v>
      </c>
      <c r="BD5" s="18">
        <f>'[1]MAYO 30'!$BD$55</f>
        <v>17115.411599989831</v>
      </c>
      <c r="BE5" s="18">
        <f>'[1]MAYO 30'!$BE$55</f>
        <v>256586.81289368056</v>
      </c>
      <c r="BF5" s="18">
        <f>'[1]MAYO 30'!$BF$55</f>
        <v>321949.5492303599</v>
      </c>
      <c r="BG5" s="18">
        <f>'[1]MAYO 30'!$BG$55</f>
        <v>35109.526218882762</v>
      </c>
      <c r="BH5" s="18">
        <f>'[1]MAYO 30'!$BH$55</f>
        <v>26531.768320002102</v>
      </c>
      <c r="BI5" s="18">
        <f>'[1]MAYO 30'!$BI$55</f>
        <v>526567.9691583903</v>
      </c>
      <c r="BJ5" s="18">
        <f>'[1]MAYO 30'!$BJ$55</f>
        <v>198192.37105456018</v>
      </c>
      <c r="BK5" s="18">
        <f>'[1]MAYO 30'!$BK$55</f>
        <v>3412735.3475220124</v>
      </c>
      <c r="BL5" s="18">
        <f>'[1]MAYO 30'!$BL$55</f>
        <v>113187.08963244606</v>
      </c>
      <c r="BM5" s="18">
        <f>'[1]MAYO 30'!$BM$55</f>
        <v>1073055.6436371638</v>
      </c>
      <c r="BN5" s="18">
        <f>'[1]MAYO 30'!$BN$55</f>
        <v>1222595.915227381</v>
      </c>
      <c r="BO5" s="18">
        <f>'[1]MAYO 30'!$BO$55</f>
        <v>3.4691202304202307E-3</v>
      </c>
      <c r="BP5" s="18">
        <f>'[1]MAYO 30'!$BP$55</f>
        <v>256.30560932906548</v>
      </c>
      <c r="BQ5" s="18">
        <f>'[1]MAYO 30'!$BQ$55</f>
        <v>4.0128798844989433E-3</v>
      </c>
      <c r="BR5" s="18">
        <f>'[1]MAYO 30'!$BR$55</f>
        <v>645484.5260000031</v>
      </c>
      <c r="BS5" s="18">
        <f>'[1]MAYO 30'!$BS$55</f>
        <v>2650869.4086606889</v>
      </c>
      <c r="BT5" s="18">
        <f>'[1]MAYO 30'!$BT$55</f>
        <v>258402.12493201916</v>
      </c>
      <c r="BU5" s="18">
        <f>'[1]MAYO 30'!$BU$55</f>
        <v>1061203.2376361911</v>
      </c>
      <c r="BV5" s="18">
        <f>'[1]MAYO 30'!$BV$55</f>
        <v>8025.4488600000004</v>
      </c>
      <c r="BW5" s="18">
        <f>'[1]MAYO 30'!$BW$55</f>
        <v>397883.49299000081</v>
      </c>
      <c r="BX5" s="18">
        <f>'[1]MAYO 30'!$BX$55</f>
        <v>12663.664475599246</v>
      </c>
      <c r="BY5" s="18">
        <f>'[1]MAYO 30'!$BY$55</f>
        <v>705695.13094000029</v>
      </c>
      <c r="BZ5" s="18">
        <f>'[1]MAYO 30'!$BZ$55</f>
        <v>4242904.7641399894</v>
      </c>
      <c r="CA5" s="18">
        <f>'[1]MAYO 30'!$CA$55</f>
        <v>7313612.5655599935</v>
      </c>
      <c r="CB5" s="18">
        <f>'[1]MAYO 30'!$CB$55</f>
        <v>18918.56624</v>
      </c>
      <c r="CC5" s="18">
        <f>'[1]MAYO 30'!$CC$55</f>
        <v>905567.0501799999</v>
      </c>
      <c r="CD5" s="18">
        <f>'[1]MAYO 30'!$CD$55</f>
        <v>0</v>
      </c>
      <c r="CE5" s="18">
        <f>'[1]MAYO 30'!$CE$55</f>
        <v>28452.444999999996</v>
      </c>
      <c r="CF5" s="18">
        <f>'[1]MAYO 30'!$CF$55</f>
        <v>696622.45958999998</v>
      </c>
      <c r="CG5" s="18">
        <f>'[1]MAYO 30'!$CG$55</f>
        <v>194020.58999999994</v>
      </c>
      <c r="CH5" s="18">
        <f>'[1]MAYO 30'!$CH$55</f>
        <v>2.9318200000000001</v>
      </c>
      <c r="CI5" s="18">
        <f>'[1]MAYO 30'!$CI$55</f>
        <v>813161.95743999921</v>
      </c>
      <c r="CJ5" s="18">
        <f>'[1]MAYO 30'!$CJ$55</f>
        <v>201938.84803999978</v>
      </c>
      <c r="CK5" s="18">
        <f>'[1]MAYO 30'!$CK$55</f>
        <v>0</v>
      </c>
      <c r="CL5" s="18">
        <f>'[1]MAYO 30'!$CL$55</f>
        <v>0</v>
      </c>
      <c r="CM5" s="18">
        <f>'[1]MAYO 30'!$CM$55</f>
        <v>79545.207070000004</v>
      </c>
      <c r="CN5" s="18">
        <f>'[1]MAYO 30'!$CN$55</f>
        <v>662749.23605000007</v>
      </c>
      <c r="CO5" s="18">
        <f>'[1]MAYO 30'!$CO$55</f>
        <v>736446.43431999965</v>
      </c>
      <c r="CP5" s="18">
        <f>'[1]MAYO 30'!$CP$55</f>
        <v>9152723.6727600005</v>
      </c>
      <c r="CQ5" s="18">
        <f>'[1]MAYO 30'!$CQ$55</f>
        <v>377918.49939999997</v>
      </c>
      <c r="CR5" s="18">
        <f>'[1]MAYO 30'!$CR$55</f>
        <v>877844.95927000046</v>
      </c>
      <c r="CS5" s="18">
        <f>'[1]MAYO 30'!$CS$55</f>
        <v>5010.51</v>
      </c>
      <c r="CT5" s="18">
        <f>'[1]MAYO 30'!$CT$55</f>
        <v>20511.762362899997</v>
      </c>
      <c r="CU5" s="18">
        <f>'[1]MAYO 30'!$CU$55</f>
        <v>5010.51</v>
      </c>
      <c r="CV5" s="18">
        <f>'[1]MAYO 30'!$CV$55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276487840.37814867</v>
      </c>
    </row>
    <row r="6" spans="1:101" s="20" customFormat="1" x14ac:dyDescent="0.3">
      <c r="A6" s="165"/>
      <c r="B6" s="19"/>
      <c r="C6" s="19" t="s">
        <v>91</v>
      </c>
      <c r="D6" s="19">
        <v>-7647.8</v>
      </c>
      <c r="E6" s="19">
        <v>-10696649.83</v>
      </c>
      <c r="F6" s="19">
        <f>4499667.49-0.01</f>
        <v>4499667.4800000004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-665017.81999999995</v>
      </c>
      <c r="BZ6" s="19">
        <v>-4783838.1500000004</v>
      </c>
      <c r="CA6" s="19">
        <v>-5360023.66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429464.07281994517</v>
      </c>
      <c r="E8" s="18">
        <f t="shared" si="0"/>
        <v>21801936.897886813</v>
      </c>
      <c r="F8" s="18">
        <f t="shared" si="0"/>
        <v>18483982.567604396</v>
      </c>
      <c r="G8" s="18">
        <f t="shared" si="0"/>
        <v>0</v>
      </c>
      <c r="H8" s="18">
        <f t="shared" si="0"/>
        <v>0</v>
      </c>
      <c r="I8" s="18">
        <f t="shared" si="0"/>
        <v>133332.01519457897</v>
      </c>
      <c r="J8" s="18">
        <f t="shared" si="0"/>
        <v>0</v>
      </c>
      <c r="K8" s="18">
        <f t="shared" si="0"/>
        <v>215532.65846014288</v>
      </c>
      <c r="L8" s="18">
        <f t="shared" si="0"/>
        <v>5197062.4391489932</v>
      </c>
      <c r="M8" s="18">
        <f t="shared" si="0"/>
        <v>170153.90574686555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19522988.240842715</v>
      </c>
      <c r="Q8" s="18">
        <f t="shared" si="0"/>
        <v>80995411.774548993</v>
      </c>
      <c r="R8" s="18">
        <f t="shared" si="0"/>
        <v>616055.26451000012</v>
      </c>
      <c r="S8" s="18">
        <f t="shared" si="0"/>
        <v>2555840.7969779279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21576152.436255224</v>
      </c>
      <c r="AM8" s="18">
        <f t="shared" si="0"/>
        <v>59734561.023795351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2357744.2128221639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164299.37773599816</v>
      </c>
      <c r="AZ8" s="18">
        <f t="shared" si="0"/>
        <v>23389.865177323234</v>
      </c>
      <c r="BA8" s="18">
        <f t="shared" si="0"/>
        <v>202782.3417240069</v>
      </c>
      <c r="BB8" s="18">
        <f t="shared" si="0"/>
        <v>70222.358219991133</v>
      </c>
      <c r="BC8" s="18">
        <f t="shared" si="0"/>
        <v>267875.23284799868</v>
      </c>
      <c r="BD8" s="18">
        <f t="shared" si="0"/>
        <v>17115.411599989831</v>
      </c>
      <c r="BE8" s="18">
        <f t="shared" si="0"/>
        <v>256586.81289368056</v>
      </c>
      <c r="BF8" s="18">
        <f t="shared" si="0"/>
        <v>321949.5492303599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3412735.3475220124</v>
      </c>
      <c r="BL8" s="18">
        <f t="shared" si="0"/>
        <v>113187.08963244606</v>
      </c>
      <c r="BM8" s="18">
        <f t="shared" si="0"/>
        <v>1073055.6436371638</v>
      </c>
      <c r="BN8" s="18">
        <f t="shared" si="0"/>
        <v>1222595.915227381</v>
      </c>
      <c r="BO8" s="18">
        <f t="shared" si="0"/>
        <v>3.4691202304202307E-3</v>
      </c>
      <c r="BP8" s="18">
        <f t="shared" si="0"/>
        <v>256.30560932906548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258402.12493201916</v>
      </c>
      <c r="BU8" s="18">
        <f t="shared" si="1"/>
        <v>1061203.2376361911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40677.310940000345</v>
      </c>
      <c r="BZ8" s="18">
        <f t="shared" si="1"/>
        <v>-540933.38586001098</v>
      </c>
      <c r="CA8" s="18">
        <f t="shared" si="1"/>
        <v>1953588.9055599933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259474330.5981487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16133+285168+25786+382605+877835+837540+242980</f>
        <v>2668047</v>
      </c>
      <c r="M11" s="26">
        <f>232730+382605+57720+119220</f>
        <v>792275</v>
      </c>
      <c r="N11" s="26"/>
      <c r="O11" s="26"/>
      <c r="P11" s="26">
        <v>4141.67</v>
      </c>
      <c r="Q11" s="26">
        <f>(P11*4148.72)/1000</f>
        <v>17182.6291624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8">
        <v>17143.401999999998</v>
      </c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3494648.0311623998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5000000</v>
      </c>
      <c r="Q12" s="26">
        <f>(P12*4148.72)/1000</f>
        <v>20743600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20743600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f>-5000000-10000000</f>
        <v>-15000000</v>
      </c>
      <c r="Q19" s="26">
        <f>(P19*4148.72)/1000</f>
        <v>-62230800.000000007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-62230800.000000007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-80132630.018000007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-80132630.018000007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83758604.246999994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83758604.246999994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/>
      <c r="E27" s="28"/>
      <c r="F27" s="28"/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600000</v>
      </c>
      <c r="CA27" s="26">
        <v>2400000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3000000</v>
      </c>
    </row>
    <row r="28" spans="1:101" x14ac:dyDescent="0.3">
      <c r="A28" s="158"/>
      <c r="B28" s="24" t="s">
        <v>97</v>
      </c>
      <c r="C28" s="25" t="s">
        <v>115</v>
      </c>
      <c r="D28" s="26">
        <v>-4000</v>
      </c>
      <c r="E28" s="28">
        <v>-4670000</v>
      </c>
      <c r="F28" s="28">
        <v>-12300000</v>
      </c>
      <c r="G28" s="26"/>
      <c r="H28" s="26"/>
      <c r="I28" s="26"/>
      <c r="J28" s="26"/>
      <c r="K28" s="28"/>
      <c r="L28" s="27">
        <v>-6480000</v>
      </c>
      <c r="M28" s="26">
        <v>-930000</v>
      </c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-24384000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36372.89+30898.06+132888.5+790000-770000-980000</f>
        <v>-759840.55</v>
      </c>
      <c r="Q35" s="37">
        <f>(P35*4148.72)/1000</f>
        <v>-3152365.6865960001</v>
      </c>
      <c r="R35" s="37">
        <v>112731.03</v>
      </c>
      <c r="S35" s="37">
        <f>(R35*4148.72)/1000</f>
        <v>467689.47878160002</v>
      </c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-2684676.2078144001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/>
      <c r="M38" s="38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>
        <v>92650</v>
      </c>
      <c r="M39" s="37">
        <f>24020+48040</f>
        <v>72060</v>
      </c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164710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>
        <v>-102468</v>
      </c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-102468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>
        <f>-112731.03+112731.03</f>
        <v>0</v>
      </c>
      <c r="Q49" s="48">
        <f>(P49*4148.72)/1000</f>
        <v>0</v>
      </c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5.18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f>-2.505-2.504-2.504</f>
        <v>-7.5129999999999999</v>
      </c>
      <c r="BB50" s="48">
        <f>-0.867-0.867-0.867</f>
        <v>-2.601</v>
      </c>
      <c r="BC50" s="48">
        <f>-3.309-3.308-3.308</f>
        <v>-9.9250000000000007</v>
      </c>
      <c r="BD50" s="48">
        <f>-0.211-0.211-0.211-0.01</f>
        <v>-0.64300000000000002</v>
      </c>
      <c r="BE50" s="48">
        <f>-0.76243-0.00304</f>
        <v>-0.76547000000000009</v>
      </c>
      <c r="BF50" s="48"/>
      <c r="BG50" s="48"/>
      <c r="BH50" s="48"/>
      <c r="BI50" s="48"/>
      <c r="BJ50" s="48"/>
      <c r="BK50" s="48"/>
      <c r="BL50" s="48">
        <v>-4.3979999999999997</v>
      </c>
      <c r="BM50" s="48">
        <v>41.688000000000002</v>
      </c>
      <c r="BN50" s="48">
        <v>-47.497999999999998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-26.475469999999998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-4251.9719999999998</v>
      </c>
      <c r="F51" s="47"/>
      <c r="G51" s="48"/>
      <c r="H51" s="48"/>
      <c r="I51" s="48"/>
      <c r="J51" s="48"/>
      <c r="K51" s="47">
        <f>-714.119+0.01</f>
        <v>-714.10900000000004</v>
      </c>
      <c r="L51" s="47">
        <f>-28.905-844.543</f>
        <v>-873.44799999999998</v>
      </c>
      <c r="M51" s="47">
        <f>-8.259-714.119+0.01</f>
        <v>-722.36800000000005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-6561.8970000000008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f>73.99926-10.35</f>
        <v>63.649260000000005</v>
      </c>
      <c r="J52" s="48"/>
      <c r="K52" s="48"/>
      <c r="L52" s="47"/>
      <c r="M52" s="47"/>
      <c r="N52" s="48"/>
      <c r="O52" s="48"/>
      <c r="P52" s="48"/>
      <c r="Q52" s="48"/>
      <c r="R52" s="48">
        <f>46.89+140.64</f>
        <v>187.52999999999997</v>
      </c>
      <c r="S52" s="48">
        <f>(R52*4148.72)/1000</f>
        <v>778.0094615999999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f>35.784+35.778+35.772+0.01</f>
        <v>107.34400000000001</v>
      </c>
      <c r="BB52" s="48">
        <f>12.392+12.39+12.388</f>
        <v>37.17</v>
      </c>
      <c r="BC52" s="48">
        <f>47.27+47.262+47.255</f>
        <v>141.78700000000001</v>
      </c>
      <c r="BD52" s="48">
        <f>3.02+3.02+3.019</f>
        <v>9.0590000000000011</v>
      </c>
      <c r="BE52" s="48">
        <v>10.891859999999999</v>
      </c>
      <c r="BF52" s="48">
        <v>13.66648</v>
      </c>
      <c r="BG52" s="48"/>
      <c r="BH52" s="48"/>
      <c r="BI52" s="48"/>
      <c r="BJ52" s="48"/>
      <c r="BK52" s="48"/>
      <c r="BL52" s="48">
        <v>62.818820000000002</v>
      </c>
      <c r="BM52" s="48">
        <f>595.54587-83.39</f>
        <v>512.15587000000005</v>
      </c>
      <c r="BN52" s="48">
        <v>678.54071999999996</v>
      </c>
      <c r="BO52" s="48"/>
      <c r="BP52" s="48">
        <f>142.23/1000-47.34</f>
        <v>-47.197770000000006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2367.8947015999997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f>(E10+E13+E16+E17+E33+E38+E47+E40+E51+E35)*4/1000</f>
        <v>-17.007887999999998</v>
      </c>
      <c r="F53" s="48">
        <f>(F10+F13+F16+F17+F33+F38+F47+F40+F51+F35)*4/1000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-2.856436</v>
      </c>
      <c r="L53" s="47">
        <f>(L10+L13+L17+L33+L38+L40+L51+L36+L49)*4/1000</f>
        <v>-3.493792</v>
      </c>
      <c r="M53" s="47">
        <f>(M10+M13+M17+M33+M38+M40+M51+M36+M49+M16)*4/1000</f>
        <v>-2.889472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-409.87200000000001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-436.11958800000002</v>
      </c>
    </row>
    <row r="54" spans="1:101" x14ac:dyDescent="0.3">
      <c r="C54" s="49" t="s">
        <v>141</v>
      </c>
      <c r="D54" s="50">
        <f t="shared" ref="D54:AM54" si="7">SUM(D9:D53)</f>
        <v>-4000</v>
      </c>
      <c r="E54" s="50">
        <f t="shared" si="7"/>
        <v>-4674268.9798880005</v>
      </c>
      <c r="F54" s="50">
        <f>SUM(F9:F53)</f>
        <v>-12300000</v>
      </c>
      <c r="G54" s="50">
        <f t="shared" si="7"/>
        <v>0</v>
      </c>
      <c r="H54" s="50">
        <f t="shared" si="7"/>
        <v>0</v>
      </c>
      <c r="I54" s="50">
        <f t="shared" si="7"/>
        <v>68.829260000000005</v>
      </c>
      <c r="J54" s="50">
        <f t="shared" si="7"/>
        <v>0</v>
      </c>
      <c r="K54" s="50">
        <f t="shared" si="7"/>
        <v>-716.96543600000007</v>
      </c>
      <c r="L54" s="51">
        <f t="shared" si="7"/>
        <v>-94205.712792012753</v>
      </c>
      <c r="M54" s="50">
        <f t="shared" si="7"/>
        <v>-66390.257471999998</v>
      </c>
      <c r="N54" s="50">
        <f t="shared" si="7"/>
        <v>0</v>
      </c>
      <c r="O54" s="50">
        <f t="shared" si="7"/>
        <v>0</v>
      </c>
      <c r="P54" s="50">
        <f t="shared" si="7"/>
        <v>-10755698.880000001</v>
      </c>
      <c r="Q54" s="50">
        <f t="shared" si="7"/>
        <v>-44622383.057433605</v>
      </c>
      <c r="R54" s="50">
        <f t="shared" si="7"/>
        <v>112918.56</v>
      </c>
      <c r="S54" s="50">
        <f t="shared" si="7"/>
        <v>468467.4882432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17143.401999999998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-102877.872</v>
      </c>
      <c r="AZ54" s="50">
        <f t="shared" si="8"/>
        <v>0</v>
      </c>
      <c r="BA54" s="50">
        <f t="shared" si="8"/>
        <v>99.831000000000003</v>
      </c>
      <c r="BB54" s="50">
        <f t="shared" si="8"/>
        <v>34.569000000000003</v>
      </c>
      <c r="BC54" s="50">
        <f t="shared" si="8"/>
        <v>131.86199999999999</v>
      </c>
      <c r="BD54" s="50">
        <f t="shared" si="8"/>
        <v>8.4160000000000004</v>
      </c>
      <c r="BE54" s="50">
        <f t="shared" si="8"/>
        <v>10.126389999999999</v>
      </c>
      <c r="BF54" s="50">
        <f t="shared" si="8"/>
        <v>13.66648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58.420820000000006</v>
      </c>
      <c r="BM54" s="50">
        <f t="shared" si="8"/>
        <v>553.84387000000004</v>
      </c>
      <c r="BN54" s="50">
        <f t="shared" si="8"/>
        <v>631.04271999999992</v>
      </c>
      <c r="BO54" s="50">
        <f t="shared" si="8"/>
        <v>0</v>
      </c>
      <c r="BP54" s="50">
        <f t="shared" si="8"/>
        <v>-47.197770000000006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600000</v>
      </c>
      <c r="CA54" s="50">
        <f t="shared" si="8"/>
        <v>2400000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-58377668.545008421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425464.07281994517</v>
      </c>
      <c r="E55" s="55">
        <f t="shared" si="9"/>
        <v>17127667.917998813</v>
      </c>
      <c r="F55" s="55">
        <f>+F8+F54</f>
        <v>6183982.5676043965</v>
      </c>
      <c r="G55" s="55">
        <f t="shared" si="9"/>
        <v>0</v>
      </c>
      <c r="H55" s="55">
        <f t="shared" si="9"/>
        <v>0</v>
      </c>
      <c r="I55" s="55">
        <f t="shared" si="9"/>
        <v>133400.84445457897</v>
      </c>
      <c r="J55" s="55">
        <f t="shared" si="9"/>
        <v>0</v>
      </c>
      <c r="K55" s="55">
        <f t="shared" si="9"/>
        <v>214815.69302414288</v>
      </c>
      <c r="L55" s="55">
        <f t="shared" si="9"/>
        <v>5102856.7263569804</v>
      </c>
      <c r="M55" s="55">
        <f t="shared" si="9"/>
        <v>103763.64827486555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8767289.3608427141</v>
      </c>
      <c r="Q55" s="55">
        <f t="shared" si="9"/>
        <v>36373028.717115387</v>
      </c>
      <c r="R55" s="55">
        <f t="shared" si="9"/>
        <v>728973.82451000018</v>
      </c>
      <c r="S55" s="55">
        <f t="shared" si="9"/>
        <v>3024308.2852211278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21576152.436255224</v>
      </c>
      <c r="AM55" s="55">
        <f t="shared" si="9"/>
        <v>59751704.425795354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2357744.2128221639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61421.505735998158</v>
      </c>
      <c r="AZ55" s="55">
        <f t="shared" si="9"/>
        <v>23389.865177323234</v>
      </c>
      <c r="BA55" s="55">
        <f t="shared" si="9"/>
        <v>202882.1727240069</v>
      </c>
      <c r="BB55" s="55">
        <f t="shared" si="9"/>
        <v>70256.927219991136</v>
      </c>
      <c r="BC55" s="55">
        <f t="shared" si="9"/>
        <v>268007.0948479987</v>
      </c>
      <c r="BD55" s="55">
        <f t="shared" si="9"/>
        <v>17123.827599989832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3412735.3475220124</v>
      </c>
      <c r="BL55" s="55">
        <f t="shared" si="9"/>
        <v>113245.51045244606</v>
      </c>
      <c r="BM55" s="55">
        <f t="shared" si="9"/>
        <v>1073609.4875071638</v>
      </c>
      <c r="BN55" s="55">
        <f t="shared" si="9"/>
        <v>1223226.9579473811</v>
      </c>
      <c r="BO55" s="55">
        <f t="shared" si="9"/>
        <v>3.4691202304202307E-3</v>
      </c>
      <c r="BP55" s="55">
        <f t="shared" si="9"/>
        <v>209.10783932906548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258402.12493201916</v>
      </c>
      <c r="BU55" s="55">
        <f t="shared" si="10"/>
        <v>1061203.2376361911</v>
      </c>
      <c r="BV55" s="55">
        <f t="shared" si="10"/>
        <v>8025.4488600000004</v>
      </c>
      <c r="BW55" s="55">
        <f t="shared" si="10"/>
        <v>397883.49299000081</v>
      </c>
      <c r="BX55" s="55">
        <f t="shared" si="10"/>
        <v>12663.664475599246</v>
      </c>
      <c r="BY55" s="55">
        <f t="shared" si="10"/>
        <v>40677.310940000345</v>
      </c>
      <c r="BZ55" s="55">
        <f t="shared" si="10"/>
        <v>59066.614139989018</v>
      </c>
      <c r="CA55" s="55">
        <f t="shared" si="10"/>
        <v>4353588.9055599933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877844.95927000046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201096662.05314034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L58"/>
      <c r="M58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111161562.27816239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83758604.246999994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148"/>
      <c r="BY61" s="148"/>
      <c r="BZ61" s="67"/>
      <c r="CA61" s="148"/>
      <c r="CB61" s="70"/>
      <c r="CC61" s="70"/>
      <c r="CD61" s="148"/>
      <c r="CE61" s="70"/>
      <c r="CF61" s="70"/>
      <c r="CG61" s="70"/>
      <c r="CH61" s="70"/>
      <c r="CI61" s="70"/>
      <c r="CJ61" s="70"/>
    </row>
    <row r="62" spans="1:101" x14ac:dyDescent="0.3">
      <c r="B62" s="157"/>
      <c r="C62" s="86" t="s">
        <v>152</v>
      </c>
      <c r="D62" s="87">
        <f>CW11+CW15</f>
        <v>3494648.0311623998</v>
      </c>
      <c r="E62" s="67">
        <f>2605758.255+6507502.89536-17143.402</f>
        <v>9096117.7483599987</v>
      </c>
      <c r="F62" s="88" t="s">
        <v>153</v>
      </c>
      <c r="G62" s="90">
        <f>P55</f>
        <v>8767289.3608427141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148"/>
      <c r="BY62" s="148"/>
      <c r="BZ62" s="67"/>
      <c r="CA62" s="148"/>
      <c r="CB62" s="70"/>
      <c r="CC62" s="70"/>
      <c r="CD62" s="70"/>
      <c r="CE62" s="70"/>
      <c r="CF62" s="70"/>
      <c r="CG62" s="70"/>
      <c r="CH62" s="70"/>
      <c r="CI62" s="70"/>
      <c r="CJ62" s="67"/>
    </row>
    <row r="63" spans="1:101" x14ac:dyDescent="0.3">
      <c r="B63" s="157"/>
      <c r="C63" s="86" t="s">
        <v>154</v>
      </c>
      <c r="D63" s="87">
        <f>CW27+CW25</f>
        <v>3000000</v>
      </c>
      <c r="E63" s="67" t="s">
        <v>204</v>
      </c>
      <c r="F63" s="88" t="s">
        <v>155</v>
      </c>
      <c r="G63" s="90">
        <f>R55</f>
        <v>728973.82451000018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20743600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214815693.02414289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5102856726.3569803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103763648.27486555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164710</v>
      </c>
      <c r="E70" s="70" t="s">
        <v>204</v>
      </c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-166747430.01800001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-62230800.000000007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-80132630.018000007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-24384000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0</v>
      </c>
      <c r="E81" s="100"/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202782.3417240069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107.34400000000001</v>
      </c>
      <c r="L92" s="138">
        <f>BA50+BA51+BA53+BA40+BA42+BA43+BA45</f>
        <v>-7.5129999999999999</v>
      </c>
      <c r="M92" s="139">
        <f t="shared" si="11"/>
        <v>202882.1727240069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256586.81289368056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10.891859999999999</v>
      </c>
      <c r="L93" s="138">
        <f>BE50+BE51+BE53+BE40+BE42+BE43+BE45</f>
        <v>-0.76547000000000009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267875.23284799868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141.78700000000001</v>
      </c>
      <c r="L98" s="138">
        <f>BC50+BC51+BC53+BC40+BC42+BC43+BC45</f>
        <v>-9.9250000000000007</v>
      </c>
      <c r="M98" s="139">
        <f t="shared" si="11"/>
        <v>268007.0948479987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70222.358219991133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37.17</v>
      </c>
      <c r="L99" s="138">
        <f>BB50+BB51+BB53+BB40+BB42+BB43+BB45</f>
        <v>-2.601</v>
      </c>
      <c r="M99" s="139">
        <f t="shared" si="11"/>
        <v>70256.927219991136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321949.5492303599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13.66648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-409.87200000000001</v>
      </c>
      <c r="M101" s="139">
        <f t="shared" si="11"/>
        <v>637.4246740010874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17115.411599989831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9.0590000000000011</v>
      </c>
      <c r="L104" s="138">
        <f>BD50+BD51+BD53+BD40+BD42+BD43+BD45</f>
        <v>-0.64300000000000002</v>
      </c>
      <c r="M104" s="139">
        <f t="shared" si="11"/>
        <v>17123.827599989832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164299.37773599816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-409.87200000000001</v>
      </c>
      <c r="M106" s="139">
        <f t="shared" si="11"/>
        <v>163889.50573599816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605866.16036967933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118.23586</v>
      </c>
      <c r="L108" s="97">
        <f t="shared" si="12"/>
        <v>-8.2784700000000004</v>
      </c>
      <c r="M108" s="97">
        <f t="shared" si="12"/>
        <v>605976.11775967933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1187679.9414707432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192.62348</v>
      </c>
      <c r="L109" s="97">
        <f t="shared" si="13"/>
        <v>-422.39800000000002</v>
      </c>
      <c r="M109" s="97">
        <f t="shared" si="13"/>
        <v>1187450.1669507432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485462.49281342817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9.0590000000000011</v>
      </c>
      <c r="L110" s="97">
        <f t="shared" si="14"/>
        <v>-410.51499999999999</v>
      </c>
      <c r="M110" s="97">
        <f t="shared" si="14"/>
        <v>485061.03681342822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A9:A29"/>
    <mergeCell ref="D1:BK1"/>
    <mergeCell ref="BL1:BN1"/>
    <mergeCell ref="BR1:CJ1"/>
    <mergeCell ref="CW2:CW4"/>
    <mergeCell ref="A5:A8"/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13'!D55</f>
        <v>456518.27281994512</v>
      </c>
      <c r="E5" s="18">
        <f>'JUN 13'!E55</f>
        <v>13789461.779748205</v>
      </c>
      <c r="F5" s="18">
        <f>'JUN 13'!F55</f>
        <v>23852933.975114398</v>
      </c>
      <c r="G5" s="18">
        <f>'JUN 13'!G55</f>
        <v>0</v>
      </c>
      <c r="H5" s="18">
        <f>'JUN 13'!H55</f>
        <v>0</v>
      </c>
      <c r="I5" s="18">
        <f>'JUN 13'!I55</f>
        <v>133607.55865457896</v>
      </c>
      <c r="J5" s="18">
        <f>'JUN 13'!J55</f>
        <v>0</v>
      </c>
      <c r="K5" s="18">
        <f>'JUN 13'!K55</f>
        <v>312476.3441021429</v>
      </c>
      <c r="L5" s="18">
        <f>'JUN 13'!L55</f>
        <v>215824.58736913942</v>
      </c>
      <c r="M5" s="18">
        <f>'JUN 13'!M55</f>
        <v>284293.82371486491</v>
      </c>
      <c r="N5" s="18">
        <f>'JUN 13'!N55</f>
        <v>177265.5199999999</v>
      </c>
      <c r="O5" s="18">
        <f>'JUN 13'!O55</f>
        <v>735425.00813439966</v>
      </c>
      <c r="P5" s="18">
        <f>'JUN 13'!P55</f>
        <v>10897258.593466865</v>
      </c>
      <c r="Q5" s="18">
        <f>'JUN 13'!Q55</f>
        <v>45230723.851161316</v>
      </c>
      <c r="R5" s="18">
        <f>'JUN 13'!R55</f>
        <v>485862.81451000017</v>
      </c>
      <c r="S5" s="18">
        <f>'JUN 13'!S55</f>
        <v>2005077.2039589274</v>
      </c>
      <c r="T5" s="18">
        <f>'JUN 13'!T55</f>
        <v>0</v>
      </c>
      <c r="U5" s="18">
        <f>'JUN 13'!U55</f>
        <v>0</v>
      </c>
      <c r="V5" s="18">
        <f>'JUN 13'!V55</f>
        <v>0</v>
      </c>
      <c r="W5" s="18">
        <f>'JUN 13'!W55</f>
        <v>0</v>
      </c>
      <c r="X5" s="18">
        <f>'JUN 13'!X55</f>
        <v>0</v>
      </c>
      <c r="Y5" s="18">
        <f>'JUN 13'!Y55</f>
        <v>0</v>
      </c>
      <c r="Z5" s="18">
        <f>'JUN 13'!Z55</f>
        <v>9662.5274983807467</v>
      </c>
      <c r="AA5" s="18">
        <f>'JUN 13'!AA55</f>
        <v>40087.12108308218</v>
      </c>
      <c r="AB5" s="18">
        <f>'JUN 13'!AB55</f>
        <v>7542.7499999967404</v>
      </c>
      <c r="AC5" s="18">
        <f>'JUN 13'!AC55</f>
        <v>31292.757779986478</v>
      </c>
      <c r="AD5" s="18">
        <f>'JUN 13'!AD55</f>
        <v>5155</v>
      </c>
      <c r="AE5" s="18">
        <f>'JUN 13'!AE55</f>
        <v>21386.651600000001</v>
      </c>
      <c r="AF5" s="18">
        <f>'JUN 13'!AF55</f>
        <v>7956.8699999451637</v>
      </c>
      <c r="AG5" s="18">
        <f>'JUN 13'!AG55</f>
        <v>33010.825706172502</v>
      </c>
      <c r="AH5" s="18">
        <f>'JUN 13'!AH55</f>
        <v>118215.98999999718</v>
      </c>
      <c r="AI5" s="18">
        <f>'JUN 13'!AI55</f>
        <v>490445.04203278833</v>
      </c>
      <c r="AJ5" s="18">
        <f>'JUN 13'!AJ55</f>
        <v>674466.83999999822</v>
      </c>
      <c r="AK5" s="18">
        <f>'JUN 13'!AK55</f>
        <v>2798174.0684447926</v>
      </c>
      <c r="AL5" s="18">
        <f>'JUN 13'!AL55</f>
        <v>19668552.436255224</v>
      </c>
      <c r="AM5" s="18">
        <f>'JUN 13'!AM55</f>
        <v>61864150.595531352</v>
      </c>
      <c r="AN5" s="18">
        <f>'JUN 13'!AN55</f>
        <v>6276507.6901499992</v>
      </c>
      <c r="AO5" s="18">
        <f>'JUN 13'!AO55</f>
        <v>1091269.40043144</v>
      </c>
      <c r="AP5" s="18">
        <f>'JUN 13'!AP55</f>
        <v>5285267.3108801506</v>
      </c>
      <c r="AQ5" s="18">
        <f>'JUN 13'!AQ55</f>
        <v>2109719.2290364038</v>
      </c>
      <c r="AR5" s="18">
        <f>'JUN 13'!AR55</f>
        <v>33846.145451993005</v>
      </c>
      <c r="AS5" s="18">
        <f>'JUN 13'!AS55</f>
        <v>6.2909079996137462</v>
      </c>
      <c r="AT5" s="18">
        <f>'JUN 13'!AT55</f>
        <v>11.244432002509914</v>
      </c>
      <c r="AU5" s="18">
        <f>'JUN 13'!AU55</f>
        <v>70745.806203997287</v>
      </c>
      <c r="AV5" s="18">
        <f>'JUN 13'!AV55</f>
        <v>525146.68653480266</v>
      </c>
      <c r="AW5" s="18">
        <f>'JUN 13'!AW55</f>
        <v>86119.091979996796</v>
      </c>
      <c r="AX5" s="18">
        <f>'JUN 13'!AX55</f>
        <v>1047.2966740010875</v>
      </c>
      <c r="AY5" s="18">
        <f>'JUN 13'!AY55</f>
        <v>61411.100279998158</v>
      </c>
      <c r="AZ5" s="18">
        <f>'JUN 13'!AZ55</f>
        <v>23389.865177323234</v>
      </c>
      <c r="BA5" s="18">
        <f>'JUN 13'!BA55</f>
        <v>203281.94272400692</v>
      </c>
      <c r="BB5" s="18">
        <f>'JUN 13'!BB55</f>
        <v>70395.366219991134</v>
      </c>
      <c r="BC5" s="18">
        <f>'JUN 13'!BC55</f>
        <v>268535.19184799865</v>
      </c>
      <c r="BD5" s="18">
        <f>'JUN 13'!BD55</f>
        <v>17157.567599989838</v>
      </c>
      <c r="BE5" s="18">
        <f>'JUN 13'!BE55</f>
        <v>256596.93928368055</v>
      </c>
      <c r="BF5" s="18">
        <f>'JUN 13'!BF55</f>
        <v>321963.21571035992</v>
      </c>
      <c r="BG5" s="18">
        <f>'JUN 13'!BG55</f>
        <v>35109.526218882762</v>
      </c>
      <c r="BH5" s="18">
        <f>'JUN 13'!BH55</f>
        <v>26531.768320002102</v>
      </c>
      <c r="BI5" s="18">
        <f>'JUN 13'!BI55</f>
        <v>526567.9691583903</v>
      </c>
      <c r="BJ5" s="18">
        <f>'JUN 13'!BJ55</f>
        <v>198192.37105456018</v>
      </c>
      <c r="BK5" s="18">
        <f>'JUN 13'!BK55</f>
        <v>13069911.437122013</v>
      </c>
      <c r="BL5" s="18">
        <f>'JUN 13'!BL55</f>
        <v>113420.99583244606</v>
      </c>
      <c r="BM5" s="18">
        <f>'JUN 13'!BM55</f>
        <v>1075273.1657171636</v>
      </c>
      <c r="BN5" s="18">
        <f>'JUN 13'!BN55</f>
        <v>1225122.4772573814</v>
      </c>
      <c r="BO5" s="18">
        <f>'JUN 13'!BO55</f>
        <v>3.4691202304202307E-3</v>
      </c>
      <c r="BP5" s="18">
        <f>'JUN 13'!BP55</f>
        <v>256.88253932906548</v>
      </c>
      <c r="BQ5" s="18">
        <f>'JUN 13'!BQ55</f>
        <v>4.0128798844989433E-3</v>
      </c>
      <c r="BR5" s="18">
        <f>'JUN 13'!BR55</f>
        <v>645484.5260000031</v>
      </c>
      <c r="BS5" s="18">
        <f>'JUN 13'!BS55</f>
        <v>2650869.4086606889</v>
      </c>
      <c r="BT5" s="18">
        <f>'JUN 13'!BT55</f>
        <v>7258402.124932019</v>
      </c>
      <c r="BU5" s="18">
        <f>'JUN 13'!BU55</f>
        <v>30006203.237636194</v>
      </c>
      <c r="BV5" s="18">
        <f>'JUN 13'!BV55</f>
        <v>8025.4488600000004</v>
      </c>
      <c r="BW5" s="18">
        <f>'JUN 13'!BW55</f>
        <v>397883.49299000081</v>
      </c>
      <c r="BX5" s="18">
        <f>'JUN 13'!BX55</f>
        <v>12663.664475599246</v>
      </c>
      <c r="BY5" s="18">
        <f>'JUN 13'!BY55</f>
        <v>-4715055.8290600004</v>
      </c>
      <c r="BZ5" s="18">
        <f>'JUN 13'!BZ55</f>
        <v>-28206557.655860011</v>
      </c>
      <c r="CA5" s="18">
        <f>'JUN 13'!CA55</f>
        <v>-14970532.714440007</v>
      </c>
      <c r="CB5" s="18">
        <f>'JUN 13'!CB55</f>
        <v>18918.56624</v>
      </c>
      <c r="CC5" s="18">
        <f>'JUN 13'!CC55</f>
        <v>905567.0501799999</v>
      </c>
      <c r="CD5" s="18">
        <f>'JUN 13'!CD55</f>
        <v>0</v>
      </c>
      <c r="CE5" s="18">
        <f>'JUN 13'!CE55</f>
        <v>28452.444999999996</v>
      </c>
      <c r="CF5" s="18">
        <f>'JUN 13'!CF55</f>
        <v>696622.45958999998</v>
      </c>
      <c r="CG5" s="18">
        <f>'JUN 13'!CG55</f>
        <v>194020.58999999994</v>
      </c>
      <c r="CH5" s="18">
        <f>'JUN 13'!CH55</f>
        <v>2.9318200000000001</v>
      </c>
      <c r="CI5" s="18">
        <f>'JUN 13'!CI55</f>
        <v>813161.95743999921</v>
      </c>
      <c r="CJ5" s="18">
        <f>'JUN 13'!CJ55</f>
        <v>201938.84803999978</v>
      </c>
      <c r="CK5" s="18">
        <f>'JUN 13'!CK55</f>
        <v>0</v>
      </c>
      <c r="CL5" s="18">
        <f>'JUN 13'!CL55</f>
        <v>0</v>
      </c>
      <c r="CM5" s="18">
        <f>'JUN 13'!CM55</f>
        <v>79545.207070000004</v>
      </c>
      <c r="CN5" s="18">
        <f>'JUN 13'!CN55</f>
        <v>662749.23605000007</v>
      </c>
      <c r="CO5" s="18">
        <f>'JUN 13'!CO55</f>
        <v>736446.43431999965</v>
      </c>
      <c r="CP5" s="18">
        <f>'JUN 13'!CP55</f>
        <v>9152723.6727600005</v>
      </c>
      <c r="CQ5" s="18">
        <f>'JUN 13'!CQ55</f>
        <v>377918.49939999997</v>
      </c>
      <c r="CR5" s="18">
        <f>'JUN 13'!CR55</f>
        <v>877844.95927000046</v>
      </c>
      <c r="CS5" s="18">
        <f>'JUN 13'!CS55</f>
        <v>5010.51</v>
      </c>
      <c r="CT5" s="18">
        <f>'JUN 13'!CT55</f>
        <v>20511.762362899997</v>
      </c>
      <c r="CU5" s="18">
        <f>'JUN 13'!CU55</f>
        <v>5010.51</v>
      </c>
      <c r="CV5" s="18">
        <f>'JUN 13'!CV55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204906681.32060781</v>
      </c>
    </row>
    <row r="6" spans="1:101" s="20" customFormat="1" x14ac:dyDescent="0.3">
      <c r="A6" s="165"/>
      <c r="B6" s="19"/>
      <c r="C6" s="19" t="s">
        <v>91</v>
      </c>
      <c r="D6" s="19">
        <v>-12944.99</v>
      </c>
      <c r="E6" s="19">
        <v>4538158.7</v>
      </c>
      <c r="F6" s="19">
        <v>967596.21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-601739.34</v>
      </c>
      <c r="BZ6" s="19">
        <v>-9443662.3200000003</v>
      </c>
      <c r="CA6" s="19">
        <v>-8374109.8700000001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443573.28281994513</v>
      </c>
      <c r="E8" s="18">
        <f t="shared" si="0"/>
        <v>18327620.479748204</v>
      </c>
      <c r="F8" s="18">
        <f t="shared" si="0"/>
        <v>24820530.185114399</v>
      </c>
      <c r="G8" s="18">
        <f t="shared" si="0"/>
        <v>0</v>
      </c>
      <c r="H8" s="18">
        <f t="shared" si="0"/>
        <v>0</v>
      </c>
      <c r="I8" s="18">
        <f t="shared" si="0"/>
        <v>133607.55865457896</v>
      </c>
      <c r="J8" s="18">
        <f t="shared" si="0"/>
        <v>0</v>
      </c>
      <c r="K8" s="18">
        <f t="shared" si="0"/>
        <v>312476.3441021429</v>
      </c>
      <c r="L8" s="18">
        <f t="shared" si="0"/>
        <v>215824.58736913942</v>
      </c>
      <c r="M8" s="18">
        <f t="shared" si="0"/>
        <v>284293.82371486491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10897258.593466865</v>
      </c>
      <c r="Q8" s="18">
        <f t="shared" si="0"/>
        <v>45230723.851161316</v>
      </c>
      <c r="R8" s="18">
        <f t="shared" si="0"/>
        <v>485862.81451000017</v>
      </c>
      <c r="S8" s="18">
        <f t="shared" si="0"/>
        <v>2005077.2039589274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19668552.436255224</v>
      </c>
      <c r="AM8" s="18">
        <f t="shared" si="0"/>
        <v>61864150.595531352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2109719.2290364038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203281.94272400692</v>
      </c>
      <c r="BB8" s="18">
        <f t="shared" si="0"/>
        <v>70395.366219991134</v>
      </c>
      <c r="BC8" s="18">
        <f t="shared" si="0"/>
        <v>268535.19184799865</v>
      </c>
      <c r="BD8" s="18">
        <f t="shared" si="0"/>
        <v>17157.567599989838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13069911.437122013</v>
      </c>
      <c r="BL8" s="18">
        <f t="shared" si="0"/>
        <v>113420.99583244606</v>
      </c>
      <c r="BM8" s="18">
        <f t="shared" si="0"/>
        <v>1075273.1657171636</v>
      </c>
      <c r="BN8" s="18">
        <f t="shared" si="0"/>
        <v>1225122.4772573814</v>
      </c>
      <c r="BO8" s="18">
        <f t="shared" si="0"/>
        <v>3.4691202304202307E-3</v>
      </c>
      <c r="BP8" s="18">
        <f t="shared" si="0"/>
        <v>256.88253932906548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7258402.124932019</v>
      </c>
      <c r="BU8" s="18">
        <f t="shared" si="1"/>
        <v>30006203.237636194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-5316795.1690600002</v>
      </c>
      <c r="BZ8" s="18">
        <f t="shared" si="1"/>
        <v>-37650219.975860015</v>
      </c>
      <c r="CA8" s="18">
        <f t="shared" si="1"/>
        <v>-23344642.584440008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191979979.71060786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>
        <v>20.603770000000001</v>
      </c>
      <c r="L11" s="27">
        <f>104205805.90808+799421.5+126826.344+340650+74634+267250+2480.68135</f>
        <v>105817068.43342999</v>
      </c>
      <c r="M11" s="26">
        <f>36648+444307+236930+41.20755</f>
        <v>717926.20755000005</v>
      </c>
      <c r="N11" s="26"/>
      <c r="O11" s="26"/>
      <c r="P11" s="26">
        <v>4200</v>
      </c>
      <c r="Q11" s="26">
        <f>(P11*4147.34)/1000</f>
        <v>17418.828000000001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106552434.07274999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>
        <v>3875.0749999999998</v>
      </c>
      <c r="L12" s="27">
        <v>57165.330040000001</v>
      </c>
      <c r="M12" s="26">
        <v>7750.15</v>
      </c>
      <c r="N12" s="26"/>
      <c r="O12" s="26"/>
      <c r="P12" s="26">
        <v>5000000</v>
      </c>
      <c r="Q12" s="26">
        <f>(P12*4147.34)/1000</f>
        <v>20736700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20805490.555039998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>
        <f>-1700390.072-5101170.21698-6801560.28899</f>
        <v>-13603120.57797</v>
      </c>
      <c r="M19" s="28"/>
      <c r="N19" s="26"/>
      <c r="O19" s="26"/>
      <c r="P19" s="26">
        <v>-10000000</v>
      </c>
      <c r="Q19" s="26">
        <f>(P19*4147.34)/1000</f>
        <v>-41473400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-55076520.577969998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-95053779.979000002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-95053779.979000002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0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>
        <v>9893698.9849999994</v>
      </c>
      <c r="M24" s="28">
        <v>20872359.877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30766058.862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2900</v>
      </c>
      <c r="E27" s="28"/>
      <c r="F27" s="28"/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3700000</v>
      </c>
      <c r="CA27" s="26">
        <v>7400000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11102900</v>
      </c>
    </row>
    <row r="28" spans="1:101" x14ac:dyDescent="0.3">
      <c r="A28" s="158"/>
      <c r="B28" s="24" t="s">
        <v>97</v>
      </c>
      <c r="C28" s="25" t="s">
        <v>115</v>
      </c>
      <c r="D28" s="26"/>
      <c r="E28" s="26">
        <v>-8677000</v>
      </c>
      <c r="F28" s="28">
        <v>-19109000</v>
      </c>
      <c r="G28" s="26"/>
      <c r="H28" s="26"/>
      <c r="I28" s="26"/>
      <c r="J28" s="26"/>
      <c r="K28" s="28"/>
      <c r="L28" s="27">
        <v>-8050000</v>
      </c>
      <c r="M28" s="26">
        <f>-2250000-19500000</f>
        <v>-21750000</v>
      </c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-57586000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>
        <v>1035548.241</v>
      </c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1035548.241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>
        <v>-8056996.1310000001</v>
      </c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-8056996.1310000001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>
        <v>19097.361110000002</v>
      </c>
      <c r="M35" s="37"/>
      <c r="N35" s="37"/>
      <c r="O35" s="37"/>
      <c r="P35" s="37">
        <f>2380000+3310000+96842.37</f>
        <v>5786842.3700000001</v>
      </c>
      <c r="Q35" s="37">
        <f>(P35*4147.34)/1000</f>
        <v>24000002.834795803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24019100.195905805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v>-35130</v>
      </c>
      <c r="M38" s="38">
        <v>-23420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-58550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-5.1920000000000002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-2.5099999999999998</v>
      </c>
      <c r="BB50" s="48">
        <f>-0.869-0.01</f>
        <v>-0.879</v>
      </c>
      <c r="BC50" s="48">
        <f>-3.316-0.01</f>
        <v>-3.3259999999999996</v>
      </c>
      <c r="BD50" s="48">
        <v>-0.21199999999999999</v>
      </c>
      <c r="BE50" s="48"/>
      <c r="BF50" s="48"/>
      <c r="BG50" s="48"/>
      <c r="BH50" s="48"/>
      <c r="BI50" s="48"/>
      <c r="BJ50" s="48"/>
      <c r="BK50" s="48"/>
      <c r="BL50" s="48">
        <v>-4.407</v>
      </c>
      <c r="BM50" s="48">
        <v>-41.781999999999996</v>
      </c>
      <c r="BN50" s="48">
        <v>-47.603999999999999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-105.91199999999999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-2546.424</v>
      </c>
      <c r="F51" s="47">
        <v>-46.947000000000003</v>
      </c>
      <c r="G51" s="48"/>
      <c r="H51" s="48"/>
      <c r="I51" s="48"/>
      <c r="J51" s="48"/>
      <c r="K51" s="47"/>
      <c r="L51" s="47">
        <v>-91.910340000000005</v>
      </c>
      <c r="M51" s="47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-2685.28134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74.164940000000001</v>
      </c>
      <c r="J52" s="48"/>
      <c r="K52" s="48"/>
      <c r="L52" s="47"/>
      <c r="M52" s="47"/>
      <c r="N52" s="48"/>
      <c r="O52" s="48"/>
      <c r="P52" s="48"/>
      <c r="Q52" s="48"/>
      <c r="R52" s="48">
        <v>110.91</v>
      </c>
      <c r="S52" s="48">
        <f>(R52*4147.34)/1000</f>
        <v>459.98147940000001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35.86</v>
      </c>
      <c r="BB52" s="48">
        <v>12.417999999999999</v>
      </c>
      <c r="BC52" s="48">
        <v>47.371000000000002</v>
      </c>
      <c r="BD52" s="48">
        <f>3.027+0.01</f>
        <v>3.0369999999999999</v>
      </c>
      <c r="BE52" s="48"/>
      <c r="BF52" s="48"/>
      <c r="BG52" s="48"/>
      <c r="BH52" s="48"/>
      <c r="BI52" s="48"/>
      <c r="BJ52" s="48"/>
      <c r="BK52" s="48"/>
      <c r="BL52" s="48">
        <v>62.959470000000003</v>
      </c>
      <c r="BM52" s="48">
        <f>596.87928+0.01</f>
        <v>596.88927999999999</v>
      </c>
      <c r="BN52" s="48">
        <v>680.05994999999996</v>
      </c>
      <c r="BO52" s="48"/>
      <c r="BP52" s="48">
        <f>142.59/1000-0.01</f>
        <v>0.13258999999999999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1972.8737094000001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f>(E10+E13+E16+E17+E33+E38+E47+E40+E51+E35)*4/1000</f>
        <v>-10.185696</v>
      </c>
      <c r="F53" s="48">
        <f>(F10+F13+F16+F17+F33+F38+F47+F40+F35)*4/1000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-140.88764136</v>
      </c>
      <c r="M53" s="47">
        <f>(M10+M13+M17+M33+M38+M40+M51+M36+M49+M16)*4/1000</f>
        <v>-93.68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-32227.984524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-32472.737861360001</v>
      </c>
    </row>
    <row r="54" spans="1:101" x14ac:dyDescent="0.3">
      <c r="C54" s="49" t="s">
        <v>141</v>
      </c>
      <c r="D54" s="50">
        <f t="shared" ref="D54:AM54" si="7">SUM(D9:D53)</f>
        <v>2900</v>
      </c>
      <c r="E54" s="50">
        <f t="shared" si="7"/>
        <v>-8679556.6096960008</v>
      </c>
      <c r="F54" s="50">
        <f>SUM(F9:F53)</f>
        <v>-19109046.947000001</v>
      </c>
      <c r="G54" s="50">
        <f t="shared" si="7"/>
        <v>0</v>
      </c>
      <c r="H54" s="50">
        <f t="shared" si="7"/>
        <v>0</v>
      </c>
      <c r="I54" s="50">
        <f t="shared" si="7"/>
        <v>68.972939999999994</v>
      </c>
      <c r="J54" s="50">
        <f t="shared" si="7"/>
        <v>0</v>
      </c>
      <c r="K54" s="50">
        <f t="shared" si="7"/>
        <v>3895.67877</v>
      </c>
      <c r="L54" s="51">
        <f t="shared" si="7"/>
        <v>80314.995628618344</v>
      </c>
      <c r="M54" s="50">
        <f t="shared" si="7"/>
        <v>-175477.44545000076</v>
      </c>
      <c r="N54" s="50">
        <f t="shared" si="7"/>
        <v>0</v>
      </c>
      <c r="O54" s="50">
        <f t="shared" si="7"/>
        <v>0</v>
      </c>
      <c r="P54" s="50">
        <f t="shared" si="7"/>
        <v>791042.37000000011</v>
      </c>
      <c r="Q54" s="50">
        <f t="shared" si="7"/>
        <v>3280721.6627958044</v>
      </c>
      <c r="R54" s="50">
        <f t="shared" si="7"/>
        <v>110.91</v>
      </c>
      <c r="S54" s="50">
        <f t="shared" si="7"/>
        <v>459.98147940000001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33.35</v>
      </c>
      <c r="BB54" s="50">
        <f t="shared" si="8"/>
        <v>11.539</v>
      </c>
      <c r="BC54" s="50">
        <f t="shared" si="8"/>
        <v>44.045000000000002</v>
      </c>
      <c r="BD54" s="50">
        <f t="shared" si="8"/>
        <v>2.8249999999999997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-8089224.1155240005</v>
      </c>
      <c r="BL54" s="50">
        <f t="shared" si="8"/>
        <v>58.55247</v>
      </c>
      <c r="BM54" s="50">
        <f t="shared" si="8"/>
        <v>555.10727999999995</v>
      </c>
      <c r="BN54" s="50">
        <f t="shared" si="8"/>
        <v>632.45594999999992</v>
      </c>
      <c r="BO54" s="50">
        <f t="shared" si="8"/>
        <v>0</v>
      </c>
      <c r="BP54" s="50">
        <f t="shared" si="8"/>
        <v>0.13258999999999999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3700000</v>
      </c>
      <c r="CA54" s="50">
        <f t="shared" si="8"/>
        <v>7400000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-21583605.81876618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446473.28281994513</v>
      </c>
      <c r="E55" s="55">
        <f t="shared" si="9"/>
        <v>9648063.8700522035</v>
      </c>
      <c r="F55" s="55">
        <f>+F8+F54</f>
        <v>5711483.238114398</v>
      </c>
      <c r="G55" s="55">
        <f t="shared" si="9"/>
        <v>0</v>
      </c>
      <c r="H55" s="55">
        <f t="shared" si="9"/>
        <v>0</v>
      </c>
      <c r="I55" s="55">
        <f t="shared" si="9"/>
        <v>133676.53159457896</v>
      </c>
      <c r="J55" s="55">
        <f t="shared" si="9"/>
        <v>0</v>
      </c>
      <c r="K55" s="55">
        <f t="shared" si="9"/>
        <v>316372.0228721429</v>
      </c>
      <c r="L55" s="55">
        <f t="shared" si="9"/>
        <v>296139.58299775777</v>
      </c>
      <c r="M55" s="55">
        <f t="shared" si="9"/>
        <v>108816.37826486415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11688300.963466864</v>
      </c>
      <c r="Q55" s="55">
        <f t="shared" si="9"/>
        <v>48511445.51395712</v>
      </c>
      <c r="R55" s="55">
        <f t="shared" si="9"/>
        <v>485973.72451000015</v>
      </c>
      <c r="S55" s="55">
        <f t="shared" si="9"/>
        <v>2005537.1854383275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19668552.436255224</v>
      </c>
      <c r="AM55" s="55">
        <f t="shared" si="9"/>
        <v>61864150.595531352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2109719.2290364038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203315.29272400693</v>
      </c>
      <c r="BB55" s="55">
        <f t="shared" si="9"/>
        <v>70406.905219991138</v>
      </c>
      <c r="BC55" s="55">
        <f t="shared" si="9"/>
        <v>268579.23684799863</v>
      </c>
      <c r="BD55" s="55">
        <f t="shared" si="9"/>
        <v>17160.392599989838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4980687.3215980129</v>
      </c>
      <c r="BL55" s="55">
        <f t="shared" si="9"/>
        <v>113479.54830244606</v>
      </c>
      <c r="BM55" s="55">
        <f t="shared" si="9"/>
        <v>1075828.2729971637</v>
      </c>
      <c r="BN55" s="55">
        <f t="shared" si="9"/>
        <v>1225754.9332073815</v>
      </c>
      <c r="BO55" s="55">
        <f t="shared" si="9"/>
        <v>3.4691202304202307E-3</v>
      </c>
      <c r="BP55" s="55">
        <f t="shared" si="9"/>
        <v>257.01512932906547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7258402.124932019</v>
      </c>
      <c r="BU55" s="55">
        <f t="shared" si="10"/>
        <v>30006203.237636194</v>
      </c>
      <c r="BV55" s="55">
        <f t="shared" si="10"/>
        <v>8025.4488600000004</v>
      </c>
      <c r="BW55" s="55">
        <f t="shared" si="10"/>
        <v>397883.49299000081</v>
      </c>
      <c r="BX55" s="55">
        <f t="shared" si="10"/>
        <v>12663.664475599246</v>
      </c>
      <c r="BY55" s="55">
        <f t="shared" si="10"/>
        <v>-5316795.1690600002</v>
      </c>
      <c r="BZ55" s="55">
        <f t="shared" si="10"/>
        <v>-33950219.975860015</v>
      </c>
      <c r="CA55" s="55">
        <f t="shared" si="10"/>
        <v>-15944642.584440008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877844.95927000046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170396373.89184171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170262431.73078999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0</v>
      </c>
      <c r="E61" s="67"/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148"/>
      <c r="BY61" s="148"/>
      <c r="BZ61" s="67"/>
      <c r="CA61" s="148"/>
      <c r="CB61" s="70"/>
      <c r="CC61" s="70"/>
      <c r="CD61" s="148"/>
      <c r="CE61" s="70"/>
      <c r="CF61" s="70"/>
      <c r="CG61" s="70"/>
      <c r="CH61" s="70"/>
      <c r="CI61" s="70"/>
      <c r="CJ61" s="70"/>
    </row>
    <row r="62" spans="1:101" x14ac:dyDescent="0.3">
      <c r="B62" s="157"/>
      <c r="C62" s="86" t="s">
        <v>152</v>
      </c>
      <c r="D62" s="87">
        <f>CW11+CW15</f>
        <v>106552434.07274999</v>
      </c>
      <c r="E62" s="67">
        <f>2293021.5+4781058.80951+478.74295</f>
        <v>7074559.0524599999</v>
      </c>
      <c r="F62" s="88" t="s">
        <v>153</v>
      </c>
      <c r="G62" s="90">
        <f>P55</f>
        <v>11688300.963466864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11102900</v>
      </c>
      <c r="E63" s="67" t="s">
        <v>204</v>
      </c>
      <c r="F63" s="88" t="s">
        <v>155</v>
      </c>
      <c r="G63" s="90">
        <f>R55</f>
        <v>485973.72451000015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51571549.417039998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1035548.241</v>
      </c>
      <c r="E66" s="100" t="s">
        <v>204</v>
      </c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316372022.87214291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296139582.99775779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108816378.26486415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-215831846.68797001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-55076520.577969998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-95053779.979000002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-57586000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>
        <v>-750949.94929999998</v>
      </c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-8056996.1310000001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-58550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203281.94272400692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35.86</v>
      </c>
      <c r="L92" s="138">
        <f>BA50+BA51+BA53+BA40+BA42+BA43+BA45</f>
        <v>-2.5099999999999998</v>
      </c>
      <c r="M92" s="139">
        <f t="shared" si="11"/>
        <v>203315.2927240069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268535.19184799865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47.371000000000002</v>
      </c>
      <c r="L98" s="138">
        <f>BC50+BC51+BC53+BC40+BC42+BC43+BC45</f>
        <v>-3.3259999999999996</v>
      </c>
      <c r="M98" s="139">
        <f t="shared" si="11"/>
        <v>268579.23684799863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70395.366219991134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12.417999999999999</v>
      </c>
      <c r="L99" s="138">
        <f>BB50+BB51+BB53+BB40+BB42+BB43+BB45</f>
        <v>-0.879</v>
      </c>
      <c r="M99" s="139">
        <f t="shared" si="11"/>
        <v>70406.905219991138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17157.567599989838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3.0369999999999999</v>
      </c>
      <c r="L104" s="138">
        <f>BD50+BD51+BD53+BD40+BD42+BD43+BD45</f>
        <v>-0.21199999999999999</v>
      </c>
      <c r="M104" s="139">
        <f t="shared" si="11"/>
        <v>17160.392599989838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606375.88775967935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35.86</v>
      </c>
      <c r="L108" s="97">
        <f t="shared" si="12"/>
        <v>-2.5099999999999998</v>
      </c>
      <c r="M108" s="97">
        <f t="shared" si="12"/>
        <v>606409.23775967932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1188526.5749507432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59.789000000000001</v>
      </c>
      <c r="L109" s="97">
        <f t="shared" si="13"/>
        <v>-4.2050000000000001</v>
      </c>
      <c r="M109" s="97">
        <f t="shared" si="13"/>
        <v>1188582.1589507433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382616.3713574282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3.0369999999999999</v>
      </c>
      <c r="L110" s="97">
        <f t="shared" si="14"/>
        <v>-0.21199999999999999</v>
      </c>
      <c r="M110" s="97">
        <f t="shared" si="14"/>
        <v>382619.19635742821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  <mergeCell ref="A9:A29"/>
    <mergeCell ref="D1:BK1"/>
    <mergeCell ref="BL1:BN1"/>
    <mergeCell ref="BR1:CJ1"/>
    <mergeCell ref="CW2:CW4"/>
    <mergeCell ref="A5:A8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16'!D55</f>
        <v>446473.28281994513</v>
      </c>
      <c r="E5" s="18">
        <f>'JUN 16'!E55</f>
        <v>9648063.8700522035</v>
      </c>
      <c r="F5" s="18">
        <f>'JUN 16'!F55</f>
        <v>5711483.238114398</v>
      </c>
      <c r="G5" s="18">
        <f>'JUN 16'!G55</f>
        <v>0</v>
      </c>
      <c r="H5" s="18">
        <f>'JUN 16'!H55</f>
        <v>0</v>
      </c>
      <c r="I5" s="18">
        <f>'JUN 16'!I55</f>
        <v>133676.53159457896</v>
      </c>
      <c r="J5" s="18">
        <f>'JUN 16'!J55</f>
        <v>0</v>
      </c>
      <c r="K5" s="18">
        <f>'JUN 16'!K55</f>
        <v>316372.0228721429</v>
      </c>
      <c r="L5" s="18">
        <f>'JUN 16'!L55</f>
        <v>296139.58299775777</v>
      </c>
      <c r="M5" s="18">
        <f>'JUN 16'!M55</f>
        <v>108816.37826486415</v>
      </c>
      <c r="N5" s="18">
        <f>'JUN 16'!N55</f>
        <v>177265.5199999999</v>
      </c>
      <c r="O5" s="18">
        <f>'JUN 16'!O55</f>
        <v>735425.00813439966</v>
      </c>
      <c r="P5" s="18">
        <f>'JUN 16'!P55</f>
        <v>11688300.963466864</v>
      </c>
      <c r="Q5" s="18">
        <f>'JUN 16'!Q55</f>
        <v>48511445.51395712</v>
      </c>
      <c r="R5" s="18">
        <f>'JUN 16'!R55</f>
        <v>485973.72451000015</v>
      </c>
      <c r="S5" s="18">
        <f>'JUN 16'!S55</f>
        <v>2005537.1854383275</v>
      </c>
      <c r="T5" s="18">
        <f>'JUN 16'!T55</f>
        <v>0</v>
      </c>
      <c r="U5" s="18">
        <f>'JUN 16'!U55</f>
        <v>0</v>
      </c>
      <c r="V5" s="18">
        <f>'JUN 16'!V55</f>
        <v>0</v>
      </c>
      <c r="W5" s="18">
        <f>'JUN 16'!W55</f>
        <v>0</v>
      </c>
      <c r="X5" s="18">
        <f>'JUN 16'!X55</f>
        <v>0</v>
      </c>
      <c r="Y5" s="18">
        <f>'JUN 16'!Y55</f>
        <v>0</v>
      </c>
      <c r="Z5" s="18">
        <f>'JUN 16'!Z55</f>
        <v>9662.5274983807467</v>
      </c>
      <c r="AA5" s="18">
        <f>'JUN 16'!AA55</f>
        <v>40087.12108308218</v>
      </c>
      <c r="AB5" s="18">
        <f>'JUN 16'!AB55</f>
        <v>7542.7499999967404</v>
      </c>
      <c r="AC5" s="18">
        <f>'JUN 16'!AC55</f>
        <v>31292.757779986478</v>
      </c>
      <c r="AD5" s="18">
        <f>'JUN 16'!AD55</f>
        <v>5155</v>
      </c>
      <c r="AE5" s="18">
        <f>'JUN 16'!AE55</f>
        <v>21386.651600000001</v>
      </c>
      <c r="AF5" s="18">
        <f>'JUN 16'!AF55</f>
        <v>7956.8699999451637</v>
      </c>
      <c r="AG5" s="18">
        <f>'JUN 16'!AG55</f>
        <v>33010.825706172502</v>
      </c>
      <c r="AH5" s="18">
        <f>'JUN 16'!AH55</f>
        <v>118215.98999999718</v>
      </c>
      <c r="AI5" s="18">
        <f>'JUN 16'!AI55</f>
        <v>490445.04203278833</v>
      </c>
      <c r="AJ5" s="18">
        <f>'JUN 16'!AJ55</f>
        <v>674466.83999999822</v>
      </c>
      <c r="AK5" s="18">
        <f>'JUN 16'!AK55</f>
        <v>2798174.0684447926</v>
      </c>
      <c r="AL5" s="18">
        <f>'JUN 16'!AL55</f>
        <v>19668552.436255224</v>
      </c>
      <c r="AM5" s="18">
        <f>'JUN 16'!AM55</f>
        <v>61864150.595531352</v>
      </c>
      <c r="AN5" s="18">
        <f>'JUN 16'!AN55</f>
        <v>6276507.6901499992</v>
      </c>
      <c r="AO5" s="18">
        <f>'JUN 16'!AO55</f>
        <v>1091269.40043144</v>
      </c>
      <c r="AP5" s="18">
        <f>'JUN 16'!AP55</f>
        <v>5285267.3108801506</v>
      </c>
      <c r="AQ5" s="18">
        <f>'JUN 16'!AQ55</f>
        <v>2109719.2290364038</v>
      </c>
      <c r="AR5" s="18">
        <f>'JUN 16'!AR55</f>
        <v>33846.145451993005</v>
      </c>
      <c r="AS5" s="18">
        <f>'JUN 16'!AS55</f>
        <v>6.2909079996137462</v>
      </c>
      <c r="AT5" s="18">
        <f>'JUN 16'!AT55</f>
        <v>11.244432002509914</v>
      </c>
      <c r="AU5" s="18">
        <f>'JUN 16'!AU55</f>
        <v>70745.806203997287</v>
      </c>
      <c r="AV5" s="18">
        <f>'JUN 16'!AV55</f>
        <v>525146.68653480266</v>
      </c>
      <c r="AW5" s="18">
        <f>'JUN 16'!AW55</f>
        <v>86119.091979996796</v>
      </c>
      <c r="AX5" s="18">
        <f>'JUN 16'!AX55</f>
        <v>1047.2966740010875</v>
      </c>
      <c r="AY5" s="18">
        <f>'JUN 16'!AY55</f>
        <v>61411.100279998158</v>
      </c>
      <c r="AZ5" s="18">
        <f>'JUN 16'!AZ55</f>
        <v>23389.865177323234</v>
      </c>
      <c r="BA5" s="18">
        <f>'JUN 16'!BA55</f>
        <v>203315.29272400693</v>
      </c>
      <c r="BB5" s="18">
        <f>'JUN 16'!BB55</f>
        <v>70406.905219991138</v>
      </c>
      <c r="BC5" s="18">
        <f>'JUN 16'!BC55</f>
        <v>268579.23684799863</v>
      </c>
      <c r="BD5" s="18">
        <f>'JUN 16'!BD55</f>
        <v>17160.392599989838</v>
      </c>
      <c r="BE5" s="18">
        <f>'JUN 16'!BE55</f>
        <v>256596.93928368055</v>
      </c>
      <c r="BF5" s="18">
        <f>'JUN 16'!BF55</f>
        <v>321963.21571035992</v>
      </c>
      <c r="BG5" s="18">
        <f>'JUN 16'!BG55</f>
        <v>35109.526218882762</v>
      </c>
      <c r="BH5" s="18">
        <f>'JUN 16'!BH55</f>
        <v>26531.768320002102</v>
      </c>
      <c r="BI5" s="18">
        <f>'JUN 16'!BI55</f>
        <v>526567.9691583903</v>
      </c>
      <c r="BJ5" s="18">
        <f>'JUN 16'!BJ55</f>
        <v>198192.37105456018</v>
      </c>
      <c r="BK5" s="18">
        <f>'JUN 16'!BK55</f>
        <v>4980687.3215980129</v>
      </c>
      <c r="BL5" s="18">
        <f>'JUN 16'!BL55</f>
        <v>113479.54830244606</v>
      </c>
      <c r="BM5" s="18">
        <f>'JUN 16'!BM55</f>
        <v>1075828.2729971637</v>
      </c>
      <c r="BN5" s="18">
        <f>'JUN 16'!BN55</f>
        <v>1225754.9332073815</v>
      </c>
      <c r="BO5" s="18">
        <f>'JUN 16'!BO55</f>
        <v>3.4691202304202307E-3</v>
      </c>
      <c r="BP5" s="18">
        <f>'JUN 16'!BP55</f>
        <v>257.01512932906547</v>
      </c>
      <c r="BQ5" s="18">
        <f>'JUN 16'!BQ55</f>
        <v>4.0128798844989433E-3</v>
      </c>
      <c r="BR5" s="18">
        <f>'JUN 16'!BR55</f>
        <v>645484.5260000031</v>
      </c>
      <c r="BS5" s="18">
        <f>'JUN 16'!BS55</f>
        <v>2650869.4086606889</v>
      </c>
      <c r="BT5" s="18">
        <f>'JUN 16'!BT55</f>
        <v>7258402.124932019</v>
      </c>
      <c r="BU5" s="18">
        <f>'JUN 16'!BU55</f>
        <v>30006203.237636194</v>
      </c>
      <c r="BV5" s="18">
        <f>'JUN 16'!BV55</f>
        <v>8025.4488600000004</v>
      </c>
      <c r="BW5" s="18">
        <f>'JUN 16'!BW55</f>
        <v>397883.49299000081</v>
      </c>
      <c r="BX5" s="18">
        <f>'JUN 16'!BX55</f>
        <v>12663.664475599246</v>
      </c>
      <c r="BY5" s="18">
        <f>'JUN 16'!BY55</f>
        <v>-5316795.1690600002</v>
      </c>
      <c r="BZ5" s="18">
        <f>'JUN 16'!BZ55</f>
        <v>-33950219.975860015</v>
      </c>
      <c r="CA5" s="18">
        <f>'JUN 16'!CA55</f>
        <v>-15944642.584440008</v>
      </c>
      <c r="CB5" s="18">
        <f>'JUN 16'!CB55</f>
        <v>18918.56624</v>
      </c>
      <c r="CC5" s="18">
        <f>'JUN 16'!CC55</f>
        <v>905567.0501799999</v>
      </c>
      <c r="CD5" s="18">
        <f>'JUN 16'!CD55</f>
        <v>0</v>
      </c>
      <c r="CE5" s="18">
        <f>'JUN 16'!CE55</f>
        <v>28452.444999999996</v>
      </c>
      <c r="CF5" s="18">
        <f>'JUN 16'!CF55</f>
        <v>696622.45958999998</v>
      </c>
      <c r="CG5" s="18">
        <f>'JUN 16'!CG55</f>
        <v>194020.58999999994</v>
      </c>
      <c r="CH5" s="18">
        <f>'JUN 16'!CH55</f>
        <v>2.9318200000000001</v>
      </c>
      <c r="CI5" s="18">
        <f>'JUN 16'!CI55</f>
        <v>813161.95743999921</v>
      </c>
      <c r="CJ5" s="18">
        <f>'JUN 16'!CJ55</f>
        <v>201938.84803999978</v>
      </c>
      <c r="CK5" s="18">
        <f>'JUN 16'!CK55</f>
        <v>0</v>
      </c>
      <c r="CL5" s="18">
        <f>'JUN 16'!CL55</f>
        <v>0</v>
      </c>
      <c r="CM5" s="18">
        <f>'JUN 16'!CM55</f>
        <v>79545.207070000004</v>
      </c>
      <c r="CN5" s="18">
        <f>'JUN 16'!CN55</f>
        <v>662749.23605000007</v>
      </c>
      <c r="CO5" s="18">
        <f>'JUN 16'!CO55</f>
        <v>736446.43431999965</v>
      </c>
      <c r="CP5" s="18">
        <f>'JUN 16'!CP55</f>
        <v>9152723.6727600005</v>
      </c>
      <c r="CQ5" s="18">
        <f>'JUN 16'!CQ55</f>
        <v>377918.49939999997</v>
      </c>
      <c r="CR5" s="18">
        <f>'JUN 16'!CR55</f>
        <v>877844.95927000046</v>
      </c>
      <c r="CS5" s="18">
        <f>'JUN 16'!CS55</f>
        <v>5010.51</v>
      </c>
      <c r="CT5" s="18">
        <f>'JUN 16'!CT55</f>
        <v>20511.762362899997</v>
      </c>
      <c r="CU5" s="18">
        <f>'JUN 16'!CU55</f>
        <v>5010.51</v>
      </c>
      <c r="CV5" s="18">
        <f>'JUN 16'!CV55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170396373.89184171</v>
      </c>
    </row>
    <row r="6" spans="1:101" s="20" customFormat="1" x14ac:dyDescent="0.3">
      <c r="A6" s="165"/>
      <c r="B6" s="19"/>
      <c r="C6" s="19" t="s">
        <v>91</v>
      </c>
      <c r="D6" s="19">
        <v>-30876.43</v>
      </c>
      <c r="E6" s="19">
        <v>-178502.45</v>
      </c>
      <c r="F6" s="19">
        <v>4179061.33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-608765.47</v>
      </c>
      <c r="BZ6" s="19">
        <v>-6252530.25</v>
      </c>
      <c r="CA6" s="19">
        <v>-3359193.81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415596.85281994514</v>
      </c>
      <c r="E8" s="18">
        <f t="shared" si="0"/>
        <v>9469561.4200522043</v>
      </c>
      <c r="F8" s="18">
        <f t="shared" si="0"/>
        <v>9890544.568114398</v>
      </c>
      <c r="G8" s="18">
        <f t="shared" si="0"/>
        <v>0</v>
      </c>
      <c r="H8" s="18">
        <f t="shared" si="0"/>
        <v>0</v>
      </c>
      <c r="I8" s="18">
        <f t="shared" si="0"/>
        <v>133676.53159457896</v>
      </c>
      <c r="J8" s="18">
        <f t="shared" si="0"/>
        <v>0</v>
      </c>
      <c r="K8" s="18">
        <f t="shared" si="0"/>
        <v>316372.0228721429</v>
      </c>
      <c r="L8" s="18">
        <f t="shared" si="0"/>
        <v>296139.58299775777</v>
      </c>
      <c r="M8" s="18">
        <f t="shared" si="0"/>
        <v>108816.37826486415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11688300.963466864</v>
      </c>
      <c r="Q8" s="18">
        <f t="shared" si="0"/>
        <v>48511445.51395712</v>
      </c>
      <c r="R8" s="18">
        <f t="shared" si="0"/>
        <v>485973.72451000015</v>
      </c>
      <c r="S8" s="18">
        <f t="shared" si="0"/>
        <v>2005537.1854383275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19668552.436255224</v>
      </c>
      <c r="AM8" s="18">
        <f t="shared" si="0"/>
        <v>61864150.595531352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2109719.2290364038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203315.29272400693</v>
      </c>
      <c r="BB8" s="18">
        <f t="shared" si="0"/>
        <v>70406.905219991138</v>
      </c>
      <c r="BC8" s="18">
        <f t="shared" si="0"/>
        <v>268579.23684799863</v>
      </c>
      <c r="BD8" s="18">
        <f t="shared" si="0"/>
        <v>17160.392599989838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4980687.3215980129</v>
      </c>
      <c r="BL8" s="18">
        <f t="shared" si="0"/>
        <v>113479.54830244606</v>
      </c>
      <c r="BM8" s="18">
        <f t="shared" si="0"/>
        <v>1075828.2729971637</v>
      </c>
      <c r="BN8" s="18">
        <f t="shared" si="0"/>
        <v>1225754.9332073815</v>
      </c>
      <c r="BO8" s="18">
        <f t="shared" si="0"/>
        <v>3.4691202304202307E-3</v>
      </c>
      <c r="BP8" s="18">
        <f t="shared" si="0"/>
        <v>257.01512932906547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7258402.124932019</v>
      </c>
      <c r="BU8" s="18">
        <f t="shared" si="1"/>
        <v>30006203.237636194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-5925560.63906</v>
      </c>
      <c r="BZ8" s="18">
        <f t="shared" si="1"/>
        <v>-40202750.225860015</v>
      </c>
      <c r="CA8" s="18">
        <f t="shared" si="1"/>
        <v>-19303836.394440006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164145566.81184167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23542+24522</f>
        <v>48064</v>
      </c>
      <c r="M11" s="26">
        <v>180470</v>
      </c>
      <c r="N11" s="26"/>
      <c r="O11" s="26"/>
      <c r="P11" s="26">
        <v>21077.78</v>
      </c>
      <c r="Q11" s="26">
        <f>(P11*4096.44)/1000</f>
        <v>86343.86110319999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314877.8611032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15000000</v>
      </c>
      <c r="Q12" s="26">
        <f>(P12*4096.44)/1000</f>
        <v>61446599.999999993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61446599.999999993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v>-20000000</v>
      </c>
      <c r="Q19" s="26">
        <f>(P19*4096.44)/1000</f>
        <v>-81928799.999999985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-81928799.999999985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>
        <v>-39899596</v>
      </c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-39899596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-63734401.002999999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-63734401.002999999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112778842.412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112778842.412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23000</v>
      </c>
      <c r="E27" s="28"/>
      <c r="F27" s="28"/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500000</v>
      </c>
      <c r="CA27" s="26">
        <v>2700000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3223000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>
        <v>-2982000</v>
      </c>
      <c r="F28" s="28">
        <v>-2397000</v>
      </c>
      <c r="G28" s="26"/>
      <c r="H28" s="26"/>
      <c r="I28" s="26"/>
      <c r="J28" s="26"/>
      <c r="K28" s="28"/>
      <c r="L28" s="27">
        <v>-9200000</v>
      </c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>
        <v>-7800</v>
      </c>
      <c r="BW28" s="26">
        <v>-307000</v>
      </c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>
        <v>-864000</v>
      </c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-15757800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2380000+1320000+3280000</f>
        <v>6980000</v>
      </c>
      <c r="Q35" s="37">
        <f>(P35*4096.44)/1000</f>
        <v>28593151.199999996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28593151.199999996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/>
      <c r="M38" s="38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>
        <v>-1232.7</v>
      </c>
      <c r="E40" s="43">
        <f>-176089.34595-57926.25769</f>
        <v>-234015.60363999999</v>
      </c>
      <c r="F40" s="43">
        <f>-13376.97277-3226.96206-191955.6331</f>
        <v>-208559.56793000002</v>
      </c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-443807.87157000002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>
        <v>-10</v>
      </c>
      <c r="S44" s="44">
        <f>(R44*4108)/1000</f>
        <v>-41.08</v>
      </c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-41.08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-1.7310000000000001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f>-2.511-0.01</f>
        <v>-2.5209999999999999</v>
      </c>
      <c r="BB50" s="48">
        <v>-0.86899999999999999</v>
      </c>
      <c r="BC50" s="48">
        <v>-3.3170000000000002</v>
      </c>
      <c r="BD50" s="48">
        <f>-0.212-0.01</f>
        <v>-0.222</v>
      </c>
      <c r="BE50" s="48"/>
      <c r="BF50" s="48"/>
      <c r="BG50" s="48"/>
      <c r="BH50" s="48"/>
      <c r="BI50" s="48"/>
      <c r="BJ50" s="48"/>
      <c r="BK50" s="48"/>
      <c r="BL50" s="48">
        <v>-1.47</v>
      </c>
      <c r="BM50" s="48">
        <v>-13.932</v>
      </c>
      <c r="BN50" s="48">
        <v>-15.874000000000001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-39.936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f>-770.13-0.01</f>
        <v>-770.14</v>
      </c>
      <c r="F51" s="47"/>
      <c r="G51" s="48"/>
      <c r="H51" s="48"/>
      <c r="I51" s="48"/>
      <c r="J51" s="48"/>
      <c r="K51" s="47"/>
      <c r="L51" s="47">
        <v>-56.982999999999997</v>
      </c>
      <c r="M51" s="47">
        <v>-12.388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-839.51099999999997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24.730149999999998</v>
      </c>
      <c r="J52" s="48"/>
      <c r="K52" s="48"/>
      <c r="L52" s="47"/>
      <c r="M52" s="47"/>
      <c r="N52" s="48"/>
      <c r="O52" s="48"/>
      <c r="P52" s="48"/>
      <c r="Q52" s="48"/>
      <c r="R52" s="48">
        <v>36.979999999999997</v>
      </c>
      <c r="S52" s="48">
        <f>(R52*4096.44)/1000</f>
        <v>151.48635119999997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35.866</v>
      </c>
      <c r="BB52" s="48">
        <f>12.42+0.01</f>
        <v>12.43</v>
      </c>
      <c r="BC52" s="48">
        <v>47.378999999999998</v>
      </c>
      <c r="BD52" s="48">
        <v>3.0270000000000001</v>
      </c>
      <c r="BE52" s="48"/>
      <c r="BF52" s="48"/>
      <c r="BG52" s="48"/>
      <c r="BH52" s="48"/>
      <c r="BI52" s="48"/>
      <c r="BJ52" s="48"/>
      <c r="BK52" s="48"/>
      <c r="BL52" s="48">
        <v>20.99371</v>
      </c>
      <c r="BM52" s="48">
        <v>199.02822</v>
      </c>
      <c r="BN52" s="48">
        <f>226.76466+0.01</f>
        <v>226.77465999999998</v>
      </c>
      <c r="BO52" s="48"/>
      <c r="BP52" s="48">
        <f>47.54/1000+0.01</f>
        <v>5.7540000000000001E-2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721.77263119999998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(D10+D13+D16+D17+D33+D38+D47+D30+D51+D35+D26)*4/1000</f>
        <v>0</v>
      </c>
      <c r="E53" s="48">
        <f>(E10+E13+E16+E17+E33+E38+E47+E40+E51+E35)*4/1000</f>
        <v>-939.14297455999997</v>
      </c>
      <c r="F53" s="48">
        <f>(F10+F13+F16+F17+F33+F38+F47+F51+F35)*4/1000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-0.227932</v>
      </c>
      <c r="M53" s="47">
        <f>(M10+M13+M17+M33+M38+M40+M51+M36+M49+M16)*4/1000</f>
        <v>-4.9551999999999999E-2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-939.42045855999993</v>
      </c>
    </row>
    <row r="54" spans="1:101" x14ac:dyDescent="0.3">
      <c r="C54" s="49" t="s">
        <v>141</v>
      </c>
      <c r="D54" s="50">
        <f t="shared" ref="D54:AM54" si="7">SUM(D9:D53)</f>
        <v>21767.3</v>
      </c>
      <c r="E54" s="50">
        <f t="shared" si="7"/>
        <v>-3217724.8866145601</v>
      </c>
      <c r="F54" s="50">
        <f>SUM(F9:F53)</f>
        <v>-2605559.5679299999</v>
      </c>
      <c r="G54" s="50">
        <f t="shared" si="7"/>
        <v>0</v>
      </c>
      <c r="H54" s="50">
        <f t="shared" si="7"/>
        <v>0</v>
      </c>
      <c r="I54" s="50">
        <f t="shared" si="7"/>
        <v>22.999149999999997</v>
      </c>
      <c r="J54" s="50">
        <f t="shared" si="7"/>
        <v>0</v>
      </c>
      <c r="K54" s="50">
        <f t="shared" si="7"/>
        <v>0</v>
      </c>
      <c r="L54" s="51">
        <f t="shared" si="7"/>
        <v>-7147.8019319907016</v>
      </c>
      <c r="M54" s="50">
        <f t="shared" si="7"/>
        <v>180457.56244799998</v>
      </c>
      <c r="N54" s="50">
        <f t="shared" si="7"/>
        <v>0</v>
      </c>
      <c r="O54" s="50">
        <f t="shared" si="7"/>
        <v>0</v>
      </c>
      <c r="P54" s="50">
        <f t="shared" si="7"/>
        <v>2001077.7799999993</v>
      </c>
      <c r="Q54" s="50">
        <f t="shared" si="7"/>
        <v>8197295.0611032024</v>
      </c>
      <c r="R54" s="50">
        <f t="shared" si="7"/>
        <v>26.979999999999997</v>
      </c>
      <c r="S54" s="50">
        <f t="shared" si="7"/>
        <v>110.40635119999997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33.344999999999999</v>
      </c>
      <c r="BB54" s="50">
        <f t="shared" si="8"/>
        <v>11.561</v>
      </c>
      <c r="BC54" s="50">
        <f t="shared" si="8"/>
        <v>44.061999999999998</v>
      </c>
      <c r="BD54" s="50">
        <f t="shared" si="8"/>
        <v>2.8050000000000002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19.523710000000001</v>
      </c>
      <c r="BM54" s="50">
        <f t="shared" si="8"/>
        <v>185.09622000000002</v>
      </c>
      <c r="BN54" s="50">
        <f t="shared" si="8"/>
        <v>210.90065999999999</v>
      </c>
      <c r="BO54" s="50">
        <f t="shared" si="8"/>
        <v>0</v>
      </c>
      <c r="BP54" s="50">
        <f t="shared" si="8"/>
        <v>5.7540000000000001E-2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-7800</v>
      </c>
      <c r="BW54" s="50">
        <f t="shared" si="8"/>
        <v>-307000</v>
      </c>
      <c r="BX54" s="50">
        <f t="shared" si="8"/>
        <v>0</v>
      </c>
      <c r="BY54" s="50">
        <f>SUM(BY9:BY53)</f>
        <v>0</v>
      </c>
      <c r="BZ54" s="50">
        <f>SUM(BZ9:BZ53)</f>
        <v>500000</v>
      </c>
      <c r="CA54" s="50">
        <f t="shared" si="8"/>
        <v>2700000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-864000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4590928.4237058517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437364.15281994513</v>
      </c>
      <c r="E55" s="55">
        <f t="shared" si="9"/>
        <v>6251836.5334376441</v>
      </c>
      <c r="F55" s="55">
        <f>+F8+F54</f>
        <v>7284985.0001843981</v>
      </c>
      <c r="G55" s="55">
        <f t="shared" si="9"/>
        <v>0</v>
      </c>
      <c r="H55" s="55">
        <f t="shared" si="9"/>
        <v>0</v>
      </c>
      <c r="I55" s="55">
        <f t="shared" si="9"/>
        <v>133699.53074457895</v>
      </c>
      <c r="J55" s="55">
        <f t="shared" si="9"/>
        <v>0</v>
      </c>
      <c r="K55" s="55">
        <f t="shared" si="9"/>
        <v>316372.0228721429</v>
      </c>
      <c r="L55" s="55">
        <f t="shared" si="9"/>
        <v>288991.78106576705</v>
      </c>
      <c r="M55" s="55">
        <f t="shared" si="9"/>
        <v>289273.94071286416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13689378.743466863</v>
      </c>
      <c r="Q55" s="55">
        <f t="shared" si="9"/>
        <v>56708740.575060323</v>
      </c>
      <c r="R55" s="55">
        <f t="shared" si="9"/>
        <v>486000.70451000013</v>
      </c>
      <c r="S55" s="55">
        <f t="shared" si="9"/>
        <v>2005647.5917895276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19668552.436255224</v>
      </c>
      <c r="AM55" s="55">
        <f t="shared" si="9"/>
        <v>61864150.595531352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2109719.2290364038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203348.63772400693</v>
      </c>
      <c r="BB55" s="55">
        <f t="shared" si="9"/>
        <v>70418.46621999114</v>
      </c>
      <c r="BC55" s="55">
        <f t="shared" si="9"/>
        <v>268623.29884799861</v>
      </c>
      <c r="BD55" s="55">
        <f t="shared" si="9"/>
        <v>17163.197599989839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4980687.3215980129</v>
      </c>
      <c r="BL55" s="55">
        <f t="shared" si="9"/>
        <v>113499.07201244605</v>
      </c>
      <c r="BM55" s="55">
        <f t="shared" si="9"/>
        <v>1076013.3692171637</v>
      </c>
      <c r="BN55" s="55">
        <f t="shared" si="9"/>
        <v>1225965.8338673816</v>
      </c>
      <c r="BO55" s="55">
        <f t="shared" si="9"/>
        <v>3.4691202304202307E-3</v>
      </c>
      <c r="BP55" s="55">
        <f t="shared" si="9"/>
        <v>257.07266932906549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7258402.124932019</v>
      </c>
      <c r="BU55" s="55">
        <f t="shared" si="10"/>
        <v>30006203.237636194</v>
      </c>
      <c r="BV55" s="55">
        <f t="shared" si="10"/>
        <v>225.44886000000042</v>
      </c>
      <c r="BW55" s="55">
        <f t="shared" si="10"/>
        <v>90883.492990000814</v>
      </c>
      <c r="BX55" s="55">
        <f t="shared" si="10"/>
        <v>12663.664475599246</v>
      </c>
      <c r="BY55" s="55">
        <f t="shared" si="10"/>
        <v>-5925560.63906</v>
      </c>
      <c r="BZ55" s="55">
        <f t="shared" si="10"/>
        <v>-39702750.225860015</v>
      </c>
      <c r="CA55" s="55">
        <f t="shared" si="10"/>
        <v>-16603836.394440006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13844.959270000458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168736495.23554751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177763279.19310319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112778842.412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148"/>
      <c r="BY61" s="148"/>
      <c r="BZ61" s="67"/>
      <c r="CA61" s="148"/>
      <c r="CB61" s="70"/>
      <c r="CC61" s="70"/>
      <c r="CD61" s="148"/>
      <c r="CE61" s="70"/>
      <c r="CF61" s="70"/>
      <c r="CG61" s="70"/>
      <c r="CH61" s="70"/>
      <c r="CI61" s="70"/>
      <c r="CJ61" s="70"/>
    </row>
    <row r="62" spans="1:101" x14ac:dyDescent="0.3">
      <c r="B62" s="157"/>
      <c r="C62" s="86" t="s">
        <v>152</v>
      </c>
      <c r="D62" s="87">
        <f>CW11+CW15</f>
        <v>314877.8611032</v>
      </c>
      <c r="E62" s="67" t="s">
        <v>204</v>
      </c>
      <c r="F62" s="88" t="s">
        <v>153</v>
      </c>
      <c r="G62" s="90">
        <f>P55</f>
        <v>13689378.743466863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3223000</v>
      </c>
      <c r="E63" s="67" t="s">
        <v>204</v>
      </c>
      <c r="F63" s="88" t="s">
        <v>155</v>
      </c>
      <c r="G63" s="90">
        <f>R55</f>
        <v>486000.70451000013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61446599.999999993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316372022.87214291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288991781.06576705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289273940.71286416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-41.08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-201764404.87456998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-121828395.99999999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-63734401.002999999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-15757800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0</v>
      </c>
      <c r="E81" s="100"/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-443807.87157000002</v>
      </c>
      <c r="E82" s="70" t="s">
        <v>204</v>
      </c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203315.29272400693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35.866</v>
      </c>
      <c r="L92" s="138">
        <f>BA50+BA51+BA53+BA40+BA42+BA43+BA45</f>
        <v>-2.5209999999999999</v>
      </c>
      <c r="M92" s="139">
        <f t="shared" si="11"/>
        <v>203348.63772400693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268579.23684799863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47.378999999999998</v>
      </c>
      <c r="L98" s="138">
        <f>BC50+BC51+BC53+BC40+BC42+BC43+BC45</f>
        <v>-3.3170000000000002</v>
      </c>
      <c r="M98" s="139">
        <f t="shared" si="11"/>
        <v>268623.29884799867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70406.905219991138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12.43</v>
      </c>
      <c r="L99" s="138">
        <f>BB50+BB51+BB53+BB40+BB42+BB43+BB45</f>
        <v>-0.86899999999999999</v>
      </c>
      <c r="M99" s="139">
        <f t="shared" si="11"/>
        <v>70418.466219991125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17160.392599989838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3.0270000000000001</v>
      </c>
      <c r="L104" s="138">
        <f>BD50+BD51+BD53+BD40+BD42+BD43+BD45</f>
        <v>-0.222</v>
      </c>
      <c r="M104" s="139">
        <f t="shared" si="11"/>
        <v>17163.197599989835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606409.23775967932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35.866</v>
      </c>
      <c r="L108" s="97">
        <f t="shared" si="12"/>
        <v>-2.5209999999999999</v>
      </c>
      <c r="M108" s="97">
        <f t="shared" si="12"/>
        <v>606442.5827596793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1188582.1589507433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59.808999999999997</v>
      </c>
      <c r="L109" s="97">
        <f t="shared" si="13"/>
        <v>-4.1859999999999999</v>
      </c>
      <c r="M109" s="97">
        <f t="shared" si="13"/>
        <v>1188637.7819507432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382619.19635742821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3.0270000000000001</v>
      </c>
      <c r="L110" s="97">
        <f t="shared" si="14"/>
        <v>-0.222</v>
      </c>
      <c r="M110" s="97">
        <f t="shared" si="14"/>
        <v>382622.00135742821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A9:A29"/>
    <mergeCell ref="D1:BK1"/>
    <mergeCell ref="BL1:BN1"/>
    <mergeCell ref="BR1:CJ1"/>
    <mergeCell ref="CW2:CW4"/>
    <mergeCell ref="A5:A8"/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17'!D55</f>
        <v>437364.15281994513</v>
      </c>
      <c r="E5" s="18">
        <f>'JUN 17'!E55</f>
        <v>6251836.5334376441</v>
      </c>
      <c r="F5" s="18">
        <f>'JUN 17'!F55</f>
        <v>7284985.0001843981</v>
      </c>
      <c r="G5" s="18">
        <f>'JUN 17'!G55</f>
        <v>0</v>
      </c>
      <c r="H5" s="18">
        <f>'JUN 17'!H55</f>
        <v>0</v>
      </c>
      <c r="I5" s="18">
        <f>'JUN 17'!I55</f>
        <v>133699.53074457895</v>
      </c>
      <c r="J5" s="18">
        <f>'JUN 17'!J55</f>
        <v>0</v>
      </c>
      <c r="K5" s="18">
        <f>'JUN 17'!K55</f>
        <v>316372.0228721429</v>
      </c>
      <c r="L5" s="18">
        <f>'JUN 17'!L55</f>
        <v>288991.78106576705</v>
      </c>
      <c r="M5" s="18">
        <f>'JUN 17'!M55</f>
        <v>289273.94071286416</v>
      </c>
      <c r="N5" s="18">
        <f>'JUN 17'!N55</f>
        <v>177265.5199999999</v>
      </c>
      <c r="O5" s="18">
        <f>'JUN 17'!O55</f>
        <v>735425.00813439966</v>
      </c>
      <c r="P5" s="18">
        <f>'JUN 17'!P55</f>
        <v>13689378.743466863</v>
      </c>
      <c r="Q5" s="18">
        <f>'JUN 17'!Q55</f>
        <v>56708740.575060323</v>
      </c>
      <c r="R5" s="18">
        <f>'JUN 17'!R55</f>
        <v>486000.70451000013</v>
      </c>
      <c r="S5" s="18">
        <f>'JUN 17'!S55</f>
        <v>2005647.5917895276</v>
      </c>
      <c r="T5" s="18">
        <f>'JUN 17'!T55</f>
        <v>0</v>
      </c>
      <c r="U5" s="18">
        <f>'JUN 17'!U55</f>
        <v>0</v>
      </c>
      <c r="V5" s="18">
        <f>'JUN 17'!V55</f>
        <v>0</v>
      </c>
      <c r="W5" s="18">
        <f>'JUN 17'!W55</f>
        <v>0</v>
      </c>
      <c r="X5" s="18">
        <f>'JUN 17'!X55</f>
        <v>0</v>
      </c>
      <c r="Y5" s="18">
        <f>'JUN 17'!Y55</f>
        <v>0</v>
      </c>
      <c r="Z5" s="18">
        <f>'JUN 17'!Z55</f>
        <v>9662.5274983807467</v>
      </c>
      <c r="AA5" s="18">
        <f>'JUN 17'!AA55</f>
        <v>40087.12108308218</v>
      </c>
      <c r="AB5" s="18">
        <f>'JUN 17'!AB55</f>
        <v>7542.7499999967404</v>
      </c>
      <c r="AC5" s="18">
        <f>'JUN 17'!AC55</f>
        <v>31292.757779986478</v>
      </c>
      <c r="AD5" s="18">
        <f>'JUN 17'!AD55</f>
        <v>5155</v>
      </c>
      <c r="AE5" s="18">
        <f>'JUN 17'!AE55</f>
        <v>21386.651600000001</v>
      </c>
      <c r="AF5" s="18">
        <f>'JUN 17'!AF55</f>
        <v>7956.8699999451637</v>
      </c>
      <c r="AG5" s="18">
        <f>'JUN 17'!AG55</f>
        <v>33010.825706172502</v>
      </c>
      <c r="AH5" s="18">
        <f>'JUN 17'!AH55</f>
        <v>118215.98999999718</v>
      </c>
      <c r="AI5" s="18">
        <f>'JUN 17'!AI55</f>
        <v>490445.04203278833</v>
      </c>
      <c r="AJ5" s="18">
        <f>'JUN 17'!AJ55</f>
        <v>674466.83999999822</v>
      </c>
      <c r="AK5" s="18">
        <f>'JUN 17'!AK55</f>
        <v>2798174.0684447926</v>
      </c>
      <c r="AL5" s="18">
        <f>'JUN 17'!AL55</f>
        <v>19668552.436255224</v>
      </c>
      <c r="AM5" s="18">
        <f>'JUN 17'!AM55</f>
        <v>61864150.595531352</v>
      </c>
      <c r="AN5" s="18">
        <f>'JUN 17'!AN55</f>
        <v>6276507.6901499992</v>
      </c>
      <c r="AO5" s="18">
        <f>'JUN 17'!AO55</f>
        <v>1091269.40043144</v>
      </c>
      <c r="AP5" s="18">
        <f>'JUN 17'!AP55</f>
        <v>5285267.3108801506</v>
      </c>
      <c r="AQ5" s="18">
        <f>'JUN 17'!AQ55</f>
        <v>2109719.2290364038</v>
      </c>
      <c r="AR5" s="18">
        <f>'JUN 17'!AR55</f>
        <v>33846.145451993005</v>
      </c>
      <c r="AS5" s="18">
        <f>'JUN 17'!AS55</f>
        <v>6.2909079996137462</v>
      </c>
      <c r="AT5" s="18">
        <f>'JUN 17'!AT55</f>
        <v>11.244432002509914</v>
      </c>
      <c r="AU5" s="18">
        <f>'JUN 17'!AU55</f>
        <v>70745.806203997287</v>
      </c>
      <c r="AV5" s="18">
        <f>'JUN 17'!AV55</f>
        <v>525146.68653480266</v>
      </c>
      <c r="AW5" s="18">
        <f>'JUN 17'!AW55</f>
        <v>86119.091979996796</v>
      </c>
      <c r="AX5" s="18">
        <f>'JUN 17'!AX55</f>
        <v>1047.2966740010875</v>
      </c>
      <c r="AY5" s="18">
        <f>'JUN 17'!AY55</f>
        <v>61411.100279998158</v>
      </c>
      <c r="AZ5" s="18">
        <f>'JUN 17'!AZ55</f>
        <v>23389.865177323234</v>
      </c>
      <c r="BA5" s="18">
        <f>'JUN 17'!BA55</f>
        <v>203348.63772400693</v>
      </c>
      <c r="BB5" s="18">
        <f>'JUN 17'!BB55</f>
        <v>70418.46621999114</v>
      </c>
      <c r="BC5" s="18">
        <f>'JUN 17'!BC55</f>
        <v>268623.29884799861</v>
      </c>
      <c r="BD5" s="18">
        <f>'JUN 17'!BD55</f>
        <v>17163.197599989839</v>
      </c>
      <c r="BE5" s="18">
        <f>'JUN 17'!BE55</f>
        <v>256596.93928368055</v>
      </c>
      <c r="BF5" s="18">
        <f>'JUN 17'!BF55</f>
        <v>321963.21571035992</v>
      </c>
      <c r="BG5" s="18">
        <f>'JUN 17'!BG55</f>
        <v>35109.526218882762</v>
      </c>
      <c r="BH5" s="18">
        <f>'JUN 17'!BH55</f>
        <v>26531.768320002102</v>
      </c>
      <c r="BI5" s="18">
        <f>'JUN 17'!BI55</f>
        <v>526567.9691583903</v>
      </c>
      <c r="BJ5" s="18">
        <f>'JUN 17'!BJ55</f>
        <v>198192.37105456018</v>
      </c>
      <c r="BK5" s="18">
        <f>'JUN 17'!BK55</f>
        <v>4980687.3215980129</v>
      </c>
      <c r="BL5" s="18">
        <f>'JUN 17'!BL55</f>
        <v>113499.07201244605</v>
      </c>
      <c r="BM5" s="18">
        <f>'JUN 17'!BM55</f>
        <v>1076013.3692171637</v>
      </c>
      <c r="BN5" s="18">
        <f>'JUN 17'!BN55</f>
        <v>1225965.8338673816</v>
      </c>
      <c r="BO5" s="18">
        <f>'JUN 17'!BO55</f>
        <v>3.4691202304202307E-3</v>
      </c>
      <c r="BP5" s="18">
        <f>'JUN 17'!BP55</f>
        <v>257.07266932906549</v>
      </c>
      <c r="BQ5" s="18">
        <f>'JUN 17'!BQ55</f>
        <v>4.0128798844989433E-3</v>
      </c>
      <c r="BR5" s="18">
        <f>'JUN 17'!BR55</f>
        <v>645484.5260000031</v>
      </c>
      <c r="BS5" s="18">
        <f>'JUN 17'!BS55</f>
        <v>2650869.4086606889</v>
      </c>
      <c r="BT5" s="18">
        <f>'JUN 17'!BT55</f>
        <v>7258402.124932019</v>
      </c>
      <c r="BU5" s="18">
        <f>'JUN 17'!BU55</f>
        <v>30006203.237636194</v>
      </c>
      <c r="BV5" s="18">
        <f>'JUN 17'!BV55</f>
        <v>225.44886000000042</v>
      </c>
      <c r="BW5" s="18">
        <f>'JUN 17'!BW55</f>
        <v>90883.492990000814</v>
      </c>
      <c r="BX5" s="18">
        <f>'JUN 17'!BX55</f>
        <v>12663.664475599246</v>
      </c>
      <c r="BY5" s="18">
        <f>'JUN 17'!BY55</f>
        <v>-5925560.63906</v>
      </c>
      <c r="BZ5" s="18">
        <f>'JUN 17'!BZ55</f>
        <v>-39702750.225860015</v>
      </c>
      <c r="CA5" s="18">
        <f>'JUN 17'!CA55</f>
        <v>-16603836.394440006</v>
      </c>
      <c r="CB5" s="18">
        <f>'JUN 17'!CB55</f>
        <v>18918.56624</v>
      </c>
      <c r="CC5" s="18">
        <f>'JUN 17'!CC55</f>
        <v>905567.0501799999</v>
      </c>
      <c r="CD5" s="18">
        <f>'JUN 17'!CD55</f>
        <v>0</v>
      </c>
      <c r="CE5" s="18">
        <f>'JUN 17'!CE55</f>
        <v>28452.444999999996</v>
      </c>
      <c r="CF5" s="18">
        <f>'JUN 17'!CF55</f>
        <v>696622.45958999998</v>
      </c>
      <c r="CG5" s="18">
        <f>'JUN 17'!CG55</f>
        <v>194020.58999999994</v>
      </c>
      <c r="CH5" s="18">
        <f>'JUN 17'!CH55</f>
        <v>2.9318200000000001</v>
      </c>
      <c r="CI5" s="18">
        <f>'JUN 17'!CI55</f>
        <v>813161.95743999921</v>
      </c>
      <c r="CJ5" s="18">
        <f>'JUN 17'!CJ55</f>
        <v>201938.84803999978</v>
      </c>
      <c r="CK5" s="18">
        <f>'JUN 17'!CK55</f>
        <v>0</v>
      </c>
      <c r="CL5" s="18">
        <f>'JUN 17'!CL55</f>
        <v>0</v>
      </c>
      <c r="CM5" s="18">
        <f>'JUN 17'!CM55</f>
        <v>79545.207070000004</v>
      </c>
      <c r="CN5" s="18">
        <f>'JUN 17'!CN55</f>
        <v>662749.23605000007</v>
      </c>
      <c r="CO5" s="18">
        <f>'JUN 17'!CO55</f>
        <v>736446.43431999965</v>
      </c>
      <c r="CP5" s="18">
        <f>'JUN 17'!CP55</f>
        <v>9152723.6727600005</v>
      </c>
      <c r="CQ5" s="18">
        <f>'JUN 17'!CQ55</f>
        <v>377918.49939999997</v>
      </c>
      <c r="CR5" s="18">
        <f>'JUN 17'!CR55</f>
        <v>13844.959270000458</v>
      </c>
      <c r="CS5" s="18">
        <f>'JUN 17'!CS55</f>
        <v>5010.51</v>
      </c>
      <c r="CT5" s="18">
        <f>'JUN 17'!CT55</f>
        <v>20511.762362899997</v>
      </c>
      <c r="CU5" s="18">
        <f>'JUN 17'!CU55</f>
        <v>5010.51</v>
      </c>
      <c r="CV5" s="18">
        <f>'JUN 17'!CV55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168736495.23554751</v>
      </c>
    </row>
    <row r="6" spans="1:101" s="20" customFormat="1" x14ac:dyDescent="0.3">
      <c r="A6" s="165"/>
      <c r="B6" s="19"/>
      <c r="C6" s="19" t="s">
        <v>91</v>
      </c>
      <c r="D6" s="19">
        <v>45641.81</v>
      </c>
      <c r="E6" s="19">
        <v>14228819.640000001</v>
      </c>
      <c r="F6" s="19">
        <v>2831892.35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-604765.52</v>
      </c>
      <c r="BZ6" s="19">
        <v>-7675169.0099999998</v>
      </c>
      <c r="CA6" s="19">
        <v>-7538681.96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483005.96281994513</v>
      </c>
      <c r="E8" s="18">
        <f t="shared" si="0"/>
        <v>20480656.173437644</v>
      </c>
      <c r="F8" s="18">
        <f t="shared" si="0"/>
        <v>10116877.350184398</v>
      </c>
      <c r="G8" s="18">
        <f t="shared" si="0"/>
        <v>0</v>
      </c>
      <c r="H8" s="18">
        <f t="shared" si="0"/>
        <v>0</v>
      </c>
      <c r="I8" s="18">
        <f t="shared" si="0"/>
        <v>133699.53074457895</v>
      </c>
      <c r="J8" s="18">
        <f t="shared" si="0"/>
        <v>0</v>
      </c>
      <c r="K8" s="18">
        <f t="shared" si="0"/>
        <v>316372.0228721429</v>
      </c>
      <c r="L8" s="18">
        <f t="shared" si="0"/>
        <v>288991.78106576705</v>
      </c>
      <c r="M8" s="18">
        <f t="shared" si="0"/>
        <v>289273.94071286416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13689378.743466863</v>
      </c>
      <c r="Q8" s="18">
        <f t="shared" si="0"/>
        <v>56708740.575060323</v>
      </c>
      <c r="R8" s="18">
        <f t="shared" si="0"/>
        <v>486000.70451000013</v>
      </c>
      <c r="S8" s="18">
        <f t="shared" si="0"/>
        <v>2005647.5917895276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19668552.436255224</v>
      </c>
      <c r="AM8" s="18">
        <f t="shared" si="0"/>
        <v>61864150.595531352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2109719.2290364038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203348.63772400693</v>
      </c>
      <c r="BB8" s="18">
        <f t="shared" si="0"/>
        <v>70418.46621999114</v>
      </c>
      <c r="BC8" s="18">
        <f t="shared" si="0"/>
        <v>268623.29884799861</v>
      </c>
      <c r="BD8" s="18">
        <f t="shared" si="0"/>
        <v>17163.197599989839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4980687.3215980129</v>
      </c>
      <c r="BL8" s="18">
        <f t="shared" si="0"/>
        <v>113499.07201244605</v>
      </c>
      <c r="BM8" s="18">
        <f t="shared" si="0"/>
        <v>1076013.3692171637</v>
      </c>
      <c r="BN8" s="18">
        <f t="shared" si="0"/>
        <v>1225965.8338673816</v>
      </c>
      <c r="BO8" s="18">
        <f t="shared" si="0"/>
        <v>3.4691202304202307E-3</v>
      </c>
      <c r="BP8" s="18">
        <f t="shared" si="0"/>
        <v>257.07266932906549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7258402.124932019</v>
      </c>
      <c r="BU8" s="18">
        <f t="shared" si="1"/>
        <v>30006203.237636194</v>
      </c>
      <c r="BV8" s="18">
        <f t="shared" si="1"/>
        <v>225.44886000000042</v>
      </c>
      <c r="BW8" s="18">
        <f t="shared" si="1"/>
        <v>90883.492990000814</v>
      </c>
      <c r="BX8" s="18">
        <f t="shared" si="1"/>
        <v>12663.664475599246</v>
      </c>
      <c r="BY8" s="18">
        <f>+BY5+BY6+BY7:BZ7</f>
        <v>-6530326.1590599995</v>
      </c>
      <c r="BZ8" s="18">
        <f t="shared" si="1"/>
        <v>-47377919.235860012</v>
      </c>
      <c r="CA8" s="18">
        <f t="shared" si="1"/>
        <v>-24142518.354440007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13844.959270000458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170024232.54554752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19711+151500+62273.855</f>
        <v>233484.85500000001</v>
      </c>
      <c r="M11" s="26">
        <f>121200+62273.855</f>
        <v>183473.85500000001</v>
      </c>
      <c r="N11" s="26"/>
      <c r="O11" s="26"/>
      <c r="P11" s="26">
        <v>550000</v>
      </c>
      <c r="Q11" s="26">
        <f>(P11*4098.83)/1000</f>
        <v>2254356.5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2671315.21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>
        <v>267375.09999999998</v>
      </c>
      <c r="M12" s="26">
        <v>267375.09999999998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534750.19999999995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>
        <v>-24955810</v>
      </c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-24955810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-67218553.569000006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-67218553.569000006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>
        <v>2623740</v>
      </c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2623740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100813662.505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100813662.505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>
        <v>221632.42</v>
      </c>
      <c r="Q25" s="26">
        <f>(P25*4098.83)/1000</f>
        <v>908433.61206860002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908433.61206860002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/>
      <c r="E27" s="28"/>
      <c r="F27" s="28"/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8">
        <v>5000000</v>
      </c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4000000</v>
      </c>
      <c r="CA27" s="26">
        <v>4200000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13200000</v>
      </c>
    </row>
    <row r="28" spans="1:101" x14ac:dyDescent="0.3">
      <c r="A28" s="158"/>
      <c r="B28" s="24" t="s">
        <v>97</v>
      </c>
      <c r="C28" s="25" t="s">
        <v>115</v>
      </c>
      <c r="D28" s="26">
        <v>-29000</v>
      </c>
      <c r="E28" s="26">
        <v>-3848000</v>
      </c>
      <c r="F28" s="28">
        <v>-1345000</v>
      </c>
      <c r="G28" s="26"/>
      <c r="H28" s="26"/>
      <c r="I28" s="26"/>
      <c r="J28" s="26"/>
      <c r="K28" s="28">
        <v>-200000</v>
      </c>
      <c r="L28" s="27">
        <v>-10000000</v>
      </c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>
        <v>-23000</v>
      </c>
      <c r="CF28" s="26">
        <v>-811000</v>
      </c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-16256000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>
        <v>2899.44</v>
      </c>
      <c r="Q34" s="33">
        <f>(P34*4098.83)/1000</f>
        <v>11884.311655200001</v>
      </c>
      <c r="R34" s="33">
        <v>229.22</v>
      </c>
      <c r="S34" s="33">
        <f>(R34*4098.83)/1000</f>
        <v>939.53381259999992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12823.845467800002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-480000-1150000+820000-1280000</f>
        <v>-2090000</v>
      </c>
      <c r="Q35" s="37">
        <f>(P35*4098.83)/1000</f>
        <v>-8566554.6999999993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-8566554.6999999993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f>-604000-569550</f>
        <v>-1173550</v>
      </c>
      <c r="M38" s="38"/>
      <c r="N38" s="37"/>
      <c r="O38" s="37"/>
      <c r="P38" s="37">
        <v>-307066.62</v>
      </c>
      <c r="Q38" s="37">
        <f>(P38*4098.83)/1000</f>
        <v>-1258613.8740546</v>
      </c>
      <c r="R38" s="37">
        <v>-47241.02</v>
      </c>
      <c r="S38" s="37">
        <f>(R38*4098.83)/1000</f>
        <v>-193632.9100066</v>
      </c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-2625796.7840612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-1.7310000000000001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-2.5110000000000001</v>
      </c>
      <c r="BB50" s="48">
        <v>-0.87</v>
      </c>
      <c r="BC50" s="48">
        <v>-3.3170000000000002</v>
      </c>
      <c r="BD50" s="48">
        <v>-0.21199999999999999</v>
      </c>
      <c r="BE50" s="48"/>
      <c r="BF50" s="48"/>
      <c r="BG50" s="48"/>
      <c r="BH50" s="48"/>
      <c r="BI50" s="48"/>
      <c r="BJ50" s="48"/>
      <c r="BK50" s="48"/>
      <c r="BL50" s="48">
        <v>-1.47</v>
      </c>
      <c r="BM50" s="48">
        <f>-13.934-0.01</f>
        <v>-13.943999999999999</v>
      </c>
      <c r="BN50" s="48">
        <f>-15.876-0.01</f>
        <v>-15.885999999999999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-39.941000000000003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f>-837.232+0.01</f>
        <v>-837.22199999999998</v>
      </c>
      <c r="F51" s="47"/>
      <c r="G51" s="48"/>
      <c r="H51" s="48"/>
      <c r="I51" s="48"/>
      <c r="J51" s="48"/>
      <c r="K51" s="47"/>
      <c r="L51" s="47">
        <v>-16.516999999999999</v>
      </c>
      <c r="M51" s="47">
        <v>-0.01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-853.74900000000002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f>24.73441+0.01</f>
        <v>24.744410000000002</v>
      </c>
      <c r="J52" s="48"/>
      <c r="K52" s="48"/>
      <c r="L52" s="47"/>
      <c r="M52" s="47"/>
      <c r="N52" s="48"/>
      <c r="O52" s="48"/>
      <c r="P52" s="48"/>
      <c r="Q52" s="48"/>
      <c r="R52" s="48">
        <v>36.979999999999997</v>
      </c>
      <c r="S52" s="48">
        <f>(R52*4098.83)/1000</f>
        <v>151.57473339999999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35.872</v>
      </c>
      <c r="BB52" s="48">
        <v>12.422000000000001</v>
      </c>
      <c r="BC52" s="48">
        <v>47.387</v>
      </c>
      <c r="BD52" s="48">
        <f>3.028+0.01</f>
        <v>3.0379999999999998</v>
      </c>
      <c r="BE52" s="48"/>
      <c r="BF52" s="48"/>
      <c r="BG52" s="48"/>
      <c r="BH52" s="48"/>
      <c r="BI52" s="48"/>
      <c r="BJ52" s="48"/>
      <c r="BK52" s="48"/>
      <c r="BL52" s="48">
        <v>20.997319999999998</v>
      </c>
      <c r="BM52" s="48">
        <v>199.06246999999999</v>
      </c>
      <c r="BN52" s="48">
        <v>226.80367000000001</v>
      </c>
      <c r="BO52" s="48"/>
      <c r="BP52" s="48">
        <f>47.55/1000</f>
        <v>4.7549999999999995E-2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721.9491534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(D10+D13+D16+D17+D33+D38+D47+D30+D51+D35+D26)*4/1000</f>
        <v>0</v>
      </c>
      <c r="E53" s="48">
        <f>(E10+E13+E16+E17+E33+E38+E47+E40+E51+E35)*4/1000</f>
        <v>-3.3488880000000001</v>
      </c>
      <c r="F53" s="48">
        <f>(F10+F13+F16+F17+F33+F38+F47+F51+F35)*4/1000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-4694.2660679999999</v>
      </c>
      <c r="M53" s="47">
        <f>(M10+M13+M17+M33+M38+M40+M51+M36+M49+M16)*4/1000</f>
        <v>-4.0000000000000003E-5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-4697.6149960000002</v>
      </c>
    </row>
    <row r="54" spans="1:101" x14ac:dyDescent="0.3">
      <c r="C54" s="49" t="s">
        <v>141</v>
      </c>
      <c r="D54" s="50">
        <f t="shared" ref="D54:AM54" si="7">SUM(D9:D53)</f>
        <v>-29000</v>
      </c>
      <c r="E54" s="50">
        <f t="shared" si="7"/>
        <v>-3848840.5708880001</v>
      </c>
      <c r="F54" s="50">
        <f>SUM(F9:F53)</f>
        <v>-1345000</v>
      </c>
      <c r="G54" s="50">
        <f t="shared" si="7"/>
        <v>0</v>
      </c>
      <c r="H54" s="50">
        <f t="shared" si="7"/>
        <v>0</v>
      </c>
      <c r="I54" s="50">
        <f t="shared" si="7"/>
        <v>23.01341</v>
      </c>
      <c r="J54" s="50">
        <f t="shared" si="7"/>
        <v>0</v>
      </c>
      <c r="K54" s="50">
        <f t="shared" si="7"/>
        <v>-200000</v>
      </c>
      <c r="L54" s="51">
        <f t="shared" si="7"/>
        <v>585638.10793198773</v>
      </c>
      <c r="M54" s="50">
        <f t="shared" si="7"/>
        <v>450848.94495999994</v>
      </c>
      <c r="N54" s="50">
        <f t="shared" si="7"/>
        <v>0</v>
      </c>
      <c r="O54" s="50">
        <f t="shared" si="7"/>
        <v>0</v>
      </c>
      <c r="P54" s="50">
        <f t="shared" si="7"/>
        <v>-1622534.7600000002</v>
      </c>
      <c r="Q54" s="50">
        <f t="shared" si="7"/>
        <v>-6650494.1503307987</v>
      </c>
      <c r="R54" s="50">
        <f t="shared" si="7"/>
        <v>-46974.819999999992</v>
      </c>
      <c r="S54" s="50">
        <f t="shared" si="7"/>
        <v>-192541.80146059999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5000000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33.360999999999997</v>
      </c>
      <c r="BB54" s="50">
        <f t="shared" si="8"/>
        <v>11.552000000000001</v>
      </c>
      <c r="BC54" s="50">
        <f t="shared" si="8"/>
        <v>44.07</v>
      </c>
      <c r="BD54" s="50">
        <f t="shared" si="8"/>
        <v>2.8259999999999996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19.52732</v>
      </c>
      <c r="BM54" s="50">
        <f t="shared" si="8"/>
        <v>185.11847</v>
      </c>
      <c r="BN54" s="50">
        <f t="shared" si="8"/>
        <v>210.91767000000002</v>
      </c>
      <c r="BO54" s="50">
        <f t="shared" si="8"/>
        <v>0</v>
      </c>
      <c r="BP54" s="50">
        <f t="shared" si="8"/>
        <v>4.7549999999999995E-2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4000000</v>
      </c>
      <c r="CA54" s="50">
        <f t="shared" si="8"/>
        <v>4200000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-23000</v>
      </c>
      <c r="CF54" s="50">
        <f t="shared" si="8"/>
        <v>-811000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1137140.9636325894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454005.96281994513</v>
      </c>
      <c r="E55" s="55">
        <f t="shared" si="9"/>
        <v>16631815.602549644</v>
      </c>
      <c r="F55" s="55">
        <f>+F8+F54</f>
        <v>8771877.3501843978</v>
      </c>
      <c r="G55" s="55">
        <f t="shared" si="9"/>
        <v>0</v>
      </c>
      <c r="H55" s="55">
        <f t="shared" si="9"/>
        <v>0</v>
      </c>
      <c r="I55" s="55">
        <f t="shared" si="9"/>
        <v>133722.54415457897</v>
      </c>
      <c r="J55" s="55">
        <f t="shared" si="9"/>
        <v>0</v>
      </c>
      <c r="K55" s="55">
        <f t="shared" si="9"/>
        <v>116372.0228721429</v>
      </c>
      <c r="L55" s="55">
        <f t="shared" si="9"/>
        <v>874629.88899775478</v>
      </c>
      <c r="M55" s="55">
        <f t="shared" si="9"/>
        <v>740122.88567286404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12066843.983466864</v>
      </c>
      <c r="Q55" s="55">
        <f t="shared" si="9"/>
        <v>50058246.424729526</v>
      </c>
      <c r="R55" s="55">
        <f t="shared" si="9"/>
        <v>439025.88451000012</v>
      </c>
      <c r="S55" s="55">
        <f t="shared" si="9"/>
        <v>1813105.7903289276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24668552.436255224</v>
      </c>
      <c r="AM55" s="55">
        <f t="shared" si="9"/>
        <v>61864150.595531352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2109719.2290364038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203381.99872400693</v>
      </c>
      <c r="BB55" s="55">
        <f t="shared" si="9"/>
        <v>70430.018219991136</v>
      </c>
      <c r="BC55" s="55">
        <f t="shared" si="9"/>
        <v>268667.36884799862</v>
      </c>
      <c r="BD55" s="55">
        <f t="shared" si="9"/>
        <v>17166.02359998984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4980687.3215980129</v>
      </c>
      <c r="BL55" s="55">
        <f t="shared" si="9"/>
        <v>113518.59933244604</v>
      </c>
      <c r="BM55" s="55">
        <f t="shared" si="9"/>
        <v>1076198.4876871638</v>
      </c>
      <c r="BN55" s="55">
        <f t="shared" si="9"/>
        <v>1226176.7515373817</v>
      </c>
      <c r="BO55" s="55">
        <f t="shared" si="9"/>
        <v>3.4691202304202307E-3</v>
      </c>
      <c r="BP55" s="55">
        <f t="shared" si="9"/>
        <v>257.12021932906549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7258402.124932019</v>
      </c>
      <c r="BU55" s="55">
        <f t="shared" si="10"/>
        <v>30006203.237636194</v>
      </c>
      <c r="BV55" s="55">
        <f t="shared" si="10"/>
        <v>225.44886000000042</v>
      </c>
      <c r="BW55" s="55">
        <f t="shared" si="10"/>
        <v>90883.492990000814</v>
      </c>
      <c r="BX55" s="55">
        <f t="shared" si="10"/>
        <v>12663.664475599246</v>
      </c>
      <c r="BY55" s="55">
        <f t="shared" si="10"/>
        <v>-6530326.1590599995</v>
      </c>
      <c r="BZ55" s="55">
        <f t="shared" si="10"/>
        <v>-43377919.235860012</v>
      </c>
      <c r="CA55" s="55">
        <f t="shared" si="10"/>
        <v>-19942518.354440007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5452.4449999999961</v>
      </c>
      <c r="CF55" s="55">
        <f t="shared" si="10"/>
        <v>-114377.54041000002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13844.959270000458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171161373.5091801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120764725.37253641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100813662.505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58"/>
      <c r="BY61" s="58"/>
      <c r="BZ61" s="56"/>
      <c r="CA61" s="58"/>
      <c r="CD61" s="58"/>
    </row>
    <row r="62" spans="1:101" x14ac:dyDescent="0.3">
      <c r="B62" s="157"/>
      <c r="C62" s="86" t="s">
        <v>152</v>
      </c>
      <c r="D62" s="87">
        <f>CW11+CW15</f>
        <v>2671315.21</v>
      </c>
      <c r="E62" s="67">
        <v>-2254356.5</v>
      </c>
      <c r="F62" s="88" t="s">
        <v>153</v>
      </c>
      <c r="G62" s="90">
        <f>P55</f>
        <v>12066843.983466864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14108433.612068601</v>
      </c>
      <c r="E63" s="67" t="s">
        <v>204</v>
      </c>
      <c r="F63" s="88" t="s">
        <v>155</v>
      </c>
      <c r="G63" s="90">
        <f>R55</f>
        <v>439025.88451000012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534750.19999999995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2623740</v>
      </c>
      <c r="E65" s="67" t="s">
        <v>204</v>
      </c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116372022.8721429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12823.845467800002</v>
      </c>
      <c r="E68" s="100" t="s">
        <v>204</v>
      </c>
      <c r="F68" s="104" t="s">
        <v>161</v>
      </c>
      <c r="G68" s="105">
        <f>L55*1000</f>
        <v>874629888.99775481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740122885.67286408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-111056160.3530612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-24955810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-67218553.569000006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-16256000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-2625796.7840612</v>
      </c>
      <c r="E81" s="100"/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203348.63772400693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35.872</v>
      </c>
      <c r="L92" s="138">
        <f>BA50+BA51+BA53+BA40+BA42+BA43+BA45</f>
        <v>-2.5110000000000001</v>
      </c>
      <c r="M92" s="139">
        <f t="shared" si="11"/>
        <v>203381.99872400693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268623.29884799861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47.387</v>
      </c>
      <c r="L98" s="138">
        <f>BC50+BC51+BC53+BC40+BC42+BC43+BC45</f>
        <v>-3.3170000000000002</v>
      </c>
      <c r="M98" s="139">
        <f t="shared" si="11"/>
        <v>268667.36884799862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70418.46621999114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12.422000000000001</v>
      </c>
      <c r="L99" s="138">
        <f>BB50+BB51+BB53+BB40+BB42+BB43+BB45</f>
        <v>-0.87</v>
      </c>
      <c r="M99" s="139">
        <f t="shared" si="11"/>
        <v>70430.018219991151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17163.197599989839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3.0379999999999998</v>
      </c>
      <c r="L104" s="138">
        <f>BD50+BD51+BD53+BD40+BD42+BD43+BD45</f>
        <v>-0.21199999999999999</v>
      </c>
      <c r="M104" s="139">
        <f t="shared" si="11"/>
        <v>17166.02359998984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606442.5827596793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35.872</v>
      </c>
      <c r="L108" s="97">
        <f t="shared" si="12"/>
        <v>-2.5110000000000001</v>
      </c>
      <c r="M108" s="97">
        <f t="shared" si="12"/>
        <v>606475.94375967933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1188637.7819507432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59.808999999999997</v>
      </c>
      <c r="L109" s="97">
        <f t="shared" si="13"/>
        <v>-4.1870000000000003</v>
      </c>
      <c r="M109" s="97">
        <f t="shared" si="13"/>
        <v>1188693.4039507431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382622.00135742821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3.0379999999999998</v>
      </c>
      <c r="L110" s="97">
        <f t="shared" si="14"/>
        <v>-0.21199999999999999</v>
      </c>
      <c r="M110" s="97">
        <f t="shared" si="14"/>
        <v>382624.82735742821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  <mergeCell ref="A9:A29"/>
    <mergeCell ref="D1:BK1"/>
    <mergeCell ref="BL1:BN1"/>
    <mergeCell ref="BR1:CJ1"/>
    <mergeCell ref="CW2:CW4"/>
    <mergeCell ref="A5:A8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18'!D55</f>
        <v>454005.96281994513</v>
      </c>
      <c r="E5" s="18">
        <f>'JUN 18'!E55</f>
        <v>16631815.602549644</v>
      </c>
      <c r="F5" s="18">
        <f>'JUN 18'!F55</f>
        <v>8771877.3501843978</v>
      </c>
      <c r="G5" s="18">
        <f>'JUN 18'!G55</f>
        <v>0</v>
      </c>
      <c r="H5" s="18">
        <f>'JUN 18'!H55</f>
        <v>0</v>
      </c>
      <c r="I5" s="18">
        <f>'JUN 18'!I55</f>
        <v>133722.54415457897</v>
      </c>
      <c r="J5" s="18">
        <f>'JUN 18'!J55</f>
        <v>0</v>
      </c>
      <c r="K5" s="18">
        <f>'JUN 18'!K55</f>
        <v>116372.0228721429</v>
      </c>
      <c r="L5" s="18">
        <f>'JUN 18'!L55</f>
        <v>874629.88899775478</v>
      </c>
      <c r="M5" s="18">
        <f>'JUN 18'!M55</f>
        <v>740122.88567286404</v>
      </c>
      <c r="N5" s="18">
        <f>'JUN 18'!N55</f>
        <v>177265.5199999999</v>
      </c>
      <c r="O5" s="18">
        <f>'JUN 18'!O55</f>
        <v>735425.00813439966</v>
      </c>
      <c r="P5" s="18">
        <f>'JUN 18'!P55</f>
        <v>12066843.983466864</v>
      </c>
      <c r="Q5" s="18">
        <f>'JUN 18'!Q55</f>
        <v>50058246.424729526</v>
      </c>
      <c r="R5" s="18">
        <f>'JUN 18'!R55</f>
        <v>439025.88451000012</v>
      </c>
      <c r="S5" s="18">
        <f>'JUN 18'!S55</f>
        <v>1813105.7903289276</v>
      </c>
      <c r="T5" s="18">
        <f>'JUN 18'!T55</f>
        <v>0</v>
      </c>
      <c r="U5" s="18">
        <f>'JUN 18'!U55</f>
        <v>0</v>
      </c>
      <c r="V5" s="18">
        <f>'JUN 18'!V55</f>
        <v>0</v>
      </c>
      <c r="W5" s="18">
        <f>'JUN 18'!W55</f>
        <v>0</v>
      </c>
      <c r="X5" s="18">
        <f>'JUN 18'!X55</f>
        <v>0</v>
      </c>
      <c r="Y5" s="18">
        <f>'JUN 18'!Y55</f>
        <v>0</v>
      </c>
      <c r="Z5" s="18">
        <f>'JUN 18'!Z55</f>
        <v>9662.5274983807467</v>
      </c>
      <c r="AA5" s="18">
        <f>'JUN 18'!AA55</f>
        <v>40087.12108308218</v>
      </c>
      <c r="AB5" s="18">
        <f>'JUN 18'!AB55</f>
        <v>7542.7499999967404</v>
      </c>
      <c r="AC5" s="18">
        <f>'JUN 18'!AC55</f>
        <v>31292.757779986478</v>
      </c>
      <c r="AD5" s="18">
        <f>'JUN 18'!AD55</f>
        <v>5155</v>
      </c>
      <c r="AE5" s="18">
        <f>'JUN 18'!AE55</f>
        <v>21386.651600000001</v>
      </c>
      <c r="AF5" s="18">
        <f>'JUN 18'!AF55</f>
        <v>7956.8699999451637</v>
      </c>
      <c r="AG5" s="18">
        <f>'JUN 18'!AG55</f>
        <v>33010.825706172502</v>
      </c>
      <c r="AH5" s="18">
        <f>'JUN 18'!AH55</f>
        <v>118215.98999999718</v>
      </c>
      <c r="AI5" s="18">
        <f>'JUN 18'!AI55</f>
        <v>490445.04203278833</v>
      </c>
      <c r="AJ5" s="18">
        <f>'JUN 18'!AJ55</f>
        <v>674466.83999999822</v>
      </c>
      <c r="AK5" s="18">
        <f>'JUN 18'!AK55</f>
        <v>2798174.0684447926</v>
      </c>
      <c r="AL5" s="18">
        <f>'JUN 18'!AL55</f>
        <v>24668552.436255224</v>
      </c>
      <c r="AM5" s="18">
        <f>'JUN 18'!AM55</f>
        <v>61864150.595531352</v>
      </c>
      <c r="AN5" s="18">
        <f>'JUN 18'!AN55</f>
        <v>6276507.6901499992</v>
      </c>
      <c r="AO5" s="18">
        <f>'JUN 18'!AO55</f>
        <v>1091269.40043144</v>
      </c>
      <c r="AP5" s="18">
        <f>'JUN 18'!AP55</f>
        <v>5285267.3108801506</v>
      </c>
      <c r="AQ5" s="18">
        <f>'JUN 18'!AQ55</f>
        <v>2109719.2290364038</v>
      </c>
      <c r="AR5" s="18">
        <f>'JUN 18'!AR55</f>
        <v>33846.145451993005</v>
      </c>
      <c r="AS5" s="18">
        <f>'JUN 18'!AS55</f>
        <v>6.2909079996137462</v>
      </c>
      <c r="AT5" s="18">
        <f>'JUN 18'!AT55</f>
        <v>11.244432002509914</v>
      </c>
      <c r="AU5" s="18">
        <f>'JUN 18'!AU55</f>
        <v>70745.806203997287</v>
      </c>
      <c r="AV5" s="18">
        <f>'JUN 18'!AV55</f>
        <v>525146.68653480266</v>
      </c>
      <c r="AW5" s="18">
        <f>'JUN 18'!AW55</f>
        <v>86119.091979996796</v>
      </c>
      <c r="AX5" s="18">
        <f>'JUN 18'!AX55</f>
        <v>1047.2966740010875</v>
      </c>
      <c r="AY5" s="18">
        <f>'JUN 18'!AY55</f>
        <v>61411.100279998158</v>
      </c>
      <c r="AZ5" s="18">
        <f>'JUN 18'!AZ55</f>
        <v>23389.865177323234</v>
      </c>
      <c r="BA5" s="18">
        <f>'JUN 18'!BA55</f>
        <v>203381.99872400693</v>
      </c>
      <c r="BB5" s="18">
        <f>'JUN 18'!BB55</f>
        <v>70430.018219991136</v>
      </c>
      <c r="BC5" s="18">
        <f>'JUN 18'!BC55</f>
        <v>268667.36884799862</v>
      </c>
      <c r="BD5" s="18">
        <f>'JUN 18'!BD55</f>
        <v>17166.02359998984</v>
      </c>
      <c r="BE5" s="18">
        <f>'JUN 18'!BE55</f>
        <v>256596.93928368055</v>
      </c>
      <c r="BF5" s="18">
        <f>'JUN 18'!BF55</f>
        <v>321963.21571035992</v>
      </c>
      <c r="BG5" s="18">
        <f>'JUN 18'!BG55</f>
        <v>35109.526218882762</v>
      </c>
      <c r="BH5" s="18">
        <f>'JUN 18'!BH55</f>
        <v>26531.768320002102</v>
      </c>
      <c r="BI5" s="18">
        <f>'JUN 18'!BI55</f>
        <v>526567.9691583903</v>
      </c>
      <c r="BJ5" s="18">
        <f>'JUN 18'!BJ55</f>
        <v>198192.37105456018</v>
      </c>
      <c r="BK5" s="18">
        <f>'JUN 18'!BK55</f>
        <v>4980687.3215980129</v>
      </c>
      <c r="BL5" s="18">
        <f>'JUN 18'!BL55</f>
        <v>113518.59933244604</v>
      </c>
      <c r="BM5" s="18">
        <f>'JUN 18'!BM55</f>
        <v>1076198.4876871638</v>
      </c>
      <c r="BN5" s="18">
        <f>'JUN 18'!BN55</f>
        <v>1226176.7515373817</v>
      </c>
      <c r="BO5" s="18">
        <f>'JUN 18'!BO55</f>
        <v>3.4691202304202307E-3</v>
      </c>
      <c r="BP5" s="18">
        <f>'JUN 18'!BP55</f>
        <v>257.12021932906549</v>
      </c>
      <c r="BQ5" s="18">
        <f>'JUN 18'!BQ55</f>
        <v>4.0128798844989433E-3</v>
      </c>
      <c r="BR5" s="18">
        <f>'JUN 18'!BR55</f>
        <v>645484.5260000031</v>
      </c>
      <c r="BS5" s="18">
        <f>'JUN 18'!BS55</f>
        <v>2650869.4086606889</v>
      </c>
      <c r="BT5" s="18">
        <f>'JUN 18'!BT55</f>
        <v>7258402.124932019</v>
      </c>
      <c r="BU5" s="18">
        <f>'JUN 18'!BU55</f>
        <v>30006203.237636194</v>
      </c>
      <c r="BV5" s="18">
        <f>'JUN 18'!BV55</f>
        <v>225.44886000000042</v>
      </c>
      <c r="BW5" s="18">
        <f>'JUN 18'!BW55</f>
        <v>90883.492990000814</v>
      </c>
      <c r="BX5" s="18">
        <f>'JUN 18'!BX55</f>
        <v>12663.664475599246</v>
      </c>
      <c r="BY5" s="18">
        <f>'JUN 18'!BY55</f>
        <v>-6530326.1590599995</v>
      </c>
      <c r="BZ5" s="18">
        <f>'JUN 18'!BZ55</f>
        <v>-43377919.235860012</v>
      </c>
      <c r="CA5" s="18">
        <f>'JUN 18'!CA55</f>
        <v>-19942518.354440007</v>
      </c>
      <c r="CB5" s="18">
        <f>'JUN 18'!CB55</f>
        <v>18918.56624</v>
      </c>
      <c r="CC5" s="18">
        <f>'JUN 18'!CC55</f>
        <v>905567.0501799999</v>
      </c>
      <c r="CD5" s="18">
        <f>'JUN 18'!CD55</f>
        <v>0</v>
      </c>
      <c r="CE5" s="18">
        <f>'JUN 18'!CE55</f>
        <v>5452.4449999999961</v>
      </c>
      <c r="CF5" s="18">
        <f>'JUN 18'!CF55</f>
        <v>-114377.54041000002</v>
      </c>
      <c r="CG5" s="18">
        <f>'JUN 18'!CG55</f>
        <v>194020.58999999994</v>
      </c>
      <c r="CH5" s="18">
        <f>'JUN 18'!CH55</f>
        <v>2.9318200000000001</v>
      </c>
      <c r="CI5" s="18">
        <f>'JUN 18'!CI55</f>
        <v>813161.95743999921</v>
      </c>
      <c r="CJ5" s="18">
        <f>'JUN 18'!CJ55</f>
        <v>201938.84803999978</v>
      </c>
      <c r="CK5" s="18">
        <f>'JUN 18'!CK55</f>
        <v>0</v>
      </c>
      <c r="CL5" s="18">
        <f>'JUN 18'!CL55</f>
        <v>0</v>
      </c>
      <c r="CM5" s="18">
        <f>'JUN 18'!CM55</f>
        <v>79545.207070000004</v>
      </c>
      <c r="CN5" s="18">
        <f>'JUN 18'!CN55</f>
        <v>662749.23605000007</v>
      </c>
      <c r="CO5" s="18">
        <f>'JUN 18'!CO55</f>
        <v>736446.43431999965</v>
      </c>
      <c r="CP5" s="18">
        <f>'JUN 18'!CP55</f>
        <v>9152723.6727600005</v>
      </c>
      <c r="CQ5" s="18">
        <f>'JUN 18'!CQ55</f>
        <v>377918.49939999997</v>
      </c>
      <c r="CR5" s="18">
        <f>'JUN 18'!CR55</f>
        <v>13844.959270000458</v>
      </c>
      <c r="CS5" s="18">
        <f>'JUN 18'!CS55</f>
        <v>5010.51</v>
      </c>
      <c r="CT5" s="18">
        <f>'JUN 18'!CT55</f>
        <v>20511.762362899997</v>
      </c>
      <c r="CU5" s="18">
        <f>'JUN 18'!CU55</f>
        <v>5010.51</v>
      </c>
      <c r="CV5" s="18">
        <f>'JUN 18'!CV55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171161373.5091801</v>
      </c>
    </row>
    <row r="6" spans="1:101" s="20" customFormat="1" x14ac:dyDescent="0.3">
      <c r="A6" s="165"/>
      <c r="B6" s="19"/>
      <c r="C6" s="19" t="s">
        <v>91</v>
      </c>
      <c r="D6" s="19">
        <v>4357.43</v>
      </c>
      <c r="E6" s="19">
        <v>10601144.93</v>
      </c>
      <c r="F6" s="19">
        <f>2895654.63+0.01</f>
        <v>2895654.6399999997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-609601.87</v>
      </c>
      <c r="BZ6" s="19">
        <v>-8023833.4900000002</v>
      </c>
      <c r="CA6" s="19">
        <v>-4477838.09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458363.39281994512</v>
      </c>
      <c r="E8" s="18">
        <f t="shared" si="0"/>
        <v>27232960.532549642</v>
      </c>
      <c r="F8" s="18">
        <f t="shared" si="0"/>
        <v>11667531.990184397</v>
      </c>
      <c r="G8" s="18">
        <f t="shared" si="0"/>
        <v>0</v>
      </c>
      <c r="H8" s="18">
        <f t="shared" si="0"/>
        <v>0</v>
      </c>
      <c r="I8" s="18">
        <f t="shared" si="0"/>
        <v>133722.54415457897</v>
      </c>
      <c r="J8" s="18">
        <f t="shared" si="0"/>
        <v>0</v>
      </c>
      <c r="K8" s="18">
        <f t="shared" si="0"/>
        <v>116372.0228721429</v>
      </c>
      <c r="L8" s="18">
        <f t="shared" si="0"/>
        <v>874629.88899775478</v>
      </c>
      <c r="M8" s="18">
        <f t="shared" si="0"/>
        <v>740122.88567286404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12066843.983466864</v>
      </c>
      <c r="Q8" s="18">
        <f t="shared" si="0"/>
        <v>50058246.424729526</v>
      </c>
      <c r="R8" s="18">
        <f t="shared" si="0"/>
        <v>439025.88451000012</v>
      </c>
      <c r="S8" s="18">
        <f t="shared" si="0"/>
        <v>1813105.7903289276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24668552.436255224</v>
      </c>
      <c r="AM8" s="18">
        <f t="shared" si="0"/>
        <v>61864150.595531352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2109719.2290364038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203381.99872400693</v>
      </c>
      <c r="BB8" s="18">
        <f t="shared" si="0"/>
        <v>70430.018219991136</v>
      </c>
      <c r="BC8" s="18">
        <f t="shared" si="0"/>
        <v>268667.36884799862</v>
      </c>
      <c r="BD8" s="18">
        <f t="shared" si="0"/>
        <v>17166.02359998984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4980687.3215980129</v>
      </c>
      <c r="BL8" s="18">
        <f t="shared" si="0"/>
        <v>113518.59933244604</v>
      </c>
      <c r="BM8" s="18">
        <f t="shared" si="0"/>
        <v>1076198.4876871638</v>
      </c>
      <c r="BN8" s="18">
        <f t="shared" si="0"/>
        <v>1226176.7515373817</v>
      </c>
      <c r="BO8" s="18">
        <f t="shared" si="0"/>
        <v>3.4691202304202307E-3</v>
      </c>
      <c r="BP8" s="18">
        <f t="shared" si="0"/>
        <v>257.12021932906549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7258402.124932019</v>
      </c>
      <c r="BU8" s="18">
        <f t="shared" si="1"/>
        <v>30006203.237636194</v>
      </c>
      <c r="BV8" s="18">
        <f t="shared" si="1"/>
        <v>225.44886000000042</v>
      </c>
      <c r="BW8" s="18">
        <f t="shared" si="1"/>
        <v>90883.492990000814</v>
      </c>
      <c r="BX8" s="18">
        <f t="shared" si="1"/>
        <v>12663.664475599246</v>
      </c>
      <c r="BY8" s="18">
        <f>+BY5+BY6+BY7:BZ7</f>
        <v>-7139928.0290599996</v>
      </c>
      <c r="BZ8" s="18">
        <f t="shared" si="1"/>
        <v>-51401752.725860015</v>
      </c>
      <c r="CA8" s="18">
        <f t="shared" si="1"/>
        <v>-24420356.444440007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5452.4449999999961</v>
      </c>
      <c r="CF8" s="18">
        <f t="shared" si="1"/>
        <v>-114377.54041000002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13844.959270000458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171551257.05918011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v>425124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425124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0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-50074504.096000001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-50074504.096000001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45758145.870999999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45758145.870999999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/>
      <c r="E27" s="28"/>
      <c r="F27" s="28"/>
      <c r="G27" s="26"/>
      <c r="H27" s="26"/>
      <c r="I27" s="26"/>
      <c r="J27" s="26"/>
      <c r="K27" s="26"/>
      <c r="L27" s="27">
        <v>1780000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3200000</v>
      </c>
      <c r="CA27" s="26">
        <v>1500000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6480000</v>
      </c>
    </row>
    <row r="28" spans="1:101" x14ac:dyDescent="0.3">
      <c r="A28" s="158"/>
      <c r="B28" s="24" t="s">
        <v>97</v>
      </c>
      <c r="C28" s="25" t="s">
        <v>115</v>
      </c>
      <c r="D28" s="26">
        <v>-4000</v>
      </c>
      <c r="E28" s="26">
        <v>-13509000</v>
      </c>
      <c r="F28" s="28">
        <v>-6150000</v>
      </c>
      <c r="G28" s="26"/>
      <c r="H28" s="26"/>
      <c r="I28" s="26"/>
      <c r="J28" s="26"/>
      <c r="K28" s="28"/>
      <c r="L28" s="27"/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-19663000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>
        <v>2072294.34</v>
      </c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2072294.34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0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v>-624680</v>
      </c>
      <c r="M38" s="38">
        <v>-267720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-892400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f>-1.732-0.01</f>
        <v>-1.742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-2.5110000000000001</v>
      </c>
      <c r="BB50" s="48">
        <v>-0.87</v>
      </c>
      <c r="BC50" s="48">
        <v>-3.3180000000000001</v>
      </c>
      <c r="BD50" s="48">
        <v>-0.21199999999999999</v>
      </c>
      <c r="BE50" s="48"/>
      <c r="BF50" s="48"/>
      <c r="BG50" s="48"/>
      <c r="BH50" s="48"/>
      <c r="BI50" s="48"/>
      <c r="BJ50" s="48"/>
      <c r="BK50" s="48"/>
      <c r="BL50" s="48">
        <v>-1.47</v>
      </c>
      <c r="BM50" s="48">
        <v>-13.936999999999999</v>
      </c>
      <c r="BN50" s="48">
        <v>-15.879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-39.939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-881.50199999999995</v>
      </c>
      <c r="F51" s="47"/>
      <c r="G51" s="48"/>
      <c r="H51" s="48"/>
      <c r="I51" s="48"/>
      <c r="J51" s="48"/>
      <c r="K51" s="47">
        <f>-4.129-0.01</f>
        <v>-4.1389999999999993</v>
      </c>
      <c r="L51" s="47">
        <v>-33.033999999999999</v>
      </c>
      <c r="M51" s="47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-918.67499999999995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24.738659999999999</v>
      </c>
      <c r="J52" s="48"/>
      <c r="K52" s="48"/>
      <c r="L52" s="47"/>
      <c r="M52" s="47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35.878</v>
      </c>
      <c r="BB52" s="48">
        <v>12.423999999999999</v>
      </c>
      <c r="BC52" s="48">
        <f>47.394+0.01</f>
        <v>47.403999999999996</v>
      </c>
      <c r="BD52" s="48">
        <v>3.028</v>
      </c>
      <c r="BE52" s="48"/>
      <c r="BF52" s="48"/>
      <c r="BG52" s="48"/>
      <c r="BH52" s="48"/>
      <c r="BI52" s="48"/>
      <c r="BJ52" s="48"/>
      <c r="BK52" s="48"/>
      <c r="BL52" s="48">
        <v>21.00094</v>
      </c>
      <c r="BM52" s="48">
        <v>199.09672</v>
      </c>
      <c r="BN52" s="48">
        <v>226.84269</v>
      </c>
      <c r="BO52" s="48"/>
      <c r="BP52" s="48">
        <f>47.56/1000</f>
        <v>4.7560000000000005E-2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570.46056999999996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(D10+D13+D16+D17+D33+D38+D47+D30+D51+D35+D26)*4/1000</f>
        <v>0</v>
      </c>
      <c r="E53" s="48">
        <f>(E10+E13+E16+E17+E33+E38+E47+E40+E51+E35)*4/1000</f>
        <v>-3.526008</v>
      </c>
      <c r="F53" s="48">
        <f>(F10+F13+F16+F17+F33+F38+F47+F51+F35)*4/1000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-1.6555999999999998E-2</v>
      </c>
      <c r="L53" s="47">
        <f>(L10+L13+L17+L33+L38+L40+L51+L36+L49)*4/1000</f>
        <v>-2498.852136</v>
      </c>
      <c r="M53" s="47">
        <f>(M10+M13+M17+M33+M38+M40+M51+M36+M49+M16)*4/1000</f>
        <v>-1070.8800000000001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-3573.2746999999999</v>
      </c>
    </row>
    <row r="54" spans="1:101" x14ac:dyDescent="0.3">
      <c r="C54" s="49" t="s">
        <v>141</v>
      </c>
      <c r="D54" s="50">
        <f t="shared" ref="D54:AM54" si="7">SUM(D9:D53)</f>
        <v>-4000</v>
      </c>
      <c r="E54" s="50">
        <f t="shared" si="7"/>
        <v>-13509885.028008001</v>
      </c>
      <c r="F54" s="50">
        <f>SUM(F9:F53)</f>
        <v>-6150000</v>
      </c>
      <c r="G54" s="50">
        <f t="shared" si="7"/>
        <v>0</v>
      </c>
      <c r="H54" s="50">
        <f t="shared" si="7"/>
        <v>0</v>
      </c>
      <c r="I54" s="50">
        <f t="shared" si="7"/>
        <v>22.996659999999999</v>
      </c>
      <c r="J54" s="50">
        <f t="shared" si="7"/>
        <v>0</v>
      </c>
      <c r="K54" s="50">
        <f t="shared" si="7"/>
        <v>-4.1555559999999989</v>
      </c>
      <c r="L54" s="51">
        <f t="shared" si="7"/>
        <v>-666151.77113600133</v>
      </c>
      <c r="M54" s="50">
        <f t="shared" si="7"/>
        <v>-268790.88</v>
      </c>
      <c r="N54" s="50">
        <f t="shared" si="7"/>
        <v>0</v>
      </c>
      <c r="O54" s="50">
        <f t="shared" si="7"/>
        <v>0</v>
      </c>
      <c r="P54" s="50">
        <f t="shared" si="7"/>
        <v>0</v>
      </c>
      <c r="Q54" s="50">
        <f t="shared" si="7"/>
        <v>0</v>
      </c>
      <c r="R54" s="50">
        <f t="shared" si="7"/>
        <v>0</v>
      </c>
      <c r="S54" s="50">
        <f t="shared" si="7"/>
        <v>0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33.366999999999997</v>
      </c>
      <c r="BB54" s="50">
        <f t="shared" si="8"/>
        <v>11.554</v>
      </c>
      <c r="BC54" s="50">
        <f t="shared" si="8"/>
        <v>44.085999999999999</v>
      </c>
      <c r="BD54" s="50">
        <f t="shared" si="8"/>
        <v>2.8159999999999998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19.530940000000001</v>
      </c>
      <c r="BM54" s="50">
        <f t="shared" si="8"/>
        <v>185.15971999999999</v>
      </c>
      <c r="BN54" s="50">
        <f t="shared" si="8"/>
        <v>210.96369000000001</v>
      </c>
      <c r="BO54" s="50">
        <f t="shared" si="8"/>
        <v>0</v>
      </c>
      <c r="BP54" s="50">
        <f t="shared" si="8"/>
        <v>4.7560000000000005E-2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3200000</v>
      </c>
      <c r="CA54" s="50">
        <f t="shared" si="8"/>
        <v>1500000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-15898301.313129999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454363.39281994512</v>
      </c>
      <c r="E55" s="55">
        <f t="shared" si="9"/>
        <v>13723075.504541641</v>
      </c>
      <c r="F55" s="55">
        <f>+F8+F54</f>
        <v>5517531.9901843965</v>
      </c>
      <c r="G55" s="55">
        <f t="shared" si="9"/>
        <v>0</v>
      </c>
      <c r="H55" s="55">
        <f t="shared" si="9"/>
        <v>0</v>
      </c>
      <c r="I55" s="55">
        <f t="shared" si="9"/>
        <v>133745.54081457897</v>
      </c>
      <c r="J55" s="55">
        <f t="shared" si="9"/>
        <v>0</v>
      </c>
      <c r="K55" s="55">
        <f t="shared" si="9"/>
        <v>116367.8673161429</v>
      </c>
      <c r="L55" s="55">
        <f t="shared" si="9"/>
        <v>208478.11786175345</v>
      </c>
      <c r="M55" s="55">
        <f t="shared" si="9"/>
        <v>471332.00567286403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12066843.983466864</v>
      </c>
      <c r="Q55" s="55">
        <f t="shared" si="9"/>
        <v>50058246.424729526</v>
      </c>
      <c r="R55" s="55">
        <f t="shared" si="9"/>
        <v>439025.88451000012</v>
      </c>
      <c r="S55" s="55">
        <f t="shared" si="9"/>
        <v>1813105.7903289276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24668552.436255224</v>
      </c>
      <c r="AM55" s="55">
        <f t="shared" si="9"/>
        <v>61864150.595531352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2109719.2290364038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203415.36572400693</v>
      </c>
      <c r="BB55" s="55">
        <f t="shared" si="9"/>
        <v>70441.57221999114</v>
      </c>
      <c r="BC55" s="55">
        <f t="shared" si="9"/>
        <v>268711.45484799863</v>
      </c>
      <c r="BD55" s="55">
        <f t="shared" si="9"/>
        <v>17168.839599989838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4980687.3215980129</v>
      </c>
      <c r="BL55" s="55">
        <f t="shared" si="9"/>
        <v>113538.13027244604</v>
      </c>
      <c r="BM55" s="55">
        <f t="shared" si="9"/>
        <v>1076383.6474071639</v>
      </c>
      <c r="BN55" s="55">
        <f t="shared" si="9"/>
        <v>1226387.7152273816</v>
      </c>
      <c r="BO55" s="55">
        <f t="shared" si="9"/>
        <v>3.4691202304202307E-3</v>
      </c>
      <c r="BP55" s="55">
        <f t="shared" si="9"/>
        <v>257.16777932906547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7258402.124932019</v>
      </c>
      <c r="BU55" s="55">
        <f t="shared" si="10"/>
        <v>30006203.237636194</v>
      </c>
      <c r="BV55" s="55">
        <f t="shared" si="10"/>
        <v>225.44886000000042</v>
      </c>
      <c r="BW55" s="55">
        <f t="shared" si="10"/>
        <v>90883.492990000814</v>
      </c>
      <c r="BX55" s="55">
        <f t="shared" si="10"/>
        <v>12663.664475599246</v>
      </c>
      <c r="BY55" s="55">
        <f t="shared" si="10"/>
        <v>-7139928.0290599996</v>
      </c>
      <c r="BZ55" s="55">
        <f t="shared" si="10"/>
        <v>-48201752.725860015</v>
      </c>
      <c r="CA55" s="55">
        <f t="shared" si="10"/>
        <v>-22920356.444440007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5452.4449999999961</v>
      </c>
      <c r="CF55" s="55">
        <f t="shared" si="10"/>
        <v>-114377.54041000002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13844.959270000458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155652955.74605012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54735564.211000003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45758145.870999999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58"/>
      <c r="BY61" s="58"/>
      <c r="BZ61" s="56"/>
      <c r="CA61" s="58"/>
      <c r="CD61" s="58"/>
    </row>
    <row r="62" spans="1:101" x14ac:dyDescent="0.3">
      <c r="B62" s="157"/>
      <c r="C62" s="86" t="s">
        <v>152</v>
      </c>
      <c r="D62" s="87">
        <f>CW11+CW15</f>
        <v>425124</v>
      </c>
      <c r="E62" s="67" t="s">
        <v>204</v>
      </c>
      <c r="F62" s="88" t="s">
        <v>153</v>
      </c>
      <c r="G62" s="90">
        <f>P55</f>
        <v>12066843.983466864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6480000</v>
      </c>
      <c r="E63" s="67" t="s">
        <v>204</v>
      </c>
      <c r="F63" s="88" t="s">
        <v>155</v>
      </c>
      <c r="G63" s="90">
        <f>R55</f>
        <v>439025.88451000012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0</v>
      </c>
      <c r="E64" s="67"/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2072294.34</v>
      </c>
      <c r="E66" s="100" t="s">
        <v>204</v>
      </c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116367867.3161429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208478117.86175343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471332005.67286402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-70629904.096000001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0</v>
      </c>
      <c r="E75" s="67"/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-50074504.096000001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-19663000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-892400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203381.99872400693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35.878</v>
      </c>
      <c r="L92" s="138">
        <f>BA50+BA51+BA53+BA40+BA42+BA43+BA45</f>
        <v>-2.5110000000000001</v>
      </c>
      <c r="M92" s="139">
        <f t="shared" si="11"/>
        <v>203415.36572400693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268667.36884799862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47.403999999999996</v>
      </c>
      <c r="L98" s="138">
        <f>BC50+BC51+BC53+BC40+BC42+BC43+BC45</f>
        <v>-3.3180000000000001</v>
      </c>
      <c r="M98" s="139">
        <f t="shared" si="11"/>
        <v>268711.45484799857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70430.018219991136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12.423999999999999</v>
      </c>
      <c r="L99" s="138">
        <f>BB50+BB51+BB53+BB40+BB42+BB43+BB45</f>
        <v>-0.87</v>
      </c>
      <c r="M99" s="139">
        <f t="shared" si="11"/>
        <v>70441.57221999114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17166.02359998984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3.028</v>
      </c>
      <c r="L104" s="138">
        <f>BD50+BD51+BD53+BD40+BD42+BD43+BD45</f>
        <v>-0.21199999999999999</v>
      </c>
      <c r="M104" s="139">
        <f t="shared" si="11"/>
        <v>17168.839599989838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606475.94375967933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35.878</v>
      </c>
      <c r="L108" s="97">
        <f t="shared" si="12"/>
        <v>-2.5110000000000001</v>
      </c>
      <c r="M108" s="97">
        <f t="shared" si="12"/>
        <v>606509.3107596793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1188693.4039507431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59.827999999999996</v>
      </c>
      <c r="L109" s="97">
        <f t="shared" si="13"/>
        <v>-4.1879999999999997</v>
      </c>
      <c r="M109" s="97">
        <f t="shared" si="13"/>
        <v>1188749.043950743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382624.82735742821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3.028</v>
      </c>
      <c r="L110" s="97">
        <f t="shared" si="14"/>
        <v>-0.21199999999999999</v>
      </c>
      <c r="M110" s="97">
        <f t="shared" si="14"/>
        <v>382627.6433574282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A9:A29"/>
    <mergeCell ref="D1:BK1"/>
    <mergeCell ref="BL1:BN1"/>
    <mergeCell ref="BR1:CJ1"/>
    <mergeCell ref="CW2:CW4"/>
    <mergeCell ref="A5:A8"/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19'!D55</f>
        <v>454363.39281994512</v>
      </c>
      <c r="E5" s="18">
        <f>'JUN 19'!E55</f>
        <v>13723075.504541641</v>
      </c>
      <c r="F5" s="18">
        <f>'JUN 19'!F55</f>
        <v>5517531.9901843965</v>
      </c>
      <c r="G5" s="18">
        <f>'JUN 19'!G55</f>
        <v>0</v>
      </c>
      <c r="H5" s="18">
        <f>'JUN 19'!H55</f>
        <v>0</v>
      </c>
      <c r="I5" s="18">
        <f>'JUN 19'!I55</f>
        <v>133745.54081457897</v>
      </c>
      <c r="J5" s="18">
        <f>'JUN 19'!J55</f>
        <v>0</v>
      </c>
      <c r="K5" s="18">
        <f>'JUN 19'!K55</f>
        <v>116367.8673161429</v>
      </c>
      <c r="L5" s="18">
        <f>'JUN 19'!L55</f>
        <v>208478.11786175345</v>
      </c>
      <c r="M5" s="18">
        <f>'JUN 19'!M55</f>
        <v>471332.00567286403</v>
      </c>
      <c r="N5" s="18">
        <f>'JUN 19'!N55</f>
        <v>177265.5199999999</v>
      </c>
      <c r="O5" s="18">
        <f>'JUN 19'!O55</f>
        <v>735425.00813439966</v>
      </c>
      <c r="P5" s="18">
        <f>'JUN 19'!P55</f>
        <v>12066843.983466864</v>
      </c>
      <c r="Q5" s="18">
        <f>'JUN 19'!Q55</f>
        <v>50058246.424729526</v>
      </c>
      <c r="R5" s="18">
        <f>'JUN 19'!R55</f>
        <v>439025.88451000012</v>
      </c>
      <c r="S5" s="18">
        <f>'JUN 19'!S55</f>
        <v>1813105.7903289276</v>
      </c>
      <c r="T5" s="18">
        <f>'JUN 19'!T55</f>
        <v>0</v>
      </c>
      <c r="U5" s="18">
        <f>'JUN 19'!U55</f>
        <v>0</v>
      </c>
      <c r="V5" s="18">
        <f>'JUN 19'!V55</f>
        <v>0</v>
      </c>
      <c r="W5" s="18">
        <f>'JUN 19'!W55</f>
        <v>0</v>
      </c>
      <c r="X5" s="18">
        <f>'JUN 19'!X55</f>
        <v>0</v>
      </c>
      <c r="Y5" s="18">
        <f>'JUN 19'!Y55</f>
        <v>0</v>
      </c>
      <c r="Z5" s="18">
        <f>'JUN 19'!Z55</f>
        <v>9662.5274983807467</v>
      </c>
      <c r="AA5" s="18">
        <f>'JUN 19'!AA55</f>
        <v>40087.12108308218</v>
      </c>
      <c r="AB5" s="18">
        <f>'JUN 19'!AB55</f>
        <v>7542.7499999967404</v>
      </c>
      <c r="AC5" s="18">
        <f>'JUN 19'!AC55</f>
        <v>31292.757779986478</v>
      </c>
      <c r="AD5" s="18">
        <f>'JUN 19'!AD55</f>
        <v>5155</v>
      </c>
      <c r="AE5" s="18">
        <f>'JUN 19'!AE55</f>
        <v>21386.651600000001</v>
      </c>
      <c r="AF5" s="18">
        <f>'JUN 19'!AF55</f>
        <v>7956.8699999451637</v>
      </c>
      <c r="AG5" s="18">
        <f>'JUN 19'!AG55</f>
        <v>33010.825706172502</v>
      </c>
      <c r="AH5" s="18">
        <f>'JUN 19'!AH55</f>
        <v>118215.98999999718</v>
      </c>
      <c r="AI5" s="18">
        <f>'JUN 19'!AI55</f>
        <v>490445.04203278833</v>
      </c>
      <c r="AJ5" s="18">
        <f>'JUN 19'!AJ55</f>
        <v>674466.83999999822</v>
      </c>
      <c r="AK5" s="18">
        <f>'JUN 19'!AK55</f>
        <v>2798174.0684447926</v>
      </c>
      <c r="AL5" s="18">
        <f>'JUN 19'!AL55</f>
        <v>24668552.436255224</v>
      </c>
      <c r="AM5" s="18">
        <f>'JUN 19'!AM55</f>
        <v>61864150.595531352</v>
      </c>
      <c r="AN5" s="18">
        <f>'JUN 19'!AN55</f>
        <v>6276507.6901499992</v>
      </c>
      <c r="AO5" s="18">
        <f>'JUN 19'!AO55</f>
        <v>1091269.40043144</v>
      </c>
      <c r="AP5" s="18">
        <f>'JUN 19'!AP55</f>
        <v>5285267.3108801506</v>
      </c>
      <c r="AQ5" s="18">
        <f>'JUN 19'!AQ55</f>
        <v>2109719.2290364038</v>
      </c>
      <c r="AR5" s="18">
        <f>'JUN 19'!AR55</f>
        <v>33846.145451993005</v>
      </c>
      <c r="AS5" s="18">
        <f>'JUN 19'!AS55</f>
        <v>6.2909079996137462</v>
      </c>
      <c r="AT5" s="18">
        <f>'JUN 19'!AT55</f>
        <v>11.244432002509914</v>
      </c>
      <c r="AU5" s="18">
        <f>'JUN 19'!AU55</f>
        <v>70745.806203997287</v>
      </c>
      <c r="AV5" s="18">
        <f>'JUN 19'!AV55</f>
        <v>525146.68653480266</v>
      </c>
      <c r="AW5" s="18">
        <f>'JUN 19'!AW55</f>
        <v>86119.091979996796</v>
      </c>
      <c r="AX5" s="18">
        <f>'JUN 19'!AX55</f>
        <v>1047.2966740010875</v>
      </c>
      <c r="AY5" s="18">
        <f>'JUN 19'!AY55</f>
        <v>61411.100279998158</v>
      </c>
      <c r="AZ5" s="18">
        <f>'JUN 19'!AZ55</f>
        <v>23389.865177323234</v>
      </c>
      <c r="BA5" s="18">
        <f>'JUN 19'!BA55</f>
        <v>203415.36572400693</v>
      </c>
      <c r="BB5" s="18">
        <f>'JUN 19'!BB55</f>
        <v>70441.57221999114</v>
      </c>
      <c r="BC5" s="18">
        <f>'JUN 19'!BC55</f>
        <v>268711.45484799863</v>
      </c>
      <c r="BD5" s="18">
        <f>'JUN 19'!BD55</f>
        <v>17168.839599989838</v>
      </c>
      <c r="BE5" s="18">
        <f>'JUN 19'!BE55</f>
        <v>256596.93928368055</v>
      </c>
      <c r="BF5" s="18">
        <f>'JUN 19'!BF55</f>
        <v>321963.21571035992</v>
      </c>
      <c r="BG5" s="18">
        <f>'JUN 19'!BG55</f>
        <v>35109.526218882762</v>
      </c>
      <c r="BH5" s="18">
        <f>'JUN 19'!BH55</f>
        <v>26531.768320002102</v>
      </c>
      <c r="BI5" s="18">
        <f>'JUN 19'!BI55</f>
        <v>526567.9691583903</v>
      </c>
      <c r="BJ5" s="18">
        <f>'JUN 19'!BJ55</f>
        <v>198192.37105456018</v>
      </c>
      <c r="BK5" s="18">
        <f>'JUN 19'!BK55</f>
        <v>4980687.3215980129</v>
      </c>
      <c r="BL5" s="18">
        <f>'JUN 19'!BL55</f>
        <v>113538.13027244604</v>
      </c>
      <c r="BM5" s="18">
        <f>'JUN 19'!BM55</f>
        <v>1076383.6474071639</v>
      </c>
      <c r="BN5" s="18">
        <f>'JUN 19'!BN55</f>
        <v>1226387.7152273816</v>
      </c>
      <c r="BO5" s="18">
        <f>'JUN 19'!BO55</f>
        <v>3.4691202304202307E-3</v>
      </c>
      <c r="BP5" s="18">
        <f>'JUN 19'!BP55</f>
        <v>257.16777932906547</v>
      </c>
      <c r="BQ5" s="18">
        <f>'JUN 19'!BQ55</f>
        <v>4.0128798844989433E-3</v>
      </c>
      <c r="BR5" s="18">
        <f>'JUN 19'!BR55</f>
        <v>645484.5260000031</v>
      </c>
      <c r="BS5" s="18">
        <f>'JUN 19'!BS55</f>
        <v>2650869.4086606889</v>
      </c>
      <c r="BT5" s="18">
        <f>'JUN 19'!BT55</f>
        <v>7258402.124932019</v>
      </c>
      <c r="BU5" s="18">
        <f>'JUN 19'!BU55</f>
        <v>30006203.237636194</v>
      </c>
      <c r="BV5" s="18">
        <f>'JUN 19'!BV55</f>
        <v>225.44886000000042</v>
      </c>
      <c r="BW5" s="18">
        <f>'JUN 19'!BW55</f>
        <v>90883.492990000814</v>
      </c>
      <c r="BX5" s="18">
        <f>'JUN 19'!BX55</f>
        <v>12663.664475599246</v>
      </c>
      <c r="BY5" s="18">
        <f>'JUN 19'!BY55</f>
        <v>-7139928.0290599996</v>
      </c>
      <c r="BZ5" s="18">
        <f>'JUN 19'!BZ55</f>
        <v>-48201752.725860015</v>
      </c>
      <c r="CA5" s="18">
        <f>'JUN 19'!CA55</f>
        <v>-22920356.444440007</v>
      </c>
      <c r="CB5" s="18">
        <f>'JUN 19'!CB55</f>
        <v>18918.56624</v>
      </c>
      <c r="CC5" s="18">
        <f>'JUN 19'!CC55</f>
        <v>905567.0501799999</v>
      </c>
      <c r="CD5" s="18">
        <f>'JUN 19'!CD55</f>
        <v>0</v>
      </c>
      <c r="CE5" s="18">
        <f>'JUN 19'!CE55</f>
        <v>5452.4449999999961</v>
      </c>
      <c r="CF5" s="18">
        <f>'JUN 19'!CF55</f>
        <v>-114377.54041000002</v>
      </c>
      <c r="CG5" s="18">
        <f>'JUN 19'!CG55</f>
        <v>194020.58999999994</v>
      </c>
      <c r="CH5" s="18">
        <f>'JUN 19'!CH55</f>
        <v>2.9318200000000001</v>
      </c>
      <c r="CI5" s="18">
        <f>'JUN 19'!CI55</f>
        <v>813161.95743999921</v>
      </c>
      <c r="CJ5" s="18">
        <f>'JUN 19'!CJ55</f>
        <v>201938.84803999978</v>
      </c>
      <c r="CK5" s="18">
        <f>'JUN 19'!CK55</f>
        <v>0</v>
      </c>
      <c r="CL5" s="18">
        <f>'JUN 19'!CL55</f>
        <v>0</v>
      </c>
      <c r="CM5" s="18">
        <f>'JUN 19'!CM55</f>
        <v>79545.207070000004</v>
      </c>
      <c r="CN5" s="18">
        <f>'JUN 19'!CN55</f>
        <v>662749.23605000007</v>
      </c>
      <c r="CO5" s="18">
        <f>'JUN 19'!CO55</f>
        <v>736446.43431999965</v>
      </c>
      <c r="CP5" s="18">
        <f>'JUN 19'!CP55</f>
        <v>9152723.6727600005</v>
      </c>
      <c r="CQ5" s="18">
        <f>'JUN 19'!CQ55</f>
        <v>377918.49939999997</v>
      </c>
      <c r="CR5" s="18">
        <f>'JUN 19'!CR55</f>
        <v>13844.959270000458</v>
      </c>
      <c r="CS5" s="18">
        <f>'JUN 19'!CS55</f>
        <v>5010.51</v>
      </c>
      <c r="CT5" s="18">
        <f>'JUN 19'!CT55</f>
        <v>20511.762362899997</v>
      </c>
      <c r="CU5" s="18">
        <f>'JUN 19'!CU55</f>
        <v>5010.51</v>
      </c>
      <c r="CV5" s="18">
        <f>'JUN 19'!CV55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155652955.74605012</v>
      </c>
    </row>
    <row r="6" spans="1:101" s="20" customFormat="1" x14ac:dyDescent="0.3">
      <c r="A6" s="165"/>
      <c r="B6" s="19"/>
      <c r="C6" s="19" t="s">
        <v>91</v>
      </c>
      <c r="D6" s="19">
        <v>-49141.33</v>
      </c>
      <c r="E6" s="19">
        <f>-17518713.53-0.01</f>
        <v>-17518713.540000003</v>
      </c>
      <c r="F6" s="19">
        <v>2237790.87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-601179.31999999995</v>
      </c>
      <c r="BZ6" s="19">
        <v>-6694490.1399999997</v>
      </c>
      <c r="CA6" s="19">
        <v>-6360294.0899999999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405222.0628199451</v>
      </c>
      <c r="E8" s="18">
        <f t="shared" si="0"/>
        <v>-3795638.0354583617</v>
      </c>
      <c r="F8" s="18">
        <f t="shared" si="0"/>
        <v>7755322.8601843966</v>
      </c>
      <c r="G8" s="18">
        <f t="shared" si="0"/>
        <v>0</v>
      </c>
      <c r="H8" s="18">
        <f t="shared" si="0"/>
        <v>0</v>
      </c>
      <c r="I8" s="18">
        <f t="shared" si="0"/>
        <v>133745.54081457897</v>
      </c>
      <c r="J8" s="18">
        <f t="shared" si="0"/>
        <v>0</v>
      </c>
      <c r="K8" s="18">
        <f t="shared" si="0"/>
        <v>116367.8673161429</v>
      </c>
      <c r="L8" s="18">
        <f t="shared" si="0"/>
        <v>208478.11786175345</v>
      </c>
      <c r="M8" s="18">
        <f t="shared" si="0"/>
        <v>471332.00567286403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12066843.983466864</v>
      </c>
      <c r="Q8" s="18">
        <f t="shared" si="0"/>
        <v>50058246.424729526</v>
      </c>
      <c r="R8" s="18">
        <f t="shared" si="0"/>
        <v>439025.88451000012</v>
      </c>
      <c r="S8" s="18">
        <f t="shared" si="0"/>
        <v>1813105.7903289276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24668552.436255224</v>
      </c>
      <c r="AM8" s="18">
        <f t="shared" si="0"/>
        <v>61864150.595531352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2109719.2290364038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203415.36572400693</v>
      </c>
      <c r="BB8" s="18">
        <f t="shared" si="0"/>
        <v>70441.57221999114</v>
      </c>
      <c r="BC8" s="18">
        <f t="shared" si="0"/>
        <v>268711.45484799863</v>
      </c>
      <c r="BD8" s="18">
        <f t="shared" si="0"/>
        <v>17168.839599989838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4980687.3215980129</v>
      </c>
      <c r="BL8" s="18">
        <f t="shared" si="0"/>
        <v>113538.13027244604</v>
      </c>
      <c r="BM8" s="18">
        <f t="shared" si="0"/>
        <v>1076383.6474071639</v>
      </c>
      <c r="BN8" s="18">
        <f t="shared" si="0"/>
        <v>1226387.7152273816</v>
      </c>
      <c r="BO8" s="18">
        <f t="shared" si="0"/>
        <v>3.4691202304202307E-3</v>
      </c>
      <c r="BP8" s="18">
        <f t="shared" si="0"/>
        <v>257.16777932906547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7258402.124932019</v>
      </c>
      <c r="BU8" s="18">
        <f t="shared" si="1"/>
        <v>30006203.237636194</v>
      </c>
      <c r="BV8" s="18">
        <f t="shared" si="1"/>
        <v>225.44886000000042</v>
      </c>
      <c r="BW8" s="18">
        <f t="shared" si="1"/>
        <v>90883.492990000814</v>
      </c>
      <c r="BX8" s="18">
        <f t="shared" si="1"/>
        <v>12663.664475599246</v>
      </c>
      <c r="BY8" s="18">
        <f>+BY5+BY6+BY7:BZ7</f>
        <v>-7741107.3490599999</v>
      </c>
      <c r="BZ8" s="18">
        <f t="shared" si="1"/>
        <v>-54896242.865860015</v>
      </c>
      <c r="CA8" s="18">
        <f t="shared" si="1"/>
        <v>-29280650.534440007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5452.4449999999961</v>
      </c>
      <c r="CF8" s="18">
        <f t="shared" si="1"/>
        <v>-114377.54041000002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13844.959270000458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126666928.19605005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/>
      <c r="M11" s="26"/>
      <c r="N11" s="26"/>
      <c r="O11" s="26"/>
      <c r="P11" s="26">
        <v>4800</v>
      </c>
      <c r="Q11" s="26">
        <f>(P11*4076.32)/1000</f>
        <v>19566.335999999999</v>
      </c>
      <c r="R11" s="26">
        <v>1440</v>
      </c>
      <c r="S11" s="26">
        <f>(R11*4076.32)/1000</f>
        <v>5869.9007999999994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25436.236799999999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5000000</v>
      </c>
      <c r="Q12" s="26">
        <f>(P12*4076.32)/1000</f>
        <v>20381600</v>
      </c>
      <c r="R12" s="26">
        <v>1500000</v>
      </c>
      <c r="S12" s="26">
        <f>(R12*4076.32)/1000</f>
        <v>6114480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26496080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v>-5000000</v>
      </c>
      <c r="Q19" s="26">
        <f>(P19*4076.32)/1000</f>
        <v>-20381600</v>
      </c>
      <c r="R19" s="26">
        <v>-1500000</v>
      </c>
      <c r="S19" s="26">
        <f>(R19*4076.32)/1000</f>
        <v>-6114480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-26496080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-77346721.061000004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-77346721.061000004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74440433.548999995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74440433.548999995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>
        <v>-232089.87</v>
      </c>
      <c r="Q26" s="26">
        <f>(P26*4076.32)/1000</f>
        <v>-946072.57887839992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>
        <v>-29847.22</v>
      </c>
      <c r="AI26" s="26">
        <f>(AH26*4076.32)/1000</f>
        <v>-121666.81983040001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-1067739.3987087999</v>
      </c>
    </row>
    <row r="27" spans="1:101" x14ac:dyDescent="0.3">
      <c r="A27" s="158"/>
      <c r="B27" s="24" t="s">
        <v>95</v>
      </c>
      <c r="C27" s="25" t="s">
        <v>114</v>
      </c>
      <c r="D27" s="26">
        <v>48000</v>
      </c>
      <c r="E27" s="28">
        <v>17259000</v>
      </c>
      <c r="F27" s="28">
        <v>3977000</v>
      </c>
      <c r="G27" s="26"/>
      <c r="H27" s="26"/>
      <c r="I27" s="26"/>
      <c r="J27" s="26"/>
      <c r="K27" s="26"/>
      <c r="L27" s="27">
        <v>2900000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3000000</v>
      </c>
      <c r="CA27" s="26">
        <v>3900000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31084000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/>
      <c r="F28" s="28"/>
      <c r="G28" s="26"/>
      <c r="H28" s="26"/>
      <c r="I28" s="26"/>
      <c r="J28" s="26"/>
      <c r="K28" s="28"/>
      <c r="L28" s="27"/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420000+1570000-1080000+2630000</f>
        <v>3540000</v>
      </c>
      <c r="Q35" s="37">
        <f>(P35*4076.32)/1000</f>
        <v>14430172.800000001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14430172.800000001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/>
      <c r="M38" s="38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-1.732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f>-2.513-2.513-2.512-2.512</f>
        <v>-10.050000000000001</v>
      </c>
      <c r="BB50" s="48">
        <f>-0.87-0.87-0.87-0.87</f>
        <v>-3.48</v>
      </c>
      <c r="BC50" s="48">
        <f>-3.32-3.319-3.319-3.318</f>
        <v>-13.275999999999998</v>
      </c>
      <c r="BD50" s="48">
        <f>-0.212-0.212-0.212-0.212</f>
        <v>-0.84799999999999998</v>
      </c>
      <c r="BE50" s="48"/>
      <c r="BF50" s="48"/>
      <c r="BG50" s="48"/>
      <c r="BH50" s="48"/>
      <c r="BI50" s="48"/>
      <c r="BJ50" s="48"/>
      <c r="BK50" s="48"/>
      <c r="BL50" s="48">
        <v>-1.47</v>
      </c>
      <c r="BM50" s="48">
        <v>-13.939</v>
      </c>
      <c r="BN50" s="48">
        <v>-15.882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-60.676999999999992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-878.48500000000001</v>
      </c>
      <c r="F51" s="47"/>
      <c r="G51" s="48"/>
      <c r="H51" s="48"/>
      <c r="I51" s="48"/>
      <c r="J51" s="48"/>
      <c r="K51" s="47"/>
      <c r="L51" s="47">
        <v>-20.646000000000001</v>
      </c>
      <c r="M51" s="47">
        <f>-4.129+0.01</f>
        <v>-4.1189999999999998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>
        <f>-50-3.5</f>
        <v>-53.5</v>
      </c>
      <c r="AI51" s="48">
        <f>(AH51*4076.32)/1000</f>
        <v>-218.08312000000001</v>
      </c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-1121.33312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24.742920000000002</v>
      </c>
      <c r="J52" s="48"/>
      <c r="K52" s="48"/>
      <c r="L52" s="47"/>
      <c r="M52" s="47"/>
      <c r="N52" s="48"/>
      <c r="O52" s="48"/>
      <c r="P52" s="48"/>
      <c r="Q52" s="48"/>
      <c r="R52" s="48">
        <v>66.819999999999993</v>
      </c>
      <c r="S52" s="48">
        <f>(R52*4076.32)/1000</f>
        <v>272.37970239999999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f>35.901+35.895+35.889+35.884+0.01</f>
        <v>143.57900000000001</v>
      </c>
      <c r="BB52" s="48">
        <f>12.432+12.43+12.428+12.426</f>
        <v>49.716000000000008</v>
      </c>
      <c r="BC52" s="48">
        <f>47.425+47.418+47.41+47.402</f>
        <v>189.65499999999997</v>
      </c>
      <c r="BD52" s="48">
        <f>3.03+3.03+3.029+3.029</f>
        <v>12.117999999999999</v>
      </c>
      <c r="BE52" s="48"/>
      <c r="BF52" s="48"/>
      <c r="BG52" s="48"/>
      <c r="BH52" s="48"/>
      <c r="BI52" s="48"/>
      <c r="BJ52" s="48"/>
      <c r="BK52" s="48"/>
      <c r="BL52" s="48">
        <f>21.00455+0.01</f>
        <v>21.01455</v>
      </c>
      <c r="BM52" s="48">
        <f>199.13097+0.01</f>
        <v>199.14096999999998</v>
      </c>
      <c r="BN52" s="48">
        <f>226.88172+0.01</f>
        <v>226.89171999999999</v>
      </c>
      <c r="BO52" s="48"/>
      <c r="BP52" s="48">
        <f>47.57/1000-0.01</f>
        <v>3.7569999999999999E-2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1139.2754324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(D10+D13+D16+D17+D33+D38+D47+D30+D51+D35+D26)*4/1000</f>
        <v>0</v>
      </c>
      <c r="E53" s="48">
        <f>(E10+E13+E16+E17+E33+E38+E47+E40+E51+E35)*4/1000</f>
        <v>-3.5139399999999998</v>
      </c>
      <c r="F53" s="48">
        <f>(F10+F13+F16+F17+F33+F38+F47+F51+F35)*4/1000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-8.2584000000000005E-2</v>
      </c>
      <c r="M53" s="47">
        <f>(M10+M13+M17+M33+M38+M40+M51+M36+M49+M16)*4/1000</f>
        <v>-1.6475999999999998E-2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G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>(AH10+AH13+AH16+AH17+AH33+AH38+AH40+AH47)*4/1000</f>
        <v>0</v>
      </c>
      <c r="AI53" s="48">
        <f>(AI10+AI13+AI16+AI17+AI33+AI38+AI40+AI47)*4/1000</f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-3.613</v>
      </c>
    </row>
    <row r="54" spans="1:101" x14ac:dyDescent="0.3">
      <c r="C54" s="49" t="s">
        <v>141</v>
      </c>
      <c r="D54" s="50">
        <f t="shared" ref="D54:AM54" si="7">SUM(D9:D53)</f>
        <v>48000</v>
      </c>
      <c r="E54" s="50">
        <f t="shared" si="7"/>
        <v>17258118.001060002</v>
      </c>
      <c r="F54" s="50">
        <f>SUM(F9:F53)</f>
        <v>3977000</v>
      </c>
      <c r="G54" s="50">
        <f t="shared" si="7"/>
        <v>0</v>
      </c>
      <c r="H54" s="50">
        <f t="shared" si="7"/>
        <v>0</v>
      </c>
      <c r="I54" s="50">
        <f t="shared" si="7"/>
        <v>23.010920000000002</v>
      </c>
      <c r="J54" s="50">
        <f t="shared" si="7"/>
        <v>0</v>
      </c>
      <c r="K54" s="50">
        <f t="shared" si="7"/>
        <v>0</v>
      </c>
      <c r="L54" s="51">
        <f t="shared" si="7"/>
        <v>-6308.240584009417</v>
      </c>
      <c r="M54" s="50">
        <f t="shared" si="7"/>
        <v>-4.1354759999999997</v>
      </c>
      <c r="N54" s="50">
        <f t="shared" si="7"/>
        <v>0</v>
      </c>
      <c r="O54" s="50">
        <f t="shared" si="7"/>
        <v>0</v>
      </c>
      <c r="P54" s="50">
        <f t="shared" si="7"/>
        <v>3312710.13</v>
      </c>
      <c r="Q54" s="50">
        <f t="shared" si="7"/>
        <v>13503666.557121601</v>
      </c>
      <c r="R54" s="50">
        <f t="shared" si="7"/>
        <v>1506.82</v>
      </c>
      <c r="S54" s="50">
        <f t="shared" si="7"/>
        <v>6142.2805023999445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-29900.720000000001</v>
      </c>
      <c r="AI54" s="50">
        <f t="shared" si="7"/>
        <v>-121884.90295040001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133.529</v>
      </c>
      <c r="BB54" s="50">
        <f t="shared" si="8"/>
        <v>46.236000000000011</v>
      </c>
      <c r="BC54" s="50">
        <f t="shared" si="8"/>
        <v>176.37899999999996</v>
      </c>
      <c r="BD54" s="50">
        <f t="shared" si="8"/>
        <v>11.269999999999998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19.544550000000001</v>
      </c>
      <c r="BM54" s="50">
        <f t="shared" si="8"/>
        <v>185.20196999999999</v>
      </c>
      <c r="BN54" s="50">
        <f t="shared" si="8"/>
        <v>211.00971999999999</v>
      </c>
      <c r="BO54" s="50">
        <f t="shared" si="8"/>
        <v>0</v>
      </c>
      <c r="BP54" s="50">
        <f t="shared" si="8"/>
        <v>3.7569999999999999E-2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3000000</v>
      </c>
      <c r="CA54" s="50">
        <f t="shared" si="8"/>
        <v>3900000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41565535.778403603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453222.0628199451</v>
      </c>
      <c r="E55" s="55">
        <f t="shared" si="9"/>
        <v>13462479.96560164</v>
      </c>
      <c r="F55" s="55">
        <f>+F8+F54</f>
        <v>11732322.860184398</v>
      </c>
      <c r="G55" s="55">
        <f t="shared" si="9"/>
        <v>0</v>
      </c>
      <c r="H55" s="55">
        <f t="shared" si="9"/>
        <v>0</v>
      </c>
      <c r="I55" s="55">
        <f t="shared" si="9"/>
        <v>133768.55173457897</v>
      </c>
      <c r="J55" s="55">
        <f t="shared" si="9"/>
        <v>0</v>
      </c>
      <c r="K55" s="55">
        <f t="shared" si="9"/>
        <v>116367.8673161429</v>
      </c>
      <c r="L55" s="55">
        <f t="shared" si="9"/>
        <v>202169.87727774403</v>
      </c>
      <c r="M55" s="55">
        <f t="shared" si="9"/>
        <v>471327.87019686401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15379554.113466863</v>
      </c>
      <c r="Q55" s="55">
        <f t="shared" si="9"/>
        <v>63561912.981851131</v>
      </c>
      <c r="R55" s="55">
        <f t="shared" si="9"/>
        <v>440532.70451000013</v>
      </c>
      <c r="S55" s="55">
        <f t="shared" si="9"/>
        <v>1819248.0708313275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88315.269999997181</v>
      </c>
      <c r="AI55" s="55">
        <f t="shared" si="9"/>
        <v>368560.13908238831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24668552.436255224</v>
      </c>
      <c r="AM55" s="55">
        <f t="shared" si="9"/>
        <v>61864150.595531352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2109719.2290364038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203548.89472400694</v>
      </c>
      <c r="BB55" s="55">
        <f t="shared" si="9"/>
        <v>70487.808219991144</v>
      </c>
      <c r="BC55" s="55">
        <f t="shared" si="9"/>
        <v>268887.83384799864</v>
      </c>
      <c r="BD55" s="55">
        <f t="shared" si="9"/>
        <v>17180.109599989839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4980687.3215980129</v>
      </c>
      <c r="BL55" s="55">
        <f t="shared" si="9"/>
        <v>113557.67482244605</v>
      </c>
      <c r="BM55" s="55">
        <f t="shared" si="9"/>
        <v>1076568.8493771639</v>
      </c>
      <c r="BN55" s="55">
        <f t="shared" si="9"/>
        <v>1226598.7249473815</v>
      </c>
      <c r="BO55" s="55">
        <f t="shared" si="9"/>
        <v>3.4691202304202307E-3</v>
      </c>
      <c r="BP55" s="55">
        <f t="shared" si="9"/>
        <v>257.20534932906548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7258402.124932019</v>
      </c>
      <c r="BU55" s="55">
        <f t="shared" si="10"/>
        <v>30006203.237636194</v>
      </c>
      <c r="BV55" s="55">
        <f t="shared" si="10"/>
        <v>225.44886000000042</v>
      </c>
      <c r="BW55" s="55">
        <f t="shared" si="10"/>
        <v>90883.492990000814</v>
      </c>
      <c r="BX55" s="55">
        <f t="shared" si="10"/>
        <v>12663.664475599246</v>
      </c>
      <c r="BY55" s="55">
        <f t="shared" si="10"/>
        <v>-7741107.3490599999</v>
      </c>
      <c r="BZ55" s="55">
        <f t="shared" si="10"/>
        <v>-51896242.865860015</v>
      </c>
      <c r="CA55" s="55">
        <f t="shared" si="10"/>
        <v>-25380650.534440007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5452.4449999999961</v>
      </c>
      <c r="CF55" s="55">
        <f t="shared" si="10"/>
        <v>-114377.54041000002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13844.959270000458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168232463.97445369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132045949.7858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74440433.548999995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58"/>
      <c r="BY61" s="58"/>
      <c r="BZ61" s="56"/>
      <c r="CA61" s="58"/>
      <c r="CD61" s="58"/>
    </row>
    <row r="62" spans="1:101" x14ac:dyDescent="0.3">
      <c r="B62" s="157"/>
      <c r="C62" s="86" t="s">
        <v>152</v>
      </c>
      <c r="D62" s="87">
        <f>CW11+CW15</f>
        <v>25436.236799999999</v>
      </c>
      <c r="E62" s="67" t="s">
        <v>204</v>
      </c>
      <c r="F62" s="88" t="s">
        <v>153</v>
      </c>
      <c r="G62" s="90">
        <f>P55</f>
        <v>15379554.113466863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31084000</v>
      </c>
      <c r="E63" s="67" t="s">
        <v>204</v>
      </c>
      <c r="F63" s="88" t="s">
        <v>155</v>
      </c>
      <c r="G63" s="90">
        <f>R55</f>
        <v>440532.70451000013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26496080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116367867.3161429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202169877.27774402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471327870.19686401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-104910540.45970881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-26496080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-77346721.061000004</v>
      </c>
      <c r="E76" s="56" t="s">
        <v>204</v>
      </c>
      <c r="F76" s="120" t="s">
        <v>170</v>
      </c>
      <c r="G76" s="117">
        <f>AH55</f>
        <v>88315.269999997181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-1067739.3987087999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0</v>
      </c>
      <c r="E81" s="100"/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203415.36572400693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143.57900000000001</v>
      </c>
      <c r="L92" s="138">
        <f>BA50+BA51+BA53+BA40+BA42+BA43+BA45</f>
        <v>-10.050000000000001</v>
      </c>
      <c r="M92" s="139">
        <f t="shared" si="11"/>
        <v>203548.89472400694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268711.45484799863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189.65499999999997</v>
      </c>
      <c r="L98" s="138">
        <f>BC50+BC51+BC53+BC40+BC42+BC43+BC45</f>
        <v>-13.275999999999998</v>
      </c>
      <c r="M98" s="139">
        <f t="shared" si="11"/>
        <v>268887.83384799864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70441.57221999114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49.716000000000008</v>
      </c>
      <c r="L99" s="138">
        <f>BB50+BB51+BB53+BB40+BB42+BB43+BB45</f>
        <v>-3.48</v>
      </c>
      <c r="M99" s="139">
        <f t="shared" si="11"/>
        <v>70487.808219991144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17168.839599989838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12.117999999999999</v>
      </c>
      <c r="L104" s="138">
        <f>BD50+BD51+BD53+BD40+BD42+BD43+BD45</f>
        <v>-0.84799999999999998</v>
      </c>
      <c r="M104" s="139">
        <f t="shared" si="11"/>
        <v>17180.109599989835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606509.3107596793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143.57900000000001</v>
      </c>
      <c r="L108" s="97">
        <f t="shared" si="12"/>
        <v>-10.050000000000001</v>
      </c>
      <c r="M108" s="97">
        <f t="shared" si="12"/>
        <v>606642.83975967939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1188749.043950743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239.37099999999998</v>
      </c>
      <c r="L109" s="97">
        <f t="shared" si="13"/>
        <v>-16.755999999999997</v>
      </c>
      <c r="M109" s="97">
        <f t="shared" si="13"/>
        <v>1188971.6589507433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382627.6433574282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12.117999999999999</v>
      </c>
      <c r="L110" s="97">
        <f t="shared" si="14"/>
        <v>-0.84799999999999998</v>
      </c>
      <c r="M110" s="97">
        <f t="shared" si="14"/>
        <v>382638.91335742822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  <mergeCell ref="A9:A29"/>
    <mergeCell ref="D1:BK1"/>
    <mergeCell ref="BL1:BN1"/>
    <mergeCell ref="BR1:CJ1"/>
    <mergeCell ref="CW2:CW4"/>
    <mergeCell ref="A5:A8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20'!D55</f>
        <v>453222.0628199451</v>
      </c>
      <c r="E5" s="18">
        <f>'JUN 20'!E55</f>
        <v>13462479.96560164</v>
      </c>
      <c r="F5" s="18">
        <f>'JUN 20'!F55</f>
        <v>11732322.860184398</v>
      </c>
      <c r="G5" s="18">
        <f>'JUN 20'!G55</f>
        <v>0</v>
      </c>
      <c r="H5" s="18">
        <f>'JUN 20'!H55</f>
        <v>0</v>
      </c>
      <c r="I5" s="18">
        <f>'JUN 20'!I55</f>
        <v>133768.55173457897</v>
      </c>
      <c r="J5" s="18">
        <f>'JUN 20'!J55</f>
        <v>0</v>
      </c>
      <c r="K5" s="18">
        <f>'JUN 20'!K55</f>
        <v>116367.8673161429</v>
      </c>
      <c r="L5" s="18">
        <f>'JUN 20'!L55</f>
        <v>202169.87727774403</v>
      </c>
      <c r="M5" s="18">
        <f>'JUN 20'!M55</f>
        <v>471327.87019686401</v>
      </c>
      <c r="N5" s="18">
        <f>'JUN 20'!N55</f>
        <v>177265.5199999999</v>
      </c>
      <c r="O5" s="18">
        <f>'JUN 20'!O55</f>
        <v>735425.00813439966</v>
      </c>
      <c r="P5" s="18">
        <f>'JUN 20'!P55</f>
        <v>15379554.113466863</v>
      </c>
      <c r="Q5" s="18">
        <f>'JUN 20'!Q55</f>
        <v>63561912.981851131</v>
      </c>
      <c r="R5" s="18">
        <f>'JUN 20'!R55</f>
        <v>440532.70451000013</v>
      </c>
      <c r="S5" s="18">
        <f>'JUN 20'!S55</f>
        <v>1819248.0708313275</v>
      </c>
      <c r="T5" s="18">
        <f>'JUN 20'!T55</f>
        <v>0</v>
      </c>
      <c r="U5" s="18">
        <f>'JUN 20'!U55</f>
        <v>0</v>
      </c>
      <c r="V5" s="18">
        <f>'JUN 20'!V55</f>
        <v>0</v>
      </c>
      <c r="W5" s="18">
        <f>'JUN 20'!W55</f>
        <v>0</v>
      </c>
      <c r="X5" s="18">
        <f>'JUN 20'!X55</f>
        <v>0</v>
      </c>
      <c r="Y5" s="18">
        <f>'JUN 20'!Y55</f>
        <v>0</v>
      </c>
      <c r="Z5" s="18">
        <f>'JUN 20'!Z55</f>
        <v>9662.5274983807467</v>
      </c>
      <c r="AA5" s="18">
        <f>'JUN 20'!AA55</f>
        <v>40087.12108308218</v>
      </c>
      <c r="AB5" s="18">
        <f>'JUN 20'!AB55</f>
        <v>7542.7499999967404</v>
      </c>
      <c r="AC5" s="18">
        <f>'JUN 20'!AC55</f>
        <v>31292.757779986478</v>
      </c>
      <c r="AD5" s="18">
        <f>'JUN 20'!AD55</f>
        <v>5155</v>
      </c>
      <c r="AE5" s="18">
        <f>'JUN 20'!AE55</f>
        <v>21386.651600000001</v>
      </c>
      <c r="AF5" s="18">
        <f>'JUN 20'!AF55</f>
        <v>7956.8699999451637</v>
      </c>
      <c r="AG5" s="18">
        <f>'JUN 20'!AG55</f>
        <v>33010.825706172502</v>
      </c>
      <c r="AH5" s="18">
        <f>'JUN 20'!AH55</f>
        <v>88315.269999997181</v>
      </c>
      <c r="AI5" s="18">
        <f>'JUN 20'!AI55</f>
        <v>368560.13908238831</v>
      </c>
      <c r="AJ5" s="18">
        <f>'JUN 20'!AJ55</f>
        <v>674466.83999999822</v>
      </c>
      <c r="AK5" s="18">
        <f>'JUN 20'!AK55</f>
        <v>2798174.0684447926</v>
      </c>
      <c r="AL5" s="18">
        <f>'JUN 20'!AL55</f>
        <v>24668552.436255224</v>
      </c>
      <c r="AM5" s="18">
        <f>'JUN 20'!AM55</f>
        <v>61864150.595531352</v>
      </c>
      <c r="AN5" s="18">
        <f>'JUN 20'!AN55</f>
        <v>6276507.6901499992</v>
      </c>
      <c r="AO5" s="18">
        <f>'JUN 20'!AO55</f>
        <v>1091269.40043144</v>
      </c>
      <c r="AP5" s="18">
        <f>'JUN 20'!AP55</f>
        <v>5285267.3108801506</v>
      </c>
      <c r="AQ5" s="18">
        <f>'JUN 20'!AQ55</f>
        <v>2109719.2290364038</v>
      </c>
      <c r="AR5" s="18">
        <f>'JUN 20'!AR55</f>
        <v>33846.145451993005</v>
      </c>
      <c r="AS5" s="18">
        <f>'JUN 20'!AS55</f>
        <v>6.2909079996137462</v>
      </c>
      <c r="AT5" s="18">
        <f>'JUN 20'!AT55</f>
        <v>11.244432002509914</v>
      </c>
      <c r="AU5" s="18">
        <f>'JUN 20'!AU55</f>
        <v>70745.806203997287</v>
      </c>
      <c r="AV5" s="18">
        <f>'JUN 20'!AV55</f>
        <v>525146.68653480266</v>
      </c>
      <c r="AW5" s="18">
        <f>'JUN 20'!AW55</f>
        <v>86119.091979996796</v>
      </c>
      <c r="AX5" s="18">
        <f>'JUN 20'!AX55</f>
        <v>1047.2966740010875</v>
      </c>
      <c r="AY5" s="18">
        <f>'JUN 20'!AY55</f>
        <v>61411.100279998158</v>
      </c>
      <c r="AZ5" s="18">
        <f>'JUN 20'!AZ55</f>
        <v>23389.865177323234</v>
      </c>
      <c r="BA5" s="18">
        <f>'JUN 20'!BA55</f>
        <v>203548.89472400694</v>
      </c>
      <c r="BB5" s="18">
        <f>'JUN 20'!BB55</f>
        <v>70487.808219991144</v>
      </c>
      <c r="BC5" s="18">
        <f>'JUN 20'!BC55</f>
        <v>268887.83384799864</v>
      </c>
      <c r="BD5" s="18">
        <f>'JUN 20'!BD55</f>
        <v>17180.109599989839</v>
      </c>
      <c r="BE5" s="18">
        <f>'JUN 20'!BE55</f>
        <v>256596.93928368055</v>
      </c>
      <c r="BF5" s="18">
        <f>'JUN 20'!BF55</f>
        <v>321963.21571035992</v>
      </c>
      <c r="BG5" s="18">
        <f>'JUN 20'!BG55</f>
        <v>35109.526218882762</v>
      </c>
      <c r="BH5" s="18">
        <f>'JUN 20'!BH55</f>
        <v>26531.768320002102</v>
      </c>
      <c r="BI5" s="18">
        <f>'JUN 20'!BI55</f>
        <v>526567.9691583903</v>
      </c>
      <c r="BJ5" s="18">
        <f>'JUN 20'!BJ55</f>
        <v>198192.37105456018</v>
      </c>
      <c r="BK5" s="18">
        <f>'JUN 20'!BK55</f>
        <v>4980687.3215980129</v>
      </c>
      <c r="BL5" s="18">
        <f>'JUN 20'!BL55</f>
        <v>113557.67482244605</v>
      </c>
      <c r="BM5" s="18">
        <f>'JUN 20'!BM55</f>
        <v>1076568.8493771639</v>
      </c>
      <c r="BN5" s="18">
        <f>'JUN 20'!BN55</f>
        <v>1226598.7249473815</v>
      </c>
      <c r="BO5" s="18">
        <f>'JUN 20'!BO55</f>
        <v>3.4691202304202307E-3</v>
      </c>
      <c r="BP5" s="18">
        <f>'JUN 20'!BP55</f>
        <v>257.20534932906548</v>
      </c>
      <c r="BQ5" s="18">
        <f>'JUN 20'!BQ55</f>
        <v>4.0128798844989433E-3</v>
      </c>
      <c r="BR5" s="18">
        <f>'JUN 20'!BR55</f>
        <v>645484.5260000031</v>
      </c>
      <c r="BS5" s="18">
        <f>'JUN 20'!BS55</f>
        <v>2650869.4086606889</v>
      </c>
      <c r="BT5" s="18">
        <f>'JUN 20'!BT55</f>
        <v>7258402.124932019</v>
      </c>
      <c r="BU5" s="18">
        <f>'JUN 20'!BU55</f>
        <v>30006203.237636194</v>
      </c>
      <c r="BV5" s="18">
        <f>'JUN 20'!BV55</f>
        <v>225.44886000000042</v>
      </c>
      <c r="BW5" s="18">
        <f>'JUN 20'!BW55</f>
        <v>90883.492990000814</v>
      </c>
      <c r="BX5" s="18">
        <f>'JUN 20'!BX55</f>
        <v>12663.664475599246</v>
      </c>
      <c r="BY5" s="18">
        <f>'JUN 20'!BY55</f>
        <v>-7741107.3490599999</v>
      </c>
      <c r="BZ5" s="18">
        <f>'JUN 20'!BZ55</f>
        <v>-51896242.865860015</v>
      </c>
      <c r="CA5" s="18">
        <f>'JUN 20'!CA55</f>
        <v>-25380650.534440007</v>
      </c>
      <c r="CB5" s="18">
        <f>'JUN 20'!CB55</f>
        <v>18918.56624</v>
      </c>
      <c r="CC5" s="18">
        <f>'JUN 20'!CC55</f>
        <v>905567.0501799999</v>
      </c>
      <c r="CD5" s="18">
        <f>'JUN 20'!CD55</f>
        <v>0</v>
      </c>
      <c r="CE5" s="18">
        <f>'JUN 20'!CE55</f>
        <v>5452.4449999999961</v>
      </c>
      <c r="CF5" s="18">
        <f>'JUN 20'!CF55</f>
        <v>-114377.54041000002</v>
      </c>
      <c r="CG5" s="18">
        <f>'JUN 20'!CG55</f>
        <v>194020.58999999994</v>
      </c>
      <c r="CH5" s="18">
        <f>'JUN 20'!CH55</f>
        <v>2.9318200000000001</v>
      </c>
      <c r="CI5" s="18">
        <f>'JUN 20'!CI55</f>
        <v>813161.95743999921</v>
      </c>
      <c r="CJ5" s="18">
        <f>'JUN 20'!CJ55</f>
        <v>201938.84803999978</v>
      </c>
      <c r="CK5" s="18">
        <f>'JUN 20'!CK55</f>
        <v>0</v>
      </c>
      <c r="CL5" s="18">
        <f>'JUN 20'!CL55</f>
        <v>0</v>
      </c>
      <c r="CM5" s="18">
        <f>'JUN 20'!CM55</f>
        <v>79545.207070000004</v>
      </c>
      <c r="CN5" s="18">
        <f>'JUN 20'!CN55</f>
        <v>662749.23605000007</v>
      </c>
      <c r="CO5" s="18">
        <f>'JUN 20'!CO55</f>
        <v>736446.43431999965</v>
      </c>
      <c r="CP5" s="18">
        <f>'JUN 20'!CP55</f>
        <v>9152723.6727600005</v>
      </c>
      <c r="CQ5" s="18">
        <f>'JUN 20'!CQ55</f>
        <v>377918.49939999997</v>
      </c>
      <c r="CR5" s="18">
        <f>'JUN 20'!CR55</f>
        <v>13844.959270000458</v>
      </c>
      <c r="CS5" s="18">
        <f>'JUN 20'!CS55</f>
        <v>5010.51</v>
      </c>
      <c r="CT5" s="18">
        <f>'JUN 20'!CT55</f>
        <v>20511.762362899997</v>
      </c>
      <c r="CU5" s="18">
        <f>'JUN 20'!CU55</f>
        <v>5010.51</v>
      </c>
      <c r="CV5" s="18">
        <f>'JUN 20'!CV55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168232463.97445369</v>
      </c>
    </row>
    <row r="6" spans="1:101" s="20" customFormat="1" x14ac:dyDescent="0.3">
      <c r="A6" s="165"/>
      <c r="B6" s="19"/>
      <c r="C6" s="19" t="s">
        <v>91</v>
      </c>
      <c r="D6" s="19">
        <v>-69803.100000000006</v>
      </c>
      <c r="E6" s="19">
        <f>7441953.4+0.01</f>
        <v>7441953.4100000001</v>
      </c>
      <c r="F6" s="19">
        <v>-26918973.27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-604618.71</v>
      </c>
      <c r="BZ6" s="19">
        <v>-4885846.7699999996</v>
      </c>
      <c r="CA6" s="19">
        <v>-4993046.83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383418.96281994507</v>
      </c>
      <c r="E8" s="18">
        <f t="shared" si="0"/>
        <v>20904433.375601642</v>
      </c>
      <c r="F8" s="18">
        <f t="shared" si="0"/>
        <v>-15186650.409815602</v>
      </c>
      <c r="G8" s="18">
        <f t="shared" si="0"/>
        <v>0</v>
      </c>
      <c r="H8" s="18">
        <f t="shared" si="0"/>
        <v>0</v>
      </c>
      <c r="I8" s="18">
        <f t="shared" si="0"/>
        <v>133768.55173457897</v>
      </c>
      <c r="J8" s="18">
        <f t="shared" si="0"/>
        <v>0</v>
      </c>
      <c r="K8" s="18">
        <f t="shared" si="0"/>
        <v>116367.8673161429</v>
      </c>
      <c r="L8" s="18">
        <f t="shared" si="0"/>
        <v>202169.87727774403</v>
      </c>
      <c r="M8" s="18">
        <f t="shared" si="0"/>
        <v>471327.87019686401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15379554.113466863</v>
      </c>
      <c r="Q8" s="18">
        <f t="shared" si="0"/>
        <v>63561912.981851131</v>
      </c>
      <c r="R8" s="18">
        <f t="shared" si="0"/>
        <v>440532.70451000013</v>
      </c>
      <c r="S8" s="18">
        <f t="shared" si="0"/>
        <v>1819248.0708313275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88315.269999997181</v>
      </c>
      <c r="AI8" s="18">
        <f t="shared" si="0"/>
        <v>368560.13908238831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24668552.436255224</v>
      </c>
      <c r="AM8" s="18">
        <f t="shared" si="0"/>
        <v>61864150.595531352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2109719.2290364038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203548.89472400694</v>
      </c>
      <c r="BB8" s="18">
        <f t="shared" si="0"/>
        <v>70487.808219991144</v>
      </c>
      <c r="BC8" s="18">
        <f t="shared" si="0"/>
        <v>268887.83384799864</v>
      </c>
      <c r="BD8" s="18">
        <f t="shared" si="0"/>
        <v>17180.109599989839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4980687.3215980129</v>
      </c>
      <c r="BL8" s="18">
        <f t="shared" si="0"/>
        <v>113557.67482244605</v>
      </c>
      <c r="BM8" s="18">
        <f t="shared" si="0"/>
        <v>1076568.8493771639</v>
      </c>
      <c r="BN8" s="18">
        <f t="shared" si="0"/>
        <v>1226598.7249473815</v>
      </c>
      <c r="BO8" s="18">
        <f t="shared" si="0"/>
        <v>3.4691202304202307E-3</v>
      </c>
      <c r="BP8" s="18">
        <f t="shared" si="0"/>
        <v>257.20534932906548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7258402.124932019</v>
      </c>
      <c r="BU8" s="18">
        <f t="shared" si="1"/>
        <v>30006203.237636194</v>
      </c>
      <c r="BV8" s="18">
        <f t="shared" si="1"/>
        <v>225.44886000000042</v>
      </c>
      <c r="BW8" s="18">
        <f t="shared" si="1"/>
        <v>90883.492990000814</v>
      </c>
      <c r="BX8" s="18">
        <f t="shared" si="1"/>
        <v>12663.664475599246</v>
      </c>
      <c r="BY8" s="18">
        <f>+BY5+BY6+BY7:BZ7</f>
        <v>-8345726.0590599999</v>
      </c>
      <c r="BZ8" s="18">
        <f t="shared" si="1"/>
        <v>-56782089.635860011</v>
      </c>
      <c r="CA8" s="18">
        <f t="shared" si="1"/>
        <v>-30373697.364440009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5452.4449999999961</v>
      </c>
      <c r="CF8" s="18">
        <f t="shared" si="1"/>
        <v>-114377.54041000002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13844.959270000458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138202128.70445371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1310750+152983.104</f>
        <v>1463733.1040000001</v>
      </c>
      <c r="M11" s="26"/>
      <c r="N11" s="26"/>
      <c r="O11" s="26"/>
      <c r="P11" s="26">
        <v>9600</v>
      </c>
      <c r="Q11" s="26">
        <f>(P11*4080.06)/1000</f>
        <v>39168.576000000001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8">
        <v>43049.841999999997</v>
      </c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1545951.5220000001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10000000</v>
      </c>
      <c r="Q12" s="26">
        <f>(P12*4080.06)/1000</f>
        <v>40800600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40800600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>
        <v>-1001300</v>
      </c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-1001300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>
        <v>-26422646.905019999</v>
      </c>
      <c r="M19" s="28">
        <v>-1706488.9220100001</v>
      </c>
      <c r="N19" s="26"/>
      <c r="O19" s="26"/>
      <c r="P19" s="26">
        <v>-5000000</v>
      </c>
      <c r="Q19" s="26">
        <f>(P19*4080.06)/1000</f>
        <v>-20400300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-48529435.827030003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-93905102.769999996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-93905102.769999996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>
        <v>929330</v>
      </c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929330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171237999.32800001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171237999.32800001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28000</v>
      </c>
      <c r="E27" s="28"/>
      <c r="F27" s="28">
        <f>7376250+19000000</f>
        <v>26376250</v>
      </c>
      <c r="G27" s="26"/>
      <c r="H27" s="26"/>
      <c r="I27" s="26"/>
      <c r="J27" s="26"/>
      <c r="K27" s="26"/>
      <c r="L27" s="27"/>
      <c r="M27" s="26">
        <v>1700000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2700000</v>
      </c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30804250</v>
      </c>
    </row>
    <row r="28" spans="1:101" x14ac:dyDescent="0.3">
      <c r="A28" s="158"/>
      <c r="B28" s="24" t="s">
        <v>97</v>
      </c>
      <c r="C28" s="25" t="s">
        <v>115</v>
      </c>
      <c r="D28" s="26"/>
      <c r="E28" s="26">
        <v>-9247000</v>
      </c>
      <c r="F28" s="28"/>
      <c r="G28" s="26"/>
      <c r="H28" s="26"/>
      <c r="I28" s="26"/>
      <c r="J28" s="26"/>
      <c r="K28" s="28"/>
      <c r="L28" s="27">
        <f>-14000000-23500000-3000000-5000000-6500000</f>
        <v>-52000000</v>
      </c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-61247000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>
        <v>500832.45874999999</v>
      </c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500832.45874999999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-470000-770000-3570000-730000</f>
        <v>-5540000</v>
      </c>
      <c r="Q35" s="37">
        <f>(P35*4080.06)/1000</f>
        <v>-22603532.399999999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-22603532.399999999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v>-699760</v>
      </c>
      <c r="M38" s="38">
        <v>-262410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-962170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>
        <f>-836911.0253-619088.89875-9528.2625-5106.25-1461.49045-49.5102-2015.33475-10125.081-1797.3183-1842.335-1768.51905-1791.47675-1621.54075-1866.1914-1724.56445</f>
        <v>-1496697.7986499993</v>
      </c>
      <c r="F40" s="43">
        <v>-198159.10159999999</v>
      </c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-1694856.9002499992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>
        <f>-120.9-5409.81-1143-228.42-81.06-3702.81-249.12-119.4-39.3</f>
        <v>-11093.82</v>
      </c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-11093.82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>
        <v>94040.221000000005</v>
      </c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94040.221000000005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-6.931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f>-2.513-0.01</f>
        <v>-2.5229999999999997</v>
      </c>
      <c r="BB50" s="48">
        <v>-0.87</v>
      </c>
      <c r="BC50" s="48">
        <f>-3.32-0.01</f>
        <v>-3.3299999999999996</v>
      </c>
      <c r="BD50" s="48">
        <f>-0.212-0.01</f>
        <v>-0.222</v>
      </c>
      <c r="BE50" s="48"/>
      <c r="BF50" s="48"/>
      <c r="BG50" s="48"/>
      <c r="BH50" s="48"/>
      <c r="BI50" s="48"/>
      <c r="BJ50" s="48"/>
      <c r="BK50" s="48"/>
      <c r="BL50" s="48">
        <f>-5.884-0.01</f>
        <v>-5.8940000000000001</v>
      </c>
      <c r="BM50" s="48">
        <v>-55.780999999999999</v>
      </c>
      <c r="BN50" s="48">
        <f>-63.554-0.01</f>
        <v>-63.564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-139.11500000000001</v>
      </c>
    </row>
    <row r="51" spans="1:101" x14ac:dyDescent="0.3">
      <c r="A51" s="156"/>
      <c r="B51" s="45" t="s">
        <v>97</v>
      </c>
      <c r="C51" s="46" t="s">
        <v>138</v>
      </c>
      <c r="D51" s="47">
        <f>-5860.75-5860.75</f>
        <v>-11721.5</v>
      </c>
      <c r="E51" s="48">
        <f>-5860.75-5860.75-3506.636</f>
        <v>-15228.136</v>
      </c>
      <c r="F51" s="48">
        <f>-5860.75-5860.75</f>
        <v>-11721.5</v>
      </c>
      <c r="G51" s="48"/>
      <c r="H51" s="48"/>
      <c r="I51" s="48"/>
      <c r="J51" s="48"/>
      <c r="K51" s="47"/>
      <c r="L51" s="47">
        <v>-12.388</v>
      </c>
      <c r="M51" s="47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>
        <v>-54.9</v>
      </c>
      <c r="AI51" s="48">
        <f>(AH51*4080.06)/1000</f>
        <v>-223.995294</v>
      </c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-38907.519293999998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f>99.01426+0.01</f>
        <v>99.024259999999998</v>
      </c>
      <c r="J52" s="48"/>
      <c r="K52" s="48"/>
      <c r="L52" s="47"/>
      <c r="M52" s="47"/>
      <c r="N52" s="48"/>
      <c r="O52" s="48"/>
      <c r="P52" s="48"/>
      <c r="Q52" s="48"/>
      <c r="R52" s="48">
        <f>100.56+33.53</f>
        <v>134.09</v>
      </c>
      <c r="S52" s="48">
        <f>(R52*4080.06)/1000</f>
        <v>547.09524540000007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35.906999999999996</v>
      </c>
      <c r="BB52" s="48">
        <v>12.433999999999999</v>
      </c>
      <c r="BC52" s="48">
        <v>47.433</v>
      </c>
      <c r="BD52" s="48">
        <v>3.0310000000000001</v>
      </c>
      <c r="BE52" s="48"/>
      <c r="BF52" s="48"/>
      <c r="BG52" s="48"/>
      <c r="BH52" s="48"/>
      <c r="BI52" s="48"/>
      <c r="BJ52" s="48"/>
      <c r="BK52" s="48"/>
      <c r="BL52" s="48">
        <v>84.054339999999996</v>
      </c>
      <c r="BM52" s="48">
        <v>796.86654999999996</v>
      </c>
      <c r="BN52" s="48">
        <v>907.91731000000004</v>
      </c>
      <c r="BO52" s="48"/>
      <c r="BP52" s="48">
        <f>190.38/1000</f>
        <v>0.19037999999999999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2533.9530854000004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(D10+D13+D16+D17+D33+D38+D47+D30+D35+D26)*4/1000</f>
        <v>0</v>
      </c>
      <c r="E53" s="48">
        <f>(E10+E13+E16+E17+E33+E38+E47+E40+E51+E35)*4/1000</f>
        <v>-6047.7037385999975</v>
      </c>
      <c r="F53" s="48">
        <f>(F10+F13+F16+F17+F33+F38+F47+F35)*4/1000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-6804.2895520000002</v>
      </c>
      <c r="M53" s="47">
        <f>(M10+M13+M17+M33+M38+M40+M51+M36+M49+M16)*4/1000</f>
        <v>-1049.6400000000001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G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>(AH10+AH13+AH16+AH17+AH33+AH38+AH40+AH47)*4/1000</f>
        <v>0</v>
      </c>
      <c r="AI53" s="48">
        <f>(AI10+AI13+AI16+AI17+AI33+AI38+AI40+AI47)*4/1000</f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-44.375279999999997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-13946.008570599997</v>
      </c>
    </row>
    <row r="54" spans="1:101" x14ac:dyDescent="0.3">
      <c r="C54" s="49" t="s">
        <v>141</v>
      </c>
      <c r="D54" s="50">
        <f t="shared" ref="D54:AM54" si="7">SUM(D9:D53)</f>
        <v>16278.5</v>
      </c>
      <c r="E54" s="50">
        <f t="shared" si="7"/>
        <v>-10764973.6383886</v>
      </c>
      <c r="F54" s="50">
        <f>SUM(F9:F53)</f>
        <v>26166369.398400001</v>
      </c>
      <c r="G54" s="50">
        <f t="shared" si="7"/>
        <v>0</v>
      </c>
      <c r="H54" s="50">
        <f t="shared" si="7"/>
        <v>0</v>
      </c>
      <c r="I54" s="50">
        <f t="shared" si="7"/>
        <v>92.093260000000001</v>
      </c>
      <c r="J54" s="50">
        <f t="shared" si="7"/>
        <v>0</v>
      </c>
      <c r="K54" s="50">
        <f t="shared" si="7"/>
        <v>0</v>
      </c>
      <c r="L54" s="51">
        <f t="shared" si="7"/>
        <v>96268.53817801681</v>
      </c>
      <c r="M54" s="50">
        <f t="shared" si="7"/>
        <v>-269948.56201000011</v>
      </c>
      <c r="N54" s="50">
        <f t="shared" si="7"/>
        <v>0</v>
      </c>
      <c r="O54" s="50">
        <f t="shared" si="7"/>
        <v>0</v>
      </c>
      <c r="P54" s="50">
        <f t="shared" si="7"/>
        <v>-530400</v>
      </c>
      <c r="Q54" s="50">
        <f t="shared" si="7"/>
        <v>-2164063.824000001</v>
      </c>
      <c r="R54" s="50">
        <f t="shared" si="7"/>
        <v>134.09</v>
      </c>
      <c r="S54" s="50">
        <f t="shared" si="7"/>
        <v>547.09524540000007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-54.9</v>
      </c>
      <c r="AI54" s="50">
        <f t="shared" si="7"/>
        <v>-223.995294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43049.841999999997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82902.02572000002</v>
      </c>
      <c r="AZ54" s="50">
        <f t="shared" si="8"/>
        <v>0</v>
      </c>
      <c r="BA54" s="50">
        <f t="shared" si="8"/>
        <v>33.384</v>
      </c>
      <c r="BB54" s="50">
        <f t="shared" si="8"/>
        <v>11.564</v>
      </c>
      <c r="BC54" s="50">
        <f t="shared" si="8"/>
        <v>44.103000000000002</v>
      </c>
      <c r="BD54" s="50">
        <f t="shared" si="8"/>
        <v>2.8090000000000002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78.160339999999991</v>
      </c>
      <c r="BM54" s="50">
        <f t="shared" si="8"/>
        <v>741.08555000000001</v>
      </c>
      <c r="BN54" s="50">
        <f t="shared" si="8"/>
        <v>844.35331000000008</v>
      </c>
      <c r="BO54" s="50">
        <f t="shared" si="8"/>
        <v>0</v>
      </c>
      <c r="BP54" s="50">
        <f t="shared" si="8"/>
        <v>0.19037999999999999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2700000</v>
      </c>
      <c r="CA54" s="50">
        <f t="shared" si="8"/>
        <v>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15908053.122690819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399697.46281994507</v>
      </c>
      <c r="E55" s="55">
        <f t="shared" si="9"/>
        <v>10139459.737213042</v>
      </c>
      <c r="F55" s="55">
        <f>+F8+F54</f>
        <v>10979718.988584399</v>
      </c>
      <c r="G55" s="55">
        <f t="shared" si="9"/>
        <v>0</v>
      </c>
      <c r="H55" s="55">
        <f t="shared" si="9"/>
        <v>0</v>
      </c>
      <c r="I55" s="55">
        <f t="shared" si="9"/>
        <v>133860.64499457896</v>
      </c>
      <c r="J55" s="55">
        <f t="shared" si="9"/>
        <v>0</v>
      </c>
      <c r="K55" s="55">
        <f t="shared" si="9"/>
        <v>116367.8673161429</v>
      </c>
      <c r="L55" s="55">
        <f t="shared" si="9"/>
        <v>298438.41545576084</v>
      </c>
      <c r="M55" s="55">
        <f t="shared" si="9"/>
        <v>201379.3081868639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14849154.113466863</v>
      </c>
      <c r="Q55" s="55">
        <f t="shared" si="9"/>
        <v>61397849.15785113</v>
      </c>
      <c r="R55" s="55">
        <f t="shared" si="9"/>
        <v>440666.79451000015</v>
      </c>
      <c r="S55" s="55">
        <f t="shared" si="9"/>
        <v>1819795.1660767274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88260.369999997187</v>
      </c>
      <c r="AI55" s="55">
        <f t="shared" si="9"/>
        <v>368336.14378838829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24668552.436255224</v>
      </c>
      <c r="AM55" s="55">
        <f t="shared" si="9"/>
        <v>61907200.437531352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2109719.2290364038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144313.12599999818</v>
      </c>
      <c r="AZ55" s="55">
        <f t="shared" si="9"/>
        <v>23389.865177323234</v>
      </c>
      <c r="BA55" s="55">
        <f t="shared" si="9"/>
        <v>203582.27872400693</v>
      </c>
      <c r="BB55" s="55">
        <f t="shared" si="9"/>
        <v>70499.372219991143</v>
      </c>
      <c r="BC55" s="55">
        <f t="shared" si="9"/>
        <v>268931.93684799864</v>
      </c>
      <c r="BD55" s="55">
        <f t="shared" si="9"/>
        <v>17182.91859998984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4980687.3215980129</v>
      </c>
      <c r="BL55" s="55">
        <f t="shared" si="9"/>
        <v>113635.83516244605</v>
      </c>
      <c r="BM55" s="55">
        <f t="shared" si="9"/>
        <v>1077309.9349271639</v>
      </c>
      <c r="BN55" s="55">
        <f t="shared" si="9"/>
        <v>1227443.0782573815</v>
      </c>
      <c r="BO55" s="55">
        <f t="shared" si="9"/>
        <v>3.4691202304202307E-3</v>
      </c>
      <c r="BP55" s="55">
        <f t="shared" si="9"/>
        <v>257.39572932906549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7258402.124932019</v>
      </c>
      <c r="BU55" s="55">
        <f t="shared" si="10"/>
        <v>30006203.237636194</v>
      </c>
      <c r="BV55" s="55">
        <f t="shared" si="10"/>
        <v>225.44886000000042</v>
      </c>
      <c r="BW55" s="55">
        <f t="shared" si="10"/>
        <v>90883.492990000814</v>
      </c>
      <c r="BX55" s="55">
        <f t="shared" si="10"/>
        <v>12663.664475599246</v>
      </c>
      <c r="BY55" s="55">
        <f t="shared" si="10"/>
        <v>-8345726.0590599999</v>
      </c>
      <c r="BZ55" s="55">
        <f t="shared" si="10"/>
        <v>-54082089.635860011</v>
      </c>
      <c r="CA55" s="55">
        <f t="shared" si="10"/>
        <v>-30373697.364440009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5452.4449999999961</v>
      </c>
      <c r="CF55" s="55">
        <f t="shared" si="10"/>
        <v>-114377.54041000002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13844.959270000458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154110181.82714453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245818963.30875003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171237999.32800001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58"/>
      <c r="BY61" s="58"/>
      <c r="BZ61" s="56"/>
      <c r="CA61" s="58"/>
      <c r="CD61" s="58"/>
    </row>
    <row r="62" spans="1:101" x14ac:dyDescent="0.3">
      <c r="B62" s="157"/>
      <c r="C62" s="86" t="s">
        <v>152</v>
      </c>
      <c r="D62" s="87">
        <f>CW11+CW15</f>
        <v>1545951.5220000001</v>
      </c>
      <c r="E62" s="67" t="s">
        <v>204</v>
      </c>
      <c r="F62" s="88" t="s">
        <v>153</v>
      </c>
      <c r="G62" s="90">
        <f>P55</f>
        <v>14849154.113466863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30804250</v>
      </c>
      <c r="E63" s="67" t="s">
        <v>204</v>
      </c>
      <c r="F63" s="88" t="s">
        <v>155</v>
      </c>
      <c r="G63" s="90">
        <f>R55</f>
        <v>440666.79451000015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40800600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929330</v>
      </c>
      <c r="E65" s="67" t="s">
        <v>204</v>
      </c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500832.45874999999</v>
      </c>
      <c r="E66" s="100" t="s">
        <v>204</v>
      </c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116367867.3161429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298438415.45576084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201379308.1868639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-207339865.49727997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-1001300</v>
      </c>
      <c r="E74" s="70" t="s">
        <v>204</v>
      </c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-48529435.827030003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-93905102.769999996</v>
      </c>
      <c r="E76" s="56" t="s">
        <v>204</v>
      </c>
      <c r="F76" s="120" t="s">
        <v>170</v>
      </c>
      <c r="G76" s="117">
        <f>AH55</f>
        <v>88260.369999997187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-61247000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-962170</v>
      </c>
      <c r="E81" s="100"/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-1694856.9002499992</v>
      </c>
      <c r="E82" s="70" t="s">
        <v>204</v>
      </c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203548.89472400694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35.906999999999996</v>
      </c>
      <c r="L92" s="138">
        <f>BA50+BA51+BA53+BA40+BA42+BA43+BA45</f>
        <v>-2.5229999999999997</v>
      </c>
      <c r="M92" s="139">
        <f t="shared" si="11"/>
        <v>203582.27872400696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268887.83384799864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47.433</v>
      </c>
      <c r="L98" s="138">
        <f>BC50+BC51+BC53+BC40+BC42+BC43+BC45</f>
        <v>-3.3299999999999996</v>
      </c>
      <c r="M98" s="139">
        <f t="shared" si="11"/>
        <v>268931.93684799864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70487.808219991144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12.433999999999999</v>
      </c>
      <c r="L99" s="138">
        <f>BB50+BB51+BB53+BB40+BB42+BB43+BB45</f>
        <v>-0.87</v>
      </c>
      <c r="M99" s="139">
        <f t="shared" si="11"/>
        <v>70499.372219991143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-44.375279999999997</v>
      </c>
      <c r="M101" s="139">
        <f t="shared" si="11"/>
        <v>1002.9213940010875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17180.109599989839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3.0310000000000001</v>
      </c>
      <c r="L104" s="138">
        <f>BD50+BD51+BD53+BD40+BD42+BD43+BD45</f>
        <v>-0.222</v>
      </c>
      <c r="M104" s="139">
        <f t="shared" si="11"/>
        <v>17182.918599989836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94040.221000000005</v>
      </c>
      <c r="L106" s="138">
        <f>AY50+AY51+AY53+AY40+AY42+AY43+AY45</f>
        <v>-44.375279999999997</v>
      </c>
      <c r="M106" s="139">
        <f t="shared" si="11"/>
        <v>155406.94599999816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606642.83975967939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35.906999999999996</v>
      </c>
      <c r="L108" s="97">
        <f t="shared" si="12"/>
        <v>-2.5229999999999997</v>
      </c>
      <c r="M108" s="97">
        <f t="shared" si="12"/>
        <v>606676.22375967936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1188971.6589507433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59.866999999999997</v>
      </c>
      <c r="L109" s="97">
        <f t="shared" si="13"/>
        <v>-48.575279999999992</v>
      </c>
      <c r="M109" s="97">
        <f t="shared" si="13"/>
        <v>1188982.9506707431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382638.91335742822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94043.252000000008</v>
      </c>
      <c r="L110" s="97">
        <f t="shared" si="14"/>
        <v>-44.597279999999998</v>
      </c>
      <c r="M110" s="97">
        <f t="shared" si="14"/>
        <v>476637.56807742827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A9:A29"/>
    <mergeCell ref="D1:BK1"/>
    <mergeCell ref="BL1:BN1"/>
    <mergeCell ref="BR1:CJ1"/>
    <mergeCell ref="CW2:CW4"/>
    <mergeCell ref="A5:A8"/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</mergeCell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tabSelected="1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7" sqref="D17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24'!D55</f>
        <v>399697.46281994507</v>
      </c>
      <c r="E5" s="18">
        <f>'JUN 24'!E55</f>
        <v>10139459.737213042</v>
      </c>
      <c r="F5" s="18">
        <f>'JUN 24'!F55</f>
        <v>10979718.988584399</v>
      </c>
      <c r="G5" s="18">
        <f>'JUN 24'!G55</f>
        <v>0</v>
      </c>
      <c r="H5" s="18">
        <f>'JUN 24'!H55</f>
        <v>0</v>
      </c>
      <c r="I5" s="18">
        <f>'JUN 24'!I55</f>
        <v>133860.64499457896</v>
      </c>
      <c r="J5" s="18">
        <f>'JUN 24'!J55</f>
        <v>0</v>
      </c>
      <c r="K5" s="18">
        <f>'JUN 24'!K55</f>
        <v>116367.8673161429</v>
      </c>
      <c r="L5" s="18">
        <f>'JUN 24'!L55</f>
        <v>298438.41545576084</v>
      </c>
      <c r="M5" s="18">
        <f>'JUN 24'!M55</f>
        <v>201379.3081868639</v>
      </c>
      <c r="N5" s="18">
        <f>'JUN 24'!N55</f>
        <v>177265.5199999999</v>
      </c>
      <c r="O5" s="18">
        <f>'JUN 24'!O55</f>
        <v>735425.00813439966</v>
      </c>
      <c r="P5" s="18">
        <f>'JUN 24'!P55</f>
        <v>14849154.113466863</v>
      </c>
      <c r="Q5" s="18">
        <f>'JUN 24'!Q55</f>
        <v>61397849.15785113</v>
      </c>
      <c r="R5" s="18">
        <f>'JUN 24'!R55</f>
        <v>440666.79451000015</v>
      </c>
      <c r="S5" s="18">
        <f>'JUN 24'!S55</f>
        <v>1819795.1660767274</v>
      </c>
      <c r="T5" s="18">
        <f>'JUN 24'!T55</f>
        <v>0</v>
      </c>
      <c r="U5" s="18">
        <f>'JUN 24'!U55</f>
        <v>0</v>
      </c>
      <c r="V5" s="18">
        <f>'JUN 24'!V55</f>
        <v>0</v>
      </c>
      <c r="W5" s="18">
        <f>'JUN 24'!W55</f>
        <v>0</v>
      </c>
      <c r="X5" s="18">
        <f>'JUN 24'!X55</f>
        <v>0</v>
      </c>
      <c r="Y5" s="18">
        <f>'JUN 24'!Y55</f>
        <v>0</v>
      </c>
      <c r="Z5" s="18">
        <f>'JUN 24'!Z55</f>
        <v>9662.5274983807467</v>
      </c>
      <c r="AA5" s="18">
        <f>'JUN 24'!AA55</f>
        <v>40087.12108308218</v>
      </c>
      <c r="AB5" s="18">
        <f>'JUN 24'!AB55</f>
        <v>7542.7499999967404</v>
      </c>
      <c r="AC5" s="18">
        <f>'JUN 24'!AC55</f>
        <v>31292.757779986478</v>
      </c>
      <c r="AD5" s="18">
        <f>'JUN 24'!AD55</f>
        <v>5155</v>
      </c>
      <c r="AE5" s="18">
        <f>'JUN 24'!AE55</f>
        <v>21386.651600000001</v>
      </c>
      <c r="AF5" s="18">
        <f>'JUN 24'!AF55</f>
        <v>7956.8699999451637</v>
      </c>
      <c r="AG5" s="18">
        <f>'JUN 24'!AG55</f>
        <v>33010.825706172502</v>
      </c>
      <c r="AH5" s="18">
        <f>'JUN 24'!AH55</f>
        <v>88260.369999997187</v>
      </c>
      <c r="AI5" s="18">
        <f>'JUN 24'!AI55</f>
        <v>368336.14378838829</v>
      </c>
      <c r="AJ5" s="18">
        <f>'JUN 24'!AJ55</f>
        <v>674466.83999999822</v>
      </c>
      <c r="AK5" s="18">
        <f>'JUN 24'!AK55</f>
        <v>2798174.0684447926</v>
      </c>
      <c r="AL5" s="18">
        <f>'JUN 24'!AL55</f>
        <v>24668552.436255224</v>
      </c>
      <c r="AM5" s="18">
        <f>'JUN 24'!AM55</f>
        <v>61907200.437531352</v>
      </c>
      <c r="AN5" s="18">
        <f>'JUN 24'!AN55</f>
        <v>6276507.6901499992</v>
      </c>
      <c r="AO5" s="18">
        <f>'JUN 24'!AO55</f>
        <v>1091269.40043144</v>
      </c>
      <c r="AP5" s="18">
        <f>'JUN 24'!AP55</f>
        <v>5285267.3108801506</v>
      </c>
      <c r="AQ5" s="18">
        <f>'JUN 24'!AQ55</f>
        <v>2109719.2290364038</v>
      </c>
      <c r="AR5" s="18">
        <f>'JUN 24'!AR55</f>
        <v>33846.145451993005</v>
      </c>
      <c r="AS5" s="18">
        <f>'JUN 24'!AS55</f>
        <v>6.2909079996137462</v>
      </c>
      <c r="AT5" s="18">
        <f>'JUN 24'!AT55</f>
        <v>11.244432002509914</v>
      </c>
      <c r="AU5" s="18">
        <f>'JUN 24'!AU55</f>
        <v>70745.806203997287</v>
      </c>
      <c r="AV5" s="18">
        <f>'JUN 24'!AV55</f>
        <v>525146.68653480266</v>
      </c>
      <c r="AW5" s="18">
        <f>'JUN 24'!AW55</f>
        <v>86119.091979996796</v>
      </c>
      <c r="AX5" s="18">
        <f>'JUN 24'!AX55</f>
        <v>1047.2966740010875</v>
      </c>
      <c r="AY5" s="18">
        <f>'JUN 24'!AY55</f>
        <v>144313.12599999818</v>
      </c>
      <c r="AZ5" s="18">
        <f>'JUN 24'!AZ55</f>
        <v>23389.865177323234</v>
      </c>
      <c r="BA5" s="18">
        <f>'JUN 24'!BA55</f>
        <v>203582.27872400693</v>
      </c>
      <c r="BB5" s="18">
        <f>'JUN 24'!BB55</f>
        <v>70499.372219991143</v>
      </c>
      <c r="BC5" s="18">
        <f>'JUN 24'!BC55</f>
        <v>268931.93684799864</v>
      </c>
      <c r="BD5" s="18">
        <f>'JUN 24'!BD55</f>
        <v>17182.91859998984</v>
      </c>
      <c r="BE5" s="18">
        <f>'JUN 24'!BE55</f>
        <v>256596.93928368055</v>
      </c>
      <c r="BF5" s="18">
        <f>'JUN 24'!BF55</f>
        <v>321963.21571035992</v>
      </c>
      <c r="BG5" s="18">
        <f>'JUN 24'!BG55</f>
        <v>35109.526218882762</v>
      </c>
      <c r="BH5" s="18">
        <f>'JUN 24'!BH55</f>
        <v>26531.768320002102</v>
      </c>
      <c r="BI5" s="18">
        <f>'JUN 24'!BI55</f>
        <v>526567.9691583903</v>
      </c>
      <c r="BJ5" s="18">
        <f>'JUN 24'!BJ55</f>
        <v>198192.37105456018</v>
      </c>
      <c r="BK5" s="18">
        <f>'JUN 24'!BK55</f>
        <v>4980687.3215980129</v>
      </c>
      <c r="BL5" s="18">
        <f>'JUN 24'!BL55</f>
        <v>113635.83516244605</v>
      </c>
      <c r="BM5" s="18">
        <f>'JUN 24'!BM55</f>
        <v>1077309.9349271639</v>
      </c>
      <c r="BN5" s="18">
        <f>'JUN 24'!BN55</f>
        <v>1227443.0782573815</v>
      </c>
      <c r="BO5" s="18">
        <f>'JUN 24'!BO55</f>
        <v>3.4691202304202307E-3</v>
      </c>
      <c r="BP5" s="18">
        <f>'JUN 24'!BP55</f>
        <v>257.39572932906549</v>
      </c>
      <c r="BQ5" s="18">
        <f>'JUN 24'!BQ55</f>
        <v>4.0128798844989433E-3</v>
      </c>
      <c r="BR5" s="18">
        <f>'JUN 24'!BR55</f>
        <v>645484.5260000031</v>
      </c>
      <c r="BS5" s="18">
        <f>'JUN 24'!BS55</f>
        <v>2650869.4086606889</v>
      </c>
      <c r="BT5" s="18">
        <f>'JUN 24'!BT55</f>
        <v>7258402.124932019</v>
      </c>
      <c r="BU5" s="18">
        <f>'JUN 24'!BU55</f>
        <v>30006203.237636194</v>
      </c>
      <c r="BV5" s="18">
        <f>'JUN 24'!BV55</f>
        <v>225.44886000000042</v>
      </c>
      <c r="BW5" s="18">
        <f>'JUN 24'!BW55</f>
        <v>90883.492990000814</v>
      </c>
      <c r="BX5" s="18">
        <f>'JUN 24'!BX55</f>
        <v>12663.664475599246</v>
      </c>
      <c r="BY5" s="18">
        <f>'JUN 24'!BY55</f>
        <v>-8345726.0590599999</v>
      </c>
      <c r="BZ5" s="18">
        <f>'JUN 24'!BZ55</f>
        <v>-54082089.635860011</v>
      </c>
      <c r="CA5" s="18">
        <f>'JUN 24'!CA55</f>
        <v>-30373697.364440009</v>
      </c>
      <c r="CB5" s="18">
        <f>'JUN 24'!CB55</f>
        <v>18918.56624</v>
      </c>
      <c r="CC5" s="18">
        <f>'JUN 24'!CC55</f>
        <v>905567.0501799999</v>
      </c>
      <c r="CD5" s="18">
        <f>'JUN 24'!CD55</f>
        <v>0</v>
      </c>
      <c r="CE5" s="18">
        <f>'JUN 24'!CE55</f>
        <v>5452.4449999999961</v>
      </c>
      <c r="CF5" s="18">
        <f>'JUN 24'!CF55</f>
        <v>-114377.54041000002</v>
      </c>
      <c r="CG5" s="18">
        <f>'JUN 24'!CG55</f>
        <v>194020.58999999994</v>
      </c>
      <c r="CH5" s="18">
        <f>'JUN 24'!CH55</f>
        <v>2.9318200000000001</v>
      </c>
      <c r="CI5" s="18">
        <f>'JUN 24'!CI55</f>
        <v>813161.95743999921</v>
      </c>
      <c r="CJ5" s="18">
        <f>'JUN 24'!CJ55</f>
        <v>201938.84803999978</v>
      </c>
      <c r="CK5" s="18">
        <f>'JUN 24'!CK55</f>
        <v>0</v>
      </c>
      <c r="CL5" s="18">
        <f>'JUN 24'!CL55</f>
        <v>0</v>
      </c>
      <c r="CM5" s="18">
        <f>'JUN 24'!CM55</f>
        <v>79545.207070000004</v>
      </c>
      <c r="CN5" s="18">
        <f>'JUN 24'!CN55</f>
        <v>662749.23605000007</v>
      </c>
      <c r="CO5" s="18">
        <f>'JUN 24'!CO55</f>
        <v>736446.43431999965</v>
      </c>
      <c r="CP5" s="18">
        <f>'JUN 24'!CP55</f>
        <v>9152723.6727600005</v>
      </c>
      <c r="CQ5" s="18">
        <f>'JUN 24'!CQ55</f>
        <v>377918.49939999997</v>
      </c>
      <c r="CR5" s="18">
        <f>'JUN 24'!CR55</f>
        <v>13844.959270000458</v>
      </c>
      <c r="CS5" s="18">
        <f>'JUN 24'!CS55</f>
        <v>5010.51</v>
      </c>
      <c r="CT5" s="18">
        <f>'JUN 24'!CT55</f>
        <v>20511.762362899997</v>
      </c>
      <c r="CU5" s="18">
        <f>'JUN 24'!CU55</f>
        <v>5010.51</v>
      </c>
      <c r="CV5" s="18">
        <f>'JUN 24'!CV55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154110181.82714453</v>
      </c>
    </row>
    <row r="6" spans="1:101" s="20" customFormat="1" x14ac:dyDescent="0.3">
      <c r="A6" s="165"/>
      <c r="B6" s="19"/>
      <c r="C6" s="19" t="s">
        <v>91</v>
      </c>
      <c r="D6" s="19">
        <f>-42278.68+0.01</f>
        <v>-42278.67</v>
      </c>
      <c r="E6" s="19">
        <v>-1777038.3</v>
      </c>
      <c r="F6" s="19">
        <v>-2689226.44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-619179.31999999995</v>
      </c>
      <c r="BZ6" s="19">
        <v>-11040805.77</v>
      </c>
      <c r="CA6" s="19">
        <v>-3205489.38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357418.79281994508</v>
      </c>
      <c r="E8" s="18">
        <f t="shared" si="0"/>
        <v>8362421.4372130418</v>
      </c>
      <c r="F8" s="18">
        <f t="shared" si="0"/>
        <v>8290492.5485843997</v>
      </c>
      <c r="G8" s="18">
        <f t="shared" si="0"/>
        <v>0</v>
      </c>
      <c r="H8" s="18">
        <f t="shared" si="0"/>
        <v>0</v>
      </c>
      <c r="I8" s="18">
        <f t="shared" si="0"/>
        <v>133860.64499457896</v>
      </c>
      <c r="J8" s="18">
        <f t="shared" si="0"/>
        <v>0</v>
      </c>
      <c r="K8" s="18">
        <f t="shared" si="0"/>
        <v>116367.8673161429</v>
      </c>
      <c r="L8" s="18">
        <f t="shared" si="0"/>
        <v>298438.41545576084</v>
      </c>
      <c r="M8" s="18">
        <f t="shared" si="0"/>
        <v>201379.3081868639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14849154.113466863</v>
      </c>
      <c r="Q8" s="18">
        <f t="shared" si="0"/>
        <v>61397849.15785113</v>
      </c>
      <c r="R8" s="18">
        <f t="shared" si="0"/>
        <v>440666.79451000015</v>
      </c>
      <c r="S8" s="18">
        <f t="shared" si="0"/>
        <v>1819795.1660767274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88260.369999997187</v>
      </c>
      <c r="AI8" s="18">
        <f t="shared" si="0"/>
        <v>368336.14378838829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24668552.436255224</v>
      </c>
      <c r="AM8" s="18">
        <f t="shared" si="0"/>
        <v>61907200.437531352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2109719.2290364038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144313.12599999818</v>
      </c>
      <c r="AZ8" s="18">
        <f t="shared" si="0"/>
        <v>23389.865177323234</v>
      </c>
      <c r="BA8" s="18">
        <f t="shared" si="0"/>
        <v>203582.27872400693</v>
      </c>
      <c r="BB8" s="18">
        <f t="shared" si="0"/>
        <v>70499.372219991143</v>
      </c>
      <c r="BC8" s="18">
        <f t="shared" si="0"/>
        <v>268931.93684799864</v>
      </c>
      <c r="BD8" s="18">
        <f t="shared" si="0"/>
        <v>17182.91859998984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4980687.3215980129</v>
      </c>
      <c r="BL8" s="18">
        <f t="shared" si="0"/>
        <v>113635.83516244605</v>
      </c>
      <c r="BM8" s="18">
        <f t="shared" si="0"/>
        <v>1077309.9349271639</v>
      </c>
      <c r="BN8" s="18">
        <f t="shared" si="0"/>
        <v>1227443.0782573815</v>
      </c>
      <c r="BO8" s="18">
        <f t="shared" si="0"/>
        <v>3.4691202304202307E-3</v>
      </c>
      <c r="BP8" s="18">
        <f t="shared" si="0"/>
        <v>257.39572932906549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7258402.124932019</v>
      </c>
      <c r="BU8" s="18">
        <f t="shared" si="1"/>
        <v>30006203.237636194</v>
      </c>
      <c r="BV8" s="18">
        <f t="shared" si="1"/>
        <v>225.44886000000042</v>
      </c>
      <c r="BW8" s="18">
        <f t="shared" si="1"/>
        <v>90883.492990000814</v>
      </c>
      <c r="BX8" s="18">
        <f t="shared" si="1"/>
        <v>12663.664475599246</v>
      </c>
      <c r="BY8" s="18">
        <f>+BY5+BY6+BY7:BZ7</f>
        <v>-8964905.3790600002</v>
      </c>
      <c r="BZ8" s="18">
        <f t="shared" si="1"/>
        <v>-65122895.405860007</v>
      </c>
      <c r="CA8" s="18">
        <f t="shared" si="1"/>
        <v>-33579186.744440012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5452.4449999999961</v>
      </c>
      <c r="CF8" s="18">
        <f t="shared" si="1"/>
        <v>-114377.54041000002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13844.959270000458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134736163.94714448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358327.113+276000</f>
        <v>634327.11300000001</v>
      </c>
      <c r="M11" s="26">
        <f>113930+27600+1123.27841</f>
        <v>142653.27841</v>
      </c>
      <c r="N11" s="26"/>
      <c r="O11" s="26"/>
      <c r="P11" s="26">
        <v>9600</v>
      </c>
      <c r="Q11" s="26">
        <f>(P11*4081.15)/1000</f>
        <v>39179.040000000001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816159.43141000008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>
        <v>16341.650600000001</v>
      </c>
      <c r="N12" s="26"/>
      <c r="O12" s="26"/>
      <c r="P12" s="26">
        <v>10000000</v>
      </c>
      <c r="Q12" s="26">
        <f>(P12*4081.15)/1000</f>
        <v>40811500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40827841.650600001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>
        <v>-22251.111110000002</v>
      </c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-22251.111110000002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v>-10000000</v>
      </c>
      <c r="Q19" s="26">
        <f>(P19*4081.15)/1000</f>
        <v>-40811500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-40811500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-105084554.075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-105084554.075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>
        <v>2239975</v>
      </c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2239975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79297397.044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79297397.044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>
        <v>64975225.364</v>
      </c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64975225.364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>
        <v>54428</v>
      </c>
      <c r="Q25" s="26">
        <f>(P25*4081.15)/1000</f>
        <v>222128.8322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222128.8322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>
        <v>-542293</v>
      </c>
      <c r="Q26" s="26">
        <f>(P26*4081.15)/1000</f>
        <v>-2213179.0769500001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-2213179.0769500001</v>
      </c>
    </row>
    <row r="27" spans="1:101" x14ac:dyDescent="0.3">
      <c r="A27" s="158"/>
      <c r="B27" s="24" t="s">
        <v>95</v>
      </c>
      <c r="C27" s="25" t="s">
        <v>114</v>
      </c>
      <c r="D27" s="26">
        <v>100000</v>
      </c>
      <c r="E27" s="28">
        <f>27000000+29000000+19118000+20000000</f>
        <v>95118000</v>
      </c>
      <c r="F27" s="28">
        <v>6932000</v>
      </c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>
        <v>500000</v>
      </c>
      <c r="BZ27" s="26">
        <v>4800000</v>
      </c>
      <c r="CA27" s="26">
        <v>2100000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109550000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/>
      <c r="F28" s="28"/>
      <c r="G28" s="26"/>
      <c r="H28" s="26"/>
      <c r="I28" s="26"/>
      <c r="J28" s="26"/>
      <c r="K28" s="28"/>
      <c r="L28" s="27">
        <f>-6800000-20000000-17600000</f>
        <v>-44400000</v>
      </c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-44400000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>
        <v>2176225.7152999998</v>
      </c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2176225.7152999998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4">
        <f>(AL58+AL59)/1000</f>
        <v>68118532.260810003</v>
      </c>
      <c r="AM32" s="33">
        <f>(AM59+AM60+AM61+AM62)/1000</f>
        <v>57586034.873000003</v>
      </c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125704567.13381001</v>
      </c>
    </row>
    <row r="33" spans="1:101" x14ac:dyDescent="0.3">
      <c r="A33" s="153"/>
      <c r="B33" s="31" t="s">
        <v>97</v>
      </c>
      <c r="C33" s="32" t="s">
        <v>121</v>
      </c>
      <c r="D33" s="33"/>
      <c r="E33" s="33">
        <f>-14147217.036-68118532.261-1.851-1.851-1.851</f>
        <v>-82265754.849999994</v>
      </c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>
        <f>(AM58)/1000</f>
        <v>-43438812.283809997</v>
      </c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-125704567.13380998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-490000-2080000</f>
        <v>-2570000</v>
      </c>
      <c r="Q35" s="37">
        <f>(P35*4081.15)/1000</f>
        <v>-10488555.5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-10488555.5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>
        <v>188500</v>
      </c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188500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/>
      <c r="M38" s="38"/>
      <c r="N38" s="37"/>
      <c r="O38" s="37"/>
      <c r="P38" s="37">
        <v>-250339.46</v>
      </c>
      <c r="Q38" s="37">
        <f>(P38*4081.15)/1000</f>
        <v>-1021672.8871790001</v>
      </c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-1021672.8871790001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>
        <f>-3396.82878-7604.80232-213971.50365</f>
        <v>-224973.13475</v>
      </c>
      <c r="F40" s="43">
        <f>-2109.94419-15290.93463</f>
        <v>-17400.878819999998</v>
      </c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3">
        <v>-390.24</v>
      </c>
      <c r="AN40" s="44"/>
      <c r="AO40" s="44"/>
      <c r="AP40" s="44"/>
      <c r="AQ40" s="43">
        <v>-3392.7099800000001</v>
      </c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-246156.96355000001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>
        <v>-9352950</v>
      </c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>
        <v>2300000</v>
      </c>
      <c r="BS42" s="44">
        <v>9352950</v>
      </c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>
        <v>272948.57799999998</v>
      </c>
      <c r="M48" s="47">
        <f>1261413.659+1673723.816</f>
        <v>2935137.4750000001</v>
      </c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3208086.0530000003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>
        <v>96</v>
      </c>
      <c r="AK49" s="48">
        <f>(AJ49*4081.15)/1000</f>
        <v>391.79040000000003</v>
      </c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391.79040000000003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f>-1.733-0.01</f>
        <v>-1.7430000000000001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-2.5139999999999998</v>
      </c>
      <c r="BB50" s="48">
        <v>-0.871</v>
      </c>
      <c r="BC50" s="48">
        <v>-3.3210000000000002</v>
      </c>
      <c r="BD50" s="48">
        <v>-0.21199999999999999</v>
      </c>
      <c r="BE50" s="48"/>
      <c r="BF50" s="48"/>
      <c r="BG50" s="48"/>
      <c r="BH50" s="48"/>
      <c r="BI50" s="48"/>
      <c r="BJ50" s="48"/>
      <c r="BK50" s="48"/>
      <c r="BL50" s="48">
        <v>-1.472</v>
      </c>
      <c r="BM50" s="48">
        <f>-13.951-0.01</f>
        <v>-13.961</v>
      </c>
      <c r="BN50" s="48">
        <v>-15.895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-39.989000000000004</v>
      </c>
    </row>
    <row r="51" spans="1:101" x14ac:dyDescent="0.3">
      <c r="A51" s="156"/>
      <c r="B51" s="45" t="s">
        <v>97</v>
      </c>
      <c r="C51" s="46" t="s">
        <v>138</v>
      </c>
      <c r="D51" s="47">
        <f>-5860.75</f>
        <v>-5860.75</v>
      </c>
      <c r="E51" s="48">
        <f>-935.376-5860.75</f>
        <v>-6796.1260000000002</v>
      </c>
      <c r="F51" s="48">
        <v>-5860.75</v>
      </c>
      <c r="G51" s="48"/>
      <c r="H51" s="48"/>
      <c r="I51" s="48"/>
      <c r="J51" s="48"/>
      <c r="K51" s="47"/>
      <c r="L51" s="47">
        <v>-148.25764000000001</v>
      </c>
      <c r="M51" s="47">
        <v>-8.2590000000000003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-18674.142639999998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24.764209999999999</v>
      </c>
      <c r="J52" s="48"/>
      <c r="K52" s="48"/>
      <c r="L52" s="47"/>
      <c r="M52" s="47"/>
      <c r="N52" s="48"/>
      <c r="O52" s="48"/>
      <c r="P52" s="48"/>
      <c r="Q52" s="48"/>
      <c r="R52" s="48">
        <v>33.53</v>
      </c>
      <c r="S52" s="48">
        <f>(R52*4081.15)/1000</f>
        <v>136.8409595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35.912999999999997</v>
      </c>
      <c r="BB52" s="48">
        <v>12.436</v>
      </c>
      <c r="BC52" s="48">
        <v>47.441000000000003</v>
      </c>
      <c r="BD52" s="48">
        <v>3.0310000000000001</v>
      </c>
      <c r="BE52" s="48"/>
      <c r="BF52" s="48"/>
      <c r="BG52" s="48"/>
      <c r="BH52" s="48"/>
      <c r="BI52" s="48"/>
      <c r="BJ52" s="48"/>
      <c r="BK52" s="48"/>
      <c r="BL52" s="48">
        <v>21.02262</v>
      </c>
      <c r="BM52" s="48">
        <v>199.30233000000001</v>
      </c>
      <c r="BN52" s="48">
        <v>227.07696000000001</v>
      </c>
      <c r="BO52" s="48"/>
      <c r="BP52" s="48">
        <f>-47.61/1000+0.1</f>
        <v>5.2390000000000006E-2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707.8804695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(D10+D13+D16+D17+D33+D38+D47+D30+D35+D26)*4/1000</f>
        <v>0</v>
      </c>
      <c r="E53" s="48">
        <f>(E10+E13+E16+E17+E33+E38+E47+E40+E51+E35)*4/1000</f>
        <v>-329990.09644299996</v>
      </c>
      <c r="F53" s="48">
        <f>(F10+F13+F16+F17+F33+F38+F47+F35)*4/1000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-89.597475000000003</v>
      </c>
      <c r="M53" s="47">
        <f>(M10+M13+M17+M33+M38+M40+M51+M36+M49+M16)*4/1000</f>
        <v>-3.3036000000000003E-2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(AM10+AM17+AM38+AM40+AM47+AM51+AM50+AM16+AM13+AM30)*4/1000</f>
        <v>-1.5609600000000001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-13.570839920000001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-330094.85875391995</v>
      </c>
    </row>
    <row r="54" spans="1:101" x14ac:dyDescent="0.3">
      <c r="C54" s="49" t="s">
        <v>141</v>
      </c>
      <c r="D54" s="50">
        <f t="shared" ref="D54:AM54" si="7">SUM(D9:D53)</f>
        <v>94139.25</v>
      </c>
      <c r="E54" s="50">
        <f t="shared" si="7"/>
        <v>2937535.7928070067</v>
      </c>
      <c r="F54" s="50">
        <f>SUM(F9:F53)</f>
        <v>6908738.3711799998</v>
      </c>
      <c r="G54" s="50">
        <f t="shared" si="7"/>
        <v>0</v>
      </c>
      <c r="H54" s="50">
        <f t="shared" si="7"/>
        <v>0</v>
      </c>
      <c r="I54" s="50">
        <f t="shared" si="7"/>
        <v>23.02121</v>
      </c>
      <c r="J54" s="50">
        <f t="shared" si="7"/>
        <v>0</v>
      </c>
      <c r="K54" s="50">
        <f t="shared" si="7"/>
        <v>0</v>
      </c>
      <c r="L54" s="51">
        <f t="shared" si="7"/>
        <v>277555.77307500027</v>
      </c>
      <c r="M54" s="50">
        <f t="shared" si="7"/>
        <v>3094124.111974</v>
      </c>
      <c r="N54" s="50">
        <f t="shared" si="7"/>
        <v>0</v>
      </c>
      <c r="O54" s="50">
        <f t="shared" si="7"/>
        <v>0</v>
      </c>
      <c r="P54" s="50">
        <f t="shared" si="7"/>
        <v>-3298604.46</v>
      </c>
      <c r="Q54" s="50">
        <f t="shared" si="7"/>
        <v>-13462099.591929002</v>
      </c>
      <c r="R54" s="50">
        <f t="shared" si="7"/>
        <v>33.53</v>
      </c>
      <c r="S54" s="50">
        <f t="shared" si="7"/>
        <v>136.8409595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96</v>
      </c>
      <c r="AK54" s="50">
        <f t="shared" si="7"/>
        <v>391.79040000000003</v>
      </c>
      <c r="AL54" s="50">
        <f t="shared" si="7"/>
        <v>68118532.260810003</v>
      </c>
      <c r="AM54" s="50">
        <f t="shared" si="7"/>
        <v>14146830.788230006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-3406.2808199199999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33.398999999999994</v>
      </c>
      <c r="BB54" s="50">
        <f t="shared" si="8"/>
        <v>11.565</v>
      </c>
      <c r="BC54" s="50">
        <f t="shared" si="8"/>
        <v>44.120000000000005</v>
      </c>
      <c r="BD54" s="50">
        <f t="shared" si="8"/>
        <v>2.819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19.550619999999999</v>
      </c>
      <c r="BM54" s="50">
        <f t="shared" si="8"/>
        <v>185.34133</v>
      </c>
      <c r="BN54" s="50">
        <f t="shared" si="8"/>
        <v>211.18196</v>
      </c>
      <c r="BO54" s="50">
        <f t="shared" si="8"/>
        <v>0</v>
      </c>
      <c r="BP54" s="50">
        <f t="shared" si="8"/>
        <v>5.2390000000000006E-2</v>
      </c>
      <c r="BQ54" s="50">
        <f t="shared" si="8"/>
        <v>0</v>
      </c>
      <c r="BR54" s="50">
        <f t="shared" si="8"/>
        <v>2300000</v>
      </c>
      <c r="BS54" s="50">
        <f t="shared" si="8"/>
        <v>9352950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500000</v>
      </c>
      <c r="BZ54" s="50">
        <f>SUM(BZ9:BZ53)</f>
        <v>4800000</v>
      </c>
      <c r="CA54" s="50">
        <f t="shared" si="8"/>
        <v>2100000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98865960.157196611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451558.04281994508</v>
      </c>
      <c r="E55" s="55">
        <f t="shared" si="9"/>
        <v>11299957.230020048</v>
      </c>
      <c r="F55" s="55">
        <f>+F8+F54</f>
        <v>15199230.9197644</v>
      </c>
      <c r="G55" s="55">
        <f t="shared" si="9"/>
        <v>0</v>
      </c>
      <c r="H55" s="55">
        <f t="shared" si="9"/>
        <v>0</v>
      </c>
      <c r="I55" s="55">
        <f t="shared" si="9"/>
        <v>133883.66620457897</v>
      </c>
      <c r="J55" s="55">
        <f t="shared" si="9"/>
        <v>0</v>
      </c>
      <c r="K55" s="55">
        <f t="shared" si="9"/>
        <v>116367.8673161429</v>
      </c>
      <c r="L55" s="55">
        <f t="shared" si="9"/>
        <v>575994.18853076105</v>
      </c>
      <c r="M55" s="55">
        <f t="shared" si="9"/>
        <v>3295503.420160864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11550549.653466862</v>
      </c>
      <c r="Q55" s="55">
        <f t="shared" si="9"/>
        <v>47935749.565922126</v>
      </c>
      <c r="R55" s="55">
        <f t="shared" si="9"/>
        <v>440700.32451000018</v>
      </c>
      <c r="S55" s="55">
        <f t="shared" si="9"/>
        <v>1819932.0070362275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88260.369999997187</v>
      </c>
      <c r="AI55" s="55">
        <f t="shared" si="9"/>
        <v>368336.14378838829</v>
      </c>
      <c r="AJ55" s="55">
        <f t="shared" si="9"/>
        <v>674562.83999999822</v>
      </c>
      <c r="AK55" s="55">
        <f t="shared" si="9"/>
        <v>2798565.8588447925</v>
      </c>
      <c r="AL55" s="55">
        <f t="shared" si="9"/>
        <v>92787084.697065234</v>
      </c>
      <c r="AM55" s="55">
        <f t="shared" si="9"/>
        <v>76054031.225761354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2106312.9482164839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144313.12599999818</v>
      </c>
      <c r="AZ55" s="55">
        <f t="shared" si="9"/>
        <v>23389.865177323234</v>
      </c>
      <c r="BA55" s="55">
        <f t="shared" si="9"/>
        <v>203615.67772400694</v>
      </c>
      <c r="BB55" s="55">
        <f t="shared" si="9"/>
        <v>70510.937219991145</v>
      </c>
      <c r="BC55" s="55">
        <f t="shared" si="9"/>
        <v>268976.05684799864</v>
      </c>
      <c r="BD55" s="55">
        <f t="shared" si="9"/>
        <v>17185.73759998984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4980687.3215980129</v>
      </c>
      <c r="BL55" s="55">
        <f t="shared" si="9"/>
        <v>113655.38578244604</v>
      </c>
      <c r="BM55" s="55">
        <f t="shared" si="9"/>
        <v>1077495.2762571638</v>
      </c>
      <c r="BN55" s="55">
        <f t="shared" si="9"/>
        <v>1227654.2602173814</v>
      </c>
      <c r="BO55" s="55">
        <f t="shared" si="9"/>
        <v>3.4691202304202307E-3</v>
      </c>
      <c r="BP55" s="55">
        <f t="shared" si="9"/>
        <v>257.44811932906549</v>
      </c>
      <c r="BQ55" s="55">
        <f t="shared" si="9"/>
        <v>4.0128798844989433E-3</v>
      </c>
      <c r="BR55" s="55">
        <f t="shared" si="9"/>
        <v>2945484.5260000033</v>
      </c>
      <c r="BS55" s="55">
        <f t="shared" si="9"/>
        <v>12003819.408660689</v>
      </c>
      <c r="BT55" s="55">
        <f t="shared" ref="BT55:CV55" si="10">+BT8+BT54</f>
        <v>7258402.124932019</v>
      </c>
      <c r="BU55" s="55">
        <f t="shared" si="10"/>
        <v>30006203.237636194</v>
      </c>
      <c r="BV55" s="55">
        <f t="shared" si="10"/>
        <v>225.44886000000042</v>
      </c>
      <c r="BW55" s="55">
        <f t="shared" si="10"/>
        <v>90883.492990000814</v>
      </c>
      <c r="BX55" s="55">
        <f t="shared" si="10"/>
        <v>12663.664475599246</v>
      </c>
      <c r="BY55" s="55">
        <f t="shared" si="10"/>
        <v>-8464905.3790600002</v>
      </c>
      <c r="BZ55" s="55">
        <f t="shared" si="10"/>
        <v>-60322895.405860007</v>
      </c>
      <c r="CA55" s="55">
        <f t="shared" si="10"/>
        <v>-31479186.744440012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5452.4449999999961</v>
      </c>
      <c r="CF55" s="55">
        <f t="shared" si="10"/>
        <v>-114377.54041000002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13844.959270000458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233602124.10434118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94" t="s">
        <v>205</v>
      </c>
      <c r="AL58" s="72">
        <v>24679719977</v>
      </c>
      <c r="AM58" s="67">
        <f>-AL59</f>
        <v>-43438812283.809998</v>
      </c>
      <c r="AN58" s="70" t="s">
        <v>206</v>
      </c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94" t="s">
        <v>206</v>
      </c>
      <c r="AL59" s="72">
        <v>43438812283.809998</v>
      </c>
      <c r="AM59" s="72">
        <v>57586029320</v>
      </c>
      <c r="AN59" s="70" t="s">
        <v>207</v>
      </c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425998020.17132008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94"/>
      <c r="AL60" s="72"/>
      <c r="AM60" s="72">
        <v>1851</v>
      </c>
      <c r="AN60" s="70" t="s">
        <v>208</v>
      </c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79297397.044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94"/>
      <c r="AL61" s="72"/>
      <c r="AM61" s="72">
        <v>1851</v>
      </c>
      <c r="AN61" s="70" t="s">
        <v>209</v>
      </c>
      <c r="AO61" s="67"/>
      <c r="AP61" s="67"/>
      <c r="AQ61" s="67"/>
      <c r="BX61" s="58"/>
      <c r="BY61" s="58"/>
      <c r="BZ61" s="56"/>
      <c r="CA61" s="58"/>
      <c r="CD61" s="58"/>
    </row>
    <row r="62" spans="1:101" x14ac:dyDescent="0.3">
      <c r="B62" s="157"/>
      <c r="C62" s="86" t="s">
        <v>152</v>
      </c>
      <c r="D62" s="87">
        <f>CW11+CW15</f>
        <v>816159.43141000008</v>
      </c>
      <c r="E62" s="67" t="s">
        <v>204</v>
      </c>
      <c r="F62" s="88" t="s">
        <v>153</v>
      </c>
      <c r="G62" s="90">
        <f>P55</f>
        <v>11550549.653466862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94"/>
      <c r="AL62" s="77"/>
      <c r="AM62" s="72">
        <v>1851</v>
      </c>
      <c r="AN62" s="70" t="s">
        <v>210</v>
      </c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109772128.83220001</v>
      </c>
      <c r="E63" s="67" t="s">
        <v>204</v>
      </c>
      <c r="F63" s="88" t="s">
        <v>155</v>
      </c>
      <c r="G63" s="90">
        <f>R55</f>
        <v>440700.32451000018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105803067.01460001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2239975</v>
      </c>
      <c r="E65" s="67" t="s">
        <v>204</v>
      </c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2176225.7152999998</v>
      </c>
      <c r="E66" s="100" t="s">
        <v>204</v>
      </c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125704567.13381001</v>
      </c>
      <c r="E67" s="100"/>
      <c r="F67" s="104" t="s">
        <v>160</v>
      </c>
      <c r="G67" s="105">
        <f>K55*1000</f>
        <v>116367867.3161429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575994188.530761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188500</v>
      </c>
      <c r="E69" s="100" t="s">
        <v>204</v>
      </c>
      <c r="F69" s="104" t="s">
        <v>162</v>
      </c>
      <c r="G69" s="105">
        <f>M55*1000</f>
        <v>3295503420.1608639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-319503881.24759901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-22251.111110000002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-40811500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-105084554.075</v>
      </c>
      <c r="E76" s="56" t="s">
        <v>204</v>
      </c>
      <c r="F76" s="120" t="s">
        <v>170</v>
      </c>
      <c r="G76" s="117">
        <f>AH55</f>
        <v>88260.369999997187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-46613179.076949999</v>
      </c>
      <c r="E77" s="67" t="s">
        <v>204</v>
      </c>
      <c r="F77" s="120" t="s">
        <v>172</v>
      </c>
      <c r="G77" s="117">
        <f>AJ55</f>
        <v>674562.83999999822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-125704567.13380998</v>
      </c>
      <c r="E79" s="100" t="s">
        <v>204</v>
      </c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-1021672.8871790001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-246156.96355000001</v>
      </c>
      <c r="E82" s="100" t="s">
        <v>204</v>
      </c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203582.27872400693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35.912999999999997</v>
      </c>
      <c r="L92" s="138">
        <f>BA50+BA51+BA53+BA40+BA42+BA43+BA45</f>
        <v>-2.5139999999999998</v>
      </c>
      <c r="M92" s="139">
        <f t="shared" si="11"/>
        <v>203615.67772400694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268931.93684799864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47.441000000000003</v>
      </c>
      <c r="L98" s="138">
        <f>BC50+BC51+BC53+BC40+BC42+BC43+BC45</f>
        <v>-3.3210000000000002</v>
      </c>
      <c r="M98" s="139">
        <f t="shared" si="11"/>
        <v>268976.05684799864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70499.372219991143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12.436</v>
      </c>
      <c r="L99" s="138">
        <f>BB50+BB51+BB53+BB40+BB42+BB43+BB45</f>
        <v>-0.871</v>
      </c>
      <c r="M99" s="139">
        <f t="shared" si="11"/>
        <v>70510.937219991145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17182.91859998984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3.0310000000000001</v>
      </c>
      <c r="L104" s="138">
        <f>BD50+BD51+BD53+BD40+BD42+BD43+BD45</f>
        <v>-0.21199999999999999</v>
      </c>
      <c r="M104" s="139">
        <f t="shared" si="11"/>
        <v>17185.73759998984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144313.12599999818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144313.12599999818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606676.22375967936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35.912999999999997</v>
      </c>
      <c r="L108" s="97">
        <f t="shared" si="12"/>
        <v>-2.5139999999999998</v>
      </c>
      <c r="M108" s="97">
        <f t="shared" si="12"/>
        <v>606709.62275967933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1189027.3259507432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59.877000000000002</v>
      </c>
      <c r="L109" s="97">
        <f t="shared" si="13"/>
        <v>-4.1920000000000002</v>
      </c>
      <c r="M109" s="97">
        <f t="shared" si="13"/>
        <v>1189083.0109507432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465543.74807742826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3.0310000000000001</v>
      </c>
      <c r="L110" s="97">
        <f t="shared" si="14"/>
        <v>-0.21199999999999999</v>
      </c>
      <c r="M110" s="97">
        <f t="shared" si="14"/>
        <v>465546.56707742828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A9:A29"/>
    <mergeCell ref="D1:BK1"/>
    <mergeCell ref="BL1:BN1"/>
    <mergeCell ref="BR1:CJ1"/>
    <mergeCell ref="CW2:CW4"/>
    <mergeCell ref="A5:A8"/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</mergeCell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E59" sqref="E59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25'!D55</f>
        <v>451558.04281994508</v>
      </c>
      <c r="E5" s="18">
        <f>'JUN 25'!E55</f>
        <v>11299957.230020048</v>
      </c>
      <c r="F5" s="18">
        <f>'JUN 25'!F55</f>
        <v>15199230.9197644</v>
      </c>
      <c r="G5" s="18">
        <f>'JUN 25'!G55</f>
        <v>0</v>
      </c>
      <c r="H5" s="18">
        <f>'JUN 25'!H55</f>
        <v>0</v>
      </c>
      <c r="I5" s="18">
        <f>'JUN 25'!I55</f>
        <v>133883.66620457897</v>
      </c>
      <c r="J5" s="18">
        <f>'JUN 25'!J55</f>
        <v>0</v>
      </c>
      <c r="K5" s="18">
        <f>'JUN 25'!K55</f>
        <v>116367.8673161429</v>
      </c>
      <c r="L5" s="18">
        <f>'JUN 25'!L55</f>
        <v>575994.18853076105</v>
      </c>
      <c r="M5" s="18">
        <f>'JUN 25'!M55</f>
        <v>3295503.420160864</v>
      </c>
      <c r="N5" s="18">
        <f>'JUN 25'!N55</f>
        <v>177265.5199999999</v>
      </c>
      <c r="O5" s="18">
        <f>'JUN 25'!O55</f>
        <v>735425.00813439966</v>
      </c>
      <c r="P5" s="18">
        <f>'JUN 25'!P55</f>
        <v>11550549.653466862</v>
      </c>
      <c r="Q5" s="18">
        <f>'JUN 25'!Q55</f>
        <v>47935749.565922126</v>
      </c>
      <c r="R5" s="18">
        <f>'JUN 25'!R55</f>
        <v>440700.32451000018</v>
      </c>
      <c r="S5" s="18">
        <f>'JUN 25'!S55</f>
        <v>1819932.0070362275</v>
      </c>
      <c r="T5" s="18">
        <f>'JUN 25'!T55</f>
        <v>0</v>
      </c>
      <c r="U5" s="18">
        <f>'JUN 25'!U55</f>
        <v>0</v>
      </c>
      <c r="V5" s="18">
        <f>'JUN 25'!V55</f>
        <v>0</v>
      </c>
      <c r="W5" s="18">
        <f>'JUN 25'!W55</f>
        <v>0</v>
      </c>
      <c r="X5" s="18">
        <f>'JUN 25'!X55</f>
        <v>0</v>
      </c>
      <c r="Y5" s="18">
        <f>'JUN 25'!Y55</f>
        <v>0</v>
      </c>
      <c r="Z5" s="18">
        <f>'JUN 25'!Z55</f>
        <v>9662.5274983807467</v>
      </c>
      <c r="AA5" s="18">
        <f>'JUN 25'!AA55</f>
        <v>40087.12108308218</v>
      </c>
      <c r="AB5" s="18">
        <f>'JUN 25'!AB55</f>
        <v>7542.7499999967404</v>
      </c>
      <c r="AC5" s="18">
        <f>'JUN 25'!AC55</f>
        <v>31292.757779986478</v>
      </c>
      <c r="AD5" s="18">
        <f>'JUN 25'!AD55</f>
        <v>5155</v>
      </c>
      <c r="AE5" s="18">
        <f>'JUN 25'!AE55</f>
        <v>21386.651600000001</v>
      </c>
      <c r="AF5" s="18">
        <f>'JUN 25'!AF55</f>
        <v>7956.8699999451637</v>
      </c>
      <c r="AG5" s="18">
        <f>'JUN 25'!AG55</f>
        <v>33010.825706172502</v>
      </c>
      <c r="AH5" s="18">
        <f>'JUN 25'!AH55</f>
        <v>88260.369999997187</v>
      </c>
      <c r="AI5" s="18">
        <f>'JUN 25'!AI55</f>
        <v>368336.14378838829</v>
      </c>
      <c r="AJ5" s="18">
        <f>'JUN 25'!AJ55</f>
        <v>674562.83999999822</v>
      </c>
      <c r="AK5" s="18">
        <f>'JUN 25'!AK55</f>
        <v>2798565.8588447925</v>
      </c>
      <c r="AL5" s="18">
        <f>'JUN 25'!AL55</f>
        <v>92787084.697065234</v>
      </c>
      <c r="AM5" s="18">
        <f>'JUN 25'!AM55</f>
        <v>76054031.225761354</v>
      </c>
      <c r="AN5" s="18">
        <f>'JUN 25'!AN55</f>
        <v>6276507.6901499992</v>
      </c>
      <c r="AO5" s="18">
        <f>'JUN 25'!AO55</f>
        <v>1091269.40043144</v>
      </c>
      <c r="AP5" s="18">
        <f>'JUN 25'!AP55</f>
        <v>5285267.3108801506</v>
      </c>
      <c r="AQ5" s="18">
        <f>'JUN 25'!AQ55</f>
        <v>2106312.9482164839</v>
      </c>
      <c r="AR5" s="18">
        <f>'JUN 25'!AR55</f>
        <v>33846.145451993005</v>
      </c>
      <c r="AS5" s="18">
        <f>'JUN 25'!AS55</f>
        <v>6.2909079996137462</v>
      </c>
      <c r="AT5" s="18">
        <f>'JUN 25'!AT55</f>
        <v>11.244432002509914</v>
      </c>
      <c r="AU5" s="18">
        <f>'JUN 25'!AU55</f>
        <v>70745.806203997287</v>
      </c>
      <c r="AV5" s="18">
        <f>'JUN 25'!AV55</f>
        <v>525146.68653480266</v>
      </c>
      <c r="AW5" s="18">
        <f>'JUN 25'!AW55</f>
        <v>86119.091979996796</v>
      </c>
      <c r="AX5" s="18">
        <f>'JUN 25'!AX55</f>
        <v>1047.2966740010875</v>
      </c>
      <c r="AY5" s="18">
        <f>'JUN 25'!AY55</f>
        <v>144313.12599999818</v>
      </c>
      <c r="AZ5" s="18">
        <f>'JUN 25'!AZ55</f>
        <v>23389.865177323234</v>
      </c>
      <c r="BA5" s="18">
        <f>'JUN 25'!BA55</f>
        <v>203615.67772400694</v>
      </c>
      <c r="BB5" s="18">
        <f>'JUN 25'!BB55</f>
        <v>70510.937219991145</v>
      </c>
      <c r="BC5" s="18">
        <f>'JUN 25'!BC55</f>
        <v>268976.05684799864</v>
      </c>
      <c r="BD5" s="18">
        <f>'JUN 25'!BD55</f>
        <v>17185.73759998984</v>
      </c>
      <c r="BE5" s="18">
        <f>'JUN 25'!BE55</f>
        <v>256596.93928368055</v>
      </c>
      <c r="BF5" s="18">
        <f>'JUN 25'!BF55</f>
        <v>321963.21571035992</v>
      </c>
      <c r="BG5" s="18">
        <f>'JUN 25'!BG55</f>
        <v>35109.526218882762</v>
      </c>
      <c r="BH5" s="18">
        <f>'JUN 25'!BH55</f>
        <v>26531.768320002102</v>
      </c>
      <c r="BI5" s="18">
        <f>'JUN 25'!BI55</f>
        <v>526567.9691583903</v>
      </c>
      <c r="BJ5" s="18">
        <f>'JUN 25'!BJ55</f>
        <v>198192.37105456018</v>
      </c>
      <c r="BK5" s="18">
        <f>'JUN 25'!BK55</f>
        <v>4980687.3215980129</v>
      </c>
      <c r="BL5" s="18">
        <f>'JUN 25'!BL55</f>
        <v>113655.38578244604</v>
      </c>
      <c r="BM5" s="18">
        <f>'JUN 25'!BM55</f>
        <v>1077495.2762571638</v>
      </c>
      <c r="BN5" s="18">
        <f>'JUN 25'!BN55</f>
        <v>1227654.2602173814</v>
      </c>
      <c r="BO5" s="18">
        <f>'JUN 25'!BO55</f>
        <v>3.4691202304202307E-3</v>
      </c>
      <c r="BP5" s="18">
        <f>'JUN 25'!BP55</f>
        <v>257.44811932906549</v>
      </c>
      <c r="BQ5" s="18">
        <f>'JUN 25'!BQ55</f>
        <v>4.0128798844989433E-3</v>
      </c>
      <c r="BR5" s="18">
        <f>'JUN 25'!BR55</f>
        <v>2945484.5260000033</v>
      </c>
      <c r="BS5" s="18">
        <f>'JUN 25'!BS55</f>
        <v>12003819.408660689</v>
      </c>
      <c r="BT5" s="18">
        <f>'JUN 25'!BT55</f>
        <v>7258402.124932019</v>
      </c>
      <c r="BU5" s="18">
        <f>'JUN 25'!BU55</f>
        <v>30006203.237636194</v>
      </c>
      <c r="BV5" s="18">
        <f>'JUN 25'!BV55</f>
        <v>225.44886000000042</v>
      </c>
      <c r="BW5" s="18">
        <f>'JUN 25'!BW55</f>
        <v>90883.492990000814</v>
      </c>
      <c r="BX5" s="18">
        <f>'JUN 25'!BX55</f>
        <v>12663.664475599246</v>
      </c>
      <c r="BY5" s="18">
        <f>'JUN 25'!BY55</f>
        <v>-8464905.3790600002</v>
      </c>
      <c r="BZ5" s="18">
        <f>'JUN 25'!BZ55</f>
        <v>-60322895.405860007</v>
      </c>
      <c r="CA5" s="18">
        <f>'JUN 25'!CA55</f>
        <v>-31479186.744440012</v>
      </c>
      <c r="CB5" s="18">
        <f>'JUN 25'!CB55</f>
        <v>18918.56624</v>
      </c>
      <c r="CC5" s="18">
        <f>'JUN 25'!CC55</f>
        <v>905567.0501799999</v>
      </c>
      <c r="CD5" s="18">
        <f>'JUN 25'!CD55</f>
        <v>0</v>
      </c>
      <c r="CE5" s="18">
        <f>'JUN 25'!CE55</f>
        <v>5452.4449999999961</v>
      </c>
      <c r="CF5" s="18">
        <f>'JUN 25'!CF55</f>
        <v>-114377.54041000002</v>
      </c>
      <c r="CG5" s="18">
        <f>'JUN 25'!CG55</f>
        <v>194020.58999999994</v>
      </c>
      <c r="CH5" s="18">
        <f>'JUN 25'!CH55</f>
        <v>2.9318200000000001</v>
      </c>
      <c r="CI5" s="18">
        <f>'JUN 25'!CI55</f>
        <v>813161.95743999921</v>
      </c>
      <c r="CJ5" s="18">
        <f>'JUN 25'!CJ55</f>
        <v>201938.84803999978</v>
      </c>
      <c r="CK5" s="18">
        <f>'JUN 25'!CK55</f>
        <v>0</v>
      </c>
      <c r="CL5" s="18">
        <f>'JUN 25'!CL55</f>
        <v>0</v>
      </c>
      <c r="CM5" s="18">
        <f>'JUN 25'!CM55</f>
        <v>79545.207070000004</v>
      </c>
      <c r="CN5" s="18">
        <f>'JUN 25'!CN55</f>
        <v>662749.23605000007</v>
      </c>
      <c r="CO5" s="18">
        <f>'JUN 25'!CO55</f>
        <v>736446.43431999965</v>
      </c>
      <c r="CP5" s="18">
        <f>'JUN 25'!CP55</f>
        <v>9152723.6727600005</v>
      </c>
      <c r="CQ5" s="18">
        <f>'JUN 25'!CQ55</f>
        <v>377918.49939999997</v>
      </c>
      <c r="CR5" s="18">
        <f>'JUN 25'!CR55</f>
        <v>13844.959270000458</v>
      </c>
      <c r="CS5" s="18">
        <f>'JUN 25'!CS55</f>
        <v>5010.51</v>
      </c>
      <c r="CT5" s="18">
        <f>'JUN 25'!CT55</f>
        <v>20511.762362899997</v>
      </c>
      <c r="CU5" s="18">
        <f>'JUN 25'!CU55</f>
        <v>5010.51</v>
      </c>
      <c r="CV5" s="18">
        <f>'JUN 25'!CV55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233602124.10434118</v>
      </c>
    </row>
    <row r="6" spans="1:101" s="20" customFormat="1" x14ac:dyDescent="0.3">
      <c r="A6" s="165"/>
      <c r="B6" s="19"/>
      <c r="C6" s="19" t="s">
        <v>91</v>
      </c>
      <c r="D6" s="19">
        <v>-35437.69</v>
      </c>
      <c r="E6" s="19">
        <v>-16180913.23</v>
      </c>
      <c r="F6" s="19">
        <v>10302909.550000001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-594878.17000000004</v>
      </c>
      <c r="BZ6" s="19">
        <v>-5473089.8099999996</v>
      </c>
      <c r="CA6" s="19">
        <v>-5855183.9299999997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416120.35281994508</v>
      </c>
      <c r="E8" s="18">
        <f t="shared" si="0"/>
        <v>-4880955.9999799524</v>
      </c>
      <c r="F8" s="18">
        <f t="shared" si="0"/>
        <v>25502140.4697644</v>
      </c>
      <c r="G8" s="18">
        <f t="shared" si="0"/>
        <v>0</v>
      </c>
      <c r="H8" s="18">
        <f t="shared" si="0"/>
        <v>0</v>
      </c>
      <c r="I8" s="18">
        <f t="shared" si="0"/>
        <v>133883.66620457897</v>
      </c>
      <c r="J8" s="18">
        <f t="shared" si="0"/>
        <v>0</v>
      </c>
      <c r="K8" s="18">
        <f t="shared" si="0"/>
        <v>116367.8673161429</v>
      </c>
      <c r="L8" s="18">
        <f t="shared" si="0"/>
        <v>575994.18853076105</v>
      </c>
      <c r="M8" s="18">
        <f t="shared" si="0"/>
        <v>3295503.420160864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11550549.653466862</v>
      </c>
      <c r="Q8" s="18">
        <f t="shared" si="0"/>
        <v>47935749.565922126</v>
      </c>
      <c r="R8" s="18">
        <f t="shared" si="0"/>
        <v>440700.32451000018</v>
      </c>
      <c r="S8" s="18">
        <f t="shared" si="0"/>
        <v>1819932.0070362275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88260.369999997187</v>
      </c>
      <c r="AI8" s="18">
        <f t="shared" si="0"/>
        <v>368336.14378838829</v>
      </c>
      <c r="AJ8" s="18">
        <f t="shared" si="0"/>
        <v>674562.83999999822</v>
      </c>
      <c r="AK8" s="18">
        <f t="shared" si="0"/>
        <v>2798565.8588447925</v>
      </c>
      <c r="AL8" s="18">
        <f t="shared" si="0"/>
        <v>92787084.697065234</v>
      </c>
      <c r="AM8" s="18">
        <f t="shared" si="0"/>
        <v>76054031.225761354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2106312.9482164839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144313.12599999818</v>
      </c>
      <c r="AZ8" s="18">
        <f t="shared" si="0"/>
        <v>23389.865177323234</v>
      </c>
      <c r="BA8" s="18">
        <f t="shared" si="0"/>
        <v>203615.67772400694</v>
      </c>
      <c r="BB8" s="18">
        <f t="shared" si="0"/>
        <v>70510.937219991145</v>
      </c>
      <c r="BC8" s="18">
        <f t="shared" si="0"/>
        <v>268976.05684799864</v>
      </c>
      <c r="BD8" s="18">
        <f t="shared" si="0"/>
        <v>17185.73759998984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4980687.3215980129</v>
      </c>
      <c r="BL8" s="18">
        <f t="shared" si="0"/>
        <v>113655.38578244604</v>
      </c>
      <c r="BM8" s="18">
        <f t="shared" si="0"/>
        <v>1077495.2762571638</v>
      </c>
      <c r="BN8" s="18">
        <f t="shared" si="0"/>
        <v>1227654.2602173814</v>
      </c>
      <c r="BO8" s="18">
        <f t="shared" si="0"/>
        <v>3.4691202304202307E-3</v>
      </c>
      <c r="BP8" s="18">
        <f t="shared" si="0"/>
        <v>257.44811932906549</v>
      </c>
      <c r="BQ8" s="18">
        <f t="shared" si="0"/>
        <v>4.0128798844989433E-3</v>
      </c>
      <c r="BR8" s="18">
        <f t="shared" si="0"/>
        <v>2945484.5260000033</v>
      </c>
      <c r="BS8" s="18">
        <f t="shared" si="0"/>
        <v>12003819.408660689</v>
      </c>
      <c r="BT8" s="18">
        <f t="shared" ref="BT8:CV8" si="1">BT5+BT6+BT7</f>
        <v>7258402.124932019</v>
      </c>
      <c r="BU8" s="18">
        <f t="shared" si="1"/>
        <v>30006203.237636194</v>
      </c>
      <c r="BV8" s="18">
        <f t="shared" si="1"/>
        <v>225.44886000000042</v>
      </c>
      <c r="BW8" s="18">
        <f t="shared" si="1"/>
        <v>90883.492990000814</v>
      </c>
      <c r="BX8" s="18">
        <f t="shared" si="1"/>
        <v>12663.664475599246</v>
      </c>
      <c r="BY8" s="18">
        <f>+BY5+BY6+BY7:BZ7</f>
        <v>-9059783.5490600001</v>
      </c>
      <c r="BZ8" s="18">
        <f t="shared" si="1"/>
        <v>-65795985.215860009</v>
      </c>
      <c r="CA8" s="18">
        <f t="shared" si="1"/>
        <v>-37334370.674440011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5452.4449999999961</v>
      </c>
      <c r="CF8" s="18">
        <f t="shared" si="1"/>
        <v>-114377.54041000002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13844.959270000458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215765530.82434121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/>
      <c r="M11" s="26"/>
      <c r="N11" s="26"/>
      <c r="O11" s="26"/>
      <c r="P11" s="26">
        <v>10775</v>
      </c>
      <c r="Q11" s="26">
        <f>(P11*4067.64)/1000</f>
        <v>43828.821000000004</v>
      </c>
      <c r="R11" s="26">
        <v>4151.5</v>
      </c>
      <c r="S11" s="26">
        <f>(R11*4067.64)/1000</f>
        <v>16886.80746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60715.628460000007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10000000</v>
      </c>
      <c r="Q12" s="26">
        <f>(P12*4067.64)/1000</f>
        <v>40676400</v>
      </c>
      <c r="R12" s="26">
        <v>600000</v>
      </c>
      <c r="S12" s="26">
        <f>(R12*4067.64)/1000</f>
        <v>2440584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43116984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>
        <v>100000000</v>
      </c>
      <c r="M18" s="26">
        <v>45000000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145000000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v>-10000000</v>
      </c>
      <c r="Q19" s="26">
        <f>(P19*4067.64)/1000</f>
        <v>-40676400</v>
      </c>
      <c r="R19" s="26">
        <v>-600000</v>
      </c>
      <c r="S19" s="26">
        <f>(R19*4067.64)/1000</f>
        <v>-2440584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-43116984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>
        <v>-72515718</v>
      </c>
      <c r="M20" s="28">
        <v>-46146366</v>
      </c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-118662084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-26721249.423999999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-26721249.423999999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0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41000</v>
      </c>
      <c r="E27" s="28">
        <v>18287000</v>
      </c>
      <c r="F27" s="28"/>
      <c r="G27" s="26"/>
      <c r="H27" s="26"/>
      <c r="I27" s="26">
        <v>6700000</v>
      </c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>
        <v>2500000</v>
      </c>
      <c r="BZ27" s="26">
        <v>2070000</v>
      </c>
      <c r="CA27" s="26">
        <v>1100000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30698000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/>
      <c r="F28" s="28">
        <v>-184000</v>
      </c>
      <c r="G28" s="26"/>
      <c r="H28" s="26"/>
      <c r="I28" s="26"/>
      <c r="J28" s="26"/>
      <c r="K28" s="28"/>
      <c r="L28" s="27">
        <v>-400000</v>
      </c>
      <c r="M28" s="26">
        <v>-1500000</v>
      </c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>
        <v>-102000</v>
      </c>
      <c r="CJ28" s="28">
        <v>-538000</v>
      </c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-2724000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>
        <v>-243202.5</v>
      </c>
      <c r="Q30" s="33">
        <f>(P30*4067.64)/1000</f>
        <v>-989260.21710000001</v>
      </c>
      <c r="R30" s="33">
        <v>-63053.24</v>
      </c>
      <c r="S30" s="33">
        <f>(R30*4067.64)/1000</f>
        <v>-256477.88115359997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-1245738.0982536001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-340000+1100000+1850000</f>
        <v>2610000</v>
      </c>
      <c r="Q35" s="37">
        <f>(P35*4067.64)/1000</f>
        <v>10616540.4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10616540.4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>
        <v>473600</v>
      </c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473600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f>-597350-572000</f>
        <v>-1169350</v>
      </c>
      <c r="M38" s="38">
        <v>-358410</v>
      </c>
      <c r="N38" s="37"/>
      <c r="O38" s="37"/>
      <c r="P38" s="37">
        <v>-216360.58</v>
      </c>
      <c r="Q38" s="37">
        <f>(P38*4067.64)/1000</f>
        <v>-880076.94963119994</v>
      </c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-2407836.9496312002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3">
        <f>-117801.36888-103.428</f>
        <v>-117904.79687999999</v>
      </c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-117904.79687999999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>
        <v>398394.26299999998</v>
      </c>
      <c r="M48" s="47">
        <v>3134851.3969999999</v>
      </c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3533245.6599999997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-1.734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>
        <f>-49.085-0.19</f>
        <v>-49.274999999999999</v>
      </c>
      <c r="AS50" s="48"/>
      <c r="AT50" s="48"/>
      <c r="AU50" s="48"/>
      <c r="AV50" s="48"/>
      <c r="AW50" s="48"/>
      <c r="AX50" s="48"/>
      <c r="AY50" s="48"/>
      <c r="AZ50" s="48"/>
      <c r="BA50" s="48">
        <v>-2.5139999999999998</v>
      </c>
      <c r="BB50" s="48">
        <f>-0.871-0.01</f>
        <v>-0.88100000000000001</v>
      </c>
      <c r="BC50" s="48">
        <v>-3.3210000000000002</v>
      </c>
      <c r="BD50" s="48">
        <v>-0.21199999999999999</v>
      </c>
      <c r="BE50" s="48"/>
      <c r="BF50" s="48"/>
      <c r="BG50" s="48"/>
      <c r="BH50" s="48"/>
      <c r="BI50" s="48"/>
      <c r="BJ50" s="48"/>
      <c r="BK50" s="48"/>
      <c r="BL50" s="48">
        <v>-1.472</v>
      </c>
      <c r="BM50" s="48">
        <v>-13.954000000000001</v>
      </c>
      <c r="BN50" s="48">
        <v>-15.898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-89.260999999999996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-867.64200000000005</v>
      </c>
      <c r="F51" s="48"/>
      <c r="G51" s="48"/>
      <c r="H51" s="48"/>
      <c r="I51" s="48"/>
      <c r="J51" s="48"/>
      <c r="K51" s="47"/>
      <c r="L51" s="47">
        <v>-41.292999999999999</v>
      </c>
      <c r="M51" s="47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>
        <v>-258.33999999999997</v>
      </c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-1167.2750000000001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24.768470000000001</v>
      </c>
      <c r="J52" s="48"/>
      <c r="K52" s="48"/>
      <c r="L52" s="47"/>
      <c r="M52" s="47"/>
      <c r="N52" s="48"/>
      <c r="O52" s="48"/>
      <c r="P52" s="48"/>
      <c r="Q52" s="48"/>
      <c r="R52" s="48">
        <v>33.54</v>
      </c>
      <c r="S52" s="48">
        <f>(R52*4067.64)/1000</f>
        <v>136.42864559999998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f>35.919+0.01</f>
        <v>35.928999999999995</v>
      </c>
      <c r="BB52" s="48">
        <v>12.439</v>
      </c>
      <c r="BC52" s="48">
        <f>47.449+0.01</f>
        <v>47.458999999999996</v>
      </c>
      <c r="BD52" s="48">
        <v>3.032</v>
      </c>
      <c r="BE52" s="48"/>
      <c r="BF52" s="48"/>
      <c r="BG52" s="48"/>
      <c r="BH52" s="48"/>
      <c r="BI52" s="48"/>
      <c r="BJ52" s="48"/>
      <c r="BK52" s="48"/>
      <c r="BL52" s="48">
        <v>21.026240000000001</v>
      </c>
      <c r="BM52" s="48">
        <v>199.33662000000001</v>
      </c>
      <c r="BN52" s="48">
        <v>227.11602999999999</v>
      </c>
      <c r="BO52" s="48"/>
      <c r="BP52" s="48">
        <f>47.62/1000</f>
        <v>4.7619999999999996E-2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707.58262560000003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(D10+D13+D16+D17+D33+D38+D47+D30+D51+D35+D26)*4/1000</f>
        <v>0</v>
      </c>
      <c r="E53" s="48">
        <f>(E10+E13+E16+E17+E33+E38+E47+E40+E51+E35)*4/1000</f>
        <v>-3.4705680000000001</v>
      </c>
      <c r="F53" s="48">
        <f>(F10+F13+F16+F17+F33+F38+F47+F40+F51+F35)*4/1000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-4677.5651720000005</v>
      </c>
      <c r="M53" s="47">
        <f>(M10+M13+M17+M33+M38+M40+M51+M36+M49+M16)*4/1000</f>
        <v>-1433.64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-471.61918751999997</v>
      </c>
      <c r="AQ53" s="48">
        <f>(AQ10++AQ16+AQ17+AQ38+AQ40+AQ47+AQ51+AQ49+AQ50+AQ33)*4/1000</f>
        <v>0</v>
      </c>
      <c r="AR53" s="48">
        <f>(AR10+AR13+AR16+AR17+AR33+AR38+AR40+AR47+AR51)*4/1000</f>
        <v>-1.0333599999999998</v>
      </c>
      <c r="AS53" s="48">
        <f t="shared" ref="AS53:CR53" si="6">(AS10+AS13+AS16+AS17+AS33+AS38+AS40+AS47+AS51)*4/1000</f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-6587.3282875200011</v>
      </c>
    </row>
    <row r="54" spans="1:101" x14ac:dyDescent="0.3">
      <c r="C54" s="49" t="s">
        <v>141</v>
      </c>
      <c r="D54" s="50">
        <f t="shared" ref="D54:AM54" si="7">SUM(D9:D53)</f>
        <v>41000</v>
      </c>
      <c r="E54" s="50">
        <f t="shared" si="7"/>
        <v>18286128.887431998</v>
      </c>
      <c r="F54" s="50">
        <f>SUM(F9:F53)</f>
        <v>-184000</v>
      </c>
      <c r="G54" s="50">
        <f t="shared" si="7"/>
        <v>0</v>
      </c>
      <c r="H54" s="50">
        <f t="shared" si="7"/>
        <v>0</v>
      </c>
      <c r="I54" s="50">
        <f t="shared" si="7"/>
        <v>6700023.0344699994</v>
      </c>
      <c r="J54" s="50">
        <f t="shared" si="7"/>
        <v>0</v>
      </c>
      <c r="K54" s="50">
        <f t="shared" si="7"/>
        <v>0</v>
      </c>
      <c r="L54" s="51">
        <f t="shared" si="7"/>
        <v>60957.980828001251</v>
      </c>
      <c r="M54" s="50">
        <f t="shared" si="7"/>
        <v>128641.75699999988</v>
      </c>
      <c r="N54" s="50">
        <f t="shared" si="7"/>
        <v>0</v>
      </c>
      <c r="O54" s="50">
        <f t="shared" si="7"/>
        <v>0</v>
      </c>
      <c r="P54" s="50">
        <f t="shared" si="7"/>
        <v>2161211.92</v>
      </c>
      <c r="Q54" s="50">
        <f t="shared" si="7"/>
        <v>8791032.0542688034</v>
      </c>
      <c r="R54" s="50">
        <f t="shared" si="7"/>
        <v>-58868.2</v>
      </c>
      <c r="S54" s="50">
        <f t="shared" si="7"/>
        <v>-239454.64504800015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-118376.41606752</v>
      </c>
      <c r="AQ54" s="50">
        <f t="shared" si="8"/>
        <v>0</v>
      </c>
      <c r="AR54" s="50">
        <f t="shared" si="8"/>
        <v>-308.64835999999997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33.414999999999992</v>
      </c>
      <c r="BB54" s="50">
        <f t="shared" si="8"/>
        <v>11.558</v>
      </c>
      <c r="BC54" s="50">
        <f t="shared" si="8"/>
        <v>44.137999999999998</v>
      </c>
      <c r="BD54" s="50">
        <f t="shared" si="8"/>
        <v>2.82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19.55424</v>
      </c>
      <c r="BM54" s="50">
        <f t="shared" si="8"/>
        <v>185.38262</v>
      </c>
      <c r="BN54" s="50">
        <f t="shared" si="8"/>
        <v>211.21803</v>
      </c>
      <c r="BO54" s="50">
        <f t="shared" si="8"/>
        <v>0</v>
      </c>
      <c r="BP54" s="50">
        <f t="shared" si="8"/>
        <v>4.7619999999999996E-2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2500000</v>
      </c>
      <c r="BZ54" s="50">
        <f>SUM(BZ9:BZ53)</f>
        <v>2070000</v>
      </c>
      <c r="CA54" s="50">
        <f t="shared" si="8"/>
        <v>1100000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-102000</v>
      </c>
      <c r="CJ54" s="50">
        <f t="shared" si="8"/>
        <v>-538000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38496152.138033278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457120.35281994508</v>
      </c>
      <c r="E55" s="55">
        <f t="shared" si="9"/>
        <v>13405172.887452045</v>
      </c>
      <c r="F55" s="55">
        <f>+F8+F54</f>
        <v>25318140.4697644</v>
      </c>
      <c r="G55" s="55">
        <f t="shared" si="9"/>
        <v>0</v>
      </c>
      <c r="H55" s="55">
        <f t="shared" si="9"/>
        <v>0</v>
      </c>
      <c r="I55" s="55">
        <f t="shared" si="9"/>
        <v>6833906.7006745785</v>
      </c>
      <c r="J55" s="55">
        <f t="shared" si="9"/>
        <v>0</v>
      </c>
      <c r="K55" s="55">
        <f t="shared" si="9"/>
        <v>116367.8673161429</v>
      </c>
      <c r="L55" s="55">
        <f t="shared" si="9"/>
        <v>636952.16935876233</v>
      </c>
      <c r="M55" s="55">
        <f t="shared" si="9"/>
        <v>3424145.1771608638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13711761.573466862</v>
      </c>
      <c r="Q55" s="55">
        <f t="shared" si="9"/>
        <v>56726781.620190933</v>
      </c>
      <c r="R55" s="55">
        <f t="shared" si="9"/>
        <v>381832.12451000017</v>
      </c>
      <c r="S55" s="55">
        <f t="shared" si="9"/>
        <v>1580477.3619882273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88260.369999997187</v>
      </c>
      <c r="AI55" s="55">
        <f t="shared" si="9"/>
        <v>368336.14378838829</v>
      </c>
      <c r="AJ55" s="55">
        <f t="shared" si="9"/>
        <v>674562.83999999822</v>
      </c>
      <c r="AK55" s="55">
        <f t="shared" si="9"/>
        <v>2798565.8588447925</v>
      </c>
      <c r="AL55" s="55">
        <f t="shared" si="9"/>
        <v>92787084.697065234</v>
      </c>
      <c r="AM55" s="55">
        <f t="shared" si="9"/>
        <v>76054031.225761354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5166890.8948126305</v>
      </c>
      <c r="AQ55" s="55">
        <f t="shared" si="9"/>
        <v>2106312.9482164839</v>
      </c>
      <c r="AR55" s="55">
        <f t="shared" si="9"/>
        <v>33537.497091993006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144313.12599999818</v>
      </c>
      <c r="AZ55" s="55">
        <f t="shared" si="9"/>
        <v>23389.865177323234</v>
      </c>
      <c r="BA55" s="55">
        <f t="shared" si="9"/>
        <v>203649.09272400694</v>
      </c>
      <c r="BB55" s="55">
        <f t="shared" si="9"/>
        <v>70522.495219991149</v>
      </c>
      <c r="BC55" s="55">
        <f t="shared" si="9"/>
        <v>269020.19484799862</v>
      </c>
      <c r="BD55" s="55">
        <f t="shared" si="9"/>
        <v>17188.557599989839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4980687.3215980129</v>
      </c>
      <c r="BL55" s="55">
        <f t="shared" si="9"/>
        <v>113674.94002244604</v>
      </c>
      <c r="BM55" s="55">
        <f t="shared" si="9"/>
        <v>1077680.6588771639</v>
      </c>
      <c r="BN55" s="55">
        <f t="shared" si="9"/>
        <v>1227865.4782473815</v>
      </c>
      <c r="BO55" s="55">
        <f t="shared" si="9"/>
        <v>3.4691202304202307E-3</v>
      </c>
      <c r="BP55" s="55">
        <f t="shared" si="9"/>
        <v>257.49573932906549</v>
      </c>
      <c r="BQ55" s="55">
        <f t="shared" si="9"/>
        <v>4.0128798844989433E-3</v>
      </c>
      <c r="BR55" s="55">
        <f t="shared" si="9"/>
        <v>2945484.5260000033</v>
      </c>
      <c r="BS55" s="55">
        <f t="shared" si="9"/>
        <v>12003819.408660689</v>
      </c>
      <c r="BT55" s="55">
        <f t="shared" ref="BT55:CV55" si="10">+BT8+BT54</f>
        <v>7258402.124932019</v>
      </c>
      <c r="BU55" s="55">
        <f t="shared" si="10"/>
        <v>30006203.237636194</v>
      </c>
      <c r="BV55" s="55">
        <f t="shared" si="10"/>
        <v>225.44886000000042</v>
      </c>
      <c r="BW55" s="55">
        <f t="shared" si="10"/>
        <v>90883.492990000814</v>
      </c>
      <c r="BX55" s="55">
        <f t="shared" si="10"/>
        <v>12663.664475599246</v>
      </c>
      <c r="BY55" s="55">
        <f t="shared" si="10"/>
        <v>-6559783.5490600001</v>
      </c>
      <c r="BZ55" s="55">
        <f t="shared" si="10"/>
        <v>-63725985.215860009</v>
      </c>
      <c r="CA55" s="55">
        <f t="shared" si="10"/>
        <v>-36234370.674440011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5452.4449999999961</v>
      </c>
      <c r="CF55" s="55">
        <f t="shared" si="10"/>
        <v>-114377.54041000002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711161.95743999921</v>
      </c>
      <c r="CJ55" s="55">
        <f t="shared" si="10"/>
        <v>-336061.15196000022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13844.959270000458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254261682.96237463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AR57" s="57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219349299.62845999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145000000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148"/>
      <c r="BY61" s="148"/>
      <c r="BZ61" s="67"/>
      <c r="CA61" s="148"/>
      <c r="CB61" s="70"/>
      <c r="CC61" s="70"/>
      <c r="CD61" s="148"/>
      <c r="CE61" s="70"/>
      <c r="CF61" s="70"/>
      <c r="CG61" s="70"/>
      <c r="CH61" s="70"/>
      <c r="CI61" s="70"/>
      <c r="CJ61" s="70"/>
    </row>
    <row r="62" spans="1:101" x14ac:dyDescent="0.3">
      <c r="B62" s="157"/>
      <c r="C62" s="86" t="s">
        <v>152</v>
      </c>
      <c r="D62" s="87">
        <f>CW11+CW15</f>
        <v>60715.628460000007</v>
      </c>
      <c r="E62" s="67" t="s">
        <v>204</v>
      </c>
      <c r="F62" s="88" t="s">
        <v>153</v>
      </c>
      <c r="G62" s="90">
        <f>P55</f>
        <v>13711761.573466862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30698000</v>
      </c>
      <c r="E63" s="67" t="s">
        <v>204</v>
      </c>
      <c r="F63" s="88" t="s">
        <v>155</v>
      </c>
      <c r="G63" s="90">
        <f>R55</f>
        <v>381832.12451000017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43116984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116367867.3161429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636952169.35876238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473600</v>
      </c>
      <c r="E69" s="100" t="s">
        <v>204</v>
      </c>
      <c r="F69" s="104" t="s">
        <v>162</v>
      </c>
      <c r="G69" s="105">
        <f>M55*1000</f>
        <v>3424145177.1608639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-194995797.26876482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-161779068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-26721249.423999999</v>
      </c>
      <c r="E76" s="56" t="s">
        <v>204</v>
      </c>
      <c r="F76" s="120" t="s">
        <v>170</v>
      </c>
      <c r="G76" s="117">
        <f>AH55</f>
        <v>88260.369999997187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-2724000</v>
      </c>
      <c r="E77" s="67" t="s">
        <v>204</v>
      </c>
      <c r="F77" s="120" t="s">
        <v>172</v>
      </c>
      <c r="G77" s="117">
        <f>AJ55</f>
        <v>674562.83999999822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-1245738.0982536001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-2407836.9496312002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-117904.79687999999</v>
      </c>
      <c r="E82" s="70" t="s">
        <v>204</v>
      </c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-308.64835999999997</v>
      </c>
      <c r="M90" s="139">
        <f t="shared" ref="M90:M106" si="11">G90+H90+I90+J90+K90+L90</f>
        <v>33537.497091993006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203615.67772400694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35.928999999999995</v>
      </c>
      <c r="L92" s="138">
        <f>BA50+BA51+BA53+BA40+BA42+BA43+BA45</f>
        <v>-2.5139999999999998</v>
      </c>
      <c r="M92" s="139">
        <f t="shared" si="11"/>
        <v>203649.09272400694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268976.05684799864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47.458999999999996</v>
      </c>
      <c r="L98" s="138">
        <f>BC50+BC51+BC53+BC40+BC42+BC43+BC45</f>
        <v>-3.3210000000000002</v>
      </c>
      <c r="M98" s="139">
        <f t="shared" si="11"/>
        <v>269020.19484799862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70510.937219991145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12.439</v>
      </c>
      <c r="L99" s="138">
        <f>BB50+BB51+BB53+BB40+BB42+BB43+BB45</f>
        <v>-0.88100000000000001</v>
      </c>
      <c r="M99" s="139">
        <f t="shared" si="11"/>
        <v>70522.495219991149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17185.73759998984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3.032</v>
      </c>
      <c r="L104" s="138">
        <f>BD50+BD51+BD53+BD40+BD42+BD43+BD45</f>
        <v>-0.21199999999999999</v>
      </c>
      <c r="M104" s="139">
        <f t="shared" si="11"/>
        <v>17188.557599989839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144313.12599999818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144313.12599999818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606709.62275967933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35.928999999999995</v>
      </c>
      <c r="L108" s="97">
        <f t="shared" si="12"/>
        <v>-311.16235999999998</v>
      </c>
      <c r="M108" s="97">
        <f t="shared" si="12"/>
        <v>606434.38939967938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1189083.0109507432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59.897999999999996</v>
      </c>
      <c r="L109" s="97">
        <f t="shared" si="13"/>
        <v>-4.202</v>
      </c>
      <c r="M109" s="97">
        <f t="shared" si="13"/>
        <v>1189138.7069507432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465546.56707742828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3.032</v>
      </c>
      <c r="L110" s="97">
        <f t="shared" si="14"/>
        <v>-0.21199999999999999</v>
      </c>
      <c r="M110" s="97">
        <f t="shared" si="14"/>
        <v>465549.38707742823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  <mergeCell ref="A9:A29"/>
    <mergeCell ref="D1:BK1"/>
    <mergeCell ref="BL1:BN1"/>
    <mergeCell ref="BR1:CJ1"/>
    <mergeCell ref="CW2:CW4"/>
    <mergeCell ref="A5:A8"/>
  </mergeCell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W130"/>
  <sheetViews>
    <sheetView zoomScale="110" zoomScaleNormal="110"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26'!D55</f>
        <v>457120.35281994508</v>
      </c>
      <c r="E5" s="18">
        <f>'JUN 26'!E55</f>
        <v>13405172.887452045</v>
      </c>
      <c r="F5" s="18">
        <f>'JUN 26'!F55</f>
        <v>25318140.4697644</v>
      </c>
      <c r="G5" s="18">
        <f>'JUN 26'!G55</f>
        <v>0</v>
      </c>
      <c r="H5" s="18">
        <f>'JUN 26'!H55</f>
        <v>0</v>
      </c>
      <c r="I5" s="18">
        <f>'JUN 26'!I55</f>
        <v>6833906.7006745785</v>
      </c>
      <c r="J5" s="18">
        <f>'JUN 26'!J55</f>
        <v>0</v>
      </c>
      <c r="K5" s="18">
        <f>'JUN 26'!K55</f>
        <v>116367.8673161429</v>
      </c>
      <c r="L5" s="18">
        <f>'JUN 26'!L55</f>
        <v>636952.16935876233</v>
      </c>
      <c r="M5" s="18">
        <f>'JUN 26'!M55</f>
        <v>3424145.1771608638</v>
      </c>
      <c r="N5" s="18">
        <f>'JUN 26'!N55</f>
        <v>177265.5199999999</v>
      </c>
      <c r="O5" s="18">
        <f>'JUN 26'!O55</f>
        <v>735425.00813439966</v>
      </c>
      <c r="P5" s="18">
        <f>'JUN 26'!P55</f>
        <v>13711761.573466862</v>
      </c>
      <c r="Q5" s="18">
        <f>'JUN 26'!Q55</f>
        <v>56726781.620190933</v>
      </c>
      <c r="R5" s="18">
        <f>'JUN 26'!R55</f>
        <v>381832.12451000017</v>
      </c>
      <c r="S5" s="18">
        <f>'JUN 26'!S55</f>
        <v>1580477.3619882273</v>
      </c>
      <c r="T5" s="18">
        <f>'JUN 26'!T55</f>
        <v>0</v>
      </c>
      <c r="U5" s="18">
        <f>'JUN 26'!U55</f>
        <v>0</v>
      </c>
      <c r="V5" s="18">
        <f>'JUN 26'!V55</f>
        <v>0</v>
      </c>
      <c r="W5" s="18">
        <f>'JUN 26'!W55</f>
        <v>0</v>
      </c>
      <c r="X5" s="18">
        <f>'JUN 26'!X55</f>
        <v>0</v>
      </c>
      <c r="Y5" s="18">
        <f>'JUN 26'!Y55</f>
        <v>0</v>
      </c>
      <c r="Z5" s="18">
        <f>'JUN 26'!Z55</f>
        <v>9662.5274983807467</v>
      </c>
      <c r="AA5" s="18">
        <f>'JUN 26'!AA55</f>
        <v>40087.12108308218</v>
      </c>
      <c r="AB5" s="18">
        <f>'JUN 26'!AB55</f>
        <v>7542.7499999967404</v>
      </c>
      <c r="AC5" s="18">
        <f>'JUN 26'!AC55</f>
        <v>31292.757779986478</v>
      </c>
      <c r="AD5" s="18">
        <f>'JUN 26'!AD55</f>
        <v>5155</v>
      </c>
      <c r="AE5" s="18">
        <f>'JUN 26'!AE55</f>
        <v>21386.651600000001</v>
      </c>
      <c r="AF5" s="18">
        <f>'JUN 26'!AF55</f>
        <v>7956.8699999451637</v>
      </c>
      <c r="AG5" s="18">
        <f>'JUN 26'!AG55</f>
        <v>33010.825706172502</v>
      </c>
      <c r="AH5" s="18">
        <f>'JUN 26'!AH55</f>
        <v>88260.369999997187</v>
      </c>
      <c r="AI5" s="18">
        <f>'JUN 26'!AI55</f>
        <v>368336.14378838829</v>
      </c>
      <c r="AJ5" s="18">
        <f>'JUN 26'!AJ55</f>
        <v>674562.83999999822</v>
      </c>
      <c r="AK5" s="18">
        <f>'JUN 26'!AK55</f>
        <v>2798565.8588447925</v>
      </c>
      <c r="AL5" s="18">
        <f>'JUN 26'!AL55</f>
        <v>92787084.697065234</v>
      </c>
      <c r="AM5" s="18">
        <f>'JUN 26'!AM55</f>
        <v>76054031.225761354</v>
      </c>
      <c r="AN5" s="18">
        <f>'JUN 26'!AN55</f>
        <v>6276507.6901499992</v>
      </c>
      <c r="AO5" s="18">
        <f>'JUN 26'!AO55</f>
        <v>1091269.40043144</v>
      </c>
      <c r="AP5" s="18">
        <f>'JUN 26'!AP55</f>
        <v>5166890.8948126305</v>
      </c>
      <c r="AQ5" s="18">
        <f>'JUN 26'!AQ55</f>
        <v>2106312.9482164839</v>
      </c>
      <c r="AR5" s="18">
        <f>'JUN 26'!AR55</f>
        <v>33537.497091993006</v>
      </c>
      <c r="AS5" s="18">
        <f>'JUN 26'!AS55</f>
        <v>6.2909079996137462</v>
      </c>
      <c r="AT5" s="18">
        <f>'JUN 26'!AT55</f>
        <v>11.244432002509914</v>
      </c>
      <c r="AU5" s="18">
        <f>'JUN 26'!AU55</f>
        <v>70745.806203997287</v>
      </c>
      <c r="AV5" s="18">
        <f>'JUN 26'!AV55</f>
        <v>525146.68653480266</v>
      </c>
      <c r="AW5" s="18">
        <f>'JUN 26'!AW55</f>
        <v>86119.091979996796</v>
      </c>
      <c r="AX5" s="18">
        <f>'JUN 26'!AX55</f>
        <v>1047.2966740010875</v>
      </c>
      <c r="AY5" s="18">
        <f>'JUN 26'!AY55</f>
        <v>144313.12599999818</v>
      </c>
      <c r="AZ5" s="18">
        <f>'JUN 26'!AZ55</f>
        <v>23389.865177323234</v>
      </c>
      <c r="BA5" s="18">
        <f>'JUN 26'!BA55</f>
        <v>203649.09272400694</v>
      </c>
      <c r="BB5" s="18">
        <f>'JUN 26'!BB55</f>
        <v>70522.495219991149</v>
      </c>
      <c r="BC5" s="18">
        <f>'JUN 26'!BC55</f>
        <v>269020.19484799862</v>
      </c>
      <c r="BD5" s="18">
        <f>'JUN 26'!BD55</f>
        <v>17188.557599989839</v>
      </c>
      <c r="BE5" s="18">
        <f>'JUN 26'!BE55</f>
        <v>256596.93928368055</v>
      </c>
      <c r="BF5" s="18">
        <f>'JUN 26'!BF55</f>
        <v>321963.21571035992</v>
      </c>
      <c r="BG5" s="18">
        <f>'JUN 26'!BG55</f>
        <v>35109.526218882762</v>
      </c>
      <c r="BH5" s="18">
        <f>'JUN 26'!BH55</f>
        <v>26531.768320002102</v>
      </c>
      <c r="BI5" s="18">
        <f>'JUN 26'!BI55</f>
        <v>526567.9691583903</v>
      </c>
      <c r="BJ5" s="18">
        <f>'JUN 26'!BJ55</f>
        <v>198192.37105456018</v>
      </c>
      <c r="BK5" s="18">
        <f>'JUN 26'!BK55</f>
        <v>4980687.3215980129</v>
      </c>
      <c r="BL5" s="18">
        <f>'JUN 26'!BL55</f>
        <v>113674.94002244604</v>
      </c>
      <c r="BM5" s="18">
        <f>'JUN 26'!BM55</f>
        <v>1077680.6588771639</v>
      </c>
      <c r="BN5" s="18">
        <f>'JUN 26'!BN55</f>
        <v>1227865.4782473815</v>
      </c>
      <c r="BO5" s="18">
        <f>'JUN 26'!BO55</f>
        <v>3.4691202304202307E-3</v>
      </c>
      <c r="BP5" s="18">
        <f>'JUN 26'!BP55</f>
        <v>257.49573932906549</v>
      </c>
      <c r="BQ5" s="18">
        <f>'JUN 26'!BQ55</f>
        <v>4.0128798844989433E-3</v>
      </c>
      <c r="BR5" s="18">
        <f>'JUN 26'!BR55</f>
        <v>2945484.5260000033</v>
      </c>
      <c r="BS5" s="18">
        <f>'JUN 26'!BS55</f>
        <v>12003819.408660689</v>
      </c>
      <c r="BT5" s="18">
        <f>'JUN 26'!BT55</f>
        <v>7258402.124932019</v>
      </c>
      <c r="BU5" s="18">
        <f>'JUN 26'!BU55</f>
        <v>30006203.237636194</v>
      </c>
      <c r="BV5" s="18">
        <f>'JUN 26'!BV55</f>
        <v>225.44886000000042</v>
      </c>
      <c r="BW5" s="18">
        <f>'JUN 26'!BW55</f>
        <v>90883.492990000814</v>
      </c>
      <c r="BX5" s="18">
        <f>'JUN 26'!BX55</f>
        <v>12663.664475599246</v>
      </c>
      <c r="BY5" s="18">
        <f>'JUN 26'!BY55</f>
        <v>-6559783.5490600001</v>
      </c>
      <c r="BZ5" s="18">
        <f>'JUN 26'!BZ55</f>
        <v>-63725985.215860009</v>
      </c>
      <c r="CA5" s="18">
        <f>'JUN 26'!CA55</f>
        <v>-36234370.674440011</v>
      </c>
      <c r="CB5" s="18">
        <f>'JUN 26'!CB55</f>
        <v>18918.56624</v>
      </c>
      <c r="CC5" s="18">
        <f>'JUN 26'!CC55</f>
        <v>905567.0501799999</v>
      </c>
      <c r="CD5" s="18">
        <f>'JUN 26'!CD55</f>
        <v>0</v>
      </c>
      <c r="CE5" s="18">
        <f>'JUN 26'!CE55</f>
        <v>5452.4449999999961</v>
      </c>
      <c r="CF5" s="18">
        <f>'JUN 26'!CF55</f>
        <v>-114377.54041000002</v>
      </c>
      <c r="CG5" s="18">
        <f>'JUN 26'!CG55</f>
        <v>194020.58999999994</v>
      </c>
      <c r="CH5" s="18">
        <f>'JUN 26'!CH55</f>
        <v>2.9318200000000001</v>
      </c>
      <c r="CI5" s="18">
        <f>'JUN 26'!CI55</f>
        <v>711161.95743999921</v>
      </c>
      <c r="CJ5" s="18">
        <f>'JUN 26'!CJ55</f>
        <v>-336061.15196000022</v>
      </c>
      <c r="CK5" s="18">
        <f>'JUN 26'!CK55</f>
        <v>0</v>
      </c>
      <c r="CL5" s="18">
        <f>'JUN 26'!CL55</f>
        <v>0</v>
      </c>
      <c r="CM5" s="18">
        <f>'JUN 26'!CM55</f>
        <v>79545.207070000004</v>
      </c>
      <c r="CN5" s="18">
        <f>'JUN 26'!CN55</f>
        <v>662749.23605000007</v>
      </c>
      <c r="CO5" s="18">
        <f>'JUN 26'!CO55</f>
        <v>736446.43431999965</v>
      </c>
      <c r="CP5" s="18">
        <f>'JUN 26'!CP55</f>
        <v>9152723.6727600005</v>
      </c>
      <c r="CQ5" s="18">
        <f>'JUN 26'!CQ55</f>
        <v>377918.49939999997</v>
      </c>
      <c r="CR5" s="18">
        <f>'JUN 26'!CR55</f>
        <v>13844.959270000458</v>
      </c>
      <c r="CS5" s="18">
        <f>'JUN 26'!CS55</f>
        <v>5010.51</v>
      </c>
      <c r="CT5" s="18">
        <f>'JUN 26'!CT55</f>
        <v>20511.762362899997</v>
      </c>
      <c r="CU5" s="18">
        <f>'JUN 26'!CU55</f>
        <v>5010.51</v>
      </c>
      <c r="CV5" s="18">
        <f>'JUN 26'!CV55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254261682.96237463</v>
      </c>
    </row>
    <row r="6" spans="1:101" s="20" customFormat="1" x14ac:dyDescent="0.3">
      <c r="A6" s="165"/>
      <c r="B6" s="19"/>
      <c r="C6" s="19" t="s">
        <v>91</v>
      </c>
      <c r="D6" s="19">
        <v>-9070.5300000000007</v>
      </c>
      <c r="E6" s="19">
        <v>7577226.75</v>
      </c>
      <c r="F6" s="19">
        <v>9910994.0600000005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-602472.73</v>
      </c>
      <c r="BZ6" s="19">
        <v>-9007480.8599999994</v>
      </c>
      <c r="CA6" s="19">
        <v>-3207335.2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448049.82281994505</v>
      </c>
      <c r="E8" s="18">
        <f t="shared" si="0"/>
        <v>20982399.637452044</v>
      </c>
      <c r="F8" s="18">
        <f t="shared" si="0"/>
        <v>35229134.529764399</v>
      </c>
      <c r="G8" s="18">
        <f t="shared" si="0"/>
        <v>0</v>
      </c>
      <c r="H8" s="18">
        <f t="shared" si="0"/>
        <v>0</v>
      </c>
      <c r="I8" s="18">
        <f t="shared" si="0"/>
        <v>6833906.7006745785</v>
      </c>
      <c r="J8" s="18">
        <f t="shared" si="0"/>
        <v>0</v>
      </c>
      <c r="K8" s="18">
        <f t="shared" si="0"/>
        <v>116367.8673161429</v>
      </c>
      <c r="L8" s="18">
        <f t="shared" si="0"/>
        <v>636952.16935876233</v>
      </c>
      <c r="M8" s="18">
        <f t="shared" si="0"/>
        <v>3424145.1771608638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13711761.573466862</v>
      </c>
      <c r="Q8" s="18">
        <f t="shared" si="0"/>
        <v>56726781.620190933</v>
      </c>
      <c r="R8" s="18">
        <f t="shared" si="0"/>
        <v>381832.12451000017</v>
      </c>
      <c r="S8" s="18">
        <f t="shared" si="0"/>
        <v>1580477.3619882273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88260.369999997187</v>
      </c>
      <c r="AI8" s="18">
        <f t="shared" si="0"/>
        <v>368336.14378838829</v>
      </c>
      <c r="AJ8" s="18">
        <f t="shared" si="0"/>
        <v>674562.83999999822</v>
      </c>
      <c r="AK8" s="18">
        <f t="shared" si="0"/>
        <v>2798565.8588447925</v>
      </c>
      <c r="AL8" s="18">
        <f t="shared" si="0"/>
        <v>92787084.697065234</v>
      </c>
      <c r="AM8" s="18">
        <f t="shared" si="0"/>
        <v>76054031.225761354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5166890.8948126305</v>
      </c>
      <c r="AQ8" s="18">
        <f t="shared" si="0"/>
        <v>2106312.9482164839</v>
      </c>
      <c r="AR8" s="18">
        <f t="shared" si="0"/>
        <v>33537.497091993006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144313.12599999818</v>
      </c>
      <c r="AZ8" s="18">
        <f t="shared" si="0"/>
        <v>23389.865177323234</v>
      </c>
      <c r="BA8" s="18">
        <f t="shared" si="0"/>
        <v>203649.09272400694</v>
      </c>
      <c r="BB8" s="18">
        <f t="shared" si="0"/>
        <v>70522.495219991149</v>
      </c>
      <c r="BC8" s="18">
        <f t="shared" si="0"/>
        <v>269020.19484799862</v>
      </c>
      <c r="BD8" s="18">
        <f t="shared" si="0"/>
        <v>17188.557599989839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4980687.3215980129</v>
      </c>
      <c r="BL8" s="18">
        <f t="shared" si="0"/>
        <v>113674.94002244604</v>
      </c>
      <c r="BM8" s="18">
        <f t="shared" si="0"/>
        <v>1077680.6588771639</v>
      </c>
      <c r="BN8" s="18">
        <f t="shared" si="0"/>
        <v>1227865.4782473815</v>
      </c>
      <c r="BO8" s="18">
        <f t="shared" si="0"/>
        <v>3.4691202304202307E-3</v>
      </c>
      <c r="BP8" s="18">
        <f t="shared" si="0"/>
        <v>257.49573932906549</v>
      </c>
      <c r="BQ8" s="18">
        <f t="shared" si="0"/>
        <v>4.0128798844989433E-3</v>
      </c>
      <c r="BR8" s="18">
        <f t="shared" si="0"/>
        <v>2945484.5260000033</v>
      </c>
      <c r="BS8" s="18">
        <f t="shared" si="0"/>
        <v>12003819.408660689</v>
      </c>
      <c r="BT8" s="18">
        <f t="shared" ref="BT8:CV8" si="1">BT5+BT6+BT7</f>
        <v>7258402.124932019</v>
      </c>
      <c r="BU8" s="18">
        <f t="shared" si="1"/>
        <v>30006203.237636194</v>
      </c>
      <c r="BV8" s="18">
        <f t="shared" si="1"/>
        <v>225.44886000000042</v>
      </c>
      <c r="BW8" s="18">
        <f t="shared" si="1"/>
        <v>90883.492990000814</v>
      </c>
      <c r="BX8" s="18">
        <f t="shared" si="1"/>
        <v>12663.664475599246</v>
      </c>
      <c r="BY8" s="18">
        <f>+BY5+BY6+BY7:BZ7</f>
        <v>-7162256.2790600006</v>
      </c>
      <c r="BZ8" s="18">
        <f t="shared" si="1"/>
        <v>-72733466.075860009</v>
      </c>
      <c r="CA8" s="18">
        <f t="shared" si="1"/>
        <v>-39441705.874440014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5452.4449999999961</v>
      </c>
      <c r="CF8" s="18">
        <f t="shared" si="1"/>
        <v>-114377.54041000002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711161.95743999921</v>
      </c>
      <c r="CJ8" s="18">
        <f t="shared" si="1"/>
        <v>-336061.15196000022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13844.959270000458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258923544.45237458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1058666+483000</f>
        <v>1541666</v>
      </c>
      <c r="M11" s="26"/>
      <c r="N11" s="26"/>
      <c r="O11" s="26"/>
      <c r="P11" s="26">
        <v>4200</v>
      </c>
      <c r="Q11" s="26">
        <f>(P11*4042.87)/1000</f>
        <v>16980.054</v>
      </c>
      <c r="R11" s="26">
        <v>1260</v>
      </c>
      <c r="S11" s="26">
        <f>(R11*4042.87)/1000</f>
        <v>5094.0162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8">
        <v>192467.95699999999</v>
      </c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1756208.0271999999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5000000</v>
      </c>
      <c r="Q12" s="26">
        <f>(P12*4042.87)/1000</f>
        <v>20214350</v>
      </c>
      <c r="R12" s="26">
        <v>1500000</v>
      </c>
      <c r="S12" s="26">
        <f>(R12*4042.87)/1000</f>
        <v>6064305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26278655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v>-5000000</v>
      </c>
      <c r="Q19" s="26">
        <f>(P19*4042.87)/1000</f>
        <v>-20214350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-20214350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>
        <v>-52220050</v>
      </c>
      <c r="M20" s="28">
        <v>-49602916.324000001</v>
      </c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-101822966.324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0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>
        <v>6090630</v>
      </c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6090630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0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>
        <v>72533205.511000007</v>
      </c>
      <c r="M24" s="28">
        <v>46157494.416000001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118690699.92700002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10000</v>
      </c>
      <c r="E27" s="28"/>
      <c r="F27" s="28"/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7000000</v>
      </c>
      <c r="CA27" s="26">
        <v>450000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7460000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>
        <v>-4537000</v>
      </c>
      <c r="F28" s="28">
        <v>-17142000</v>
      </c>
      <c r="G28" s="26"/>
      <c r="H28" s="26"/>
      <c r="I28" s="26"/>
      <c r="J28" s="26"/>
      <c r="K28" s="28"/>
      <c r="L28" s="27">
        <f>-27000000-3200000-13200000</f>
        <v>-43400000</v>
      </c>
      <c r="M28" s="26">
        <v>-600000</v>
      </c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-65679000</v>
      </c>
    </row>
    <row r="29" spans="1:101" x14ac:dyDescent="0.3">
      <c r="A29" s="158"/>
      <c r="B29" s="24"/>
      <c r="C29" s="25" t="s">
        <v>116</v>
      </c>
      <c r="D29" s="26"/>
      <c r="E29" s="28">
        <v>6737179.1710000001</v>
      </c>
      <c r="F29" s="28"/>
      <c r="G29" s="26"/>
      <c r="H29" s="26"/>
      <c r="I29" s="28">
        <v>-6737179.1710000001</v>
      </c>
      <c r="J29" s="26"/>
      <c r="K29" s="26"/>
      <c r="L29" s="28"/>
      <c r="M29" s="28"/>
      <c r="N29" s="26"/>
      <c r="O29" s="26"/>
      <c r="P29" s="28"/>
      <c r="Q29" s="26"/>
      <c r="R29" s="26">
        <v>-1487000</v>
      </c>
      <c r="S29" s="26">
        <f>(R29*4042.87)/1000</f>
        <v>-6011747.6900000004</v>
      </c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>
        <v>1487000</v>
      </c>
      <c r="BU29" s="26">
        <f>(BT29*4042.87)/1000</f>
        <v>6011747.6900000004</v>
      </c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>
        <v>-21068.830730000001</v>
      </c>
      <c r="M30" s="33"/>
      <c r="N30" s="33"/>
      <c r="O30" s="33"/>
      <c r="P30" s="33">
        <v>-2126199.11</v>
      </c>
      <c r="Q30" s="33">
        <f>(P30*4042.87)/1000</f>
        <v>-8595946.5958456993</v>
      </c>
      <c r="R30" s="33">
        <v>-210435.59</v>
      </c>
      <c r="S30" s="33">
        <f>(R30*4042.87)/1000</f>
        <v>-850763.73374329996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-9467779.1603190005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>
        <v>1895221.49608</v>
      </c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1895221.49608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v>1340000</v>
      </c>
      <c r="Q35" s="37">
        <f>(P35*4042.87)/1000</f>
        <v>5417445.7999999998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5417445.7999999998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8">
        <v>-77130</v>
      </c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-77130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8">
        <v>77130</v>
      </c>
      <c r="L37" s="38">
        <v>617040</v>
      </c>
      <c r="M37" s="38">
        <v>77130</v>
      </c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771300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v>-658700</v>
      </c>
      <c r="M38" s="38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-658700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>
        <f>4899850.121+8214566.69737</f>
        <v>13114416.81837</v>
      </c>
      <c r="M48" s="47">
        <f>269543.51588+380847.5856</f>
        <v>650391.10147999995</v>
      </c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13764807.919849999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f>-88.499-3.804</f>
        <v>-92.302999999999997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>
        <v>-96.763000000000005</v>
      </c>
      <c r="AW50" s="48">
        <v>-33.125</v>
      </c>
      <c r="AX50" s="48"/>
      <c r="AY50" s="48">
        <v>-33.697889998176834</v>
      </c>
      <c r="AZ50" s="48">
        <v>-8.9920000000000009</v>
      </c>
      <c r="BA50" s="48">
        <f>-2.516-2.516-2.515-2.515-0.01</f>
        <v>-10.072000000000001</v>
      </c>
      <c r="BB50" s="48">
        <f>-0.871-0.871-0.871-0.871</f>
        <v>-3.484</v>
      </c>
      <c r="BC50" s="48">
        <f>-3.324-3.323-3.322-3.322-0.01</f>
        <v>-13.301</v>
      </c>
      <c r="BD50" s="48">
        <f>-0.212-0.212-0.212-0.212</f>
        <v>-0.84799999999999998</v>
      </c>
      <c r="BE50" s="48"/>
      <c r="BF50" s="48"/>
      <c r="BG50" s="48"/>
      <c r="BH50" s="48"/>
      <c r="BI50" s="48"/>
      <c r="BJ50" s="48">
        <v>-29.859000000000002</v>
      </c>
      <c r="BK50" s="48">
        <v>-1085.76</v>
      </c>
      <c r="BL50" s="48">
        <f>-1.472-4.418</f>
        <v>-5.8900000000000006</v>
      </c>
      <c r="BM50" s="48">
        <f>-13.956-41.882</f>
        <v>-55.837999999999994</v>
      </c>
      <c r="BN50" s="48">
        <f>-15.901-47.719</f>
        <v>-63.620000000000005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-1533.5528899981769</v>
      </c>
    </row>
    <row r="51" spans="1:101" x14ac:dyDescent="0.3">
      <c r="A51" s="156"/>
      <c r="B51" s="45" t="s">
        <v>97</v>
      </c>
      <c r="C51" s="46" t="s">
        <v>138</v>
      </c>
      <c r="D51" s="47">
        <v>-5860.75</v>
      </c>
      <c r="E51" s="48">
        <f>-901.988-5860.75</f>
        <v>-6762.7380000000003</v>
      </c>
      <c r="F51" s="48">
        <f>-34.604-5860.75</f>
        <v>-5895.3540000000003</v>
      </c>
      <c r="G51" s="48"/>
      <c r="H51" s="48"/>
      <c r="I51" s="48"/>
      <c r="J51" s="48"/>
      <c r="K51" s="47"/>
      <c r="L51" s="47">
        <v>-397.64211999999998</v>
      </c>
      <c r="M51" s="47">
        <v>-16.516999999999999</v>
      </c>
      <c r="N51" s="48">
        <v>-45</v>
      </c>
      <c r="O51" s="48">
        <f>(N51*4042.87)/1000</f>
        <v>-181.92914999999999</v>
      </c>
      <c r="P51" s="48">
        <v>-1325</v>
      </c>
      <c r="Q51" s="48">
        <f>(P51*4042.87)/1000</f>
        <v>-5356.8027499999998</v>
      </c>
      <c r="R51" s="48">
        <v>-336</v>
      </c>
      <c r="S51" s="48">
        <f>(R51*4042.87)/1000</f>
        <v>-1358.4043200000001</v>
      </c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>
        <v>-743.2</v>
      </c>
      <c r="BI51" s="48">
        <v>-101666.6961783903</v>
      </c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-128240.03351839029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f>1264.27273+54.34567+16.85</f>
        <v>1335.4683999999997</v>
      </c>
      <c r="J52" s="48"/>
      <c r="K52" s="48"/>
      <c r="L52" s="47"/>
      <c r="M52" s="47"/>
      <c r="N52" s="48"/>
      <c r="O52" s="48"/>
      <c r="P52" s="48"/>
      <c r="Q52" s="48"/>
      <c r="R52" s="48">
        <f>29.06+42.3</f>
        <v>71.36</v>
      </c>
      <c r="S52" s="48">
        <f>(R52*4042.87)/1000</f>
        <v>288.49920320000001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>
        <v>843.08</v>
      </c>
      <c r="AK52" s="48">
        <f>(AJ52*4042.87)/1000</f>
        <v>3408.4628396000003</v>
      </c>
      <c r="AL52" s="48"/>
      <c r="AM52" s="48"/>
      <c r="AN52" s="48"/>
      <c r="AO52" s="48"/>
      <c r="AP52" s="48"/>
      <c r="AQ52" s="48"/>
      <c r="AR52" s="48">
        <f>88.957+0.01</f>
        <v>88.966999999999999</v>
      </c>
      <c r="AS52" s="48">
        <v>1.7000000000000001E-2</v>
      </c>
      <c r="AT52" s="48">
        <v>0.03</v>
      </c>
      <c r="AU52" s="48">
        <v>34.795000000000002</v>
      </c>
      <c r="AV52" s="48">
        <v>1382.33</v>
      </c>
      <c r="AW52" s="48">
        <v>471.50155999999998</v>
      </c>
      <c r="AX52" s="48">
        <v>5.7350199999999996</v>
      </c>
      <c r="AY52" s="48">
        <v>479.57175000000001</v>
      </c>
      <c r="AZ52" s="48">
        <v>128.05940000000001</v>
      </c>
      <c r="BA52" s="48">
        <f>35.942+35.937+35.931+35.925</f>
        <v>143.73499999999999</v>
      </c>
      <c r="BB52" s="48">
        <f>12.447+12.445+12.443+12.441+0.01</f>
        <v>49.786000000000001</v>
      </c>
      <c r="BC52" s="48">
        <f>47.48+47.472+47.464+47.457</f>
        <v>189.87299999999999</v>
      </c>
      <c r="BD52" s="48">
        <f>3.034+3.033+3.033+3.032+0.01</f>
        <v>12.141999999999999</v>
      </c>
      <c r="BE52" s="48"/>
      <c r="BF52" s="48"/>
      <c r="BG52" s="48">
        <f>0.28754+0.01</f>
        <v>0.29754000000000003</v>
      </c>
      <c r="BH52" s="48">
        <f>3.80326+1.88965+1.88423+1.88282+5.63524+1.87858+1.8778+1.87449+1.87015+5.60599+1.86847+1.86135+1.8599+1.85951+7.42308+1.8559+1.85449+1.85309+7.40791+0.01</f>
        <v>56.055909999999997</v>
      </c>
      <c r="BI52" s="48">
        <f>37.73977+37.74106+36.63849+36.01522+35.5771+35.43378+70.81808+35.07398+34.6247+34.29939+34.1674+33.84471+67.65071+33.43894+32.83867+32.7156+32.45558+32.06143+64.08048+32.04262+31.43037+30.82313+30.54084+30.5185+30.51972+30.52094</f>
        <v>973.61121000000014</v>
      </c>
      <c r="BJ52" s="48">
        <v>426.55270999999999</v>
      </c>
      <c r="BK52" s="48">
        <f>978.4776+5124.04765+292.10232+3749.02638+5367.22548</f>
        <v>15510.879430000001</v>
      </c>
      <c r="BL52" s="48">
        <f>21.02986+63.1113+19.572</f>
        <v>103.71316</v>
      </c>
      <c r="BM52" s="48">
        <f>199.37092+598.31859+185.55</f>
        <v>983.23950999999988</v>
      </c>
      <c r="BN52" s="48">
        <f>227.15511+681.69984+211.4</f>
        <v>1120.25495</v>
      </c>
      <c r="BO52" s="48"/>
      <c r="BP52" s="48">
        <f>(47.63+142.95)/1000+0.05</f>
        <v>0.24057999999999996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27193.818172799998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(D10+D13+D16+D17+D33+D38+D47+D30+D35+D26)*4/1000</f>
        <v>0</v>
      </c>
      <c r="E53" s="48">
        <f>(E10+E13+E16+E17+E33+E38+E47+E40+E51+E35)*4/1000</f>
        <v>-27.050952000000002</v>
      </c>
      <c r="F53" s="48">
        <f>(F10+F13+F16+F17+F33+F38+F47+F30+F35+F26)*4/1000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-308.52</v>
      </c>
      <c r="L53" s="47">
        <f>(L10+L13+L17+L33+L38+L40+L51+L36+L49)*4/1000</f>
        <v>-2636.3905684799997</v>
      </c>
      <c r="M53" s="47">
        <f>(M10+M13+M17+M33+M38+M40+M51+M36+M49+M16)*4/1000</f>
        <v>-6.6068000000000002E-2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>(AV10+AV13+AV16+AV17+AV33+AV38+AV40+AV47+AV51+AV50)*4/1000</f>
        <v>-0.38705200000000001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>(BH10+BH13+BH16+BH17+BH33+BH38+BH40+BH47)*4/1000</f>
        <v>0</v>
      </c>
      <c r="BI53" s="48">
        <f t="shared" ref="BI53:BK53" si="7">(BI10+BI13+BI16+BI17+BI33+BI38+BI40+BI47)*4/1000</f>
        <v>0</v>
      </c>
      <c r="BJ53" s="48">
        <f t="shared" si="7"/>
        <v>0</v>
      </c>
      <c r="BK53" s="48">
        <f t="shared" si="7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-2972.4146404799999</v>
      </c>
    </row>
    <row r="54" spans="1:101" x14ac:dyDescent="0.3">
      <c r="C54" s="49" t="s">
        <v>141</v>
      </c>
      <c r="D54" s="50">
        <f t="shared" ref="D54:AM54" si="8">SUM(D9:D53)</f>
        <v>4139.25</v>
      </c>
      <c r="E54" s="50">
        <f t="shared" si="8"/>
        <v>2193389.3820480001</v>
      </c>
      <c r="F54" s="50">
        <f>SUM(F9:F53)</f>
        <v>-17147895.353999998</v>
      </c>
      <c r="G54" s="50">
        <f t="shared" si="8"/>
        <v>0</v>
      </c>
      <c r="H54" s="50">
        <f t="shared" si="8"/>
        <v>0</v>
      </c>
      <c r="I54" s="50">
        <f t="shared" si="8"/>
        <v>-6735936.0056000007</v>
      </c>
      <c r="J54" s="50">
        <f t="shared" si="8"/>
        <v>0</v>
      </c>
      <c r="K54" s="50">
        <f t="shared" si="8"/>
        <v>-308.52</v>
      </c>
      <c r="L54" s="51">
        <f>SUM(L9:L53)</f>
        <v>-510673.03796847363</v>
      </c>
      <c r="M54" s="50">
        <f t="shared" si="8"/>
        <v>-3317917.3895880003</v>
      </c>
      <c r="N54" s="50">
        <f t="shared" si="8"/>
        <v>-45</v>
      </c>
      <c r="O54" s="50">
        <f t="shared" si="8"/>
        <v>-181.92914999999999</v>
      </c>
      <c r="P54" s="50">
        <f t="shared" si="8"/>
        <v>-783324.10999999987</v>
      </c>
      <c r="Q54" s="50">
        <f t="shared" si="8"/>
        <v>-3166877.5445956979</v>
      </c>
      <c r="R54" s="50">
        <f t="shared" si="8"/>
        <v>-196440.23</v>
      </c>
      <c r="S54" s="50">
        <f t="shared" si="8"/>
        <v>-794182.31266009994</v>
      </c>
      <c r="T54" s="50">
        <f t="shared" si="8"/>
        <v>0</v>
      </c>
      <c r="U54" s="50">
        <f t="shared" si="8"/>
        <v>0</v>
      </c>
      <c r="V54" s="50">
        <f t="shared" si="8"/>
        <v>0</v>
      </c>
      <c r="W54" s="50">
        <f t="shared" si="8"/>
        <v>0</v>
      </c>
      <c r="X54" s="50">
        <f t="shared" si="8"/>
        <v>0</v>
      </c>
      <c r="Y54" s="50">
        <f t="shared" si="8"/>
        <v>0</v>
      </c>
      <c r="Z54" s="50">
        <f t="shared" si="8"/>
        <v>0</v>
      </c>
      <c r="AA54" s="50">
        <f t="shared" si="8"/>
        <v>0</v>
      </c>
      <c r="AB54" s="50">
        <f t="shared" si="8"/>
        <v>0</v>
      </c>
      <c r="AC54" s="50">
        <f t="shared" si="8"/>
        <v>0</v>
      </c>
      <c r="AD54" s="50">
        <f t="shared" si="8"/>
        <v>0</v>
      </c>
      <c r="AE54" s="50">
        <f t="shared" si="8"/>
        <v>0</v>
      </c>
      <c r="AF54" s="50">
        <f t="shared" si="8"/>
        <v>0</v>
      </c>
      <c r="AG54" s="50">
        <f t="shared" si="8"/>
        <v>0</v>
      </c>
      <c r="AH54" s="50">
        <f t="shared" si="8"/>
        <v>0</v>
      </c>
      <c r="AI54" s="50">
        <f t="shared" si="8"/>
        <v>0</v>
      </c>
      <c r="AJ54" s="50">
        <f t="shared" si="8"/>
        <v>843.08</v>
      </c>
      <c r="AK54" s="50">
        <f t="shared" si="8"/>
        <v>3408.4628396000003</v>
      </c>
      <c r="AL54" s="50">
        <f t="shared" si="8"/>
        <v>0</v>
      </c>
      <c r="AM54" s="50">
        <f t="shared" si="8"/>
        <v>192467.95699999999</v>
      </c>
      <c r="AN54" s="50">
        <f t="shared" ref="AN54:CV54" si="9">SUM(AN9:AN53)</f>
        <v>0</v>
      </c>
      <c r="AO54" s="50">
        <f t="shared" si="9"/>
        <v>0</v>
      </c>
      <c r="AP54" s="50">
        <f t="shared" si="9"/>
        <v>0</v>
      </c>
      <c r="AQ54" s="50">
        <f t="shared" si="9"/>
        <v>0</v>
      </c>
      <c r="AR54" s="50">
        <f t="shared" si="9"/>
        <v>88.966999999999999</v>
      </c>
      <c r="AS54" s="50">
        <f t="shared" si="9"/>
        <v>1.7000000000000001E-2</v>
      </c>
      <c r="AT54" s="50">
        <f t="shared" si="9"/>
        <v>0.03</v>
      </c>
      <c r="AU54" s="50">
        <f t="shared" si="9"/>
        <v>34.795000000000002</v>
      </c>
      <c r="AV54" s="50">
        <f t="shared" si="9"/>
        <v>1285.179948</v>
      </c>
      <c r="AW54" s="50">
        <f t="shared" si="9"/>
        <v>438.37655999999998</v>
      </c>
      <c r="AX54" s="50">
        <f t="shared" si="9"/>
        <v>5.7350199999999996</v>
      </c>
      <c r="AY54" s="50">
        <f t="shared" si="9"/>
        <v>445.87386000182318</v>
      </c>
      <c r="AZ54" s="50">
        <f t="shared" si="9"/>
        <v>119.06740000000001</v>
      </c>
      <c r="BA54" s="50">
        <f t="shared" si="9"/>
        <v>133.66299999999998</v>
      </c>
      <c r="BB54" s="50">
        <f t="shared" si="9"/>
        <v>46.302</v>
      </c>
      <c r="BC54" s="50">
        <f t="shared" si="9"/>
        <v>176.572</v>
      </c>
      <c r="BD54" s="50">
        <f t="shared" si="9"/>
        <v>11.293999999999999</v>
      </c>
      <c r="BE54" s="50">
        <f t="shared" si="9"/>
        <v>0</v>
      </c>
      <c r="BF54" s="50">
        <f t="shared" si="9"/>
        <v>0</v>
      </c>
      <c r="BG54" s="50">
        <f t="shared" si="9"/>
        <v>0.29754000000000003</v>
      </c>
      <c r="BH54" s="50">
        <f t="shared" si="9"/>
        <v>-687.14409000000001</v>
      </c>
      <c r="BI54" s="50">
        <f t="shared" si="9"/>
        <v>-100693.08496839029</v>
      </c>
      <c r="BJ54" s="50">
        <f t="shared" si="9"/>
        <v>396.69371000000001</v>
      </c>
      <c r="BK54" s="50">
        <f t="shared" si="9"/>
        <v>14425.119430000001</v>
      </c>
      <c r="BL54" s="50">
        <f t="shared" si="9"/>
        <v>97.823160000000001</v>
      </c>
      <c r="BM54" s="50">
        <f t="shared" si="9"/>
        <v>927.40150999999992</v>
      </c>
      <c r="BN54" s="50">
        <f t="shared" si="9"/>
        <v>1056.6349500000001</v>
      </c>
      <c r="BO54" s="50">
        <f t="shared" si="9"/>
        <v>0</v>
      </c>
      <c r="BP54" s="50">
        <f t="shared" si="9"/>
        <v>0.24057999999999996</v>
      </c>
      <c r="BQ54" s="50">
        <f t="shared" si="9"/>
        <v>0</v>
      </c>
      <c r="BR54" s="50">
        <f t="shared" si="9"/>
        <v>0</v>
      </c>
      <c r="BS54" s="50">
        <f t="shared" si="9"/>
        <v>0</v>
      </c>
      <c r="BT54" s="50">
        <f t="shared" si="9"/>
        <v>1487000</v>
      </c>
      <c r="BU54" s="50">
        <f t="shared" si="9"/>
        <v>6011747.6900000004</v>
      </c>
      <c r="BV54" s="50">
        <f t="shared" si="9"/>
        <v>0</v>
      </c>
      <c r="BW54" s="50">
        <f t="shared" si="9"/>
        <v>0</v>
      </c>
      <c r="BX54" s="50">
        <f t="shared" si="9"/>
        <v>0</v>
      </c>
      <c r="BY54" s="50">
        <f>SUM(BY9:BY53)</f>
        <v>0</v>
      </c>
      <c r="BZ54" s="50">
        <f>SUM(BZ9:BZ53)</f>
        <v>7000000</v>
      </c>
      <c r="CA54" s="50">
        <f t="shared" si="9"/>
        <v>450000</v>
      </c>
      <c r="CB54" s="50">
        <f t="shared" si="9"/>
        <v>0</v>
      </c>
      <c r="CC54" s="50">
        <f t="shared" si="9"/>
        <v>0</v>
      </c>
      <c r="CD54" s="50">
        <f t="shared" si="9"/>
        <v>0</v>
      </c>
      <c r="CE54" s="50">
        <f t="shared" si="9"/>
        <v>0</v>
      </c>
      <c r="CF54" s="50">
        <f t="shared" si="9"/>
        <v>0</v>
      </c>
      <c r="CG54" s="50">
        <f t="shared" si="9"/>
        <v>0</v>
      </c>
      <c r="CH54" s="50">
        <f t="shared" si="9"/>
        <v>0</v>
      </c>
      <c r="CI54" s="50">
        <f t="shared" si="9"/>
        <v>0</v>
      </c>
      <c r="CJ54" s="50">
        <f t="shared" si="9"/>
        <v>0</v>
      </c>
      <c r="CK54" s="50">
        <f t="shared" si="9"/>
        <v>0</v>
      </c>
      <c r="CL54" s="50">
        <f t="shared" si="9"/>
        <v>0</v>
      </c>
      <c r="CM54" s="50">
        <f t="shared" si="9"/>
        <v>0</v>
      </c>
      <c r="CN54" s="50">
        <f t="shared" si="9"/>
        <v>0</v>
      </c>
      <c r="CO54" s="50">
        <f t="shared" si="9"/>
        <v>0</v>
      </c>
      <c r="CP54" s="50">
        <f t="shared" si="9"/>
        <v>0</v>
      </c>
      <c r="CQ54" s="50">
        <f t="shared" si="9"/>
        <v>0</v>
      </c>
      <c r="CR54" s="50">
        <f t="shared" si="9"/>
        <v>0</v>
      </c>
      <c r="CS54" s="50">
        <f t="shared" si="9"/>
        <v>0</v>
      </c>
      <c r="CT54" s="50">
        <f t="shared" si="9"/>
        <v>0</v>
      </c>
      <c r="CU54" s="50">
        <f t="shared" si="9"/>
        <v>0</v>
      </c>
      <c r="CV54" s="50">
        <f t="shared" si="9"/>
        <v>0</v>
      </c>
      <c r="CW54" s="50">
        <f t="shared" si="2"/>
        <v>-15900509.497065056</v>
      </c>
    </row>
    <row r="55" spans="1:101" s="52" customFormat="1" x14ac:dyDescent="0.3">
      <c r="B55" s="53"/>
      <c r="C55" s="54" t="s">
        <v>142</v>
      </c>
      <c r="D55" s="55">
        <f t="shared" ref="D55:BS55" si="10">+D8+D54</f>
        <v>452189.07281994505</v>
      </c>
      <c r="E55" s="55">
        <f t="shared" si="10"/>
        <v>23175789.019500043</v>
      </c>
      <c r="F55" s="55">
        <f>+F8+F54</f>
        <v>18081239.175764401</v>
      </c>
      <c r="G55" s="55">
        <f t="shared" si="10"/>
        <v>0</v>
      </c>
      <c r="H55" s="55">
        <f t="shared" si="10"/>
        <v>0</v>
      </c>
      <c r="I55" s="55">
        <f t="shared" si="10"/>
        <v>97970.695074577816</v>
      </c>
      <c r="J55" s="55">
        <f t="shared" si="10"/>
        <v>0</v>
      </c>
      <c r="K55" s="55">
        <f t="shared" si="10"/>
        <v>116059.3473161429</v>
      </c>
      <c r="L55" s="55">
        <f t="shared" si="10"/>
        <v>126279.13139028871</v>
      </c>
      <c r="M55" s="55">
        <f t="shared" si="10"/>
        <v>106227.78757286351</v>
      </c>
      <c r="N55" s="55">
        <f t="shared" si="10"/>
        <v>177220.5199999999</v>
      </c>
      <c r="O55" s="55">
        <f t="shared" si="10"/>
        <v>735243.07898439968</v>
      </c>
      <c r="P55" s="55">
        <f t="shared" si="10"/>
        <v>12928437.463466862</v>
      </c>
      <c r="Q55" s="55">
        <f t="shared" si="10"/>
        <v>53559904.075595237</v>
      </c>
      <c r="R55" s="55">
        <f t="shared" si="10"/>
        <v>185391.89451000016</v>
      </c>
      <c r="S55" s="55">
        <f t="shared" si="10"/>
        <v>786295.04932812741</v>
      </c>
      <c r="T55" s="55">
        <f t="shared" si="10"/>
        <v>0</v>
      </c>
      <c r="U55" s="55">
        <f t="shared" si="10"/>
        <v>0</v>
      </c>
      <c r="V55" s="55">
        <f t="shared" si="10"/>
        <v>0</v>
      </c>
      <c r="W55" s="55">
        <f t="shared" si="10"/>
        <v>0</v>
      </c>
      <c r="X55" s="55">
        <f t="shared" si="10"/>
        <v>0</v>
      </c>
      <c r="Y55" s="55">
        <f t="shared" si="10"/>
        <v>0</v>
      </c>
      <c r="Z55" s="55">
        <f t="shared" si="10"/>
        <v>9662.5274983807467</v>
      </c>
      <c r="AA55" s="55">
        <f t="shared" si="10"/>
        <v>40087.12108308218</v>
      </c>
      <c r="AB55" s="55">
        <f t="shared" si="10"/>
        <v>7542.7499999967404</v>
      </c>
      <c r="AC55" s="55">
        <f t="shared" si="10"/>
        <v>31292.757779986478</v>
      </c>
      <c r="AD55" s="55">
        <f t="shared" si="10"/>
        <v>5155</v>
      </c>
      <c r="AE55" s="55">
        <f t="shared" si="10"/>
        <v>21386.651600000001</v>
      </c>
      <c r="AF55" s="55">
        <f t="shared" si="10"/>
        <v>7956.8699999451637</v>
      </c>
      <c r="AG55" s="55">
        <f t="shared" si="10"/>
        <v>33010.825706172502</v>
      </c>
      <c r="AH55" s="55">
        <f t="shared" si="10"/>
        <v>88260.369999997187</v>
      </c>
      <c r="AI55" s="55">
        <f t="shared" si="10"/>
        <v>368336.14378838829</v>
      </c>
      <c r="AJ55" s="55">
        <f t="shared" si="10"/>
        <v>675405.91999999818</v>
      </c>
      <c r="AK55" s="55">
        <f t="shared" si="10"/>
        <v>2801974.3216843926</v>
      </c>
      <c r="AL55" s="55">
        <f t="shared" si="10"/>
        <v>92787084.697065234</v>
      </c>
      <c r="AM55" s="55">
        <f t="shared" si="10"/>
        <v>76246499.182761356</v>
      </c>
      <c r="AN55" s="55">
        <f t="shared" si="10"/>
        <v>6276507.6901499992</v>
      </c>
      <c r="AO55" s="55">
        <f t="shared" si="10"/>
        <v>1091269.40043144</v>
      </c>
      <c r="AP55" s="55">
        <f t="shared" si="10"/>
        <v>5166890.8948126305</v>
      </c>
      <c r="AQ55" s="55">
        <f t="shared" si="10"/>
        <v>2106312.9482164839</v>
      </c>
      <c r="AR55" s="55">
        <f t="shared" si="10"/>
        <v>33626.464091993003</v>
      </c>
      <c r="AS55" s="55">
        <f t="shared" si="10"/>
        <v>6.3079079996137466</v>
      </c>
      <c r="AT55" s="55">
        <f t="shared" si="10"/>
        <v>11.274432002509913</v>
      </c>
      <c r="AU55" s="55">
        <f t="shared" si="10"/>
        <v>70780.601203997285</v>
      </c>
      <c r="AV55" s="55">
        <f t="shared" si="10"/>
        <v>526431.86648280267</v>
      </c>
      <c r="AW55" s="55">
        <f t="shared" si="10"/>
        <v>86557.4685399968</v>
      </c>
      <c r="AX55" s="55">
        <f t="shared" si="10"/>
        <v>1053.0316940010875</v>
      </c>
      <c r="AY55" s="55">
        <f t="shared" si="10"/>
        <v>144758.99986000001</v>
      </c>
      <c r="AZ55" s="55">
        <f t="shared" si="10"/>
        <v>23508.932577323234</v>
      </c>
      <c r="BA55" s="55">
        <f t="shared" si="10"/>
        <v>203782.75572400694</v>
      </c>
      <c r="BB55" s="55">
        <f t="shared" si="10"/>
        <v>70568.797219991146</v>
      </c>
      <c r="BC55" s="55">
        <f t="shared" si="10"/>
        <v>269196.7668479986</v>
      </c>
      <c r="BD55" s="55">
        <f t="shared" si="10"/>
        <v>17199.851599989841</v>
      </c>
      <c r="BE55" s="55">
        <f t="shared" si="10"/>
        <v>256596.93928368055</v>
      </c>
      <c r="BF55" s="55">
        <f t="shared" si="10"/>
        <v>321963.21571035992</v>
      </c>
      <c r="BG55" s="55">
        <f t="shared" si="10"/>
        <v>35109.823758882761</v>
      </c>
      <c r="BH55" s="55">
        <f t="shared" si="10"/>
        <v>25844.6242300021</v>
      </c>
      <c r="BI55" s="55">
        <f t="shared" si="10"/>
        <v>425874.88419000001</v>
      </c>
      <c r="BJ55" s="55">
        <f t="shared" si="10"/>
        <v>198589.06476456017</v>
      </c>
      <c r="BK55" s="55">
        <f t="shared" si="10"/>
        <v>4995112.4410280129</v>
      </c>
      <c r="BL55" s="55">
        <f t="shared" si="10"/>
        <v>113772.76318244604</v>
      </c>
      <c r="BM55" s="55">
        <f t="shared" si="10"/>
        <v>1078608.0603871639</v>
      </c>
      <c r="BN55" s="55">
        <f t="shared" si="10"/>
        <v>1228922.1131973816</v>
      </c>
      <c r="BO55" s="55">
        <f t="shared" si="10"/>
        <v>3.4691202304202307E-3</v>
      </c>
      <c r="BP55" s="55">
        <f t="shared" si="10"/>
        <v>257.73631932906551</v>
      </c>
      <c r="BQ55" s="55">
        <f t="shared" si="10"/>
        <v>4.0128798844989433E-3</v>
      </c>
      <c r="BR55" s="55">
        <f t="shared" si="10"/>
        <v>2945484.5260000033</v>
      </c>
      <c r="BS55" s="55">
        <f t="shared" si="10"/>
        <v>12003819.408660689</v>
      </c>
      <c r="BT55" s="55">
        <f t="shared" ref="BT55:CV55" si="11">+BT8+BT54</f>
        <v>8745402.124932019</v>
      </c>
      <c r="BU55" s="55">
        <f t="shared" si="11"/>
        <v>36017950.927636191</v>
      </c>
      <c r="BV55" s="55">
        <f t="shared" si="11"/>
        <v>225.44886000000042</v>
      </c>
      <c r="BW55" s="55">
        <f t="shared" si="11"/>
        <v>90883.492990000814</v>
      </c>
      <c r="BX55" s="55">
        <f t="shared" si="11"/>
        <v>12663.664475599246</v>
      </c>
      <c r="BY55" s="55">
        <f t="shared" si="11"/>
        <v>-7162256.2790600006</v>
      </c>
      <c r="BZ55" s="55">
        <f t="shared" si="11"/>
        <v>-65733466.075860009</v>
      </c>
      <c r="CA55" s="55">
        <f t="shared" si="11"/>
        <v>-38991705.874440014</v>
      </c>
      <c r="CB55" s="55">
        <f t="shared" si="11"/>
        <v>18918.56624</v>
      </c>
      <c r="CC55" s="55">
        <f t="shared" si="11"/>
        <v>905567.0501799999</v>
      </c>
      <c r="CD55" s="55">
        <f t="shared" si="11"/>
        <v>0</v>
      </c>
      <c r="CE55" s="55">
        <f t="shared" si="11"/>
        <v>5452.4449999999961</v>
      </c>
      <c r="CF55" s="55">
        <f t="shared" si="11"/>
        <v>-114377.54041000002</v>
      </c>
      <c r="CG55" s="55">
        <f t="shared" si="11"/>
        <v>194020.58999999994</v>
      </c>
      <c r="CH55" s="55">
        <f t="shared" si="11"/>
        <v>2.9318200000000001</v>
      </c>
      <c r="CI55" s="55">
        <f t="shared" si="11"/>
        <v>711161.95743999921</v>
      </c>
      <c r="CJ55" s="55">
        <f t="shared" si="11"/>
        <v>-336061.15196000022</v>
      </c>
      <c r="CK55" s="55">
        <f t="shared" si="11"/>
        <v>0</v>
      </c>
      <c r="CL55" s="55">
        <f t="shared" si="11"/>
        <v>0</v>
      </c>
      <c r="CM55" s="55">
        <f t="shared" si="11"/>
        <v>79545.207070000004</v>
      </c>
      <c r="CN55" s="55">
        <f t="shared" si="11"/>
        <v>662749.23605000007</v>
      </c>
      <c r="CO55" s="55">
        <f t="shared" si="11"/>
        <v>736446.43431999965</v>
      </c>
      <c r="CP55" s="55">
        <f t="shared" si="11"/>
        <v>9152723.6727600005</v>
      </c>
      <c r="CQ55" s="55">
        <f t="shared" si="11"/>
        <v>377918.49939999997</v>
      </c>
      <c r="CR55" s="55">
        <f t="shared" si="11"/>
        <v>13844.959270000458</v>
      </c>
      <c r="CS55" s="55">
        <f t="shared" si="11"/>
        <v>5010.51</v>
      </c>
      <c r="CT55" s="55">
        <f t="shared" si="11"/>
        <v>20511.762362899997</v>
      </c>
      <c r="CU55" s="55">
        <f t="shared" si="11"/>
        <v>5010.51</v>
      </c>
      <c r="CV55" s="55">
        <f t="shared" si="11"/>
        <v>20511.762362899997</v>
      </c>
      <c r="CW55" s="55">
        <f t="shared" si="2"/>
        <v>243023034.95530951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K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L57" s="57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AY57" s="57"/>
      <c r="BA57" s="57"/>
      <c r="BB57" s="57"/>
      <c r="BC57" s="57"/>
      <c r="BD57" s="57"/>
      <c r="BH57" s="57"/>
      <c r="BI57" s="57"/>
      <c r="BK57" s="56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211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L58" s="56"/>
      <c r="N58" s="67"/>
      <c r="O58" s="67"/>
      <c r="P58" s="67"/>
      <c r="Q58" s="72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L59" s="61"/>
      <c r="N59" s="67"/>
      <c r="O59" s="67"/>
      <c r="P59" s="72"/>
      <c r="Q59" s="72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162942714.45028004</v>
      </c>
      <c r="E60" s="70"/>
      <c r="F60" s="83"/>
      <c r="G60" s="83" t="s">
        <v>149</v>
      </c>
      <c r="H60" s="84"/>
      <c r="I60" s="85"/>
      <c r="J60" s="56"/>
      <c r="L60" s="61"/>
      <c r="N60" s="67"/>
      <c r="O60" s="67"/>
      <c r="P60" s="72"/>
      <c r="Q60" s="72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0</v>
      </c>
      <c r="E61" s="67"/>
      <c r="F61" s="88" t="s">
        <v>151</v>
      </c>
      <c r="G61" s="89">
        <f>N55</f>
        <v>177220.5199999999</v>
      </c>
      <c r="H61" s="84"/>
      <c r="I61" s="85"/>
      <c r="J61" s="56"/>
      <c r="N61" s="67"/>
      <c r="O61" s="67"/>
      <c r="P61" s="72"/>
      <c r="Q61" s="72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58"/>
      <c r="BY61" s="58"/>
      <c r="BZ61" s="56"/>
      <c r="CA61" s="58"/>
      <c r="CD61" s="58"/>
    </row>
    <row r="62" spans="1:101" x14ac:dyDescent="0.3">
      <c r="B62" s="157"/>
      <c r="C62" s="86" t="s">
        <v>152</v>
      </c>
      <c r="D62" s="87">
        <f>CW11+CW15</f>
        <v>1756208.0271999999</v>
      </c>
      <c r="E62" s="67"/>
      <c r="F62" s="88" t="s">
        <v>153</v>
      </c>
      <c r="G62" s="90">
        <f>P55</f>
        <v>12928437.463466862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7460000</v>
      </c>
      <c r="E63" s="67" t="s">
        <v>204</v>
      </c>
      <c r="F63" s="88" t="s">
        <v>155</v>
      </c>
      <c r="G63" s="90">
        <f>R55</f>
        <v>185391.89451000016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144969354.92700002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6090630</v>
      </c>
      <c r="E65" s="67" t="s">
        <v>204</v>
      </c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1895221.49608</v>
      </c>
      <c r="E66" s="100" t="s">
        <v>204</v>
      </c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116059347.3161429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126279131.39028871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771300</v>
      </c>
      <c r="E69" s="100" t="s">
        <v>204</v>
      </c>
      <c r="F69" s="104" t="s">
        <v>162</v>
      </c>
      <c r="G69" s="105">
        <f>M55*1000</f>
        <v>106227787.57286352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-197919925.484319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-122037316.324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0</v>
      </c>
      <c r="E76" s="56"/>
      <c r="F76" s="120" t="s">
        <v>170</v>
      </c>
      <c r="G76" s="117">
        <f>AH55</f>
        <v>88260.369999997187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-65679000</v>
      </c>
      <c r="E77" s="67" t="s">
        <v>204</v>
      </c>
      <c r="F77" s="120" t="s">
        <v>172</v>
      </c>
      <c r="G77" s="117">
        <f>AJ55</f>
        <v>675405.91999999818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-9467779.1603190005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-77130</v>
      </c>
      <c r="E80" s="100" t="s">
        <v>204</v>
      </c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-658700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33537.497091993006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88.966999999999999</v>
      </c>
      <c r="L90" s="138">
        <f>AR50+AR51+AR53+AR40+AR42+AR43+AR45</f>
        <v>0</v>
      </c>
      <c r="M90" s="139">
        <f t="shared" ref="M90:M106" si="12">G90+H90+I90+J90+K90+L90</f>
        <v>33626.464091993003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56.055909999999997</v>
      </c>
      <c r="L91" s="138">
        <f>BH50+BH51+BH53+BH40+BH42+BH43+BH45</f>
        <v>-743.2</v>
      </c>
      <c r="M91" s="139">
        <f t="shared" si="12"/>
        <v>25844.6242300021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203649.09272400694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143.73499999999999</v>
      </c>
      <c r="L92" s="138">
        <f>BA50+BA51+BA53+BA40+BA42+BA43+BA45</f>
        <v>-10.072000000000001</v>
      </c>
      <c r="M92" s="139">
        <f t="shared" si="12"/>
        <v>203782.75572400694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2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471.50155999999998</v>
      </c>
      <c r="L94" s="138">
        <f>AW50+AW51+AW53+AW40+AW42+AW43+AW45</f>
        <v>-33.125</v>
      </c>
      <c r="M94" s="139">
        <f t="shared" si="12"/>
        <v>86557.4685399968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0.03</v>
      </c>
      <c r="L95" s="138">
        <f>AT50+AT51+AT53+AT40+AT42+AT43+AT45</f>
        <v>0</v>
      </c>
      <c r="M95" s="139">
        <f t="shared" si="12"/>
        <v>11.274432002509913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1.7000000000000001E-2</v>
      </c>
      <c r="L96" s="138">
        <f>AS50+AS51+AS53+AS40+AS42+AS43+AS45</f>
        <v>0</v>
      </c>
      <c r="M96" s="139">
        <f t="shared" si="12"/>
        <v>6.3079079996137466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973.61121000000014</v>
      </c>
      <c r="L97" s="138">
        <f>BI50+BI51+BI53+BI40+BI42+BI43+BI45</f>
        <v>-101666.6961783903</v>
      </c>
      <c r="M97" s="139">
        <f t="shared" si="12"/>
        <v>425874.88419000001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269020.19484799862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189.87299999999999</v>
      </c>
      <c r="L98" s="138">
        <f>BC50+BC51+BC53+BC40+BC42+BC43+BC45</f>
        <v>-13.301</v>
      </c>
      <c r="M98" s="139">
        <f t="shared" si="12"/>
        <v>269196.76684799866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70522.495219991149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49.786000000000001</v>
      </c>
      <c r="L99" s="138">
        <f>BB50+BB51+BB53+BB40+BB42+BB43+BB45</f>
        <v>-3.484</v>
      </c>
      <c r="M99" s="139">
        <f t="shared" si="12"/>
        <v>70568.797219991146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2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5.7350199999999996</v>
      </c>
      <c r="L101" s="138">
        <f>AY50+AY51+AY53+AY40+AY42+AY43+AY45</f>
        <v>-33.697889998176834</v>
      </c>
      <c r="M101" s="139">
        <f t="shared" si="12"/>
        <v>1019.3338040029107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34.795000000000002</v>
      </c>
      <c r="L102" s="138">
        <f>AU50+AU51+AU53+AU40+AU42+AU43+AU45</f>
        <v>0</v>
      </c>
      <c r="M102" s="139">
        <f t="shared" si="12"/>
        <v>70780.601203997285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0.29754000000000003</v>
      </c>
      <c r="L103" s="138">
        <f>BJ50+BJ51+BJ53+BJ40+BJ42+BJ43+BJ45</f>
        <v>-29.859000000000002</v>
      </c>
      <c r="M103" s="139">
        <f t="shared" si="12"/>
        <v>198162.80959456018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17188.557599989839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12.141999999999999</v>
      </c>
      <c r="L104" s="138">
        <f>BD50+BD51+BD53+BD40+BD42+BD43+BD45</f>
        <v>-0.84799999999999998</v>
      </c>
      <c r="M104" s="139">
        <f t="shared" si="12"/>
        <v>17199.851599989837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0.29754000000000003</v>
      </c>
      <c r="L105" s="138">
        <f>BG50+BG51+BG53+BG40+BG42+BG43+BG45</f>
        <v>0</v>
      </c>
      <c r="M105" s="139">
        <f t="shared" si="12"/>
        <v>35109.823758882761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144313.12599999818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479.57175000000001</v>
      </c>
      <c r="L106" s="138">
        <f>AY50+AY51+AY53+AY40+AY42+AY43+AY45</f>
        <v>-33.697889998176834</v>
      </c>
      <c r="M106" s="139">
        <f t="shared" si="12"/>
        <v>144758.99986000001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3">SUM(G90:G94)</f>
        <v>606434.38939967938</v>
      </c>
      <c r="H108" s="97">
        <f t="shared" si="13"/>
        <v>0</v>
      </c>
      <c r="I108" s="97">
        <f t="shared" si="13"/>
        <v>0</v>
      </c>
      <c r="J108" s="97">
        <f t="shared" si="13"/>
        <v>0</v>
      </c>
      <c r="K108" s="97">
        <f t="shared" si="13"/>
        <v>760.25946999999996</v>
      </c>
      <c r="L108" s="97">
        <f t="shared" si="13"/>
        <v>-786.39700000000005</v>
      </c>
      <c r="M108" s="97">
        <f t="shared" si="13"/>
        <v>606408.25186967931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4">SUM(G95:G101)</f>
        <v>1189138.7069507432</v>
      </c>
      <c r="H109" s="97">
        <f t="shared" si="14"/>
        <v>0</v>
      </c>
      <c r="I109" s="97">
        <f t="shared" si="14"/>
        <v>0</v>
      </c>
      <c r="J109" s="97">
        <f t="shared" si="14"/>
        <v>0</v>
      </c>
      <c r="K109" s="97">
        <f t="shared" si="14"/>
        <v>1219.0522300000002</v>
      </c>
      <c r="L109" s="97">
        <f t="shared" si="14"/>
        <v>-101717.17906838848</v>
      </c>
      <c r="M109" s="97">
        <f t="shared" si="14"/>
        <v>1088640.5801123548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5">SUM(G102:G106)</f>
        <v>465549.38707742823</v>
      </c>
      <c r="H110" s="97">
        <f t="shared" si="15"/>
        <v>0</v>
      </c>
      <c r="I110" s="97">
        <f t="shared" si="15"/>
        <v>0</v>
      </c>
      <c r="J110" s="97">
        <f t="shared" si="15"/>
        <v>0</v>
      </c>
      <c r="K110" s="97">
        <f t="shared" si="15"/>
        <v>527.10383000000002</v>
      </c>
      <c r="L110" s="97">
        <f t="shared" si="15"/>
        <v>-64.404889998176827</v>
      </c>
      <c r="M110" s="97">
        <f t="shared" si="15"/>
        <v>466012.08601743006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A9:A29"/>
    <mergeCell ref="D1:BK1"/>
    <mergeCell ref="BL1:BN1"/>
    <mergeCell ref="BR1:CJ1"/>
    <mergeCell ref="CW2:CW4"/>
    <mergeCell ref="A5:A8"/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03'!D55</f>
        <v>425464.07281994517</v>
      </c>
      <c r="E5" s="18">
        <f>'JUN 03'!E55</f>
        <v>17127667.917998813</v>
      </c>
      <c r="F5" s="18">
        <f>'JUN 03'!F55</f>
        <v>6183982.5676043965</v>
      </c>
      <c r="G5" s="18">
        <f>'JUN 03'!G55</f>
        <v>0</v>
      </c>
      <c r="H5" s="18">
        <f>'JUN 03'!H55</f>
        <v>0</v>
      </c>
      <c r="I5" s="18">
        <f>'JUN 03'!I55</f>
        <v>133400.84445457897</v>
      </c>
      <c r="J5" s="18">
        <f>'JUN 03'!J55</f>
        <v>0</v>
      </c>
      <c r="K5" s="18">
        <f>'JUN 03'!K55</f>
        <v>214815.69302414288</v>
      </c>
      <c r="L5" s="18">
        <f>'JUN 03'!L55</f>
        <v>5102856.7263569804</v>
      </c>
      <c r="M5" s="18">
        <f>'JUN 03'!M55</f>
        <v>103763.64827486555</v>
      </c>
      <c r="N5" s="18">
        <f>'JUN 03'!N55</f>
        <v>177265.5199999999</v>
      </c>
      <c r="O5" s="18">
        <f>'JUN 03'!O55</f>
        <v>735425.00813439966</v>
      </c>
      <c r="P5" s="18">
        <f>'JUN 03'!P55</f>
        <v>8767289.3608427141</v>
      </c>
      <c r="Q5" s="18">
        <f>'JUN 03'!Q55</f>
        <v>36373028.717115387</v>
      </c>
      <c r="R5" s="18">
        <f>'JUN 03'!R55</f>
        <v>728973.82451000018</v>
      </c>
      <c r="S5" s="18">
        <f>'JUN 03'!S55</f>
        <v>3024308.2852211278</v>
      </c>
      <c r="T5" s="18">
        <f>'JUN 03'!T55</f>
        <v>0</v>
      </c>
      <c r="U5" s="18">
        <f>'JUN 03'!U55</f>
        <v>0</v>
      </c>
      <c r="V5" s="18">
        <f>'JUN 03'!V55</f>
        <v>0</v>
      </c>
      <c r="W5" s="18">
        <f>'JUN 03'!W55</f>
        <v>0</v>
      </c>
      <c r="X5" s="18">
        <f>'JUN 03'!X55</f>
        <v>0</v>
      </c>
      <c r="Y5" s="18">
        <f>'JUN 03'!Y55</f>
        <v>0</v>
      </c>
      <c r="Z5" s="18">
        <f>'JUN 03'!Z55</f>
        <v>9662.5274983807467</v>
      </c>
      <c r="AA5" s="18">
        <f>'JUN 03'!AA55</f>
        <v>40087.12108308218</v>
      </c>
      <c r="AB5" s="18">
        <f>'JUN 03'!AB55</f>
        <v>7542.7499999967404</v>
      </c>
      <c r="AC5" s="18">
        <f>'JUN 03'!AC55</f>
        <v>31292.757779986478</v>
      </c>
      <c r="AD5" s="18">
        <f>'JUN 03'!AD55</f>
        <v>5155</v>
      </c>
      <c r="AE5" s="18">
        <f>'JUN 03'!AE55</f>
        <v>21386.651600000001</v>
      </c>
      <c r="AF5" s="18">
        <f>'JUN 03'!AF55</f>
        <v>7956.8699999451637</v>
      </c>
      <c r="AG5" s="18">
        <f>'JUN 03'!AG55</f>
        <v>33010.825706172502</v>
      </c>
      <c r="AH5" s="18">
        <f>'JUN 03'!AH55</f>
        <v>118215.98999999718</v>
      </c>
      <c r="AI5" s="18">
        <f>'JUN 03'!AI55</f>
        <v>490445.04203278833</v>
      </c>
      <c r="AJ5" s="18">
        <f>'JUN 03'!AJ55</f>
        <v>674466.83999999822</v>
      </c>
      <c r="AK5" s="18">
        <f>'JUN 03'!AK55</f>
        <v>2798174.0684447926</v>
      </c>
      <c r="AL5" s="18">
        <f>'JUN 03'!AL55</f>
        <v>21576152.436255224</v>
      </c>
      <c r="AM5" s="18">
        <f>'JUN 03'!AM55</f>
        <v>59751704.425795354</v>
      </c>
      <c r="AN5" s="18">
        <f>'JUN 03'!AN55</f>
        <v>6276507.6901499992</v>
      </c>
      <c r="AO5" s="18">
        <f>'JUN 03'!AO55</f>
        <v>1091269.40043144</v>
      </c>
      <c r="AP5" s="18">
        <f>'JUN 03'!AP55</f>
        <v>5285267.3108801506</v>
      </c>
      <c r="AQ5" s="18">
        <f>'JUN 03'!AQ55</f>
        <v>2357744.2128221639</v>
      </c>
      <c r="AR5" s="18">
        <f>'JUN 03'!AR55</f>
        <v>33846.145451993005</v>
      </c>
      <c r="AS5" s="18">
        <f>'JUN 03'!AS55</f>
        <v>6.2909079996137462</v>
      </c>
      <c r="AT5" s="18">
        <f>'JUN 03'!AT55</f>
        <v>11.244432002509914</v>
      </c>
      <c r="AU5" s="18">
        <f>'JUN 03'!AU55</f>
        <v>70745.806203997287</v>
      </c>
      <c r="AV5" s="18">
        <f>'JUN 03'!AV55</f>
        <v>525146.68653480266</v>
      </c>
      <c r="AW5" s="18">
        <f>'JUN 03'!AW55</f>
        <v>86119.091979996796</v>
      </c>
      <c r="AX5" s="18">
        <f>'JUN 03'!AX55</f>
        <v>1047.2966740010875</v>
      </c>
      <c r="AY5" s="18">
        <f>'JUN 03'!AY55</f>
        <v>61421.505735998158</v>
      </c>
      <c r="AZ5" s="18">
        <f>'JUN 03'!AZ55</f>
        <v>23389.865177323234</v>
      </c>
      <c r="BA5" s="18">
        <f>'JUN 03'!BA55</f>
        <v>202882.1727240069</v>
      </c>
      <c r="BB5" s="18">
        <f>'JUN 03'!BB55</f>
        <v>70256.927219991136</v>
      </c>
      <c r="BC5" s="18">
        <f>'JUN 03'!BC55</f>
        <v>268007.0948479987</v>
      </c>
      <c r="BD5" s="18">
        <f>'JUN 03'!BD55</f>
        <v>17123.827599989832</v>
      </c>
      <c r="BE5" s="18">
        <f>'JUN 03'!BE55</f>
        <v>256596.93928368055</v>
      </c>
      <c r="BF5" s="18">
        <f>'JUN 03'!BF55</f>
        <v>321963.21571035992</v>
      </c>
      <c r="BG5" s="18">
        <f>'JUN 03'!BG55</f>
        <v>35109.526218882762</v>
      </c>
      <c r="BH5" s="18">
        <f>'JUN 03'!BH55</f>
        <v>26531.768320002102</v>
      </c>
      <c r="BI5" s="18">
        <f>'JUN 03'!BI55</f>
        <v>526567.9691583903</v>
      </c>
      <c r="BJ5" s="18">
        <f>'JUN 03'!BJ55</f>
        <v>198192.37105456018</v>
      </c>
      <c r="BK5" s="18">
        <f>'JUN 03'!BK55</f>
        <v>3412735.3475220124</v>
      </c>
      <c r="BL5" s="18">
        <f>'JUN 03'!BL55</f>
        <v>113245.51045244606</v>
      </c>
      <c r="BM5" s="18">
        <f>'JUN 03'!BM55</f>
        <v>1073609.4875071638</v>
      </c>
      <c r="BN5" s="18">
        <f>'JUN 03'!BN55</f>
        <v>1223226.9579473811</v>
      </c>
      <c r="BO5" s="18">
        <f>'JUN 03'!BO55</f>
        <v>3.4691202304202307E-3</v>
      </c>
      <c r="BP5" s="18">
        <f>'JUN 03'!BP55</f>
        <v>209.10783932906548</v>
      </c>
      <c r="BQ5" s="18">
        <f>'JUN 03'!BQ55</f>
        <v>4.0128798844989433E-3</v>
      </c>
      <c r="BR5" s="18">
        <f>'JUN 03'!BR55</f>
        <v>645484.5260000031</v>
      </c>
      <c r="BS5" s="18">
        <f>'JUN 03'!BS55</f>
        <v>2650869.4086606889</v>
      </c>
      <c r="BT5" s="18">
        <f>'JUN 03'!BT55</f>
        <v>258402.12493201916</v>
      </c>
      <c r="BU5" s="18">
        <f>'JUN 03'!BU55</f>
        <v>1061203.2376361911</v>
      </c>
      <c r="BV5" s="18">
        <f>'JUN 03'!BV55</f>
        <v>8025.4488600000004</v>
      </c>
      <c r="BW5" s="18">
        <f>'JUN 03'!BW55</f>
        <v>397883.49299000081</v>
      </c>
      <c r="BX5" s="18">
        <f>'JUN 03'!BX55</f>
        <v>12663.664475599246</v>
      </c>
      <c r="BY5" s="18">
        <f>'JUN 03'!BY55</f>
        <v>40677.310940000345</v>
      </c>
      <c r="BZ5" s="18">
        <f>'JUN 03'!BZ55</f>
        <v>59066.614139989018</v>
      </c>
      <c r="CA5" s="18">
        <f>'JUN 03'!CA55</f>
        <v>4353588.9055599933</v>
      </c>
      <c r="CB5" s="18">
        <f>'JUN 03'!CB55</f>
        <v>18918.56624</v>
      </c>
      <c r="CC5" s="18">
        <f>'JUN 03'!CC55</f>
        <v>905567.0501799999</v>
      </c>
      <c r="CD5" s="18">
        <f>'JUN 03'!CD55</f>
        <v>0</v>
      </c>
      <c r="CE5" s="18">
        <f>'JUN 03'!CE55</f>
        <v>28452.444999999996</v>
      </c>
      <c r="CF5" s="18">
        <f>'JUN 03'!CF55</f>
        <v>696622.45958999998</v>
      </c>
      <c r="CG5" s="18">
        <f>'JUN 03'!CG55</f>
        <v>194020.58999999994</v>
      </c>
      <c r="CH5" s="18">
        <f>'JUN 03'!CH55</f>
        <v>2.9318200000000001</v>
      </c>
      <c r="CI5" s="18">
        <f>'JUN 03'!CI55</f>
        <v>813161.95743999921</v>
      </c>
      <c r="CJ5" s="18">
        <f>'JUN 03'!CJ55</f>
        <v>201938.84803999978</v>
      </c>
      <c r="CK5" s="18">
        <f>'JUN 03'!CK55</f>
        <v>0</v>
      </c>
      <c r="CL5" s="18">
        <f>'JUN 03'!CL55</f>
        <v>0</v>
      </c>
      <c r="CM5" s="18">
        <f>'JUN 03'!CM55</f>
        <v>79545.207070000004</v>
      </c>
      <c r="CN5" s="18">
        <f>'JUN 03'!CN55</f>
        <v>662749.23605000007</v>
      </c>
      <c r="CO5" s="18">
        <f>'JUN 03'!CO55</f>
        <v>736446.43431999965</v>
      </c>
      <c r="CP5" s="18">
        <f>'JUN 03'!CP55</f>
        <v>9152723.6727600005</v>
      </c>
      <c r="CQ5" s="18">
        <f>'JUN 03'!CQ55</f>
        <v>377918.49939999997</v>
      </c>
      <c r="CR5" s="18">
        <f>'JUN 03'!CR55</f>
        <v>877844.95927000046</v>
      </c>
      <c r="CS5" s="18">
        <f>'JUN 03'!CS55</f>
        <v>5010.51</v>
      </c>
      <c r="CT5" s="18">
        <f>'JUN 03'!CT55</f>
        <v>20511.762362899997</v>
      </c>
      <c r="CU5" s="18">
        <f>'JUN 03'!CU55</f>
        <v>5010.51</v>
      </c>
      <c r="CV5" s="18">
        <f>'JUN 03'!CV55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201096662.05314034</v>
      </c>
    </row>
    <row r="6" spans="1:101" s="20" customFormat="1" x14ac:dyDescent="0.3">
      <c r="A6" s="165"/>
      <c r="B6" s="19"/>
      <c r="C6" s="19" t="s">
        <v>91</v>
      </c>
      <c r="D6" s="19">
        <v>-34208.94</v>
      </c>
      <c r="E6" s="19">
        <f>6029365.13-0.01</f>
        <v>6029365.1200000001</v>
      </c>
      <c r="F6" s="19">
        <f>-3734672.82+0.01</f>
        <v>-3734672.81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-588855.18000000005</v>
      </c>
      <c r="BZ6" s="19">
        <v>-5096200.7300000004</v>
      </c>
      <c r="CA6" s="19">
        <v>-4178514.63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391255.13281994517</v>
      </c>
      <c r="E8" s="18">
        <f t="shared" si="0"/>
        <v>23157033.037998814</v>
      </c>
      <c r="F8" s="18">
        <f t="shared" si="0"/>
        <v>2449309.7576043964</v>
      </c>
      <c r="G8" s="18">
        <f t="shared" si="0"/>
        <v>0</v>
      </c>
      <c r="H8" s="18">
        <f t="shared" si="0"/>
        <v>0</v>
      </c>
      <c r="I8" s="18">
        <f t="shared" si="0"/>
        <v>133400.84445457897</v>
      </c>
      <c r="J8" s="18">
        <f t="shared" si="0"/>
        <v>0</v>
      </c>
      <c r="K8" s="18">
        <f t="shared" si="0"/>
        <v>214815.69302414288</v>
      </c>
      <c r="L8" s="18">
        <f t="shared" si="0"/>
        <v>5102856.7263569804</v>
      </c>
      <c r="M8" s="18">
        <f t="shared" si="0"/>
        <v>103763.64827486555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8767289.3608427141</v>
      </c>
      <c r="Q8" s="18">
        <f t="shared" si="0"/>
        <v>36373028.717115387</v>
      </c>
      <c r="R8" s="18">
        <f t="shared" si="0"/>
        <v>728973.82451000018</v>
      </c>
      <c r="S8" s="18">
        <f t="shared" si="0"/>
        <v>3024308.2852211278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21576152.436255224</v>
      </c>
      <c r="AM8" s="18">
        <f t="shared" si="0"/>
        <v>59751704.425795354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2357744.2128221639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61421.505735998158</v>
      </c>
      <c r="AZ8" s="18">
        <f t="shared" si="0"/>
        <v>23389.865177323234</v>
      </c>
      <c r="BA8" s="18">
        <f t="shared" si="0"/>
        <v>202882.1727240069</v>
      </c>
      <c r="BB8" s="18">
        <f t="shared" si="0"/>
        <v>70256.927219991136</v>
      </c>
      <c r="BC8" s="18">
        <f t="shared" si="0"/>
        <v>268007.0948479987</v>
      </c>
      <c r="BD8" s="18">
        <f t="shared" si="0"/>
        <v>17123.827599989832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3412735.3475220124</v>
      </c>
      <c r="BL8" s="18">
        <f t="shared" si="0"/>
        <v>113245.51045244606</v>
      </c>
      <c r="BM8" s="18">
        <f t="shared" si="0"/>
        <v>1073609.4875071638</v>
      </c>
      <c r="BN8" s="18">
        <f t="shared" si="0"/>
        <v>1223226.9579473811</v>
      </c>
      <c r="BO8" s="18">
        <f t="shared" si="0"/>
        <v>3.4691202304202307E-3</v>
      </c>
      <c r="BP8" s="18">
        <f t="shared" si="0"/>
        <v>209.10783932906548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258402.12493201916</v>
      </c>
      <c r="BU8" s="18">
        <f t="shared" si="1"/>
        <v>1061203.2376361911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-548177.86905999971</v>
      </c>
      <c r="BZ8" s="18">
        <f t="shared" si="1"/>
        <v>-5037134.1158600114</v>
      </c>
      <c r="CA8" s="18">
        <f t="shared" si="1"/>
        <v>175074.27555999346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193493574.88314033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712675+227248</f>
        <v>939923</v>
      </c>
      <c r="M11" s="26">
        <f>281550+97392</f>
        <v>378942</v>
      </c>
      <c r="N11" s="26"/>
      <c r="O11" s="26"/>
      <c r="P11" s="26">
        <v>4141.67</v>
      </c>
      <c r="Q11" s="26">
        <f>(P11*4136.71)/1000</f>
        <v>17132.887705699999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1335997.8877057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5000000</v>
      </c>
      <c r="Q12" s="26">
        <f>(P12*4136.71)/1000</f>
        <v>20683550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20683550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v>-5000000</v>
      </c>
      <c r="Q19" s="26">
        <f>(P19*4136.71)/1000</f>
        <v>-20683550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-20683550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-106143552.63600001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-106143552.63600001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99518605.449000001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99518605.449000001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>
        <f>246000+66361</f>
        <v>312361</v>
      </c>
      <c r="Q25" s="26">
        <f>(P25*4136.71)/1000</f>
        <v>1292146.87231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1292146.87231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61000</v>
      </c>
      <c r="E27" s="28"/>
      <c r="F27" s="28">
        <v>6099000</v>
      </c>
      <c r="G27" s="26"/>
      <c r="H27" s="26"/>
      <c r="I27" s="26"/>
      <c r="J27" s="26"/>
      <c r="K27" s="26"/>
      <c r="L27" s="27">
        <v>3500000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2800000</v>
      </c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12460000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>
        <v>-9424000</v>
      </c>
      <c r="F28" s="28"/>
      <c r="G28" s="26"/>
      <c r="H28" s="26"/>
      <c r="I28" s="26"/>
      <c r="J28" s="26"/>
      <c r="K28" s="28"/>
      <c r="L28" s="27"/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-9424000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>
        <v>-2459324.5322799999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-2459324.5322799999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-370000+3610000+2570000-14333.5-25508.51-125627.73-218585.62</f>
        <v>5425944.6399999997</v>
      </c>
      <c r="Q35" s="37">
        <f>(P35*4136.71)/1000</f>
        <v>22445559.451734398</v>
      </c>
      <c r="R35" s="37">
        <v>-260000</v>
      </c>
      <c r="S35" s="37">
        <f>(R35*4136.71)/1000</f>
        <v>-1075544.6000000001</v>
      </c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21370014.851734396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>
        <v>101910.95</v>
      </c>
      <c r="Q37" s="37">
        <f>(P37*4136.71)/1000</f>
        <v>421576.04597450001</v>
      </c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421576.04597450001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v>-188230</v>
      </c>
      <c r="M38" s="38">
        <v>-80670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-268900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>
        <v>-1638000</v>
      </c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>
        <v>400000</v>
      </c>
      <c r="S43" s="43">
        <v>1638000</v>
      </c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>
        <v>-10.364000000000001</v>
      </c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-10.364000000000001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f>-1.727-0.01</f>
        <v>-1.7370000000000001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f>-2.505-0.01</f>
        <v>-2.5149999999999997</v>
      </c>
      <c r="BB50" s="48">
        <v>-0.86799999999999999</v>
      </c>
      <c r="BC50" s="48">
        <v>-3.3090000000000002</v>
      </c>
      <c r="BD50" s="48">
        <v>-0.21099999999999999</v>
      </c>
      <c r="BE50" s="48"/>
      <c r="BF50" s="48"/>
      <c r="BG50" s="48"/>
      <c r="BH50" s="48"/>
      <c r="BI50" s="48"/>
      <c r="BJ50" s="48"/>
      <c r="BK50" s="48"/>
      <c r="BL50" s="48">
        <v>-1.466</v>
      </c>
      <c r="BM50" s="48">
        <v>-13.901</v>
      </c>
      <c r="BN50" s="48">
        <v>-15.837999999999999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-39.844999999999999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-1063.405</v>
      </c>
      <c r="F51" s="47"/>
      <c r="G51" s="48"/>
      <c r="H51" s="48"/>
      <c r="I51" s="48"/>
      <c r="J51" s="48"/>
      <c r="K51" s="47">
        <f>-927.962-0.01</f>
        <v>-927.97199999999998</v>
      </c>
      <c r="L51" s="47">
        <f>-2168.775-927.962-20.646</f>
        <v>-3117.3830000000003</v>
      </c>
      <c r="M51" s="47">
        <f>-4.129-927.962</f>
        <v>-932.09100000000001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-6040.8510000000006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24.674910000000001</v>
      </c>
      <c r="J52" s="48"/>
      <c r="K52" s="48"/>
      <c r="L52" s="47"/>
      <c r="M52" s="47"/>
      <c r="N52" s="48"/>
      <c r="O52" s="48"/>
      <c r="P52" s="48"/>
      <c r="Q52" s="48"/>
      <c r="R52" s="48">
        <v>55.47</v>
      </c>
      <c r="S52" s="48">
        <f>(R52*4136.71)/1000</f>
        <v>229.46330369999998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35.789000000000001</v>
      </c>
      <c r="BB52" s="48">
        <v>12.394</v>
      </c>
      <c r="BC52" s="48">
        <v>47.277999999999999</v>
      </c>
      <c r="BD52" s="48">
        <v>3.0209999999999999</v>
      </c>
      <c r="BE52" s="48"/>
      <c r="BF52" s="48"/>
      <c r="BG52" s="48"/>
      <c r="BH52" s="48"/>
      <c r="BI52" s="48"/>
      <c r="BJ52" s="48"/>
      <c r="BK52" s="48"/>
      <c r="BL52" s="48">
        <v>20.946809999999999</v>
      </c>
      <c r="BM52" s="48">
        <f>198.5836+0.01</f>
        <v>198.59359999999998</v>
      </c>
      <c r="BN52" s="48">
        <v>226.25808000000001</v>
      </c>
      <c r="BO52" s="48"/>
      <c r="BP52" s="48">
        <f>47.43/1000-0.01</f>
        <v>3.7429999999999998E-2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798.45613370000012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f>(E10+E13+E16+E17+E33+E38+E47+E40+E51+E35)*4/1000</f>
        <v>-4.2536199999999997</v>
      </c>
      <c r="F53" s="48">
        <f>(F10+F13+F16+F17+F33+F38+F47+F40+F51+F35)*4/1000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-3.7118880000000001</v>
      </c>
      <c r="L53" s="47">
        <f>(L10+L13+L17+L33+L38+L40+L51+L36+L49)*4/1000</f>
        <v>-765.38953200000003</v>
      </c>
      <c r="M53" s="47">
        <f>(M10+M13+M17+M33+M38+M40+M51+M36+M49+M16)*4/1000</f>
        <v>-326.40836400000001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-4.1456E-2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-1099.80486</v>
      </c>
    </row>
    <row r="54" spans="1:101" x14ac:dyDescent="0.3">
      <c r="C54" s="49" t="s">
        <v>141</v>
      </c>
      <c r="D54" s="50">
        <f t="shared" ref="D54:AM54" si="7">SUM(D9:D53)</f>
        <v>61000</v>
      </c>
      <c r="E54" s="50">
        <f t="shared" si="7"/>
        <v>-9425067.6586199999</v>
      </c>
      <c r="F54" s="50">
        <f>SUM(F9:F53)</f>
        <v>4461000</v>
      </c>
      <c r="G54" s="50">
        <f t="shared" si="7"/>
        <v>0</v>
      </c>
      <c r="H54" s="50">
        <f t="shared" si="7"/>
        <v>0</v>
      </c>
      <c r="I54" s="50">
        <f t="shared" si="7"/>
        <v>22.937910000000002</v>
      </c>
      <c r="J54" s="50">
        <f t="shared" si="7"/>
        <v>0</v>
      </c>
      <c r="K54" s="50">
        <f t="shared" si="7"/>
        <v>-931.68388800000002</v>
      </c>
      <c r="L54" s="51">
        <f t="shared" si="7"/>
        <v>-4836461.4918120066</v>
      </c>
      <c r="M54" s="50">
        <f t="shared" si="7"/>
        <v>297013.50063600001</v>
      </c>
      <c r="N54" s="50">
        <f t="shared" si="7"/>
        <v>0</v>
      </c>
      <c r="O54" s="50">
        <f t="shared" si="7"/>
        <v>0</v>
      </c>
      <c r="P54" s="50">
        <f t="shared" si="7"/>
        <v>5844358.2599999998</v>
      </c>
      <c r="Q54" s="50">
        <f t="shared" si="7"/>
        <v>24176415.257724598</v>
      </c>
      <c r="R54" s="50">
        <f t="shared" si="7"/>
        <v>140055.47</v>
      </c>
      <c r="S54" s="50">
        <f t="shared" si="7"/>
        <v>562684.86330369988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-10.405456000000001</v>
      </c>
      <c r="AZ54" s="50">
        <f t="shared" si="8"/>
        <v>0</v>
      </c>
      <c r="BA54" s="50">
        <f t="shared" si="8"/>
        <v>33.274000000000001</v>
      </c>
      <c r="BB54" s="50">
        <f t="shared" si="8"/>
        <v>11.526</v>
      </c>
      <c r="BC54" s="50">
        <f t="shared" si="8"/>
        <v>43.969000000000001</v>
      </c>
      <c r="BD54" s="50">
        <f t="shared" si="8"/>
        <v>2.81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19.480809999999998</v>
      </c>
      <c r="BM54" s="50">
        <f t="shared" si="8"/>
        <v>184.69259999999997</v>
      </c>
      <c r="BN54" s="50">
        <f t="shared" si="8"/>
        <v>210.42008000000001</v>
      </c>
      <c r="BO54" s="50">
        <f t="shared" si="8"/>
        <v>0</v>
      </c>
      <c r="BP54" s="50">
        <f t="shared" si="8"/>
        <v>3.7429999999999998E-2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2800000</v>
      </c>
      <c r="CA54" s="50">
        <f t="shared" si="8"/>
        <v>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18096171.529718295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452255.13281994517</v>
      </c>
      <c r="E55" s="55">
        <f t="shared" si="9"/>
        <v>13731965.379378814</v>
      </c>
      <c r="F55" s="55">
        <f>+F8+F54</f>
        <v>6910309.757604396</v>
      </c>
      <c r="G55" s="55">
        <f t="shared" si="9"/>
        <v>0</v>
      </c>
      <c r="H55" s="55">
        <f t="shared" si="9"/>
        <v>0</v>
      </c>
      <c r="I55" s="55">
        <f t="shared" si="9"/>
        <v>133423.78236457898</v>
      </c>
      <c r="J55" s="55">
        <f t="shared" si="9"/>
        <v>0</v>
      </c>
      <c r="K55" s="55">
        <f t="shared" si="9"/>
        <v>213884.00913614288</v>
      </c>
      <c r="L55" s="55">
        <f t="shared" si="9"/>
        <v>266395.23454497382</v>
      </c>
      <c r="M55" s="55">
        <f t="shared" si="9"/>
        <v>400777.14891086554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14611647.620842714</v>
      </c>
      <c r="Q55" s="55">
        <f t="shared" si="9"/>
        <v>60549443.974839985</v>
      </c>
      <c r="R55" s="55">
        <f t="shared" si="9"/>
        <v>869029.29451000015</v>
      </c>
      <c r="S55" s="55">
        <f t="shared" si="9"/>
        <v>3586993.1485248278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21576152.436255224</v>
      </c>
      <c r="AM55" s="55">
        <f t="shared" si="9"/>
        <v>59751704.425795354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2357744.2128221639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202915.44672400691</v>
      </c>
      <c r="BB55" s="55">
        <f t="shared" si="9"/>
        <v>70268.453219991134</v>
      </c>
      <c r="BC55" s="55">
        <f t="shared" si="9"/>
        <v>268051.06384799868</v>
      </c>
      <c r="BD55" s="55">
        <f t="shared" si="9"/>
        <v>17126.637599989834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3412735.3475220124</v>
      </c>
      <c r="BL55" s="55">
        <f t="shared" si="9"/>
        <v>113264.99126244606</v>
      </c>
      <c r="BM55" s="55">
        <f t="shared" si="9"/>
        <v>1073794.1801071637</v>
      </c>
      <c r="BN55" s="55">
        <f t="shared" si="9"/>
        <v>1223437.3780273811</v>
      </c>
      <c r="BO55" s="55">
        <f t="shared" si="9"/>
        <v>3.4691202304202307E-3</v>
      </c>
      <c r="BP55" s="55">
        <f t="shared" si="9"/>
        <v>209.14526932906548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258402.12493201916</v>
      </c>
      <c r="BU55" s="55">
        <f t="shared" si="10"/>
        <v>1061203.2376361911</v>
      </c>
      <c r="BV55" s="55">
        <f t="shared" si="10"/>
        <v>8025.4488600000004</v>
      </c>
      <c r="BW55" s="55">
        <f t="shared" si="10"/>
        <v>397883.49299000081</v>
      </c>
      <c r="BX55" s="55">
        <f t="shared" si="10"/>
        <v>12663.664475599246</v>
      </c>
      <c r="BY55" s="55">
        <f t="shared" si="10"/>
        <v>-548177.86905999971</v>
      </c>
      <c r="BZ55" s="55">
        <f t="shared" si="10"/>
        <v>-2237134.1158600114</v>
      </c>
      <c r="CA55" s="55">
        <f t="shared" si="10"/>
        <v>175074.27555999346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877844.95927000046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211589746.41285858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144"/>
      <c r="P59" s="67"/>
      <c r="Q59" s="56"/>
      <c r="R59" s="145"/>
      <c r="S59" s="145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135711876.25499019</v>
      </c>
      <c r="E60" s="70"/>
      <c r="F60" s="83"/>
      <c r="G60" s="83" t="s">
        <v>149</v>
      </c>
      <c r="H60" s="84"/>
      <c r="I60" s="85"/>
      <c r="J60" s="56"/>
      <c r="N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99518605.449000001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148"/>
      <c r="BY61" s="148"/>
      <c r="BZ61" s="67"/>
      <c r="CA61" s="148"/>
      <c r="CB61" s="70"/>
      <c r="CC61" s="70"/>
      <c r="CD61" s="148"/>
      <c r="CE61" s="70"/>
      <c r="CF61" s="70"/>
      <c r="CG61" s="70"/>
      <c r="CH61" s="70"/>
      <c r="CI61" s="70"/>
      <c r="CJ61" s="70"/>
    </row>
    <row r="62" spans="1:101" x14ac:dyDescent="0.3">
      <c r="B62" s="157"/>
      <c r="C62" s="86" t="s">
        <v>152</v>
      </c>
      <c r="D62" s="87">
        <f>CW11+CW15</f>
        <v>1335997.8877057</v>
      </c>
      <c r="E62" s="67" t="s">
        <v>204</v>
      </c>
      <c r="F62" s="88" t="s">
        <v>153</v>
      </c>
      <c r="G62" s="90">
        <f>P55</f>
        <v>14611647.620842714</v>
      </c>
      <c r="H62" s="91"/>
      <c r="I62" s="85"/>
      <c r="J62" s="65"/>
      <c r="N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13752146.87231</v>
      </c>
      <c r="E63" s="67" t="s">
        <v>204</v>
      </c>
      <c r="F63" s="88" t="s">
        <v>155</v>
      </c>
      <c r="G63" s="90">
        <f>R55</f>
        <v>869029.29451000015</v>
      </c>
      <c r="H63" s="92"/>
      <c r="I63" s="93"/>
      <c r="J63" s="56"/>
      <c r="N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20683550</v>
      </c>
      <c r="E64" s="67" t="s">
        <v>204</v>
      </c>
      <c r="H64" s="56"/>
      <c r="I64" s="76"/>
      <c r="J64" s="65"/>
      <c r="N64" s="67"/>
      <c r="O64" s="144"/>
      <c r="P64" s="69"/>
      <c r="Q64" s="56"/>
      <c r="R64" s="145"/>
      <c r="S64" s="145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213884009.13614288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266395234.54497382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421576.04597450001</v>
      </c>
      <c r="E69" s="100" t="s">
        <v>204</v>
      </c>
      <c r="F69" s="104" t="s">
        <v>162</v>
      </c>
      <c r="G69" s="105">
        <f>M55*1000</f>
        <v>400777148.91086555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-138979327.16828001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-20683550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-106143552.63600001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-9424000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-2459324.5322799999</v>
      </c>
      <c r="E78" s="67" t="s">
        <v>204</v>
      </c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-268900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202882.1727240069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35.789000000000001</v>
      </c>
      <c r="L92" s="138">
        <f>BA50+BA51+BA53+BA40+BA42+BA43+BA45</f>
        <v>-2.5149999999999997</v>
      </c>
      <c r="M92" s="139">
        <f t="shared" si="11"/>
        <v>202915.44672400688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268007.0948479987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47.277999999999999</v>
      </c>
      <c r="L98" s="138">
        <f>BC50+BC51+BC53+BC40+BC42+BC43+BC45</f>
        <v>-3.3090000000000002</v>
      </c>
      <c r="M98" s="139">
        <f t="shared" si="11"/>
        <v>268051.06384799868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70256.927219991136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12.394</v>
      </c>
      <c r="L99" s="138">
        <f>BB50+BB51+BB53+BB40+BB42+BB43+BB45</f>
        <v>-0.86799999999999999</v>
      </c>
      <c r="M99" s="139">
        <f t="shared" si="11"/>
        <v>70268.453219991134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-4.1456E-2</v>
      </c>
      <c r="M101" s="139">
        <f t="shared" si="11"/>
        <v>1047.2552180010875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17123.827599989832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3.0209999999999999</v>
      </c>
      <c r="L104" s="138">
        <f>BD50+BD51+BD53+BD40+BD42+BD43+BD45</f>
        <v>-0.21099999999999999</v>
      </c>
      <c r="M104" s="139">
        <f t="shared" si="11"/>
        <v>17126.637599989834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61421.505735998158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-4.1456E-2</v>
      </c>
      <c r="M106" s="139">
        <f t="shared" si="11"/>
        <v>61421.464279998159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605976.11775967933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35.789000000000001</v>
      </c>
      <c r="L108" s="97">
        <f t="shared" si="12"/>
        <v>-2.5149999999999997</v>
      </c>
      <c r="M108" s="97">
        <f t="shared" si="12"/>
        <v>606009.3917596793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1187860.0389507432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59.671999999999997</v>
      </c>
      <c r="L109" s="97">
        <f t="shared" si="13"/>
        <v>-4.2184560000000006</v>
      </c>
      <c r="M109" s="97">
        <f t="shared" si="13"/>
        <v>1187915.4924947433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382593.03681342822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3.0209999999999999</v>
      </c>
      <c r="L110" s="97">
        <f t="shared" si="14"/>
        <v>-0.25245600000000001</v>
      </c>
      <c r="M110" s="97">
        <f t="shared" si="14"/>
        <v>382595.80535742821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A9:A29"/>
    <mergeCell ref="D1:BK1"/>
    <mergeCell ref="BL1:BN1"/>
    <mergeCell ref="BR1:CJ1"/>
    <mergeCell ref="CW2:CW4"/>
    <mergeCell ref="A5:A8"/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04'!D55</f>
        <v>452255.13281994517</v>
      </c>
      <c r="E5" s="18">
        <f>'JUN 04'!E55</f>
        <v>13731965.379378814</v>
      </c>
      <c r="F5" s="18">
        <f>'JUN 04'!F55</f>
        <v>6910309.757604396</v>
      </c>
      <c r="G5" s="18">
        <f>'JUN 04'!G55</f>
        <v>0</v>
      </c>
      <c r="H5" s="18">
        <f>'JUN 04'!H55</f>
        <v>0</v>
      </c>
      <c r="I5" s="18">
        <f>'JUN 04'!I55</f>
        <v>133423.78236457898</v>
      </c>
      <c r="J5" s="18">
        <f>'JUN 04'!J55</f>
        <v>0</v>
      </c>
      <c r="K5" s="18">
        <f>'JUN 04'!K55</f>
        <v>213884.00913614288</v>
      </c>
      <c r="L5" s="18">
        <f>'JUN 04'!L55</f>
        <v>266395.23454497382</v>
      </c>
      <c r="M5" s="18">
        <f>'JUN 04'!M55</f>
        <v>400777.14891086554</v>
      </c>
      <c r="N5" s="18">
        <f>'JUN 04'!N55</f>
        <v>177265.5199999999</v>
      </c>
      <c r="O5" s="18">
        <f>'JUN 04'!O55</f>
        <v>735425.00813439966</v>
      </c>
      <c r="P5" s="18">
        <f>'JUN 04'!P55</f>
        <v>14611647.620842714</v>
      </c>
      <c r="Q5" s="18">
        <f>'JUN 04'!Q55</f>
        <v>60549443.974839985</v>
      </c>
      <c r="R5" s="18">
        <f>'JUN 04'!R55</f>
        <v>869029.29451000015</v>
      </c>
      <c r="S5" s="18">
        <f>'JUN 04'!S55</f>
        <v>3586993.1485248278</v>
      </c>
      <c r="T5" s="18">
        <f>'JUN 04'!T55</f>
        <v>0</v>
      </c>
      <c r="U5" s="18">
        <f>'JUN 04'!U55</f>
        <v>0</v>
      </c>
      <c r="V5" s="18">
        <f>'JUN 04'!V55</f>
        <v>0</v>
      </c>
      <c r="W5" s="18">
        <f>'JUN 04'!W55</f>
        <v>0</v>
      </c>
      <c r="X5" s="18">
        <f>'JUN 04'!X55</f>
        <v>0</v>
      </c>
      <c r="Y5" s="18">
        <f>'JUN 04'!Y55</f>
        <v>0</v>
      </c>
      <c r="Z5" s="18">
        <f>'JUN 04'!Z55</f>
        <v>9662.5274983807467</v>
      </c>
      <c r="AA5" s="18">
        <f>'JUN 04'!AA55</f>
        <v>40087.12108308218</v>
      </c>
      <c r="AB5" s="18">
        <f>'JUN 04'!AB55</f>
        <v>7542.7499999967404</v>
      </c>
      <c r="AC5" s="18">
        <f>'JUN 04'!AC55</f>
        <v>31292.757779986478</v>
      </c>
      <c r="AD5" s="18">
        <f>'JUN 04'!AD55</f>
        <v>5155</v>
      </c>
      <c r="AE5" s="18">
        <f>'JUN 04'!AE55</f>
        <v>21386.651600000001</v>
      </c>
      <c r="AF5" s="18">
        <f>'JUN 04'!AF55</f>
        <v>7956.8699999451637</v>
      </c>
      <c r="AG5" s="18">
        <f>'JUN 04'!AG55</f>
        <v>33010.825706172502</v>
      </c>
      <c r="AH5" s="18">
        <f>'JUN 04'!AH55</f>
        <v>118215.98999999718</v>
      </c>
      <c r="AI5" s="18">
        <f>'JUN 04'!AI55</f>
        <v>490445.04203278833</v>
      </c>
      <c r="AJ5" s="18">
        <f>'JUN 04'!AJ55</f>
        <v>674466.83999999822</v>
      </c>
      <c r="AK5" s="18">
        <f>'JUN 04'!AK55</f>
        <v>2798174.0684447926</v>
      </c>
      <c r="AL5" s="18">
        <f>'JUN 04'!AL55</f>
        <v>21576152.436255224</v>
      </c>
      <c r="AM5" s="18">
        <f>'JUN 04'!AM55</f>
        <v>59751704.425795354</v>
      </c>
      <c r="AN5" s="18">
        <f>'JUN 04'!AN55</f>
        <v>6276507.6901499992</v>
      </c>
      <c r="AO5" s="18">
        <f>'JUN 04'!AO55</f>
        <v>1091269.40043144</v>
      </c>
      <c r="AP5" s="18">
        <f>'JUN 04'!AP55</f>
        <v>5285267.3108801506</v>
      </c>
      <c r="AQ5" s="18">
        <f>'JUN 04'!AQ55</f>
        <v>2357744.2128221639</v>
      </c>
      <c r="AR5" s="18">
        <f>'JUN 04'!AR55</f>
        <v>33846.145451993005</v>
      </c>
      <c r="AS5" s="18">
        <f>'JUN 04'!AS55</f>
        <v>6.2909079996137462</v>
      </c>
      <c r="AT5" s="18">
        <f>'JUN 04'!AT55</f>
        <v>11.244432002509914</v>
      </c>
      <c r="AU5" s="18">
        <f>'JUN 04'!AU55</f>
        <v>70745.806203997287</v>
      </c>
      <c r="AV5" s="18">
        <f>'JUN 04'!AV55</f>
        <v>525146.68653480266</v>
      </c>
      <c r="AW5" s="18">
        <f>'JUN 04'!AW55</f>
        <v>86119.091979996796</v>
      </c>
      <c r="AX5" s="18">
        <f>'JUN 04'!AX55</f>
        <v>1047.2966740010875</v>
      </c>
      <c r="AY5" s="18">
        <f>'JUN 04'!AY55</f>
        <v>61411.100279998158</v>
      </c>
      <c r="AZ5" s="18">
        <f>'JUN 04'!AZ55</f>
        <v>23389.865177323234</v>
      </c>
      <c r="BA5" s="18">
        <f>'JUN 04'!BA55</f>
        <v>202915.44672400691</v>
      </c>
      <c r="BB5" s="18">
        <f>'JUN 04'!BB55</f>
        <v>70268.453219991134</v>
      </c>
      <c r="BC5" s="18">
        <f>'JUN 04'!BC55</f>
        <v>268051.06384799868</v>
      </c>
      <c r="BD5" s="18">
        <f>'JUN 04'!BD55</f>
        <v>17126.637599989834</v>
      </c>
      <c r="BE5" s="18">
        <f>'JUN 04'!BE55</f>
        <v>256596.93928368055</v>
      </c>
      <c r="BF5" s="18">
        <f>'JUN 04'!BF55</f>
        <v>321963.21571035992</v>
      </c>
      <c r="BG5" s="18">
        <f>'JUN 04'!BG55</f>
        <v>35109.526218882762</v>
      </c>
      <c r="BH5" s="18">
        <f>'JUN 04'!BH55</f>
        <v>26531.768320002102</v>
      </c>
      <c r="BI5" s="18">
        <f>'JUN 04'!BI55</f>
        <v>526567.9691583903</v>
      </c>
      <c r="BJ5" s="18">
        <f>'JUN 04'!BJ55</f>
        <v>198192.37105456018</v>
      </c>
      <c r="BK5" s="18">
        <f>'JUN 04'!BK55</f>
        <v>3412735.3475220124</v>
      </c>
      <c r="BL5" s="18">
        <f>'JUN 04'!BL55</f>
        <v>113264.99126244606</v>
      </c>
      <c r="BM5" s="18">
        <f>'JUN 04'!BM55</f>
        <v>1073794.1801071637</v>
      </c>
      <c r="BN5" s="18">
        <f>'JUN 04'!BN55</f>
        <v>1223437.3780273811</v>
      </c>
      <c r="BO5" s="18">
        <f>'JUN 04'!BO55</f>
        <v>3.4691202304202307E-3</v>
      </c>
      <c r="BP5" s="18">
        <f>'JUN 04'!BP55</f>
        <v>209.14526932906548</v>
      </c>
      <c r="BQ5" s="18">
        <f>'JUN 04'!BQ55</f>
        <v>4.0128798844989433E-3</v>
      </c>
      <c r="BR5" s="18">
        <f>'JUN 04'!BR55</f>
        <v>645484.5260000031</v>
      </c>
      <c r="BS5" s="18">
        <f>'JUN 04'!BS55</f>
        <v>2650869.4086606889</v>
      </c>
      <c r="BT5" s="18">
        <f>'JUN 04'!BT55</f>
        <v>258402.12493201916</v>
      </c>
      <c r="BU5" s="18">
        <f>'JUN 04'!BU55</f>
        <v>1061203.2376361911</v>
      </c>
      <c r="BV5" s="18">
        <f>'JUN 04'!BV55</f>
        <v>8025.4488600000004</v>
      </c>
      <c r="BW5" s="18">
        <f>'JUN 04'!BW55</f>
        <v>397883.49299000081</v>
      </c>
      <c r="BX5" s="18">
        <f>'JUN 04'!BX55</f>
        <v>12663.664475599246</v>
      </c>
      <c r="BY5" s="18">
        <f>'JUN 04'!BY55</f>
        <v>-548177.86905999971</v>
      </c>
      <c r="BZ5" s="18">
        <f>'JUN 04'!BZ55</f>
        <v>-2237134.1158600114</v>
      </c>
      <c r="CA5" s="18">
        <f>'JUN 04'!CA55</f>
        <v>175074.27555999346</v>
      </c>
      <c r="CB5" s="18">
        <f>'JUN 04'!CB55</f>
        <v>18918.56624</v>
      </c>
      <c r="CC5" s="18">
        <f>'JUN 04'!CC55</f>
        <v>905567.0501799999</v>
      </c>
      <c r="CD5" s="18">
        <f>'JUN 04'!CD55</f>
        <v>0</v>
      </c>
      <c r="CE5" s="18">
        <f>'JUN 04'!CE55</f>
        <v>28452.444999999996</v>
      </c>
      <c r="CF5" s="18">
        <f>'JUN 04'!CF55</f>
        <v>696622.45958999998</v>
      </c>
      <c r="CG5" s="18">
        <f>'JUN 04'!CG55</f>
        <v>194020.58999999994</v>
      </c>
      <c r="CH5" s="18">
        <f>'JUN 04'!CH55</f>
        <v>2.9318200000000001</v>
      </c>
      <c r="CI5" s="18">
        <f>'JUN 04'!CI55</f>
        <v>813161.95743999921</v>
      </c>
      <c r="CJ5" s="18">
        <f>'JUN 04'!CJ55</f>
        <v>201938.84803999978</v>
      </c>
      <c r="CK5" s="18">
        <f>'JUN 04'!CK55</f>
        <v>0</v>
      </c>
      <c r="CL5" s="18">
        <f>'JUN 04'!CL55</f>
        <v>0</v>
      </c>
      <c r="CM5" s="18">
        <f>'JUN 04'!CM55</f>
        <v>79545.207070000004</v>
      </c>
      <c r="CN5" s="18">
        <f>'JUN 04'!CN55</f>
        <v>662749.23605000007</v>
      </c>
      <c r="CO5" s="18">
        <f>'JUN 04'!CO55</f>
        <v>736446.43431999965</v>
      </c>
      <c r="CP5" s="18">
        <f>'JUN 04'!CP55</f>
        <v>9152723.6727600005</v>
      </c>
      <c r="CQ5" s="18">
        <f>'JUN 04'!CQ55</f>
        <v>377918.49939999997</v>
      </c>
      <c r="CR5" s="18">
        <f>'JUN 04'!CR55</f>
        <v>877844.95927000046</v>
      </c>
      <c r="CS5" s="18">
        <f>'JUN 04'!CS55</f>
        <v>5010.51</v>
      </c>
      <c r="CT5" s="18">
        <f>'JUN 04'!CT55</f>
        <v>20511.762362899997</v>
      </c>
      <c r="CU5" s="18">
        <f>'JUN 04'!CU55</f>
        <v>5010.51</v>
      </c>
      <c r="CV5" s="18">
        <f>'JUN 04'!CV55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211589746.41285858</v>
      </c>
    </row>
    <row r="6" spans="1:101" s="20" customFormat="1" x14ac:dyDescent="0.3">
      <c r="A6" s="165"/>
      <c r="B6" s="19"/>
      <c r="C6" s="19" t="s">
        <v>91</v>
      </c>
      <c r="D6" s="19">
        <v>-12706.81</v>
      </c>
      <c r="E6" s="19">
        <v>21332405.890000001</v>
      </c>
      <c r="F6" s="19">
        <v>117264.71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-559583.67000000004</v>
      </c>
      <c r="BZ6" s="19">
        <v>-5141971.97</v>
      </c>
      <c r="CA6" s="19">
        <v>-4264665.67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439548.32281994517</v>
      </c>
      <c r="E8" s="18">
        <f t="shared" si="0"/>
        <v>35064371.269378811</v>
      </c>
      <c r="F8" s="18">
        <f t="shared" si="0"/>
        <v>7027574.4676043959</v>
      </c>
      <c r="G8" s="18">
        <f t="shared" si="0"/>
        <v>0</v>
      </c>
      <c r="H8" s="18">
        <f t="shared" si="0"/>
        <v>0</v>
      </c>
      <c r="I8" s="18">
        <f t="shared" si="0"/>
        <v>133423.78236457898</v>
      </c>
      <c r="J8" s="18">
        <f t="shared" si="0"/>
        <v>0</v>
      </c>
      <c r="K8" s="18">
        <f t="shared" si="0"/>
        <v>213884.00913614288</v>
      </c>
      <c r="L8" s="18">
        <f t="shared" si="0"/>
        <v>266395.23454497382</v>
      </c>
      <c r="M8" s="18">
        <f t="shared" si="0"/>
        <v>400777.14891086554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14611647.620842714</v>
      </c>
      <c r="Q8" s="18">
        <f t="shared" si="0"/>
        <v>60549443.974839985</v>
      </c>
      <c r="R8" s="18">
        <f t="shared" si="0"/>
        <v>869029.29451000015</v>
      </c>
      <c r="S8" s="18">
        <f t="shared" si="0"/>
        <v>3586993.1485248278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21576152.436255224</v>
      </c>
      <c r="AM8" s="18">
        <f t="shared" si="0"/>
        <v>59751704.425795354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2357744.2128221639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202915.44672400691</v>
      </c>
      <c r="BB8" s="18">
        <f t="shared" si="0"/>
        <v>70268.453219991134</v>
      </c>
      <c r="BC8" s="18">
        <f t="shared" si="0"/>
        <v>268051.06384799868</v>
      </c>
      <c r="BD8" s="18">
        <f t="shared" si="0"/>
        <v>17126.637599989834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3412735.3475220124</v>
      </c>
      <c r="BL8" s="18">
        <f t="shared" si="0"/>
        <v>113264.99126244606</v>
      </c>
      <c r="BM8" s="18">
        <f t="shared" si="0"/>
        <v>1073794.1801071637</v>
      </c>
      <c r="BN8" s="18">
        <f t="shared" si="0"/>
        <v>1223437.3780273811</v>
      </c>
      <c r="BO8" s="18">
        <f t="shared" si="0"/>
        <v>3.4691202304202307E-3</v>
      </c>
      <c r="BP8" s="18">
        <f t="shared" si="0"/>
        <v>209.14526932906548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258402.12493201916</v>
      </c>
      <c r="BU8" s="18">
        <f t="shared" si="1"/>
        <v>1061203.2376361911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-1107761.5390599999</v>
      </c>
      <c r="BZ8" s="18">
        <f t="shared" si="1"/>
        <v>-7379106.0858600112</v>
      </c>
      <c r="CA8" s="18">
        <f t="shared" si="1"/>
        <v>-4089591.3944400065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223060488.89285859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>
        <v>64293.599999999999</v>
      </c>
      <c r="L11" s="27">
        <f>676890+265750+179103.6</f>
        <v>1121743.6000000001</v>
      </c>
      <c r="M11" s="26">
        <v>132875</v>
      </c>
      <c r="N11" s="26"/>
      <c r="O11" s="26"/>
      <c r="P11" s="26">
        <f>8283.33+517000</f>
        <v>525283.32999999996</v>
      </c>
      <c r="Q11" s="26">
        <f>(P11*4107.85)/1000</f>
        <v>2157785.1271405001</v>
      </c>
      <c r="R11" s="26">
        <v>117500</v>
      </c>
      <c r="S11" s="26">
        <f>(R11*4107.85)/1000</f>
        <v>482672.37500000006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3959369.7021405003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10000000</v>
      </c>
      <c r="Q12" s="26">
        <f>(P12*4107.85)/1000</f>
        <v>41078500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41078500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v>-10000000</v>
      </c>
      <c r="Q19" s="26">
        <f>(P19*4107.85)/1000</f>
        <v>-41078500</v>
      </c>
      <c r="R19" s="26">
        <v>-1500000</v>
      </c>
      <c r="S19" s="26">
        <f>(R19*4107.85)/1000</f>
        <v>-6161775.0000000009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-47240275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-103802769.09900001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-103802769.09900001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108923458.185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108923458.185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15000</v>
      </c>
      <c r="E27" s="28"/>
      <c r="F27" s="28">
        <v>3530000</v>
      </c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>
        <v>8500000</v>
      </c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1800000</v>
      </c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13845000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>
        <v>-11262000</v>
      </c>
      <c r="F28" s="28"/>
      <c r="G28" s="26"/>
      <c r="H28" s="26"/>
      <c r="I28" s="26"/>
      <c r="J28" s="26"/>
      <c r="K28" s="28"/>
      <c r="L28" s="27">
        <v>-5570000</v>
      </c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-16832000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-470000-2720000+620000-1080000</f>
        <v>-3650000</v>
      </c>
      <c r="Q35" s="37">
        <f>(P35*4107.85)/1000</f>
        <v>-14993652.500000002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-14993652.500000002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>
        <v>80474.58</v>
      </c>
      <c r="Q37" s="37">
        <f>(P37*4107.85)/1000</f>
        <v>330577.50345299998</v>
      </c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330577.50345299998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f>-362500-366700</f>
        <v>-729200</v>
      </c>
      <c r="M38" s="38">
        <v>-145000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-874200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>
        <f>-10252.5-30080.835-5548.28391-110727-165316.68231-600.83751-14875.80336</f>
        <v>-337401.94209000003</v>
      </c>
      <c r="F40" s="43">
        <v>-277762.37040000001</v>
      </c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-615164.31249000004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>
        <v>-4100000</v>
      </c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>
        <v>1000000</v>
      </c>
      <c r="S43" s="43">
        <v>4100000</v>
      </c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-1.728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-2.5059999999999998</v>
      </c>
      <c r="BB50" s="48">
        <v>-0.86799999999999999</v>
      </c>
      <c r="BC50" s="48">
        <v>-3.31</v>
      </c>
      <c r="BD50" s="48">
        <v>-0.21099999999999999</v>
      </c>
      <c r="BE50" s="48"/>
      <c r="BF50" s="48"/>
      <c r="BG50" s="48"/>
      <c r="BH50" s="48"/>
      <c r="BI50" s="48"/>
      <c r="BJ50" s="48"/>
      <c r="BK50" s="48"/>
      <c r="BL50" s="48">
        <v>-1.4670000000000001</v>
      </c>
      <c r="BM50" s="48">
        <v>-13.903</v>
      </c>
      <c r="BN50" s="48">
        <v>-15.840999999999999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-39.834000000000003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f>-3171.822-1059.058</f>
        <v>-4230.88</v>
      </c>
      <c r="F51" s="47"/>
      <c r="G51" s="48"/>
      <c r="H51" s="48"/>
      <c r="I51" s="48"/>
      <c r="J51" s="48"/>
      <c r="K51" s="47"/>
      <c r="L51" s="47">
        <v>-130.68545</v>
      </c>
      <c r="M51" s="47">
        <v>-4.1289999999999996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-4365.69445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f>24.67915+0.01</f>
        <v>24.689150000000001</v>
      </c>
      <c r="J52" s="48"/>
      <c r="K52" s="48"/>
      <c r="L52" s="47"/>
      <c r="M52" s="47"/>
      <c r="N52" s="48"/>
      <c r="O52" s="48"/>
      <c r="P52" s="48"/>
      <c r="Q52" s="48"/>
      <c r="R52" s="48">
        <v>66.13</v>
      </c>
      <c r="S52" s="48">
        <f>(R52*4107.85)/1000</f>
        <v>271.65212050000002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35.795000000000002</v>
      </c>
      <c r="BB52" s="48">
        <v>12.396000000000001</v>
      </c>
      <c r="BC52" s="48">
        <v>47.286000000000001</v>
      </c>
      <c r="BD52" s="48">
        <v>3.0209999999999999</v>
      </c>
      <c r="BE52" s="48"/>
      <c r="BF52" s="48"/>
      <c r="BG52" s="48"/>
      <c r="BH52" s="48"/>
      <c r="BI52" s="48"/>
      <c r="BJ52" s="48"/>
      <c r="BK52" s="48"/>
      <c r="BL52" s="48">
        <f>20.95042+0.01</f>
        <v>20.960420000000003</v>
      </c>
      <c r="BM52" s="48">
        <v>198.61777000000001</v>
      </c>
      <c r="BN52" s="48">
        <f>226.297+0.01</f>
        <v>226.30699999999999</v>
      </c>
      <c r="BO52" s="48"/>
      <c r="BP52" s="48">
        <f>47.44/1000+0.01</f>
        <v>5.7439999999999998E-2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840.78190050000012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f>(E10+E13+E16+E17+E33+E38+E47+E40+E51+E35)*4/1000</f>
        <v>-1366.5312883600002</v>
      </c>
      <c r="F53" s="48">
        <f>(F10+F13+F16+F17+F33+F38+F47+F51+F35)*4/1000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-2917.3227418000001</v>
      </c>
      <c r="M53" s="47">
        <f>(M10+M13+M17+M33+M38+M40+M51+M36+M49+M16)*4/1000</f>
        <v>-580.01651599999991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-4863.8705461600002</v>
      </c>
    </row>
    <row r="54" spans="1:101" x14ac:dyDescent="0.3">
      <c r="C54" s="49" t="s">
        <v>141</v>
      </c>
      <c r="D54" s="50">
        <f t="shared" ref="D54:AM54" si="7">SUM(D9:D53)</f>
        <v>15000</v>
      </c>
      <c r="E54" s="50">
        <f t="shared" si="7"/>
        <v>-11604999.353378361</v>
      </c>
      <c r="F54" s="50">
        <f>SUM(F9:F53)</f>
        <v>-847762.3703999999</v>
      </c>
      <c r="G54" s="50">
        <f t="shared" si="7"/>
        <v>0</v>
      </c>
      <c r="H54" s="50">
        <f t="shared" si="7"/>
        <v>0</v>
      </c>
      <c r="I54" s="50">
        <f t="shared" si="7"/>
        <v>22.96115</v>
      </c>
      <c r="J54" s="50">
        <f t="shared" si="7"/>
        <v>0</v>
      </c>
      <c r="K54" s="50">
        <f t="shared" si="7"/>
        <v>64293.599999999999</v>
      </c>
      <c r="L54" s="51">
        <f t="shared" si="7"/>
        <v>-59815.32219181049</v>
      </c>
      <c r="M54" s="50">
        <f t="shared" si="7"/>
        <v>-12709.145516</v>
      </c>
      <c r="N54" s="50">
        <f t="shared" si="7"/>
        <v>0</v>
      </c>
      <c r="O54" s="50">
        <f t="shared" si="7"/>
        <v>0</v>
      </c>
      <c r="P54" s="50">
        <f t="shared" si="7"/>
        <v>-3044242.09</v>
      </c>
      <c r="Q54" s="50">
        <f t="shared" si="7"/>
        <v>-12505289.869406503</v>
      </c>
      <c r="R54" s="50">
        <f t="shared" si="7"/>
        <v>-382433.87</v>
      </c>
      <c r="S54" s="50">
        <f t="shared" si="7"/>
        <v>-1578830.9728795008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33.289000000000001</v>
      </c>
      <c r="BB54" s="50">
        <f t="shared" si="8"/>
        <v>11.528</v>
      </c>
      <c r="BC54" s="50">
        <f t="shared" si="8"/>
        <v>43.975999999999999</v>
      </c>
      <c r="BD54" s="50">
        <f t="shared" si="8"/>
        <v>2.81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8500000</v>
      </c>
      <c r="BL54" s="50">
        <f t="shared" si="8"/>
        <v>19.493420000000004</v>
      </c>
      <c r="BM54" s="50">
        <f t="shared" si="8"/>
        <v>184.71477000000002</v>
      </c>
      <c r="BN54" s="50">
        <f t="shared" si="8"/>
        <v>210.46599999999998</v>
      </c>
      <c r="BO54" s="50">
        <f t="shared" si="8"/>
        <v>0</v>
      </c>
      <c r="BP54" s="50">
        <f t="shared" si="8"/>
        <v>5.7439999999999998E-2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1800000</v>
      </c>
      <c r="CA54" s="50">
        <f t="shared" si="8"/>
        <v>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-16229584.137992175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454548.32281994517</v>
      </c>
      <c r="E55" s="55">
        <f t="shared" si="9"/>
        <v>23459371.916000448</v>
      </c>
      <c r="F55" s="55">
        <f>+F8+F54</f>
        <v>6179812.0972043965</v>
      </c>
      <c r="G55" s="55">
        <f t="shared" si="9"/>
        <v>0</v>
      </c>
      <c r="H55" s="55">
        <f t="shared" si="9"/>
        <v>0</v>
      </c>
      <c r="I55" s="55">
        <f t="shared" si="9"/>
        <v>133446.74351457896</v>
      </c>
      <c r="J55" s="55">
        <f t="shared" si="9"/>
        <v>0</v>
      </c>
      <c r="K55" s="55">
        <f t="shared" si="9"/>
        <v>278177.60913614288</v>
      </c>
      <c r="L55" s="55">
        <f t="shared" si="9"/>
        <v>206579.91235316332</v>
      </c>
      <c r="M55" s="55">
        <f t="shared" si="9"/>
        <v>388068.00339486555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11567405.530842714</v>
      </c>
      <c r="Q55" s="55">
        <f t="shared" si="9"/>
        <v>48044154.105433479</v>
      </c>
      <c r="R55" s="55">
        <f t="shared" si="9"/>
        <v>486595.42451000016</v>
      </c>
      <c r="S55" s="55">
        <f t="shared" si="9"/>
        <v>2008162.175645327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21576152.436255224</v>
      </c>
      <c r="AM55" s="55">
        <f t="shared" si="9"/>
        <v>59751704.425795354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2357744.2128221639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202948.7357240069</v>
      </c>
      <c r="BB55" s="55">
        <f t="shared" si="9"/>
        <v>70279.981219991139</v>
      </c>
      <c r="BC55" s="55">
        <f t="shared" si="9"/>
        <v>268095.03984799871</v>
      </c>
      <c r="BD55" s="55">
        <f t="shared" si="9"/>
        <v>17129.447599989835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11912735.347522013</v>
      </c>
      <c r="BL55" s="55">
        <f t="shared" si="9"/>
        <v>113284.48468244605</v>
      </c>
      <c r="BM55" s="55">
        <f t="shared" si="9"/>
        <v>1073978.8948771637</v>
      </c>
      <c r="BN55" s="55">
        <f t="shared" si="9"/>
        <v>1223647.8440273812</v>
      </c>
      <c r="BO55" s="55">
        <f t="shared" si="9"/>
        <v>3.4691202304202307E-3</v>
      </c>
      <c r="BP55" s="55">
        <f t="shared" si="9"/>
        <v>209.2027093290655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258402.12493201916</v>
      </c>
      <c r="BU55" s="55">
        <f t="shared" si="10"/>
        <v>1061203.2376361911</v>
      </c>
      <c r="BV55" s="55">
        <f t="shared" si="10"/>
        <v>8025.4488600000004</v>
      </c>
      <c r="BW55" s="55">
        <f t="shared" si="10"/>
        <v>397883.49299000081</v>
      </c>
      <c r="BX55" s="55">
        <f t="shared" si="10"/>
        <v>12663.664475599246</v>
      </c>
      <c r="BY55" s="55">
        <f t="shared" si="10"/>
        <v>-1107761.5390599999</v>
      </c>
      <c r="BZ55" s="55">
        <f t="shared" si="10"/>
        <v>-5579106.0858600112</v>
      </c>
      <c r="CA55" s="55">
        <f t="shared" si="10"/>
        <v>-4089591.3944400065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877844.95927000046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206830904.75486636</v>
      </c>
    </row>
    <row r="56" spans="1:101" x14ac:dyDescent="0.3">
      <c r="D56" s="56" t="s">
        <v>143</v>
      </c>
      <c r="E56" s="61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168136905.3905935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108923458.185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148"/>
      <c r="BY61" s="148"/>
      <c r="BZ61" s="67"/>
      <c r="CA61" s="148"/>
      <c r="CB61" s="70"/>
      <c r="CC61" s="70"/>
      <c r="CD61" s="148"/>
      <c r="CE61" s="70"/>
      <c r="CF61" s="70"/>
      <c r="CG61" s="70"/>
      <c r="CH61" s="70"/>
      <c r="CI61" s="70"/>
      <c r="CJ61" s="70"/>
    </row>
    <row r="62" spans="1:101" x14ac:dyDescent="0.3">
      <c r="B62" s="157"/>
      <c r="C62" s="86" t="s">
        <v>152</v>
      </c>
      <c r="D62" s="87">
        <f>CW11+CW15</f>
        <v>3959369.7021405003</v>
      </c>
      <c r="E62" s="67" t="s">
        <v>204</v>
      </c>
      <c r="F62" s="88" t="s">
        <v>153</v>
      </c>
      <c r="G62" s="90">
        <f>P55</f>
        <v>11567405.530842714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13845000</v>
      </c>
      <c r="E63" s="67" t="s">
        <v>204</v>
      </c>
      <c r="F63" s="88" t="s">
        <v>155</v>
      </c>
      <c r="G63" s="90">
        <f>R55</f>
        <v>486595.42451000016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41078500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278177609.13614291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206579912.35316333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330577.50345299998</v>
      </c>
      <c r="E69" s="100"/>
      <c r="F69" s="104" t="s">
        <v>162</v>
      </c>
      <c r="G69" s="105">
        <f>M55*1000</f>
        <v>388068003.39486557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-169364408.41148999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-47240275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-103802769.09900001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-16832000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-874200</v>
      </c>
      <c r="E81" s="100"/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-615164.31249000004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202915.44672400691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35.795000000000002</v>
      </c>
      <c r="L92" s="138">
        <f>BA50+BA51+BA53+BA40+BA42+BA43+BA45</f>
        <v>-2.5059999999999998</v>
      </c>
      <c r="M92" s="139">
        <f t="shared" si="11"/>
        <v>202948.73572400693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268051.06384799868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47.286000000000001</v>
      </c>
      <c r="L98" s="138">
        <f>BC50+BC51+BC53+BC40+BC42+BC43+BC45</f>
        <v>-3.31</v>
      </c>
      <c r="M98" s="139">
        <f t="shared" si="11"/>
        <v>268095.03984799871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70268.453219991134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12.396000000000001</v>
      </c>
      <c r="L99" s="138">
        <f>BB50+BB51+BB53+BB40+BB42+BB43+BB45</f>
        <v>-0.86799999999999999</v>
      </c>
      <c r="M99" s="139">
        <f t="shared" si="11"/>
        <v>70279.981219991125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17126.637599989834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3.0209999999999999</v>
      </c>
      <c r="L104" s="138">
        <f>BD50+BD51+BD53+BD40+BD42+BD43+BD45</f>
        <v>-0.21099999999999999</v>
      </c>
      <c r="M104" s="139">
        <f t="shared" si="11"/>
        <v>17129.447599989835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606009.3917596793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35.795000000000002</v>
      </c>
      <c r="L108" s="97">
        <f t="shared" si="12"/>
        <v>-2.5059999999999998</v>
      </c>
      <c r="M108" s="97">
        <f t="shared" si="12"/>
        <v>606042.68075967929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1187915.5339507433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59.682000000000002</v>
      </c>
      <c r="L109" s="97">
        <f t="shared" si="13"/>
        <v>-4.1779999999999999</v>
      </c>
      <c r="M109" s="97">
        <f t="shared" si="13"/>
        <v>1187971.0379507432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382585.44135742821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3.0209999999999999</v>
      </c>
      <c r="L110" s="97">
        <f t="shared" si="14"/>
        <v>-0.21099999999999999</v>
      </c>
      <c r="M110" s="97">
        <f t="shared" si="14"/>
        <v>382588.25135742821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  <mergeCell ref="A9:A29"/>
    <mergeCell ref="D1:BK1"/>
    <mergeCell ref="BL1:BN1"/>
    <mergeCell ref="BR1:CJ1"/>
    <mergeCell ref="CW2:CW4"/>
    <mergeCell ref="A5:A8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05'!D55</f>
        <v>454548.32281994517</v>
      </c>
      <c r="E5" s="18">
        <f>'JUN 05'!E55</f>
        <v>23459371.916000448</v>
      </c>
      <c r="F5" s="18">
        <f>'JUN 05'!F55</f>
        <v>6179812.0972043965</v>
      </c>
      <c r="G5" s="18">
        <f>'JUN 05'!G55</f>
        <v>0</v>
      </c>
      <c r="H5" s="18">
        <f>'JUN 05'!H55</f>
        <v>0</v>
      </c>
      <c r="I5" s="18">
        <f>'JUN 05'!I55</f>
        <v>133446.74351457896</v>
      </c>
      <c r="J5" s="18">
        <f>'JUN 05'!J55</f>
        <v>0</v>
      </c>
      <c r="K5" s="18">
        <f>'JUN 05'!K55</f>
        <v>278177.60913614288</v>
      </c>
      <c r="L5" s="18">
        <f>'JUN 05'!L55</f>
        <v>206579.91235316332</v>
      </c>
      <c r="M5" s="18">
        <f>'JUN 05'!M55</f>
        <v>388068.00339486555</v>
      </c>
      <c r="N5" s="18">
        <f>'JUN 05'!N55</f>
        <v>177265.5199999999</v>
      </c>
      <c r="O5" s="18">
        <f>'JUN 05'!O55</f>
        <v>735425.00813439966</v>
      </c>
      <c r="P5" s="18">
        <f>'JUN 05'!P55</f>
        <v>11567405.530842714</v>
      </c>
      <c r="Q5" s="18">
        <f>'JUN 05'!Q55</f>
        <v>48044154.105433479</v>
      </c>
      <c r="R5" s="18">
        <f>'JUN 05'!R55</f>
        <v>486595.42451000016</v>
      </c>
      <c r="S5" s="18">
        <f>'JUN 05'!S55</f>
        <v>2008162.175645327</v>
      </c>
      <c r="T5" s="18">
        <f>'JUN 05'!T55</f>
        <v>0</v>
      </c>
      <c r="U5" s="18">
        <f>'JUN 05'!U55</f>
        <v>0</v>
      </c>
      <c r="V5" s="18">
        <f>'JUN 05'!V55</f>
        <v>0</v>
      </c>
      <c r="W5" s="18">
        <f>'JUN 05'!W55</f>
        <v>0</v>
      </c>
      <c r="X5" s="18">
        <f>'JUN 05'!X55</f>
        <v>0</v>
      </c>
      <c r="Y5" s="18">
        <f>'JUN 05'!Y55</f>
        <v>0</v>
      </c>
      <c r="Z5" s="18">
        <f>'JUN 05'!Z55</f>
        <v>9662.5274983807467</v>
      </c>
      <c r="AA5" s="18">
        <f>'JUN 05'!AA55</f>
        <v>40087.12108308218</v>
      </c>
      <c r="AB5" s="18">
        <f>'JUN 05'!AB55</f>
        <v>7542.7499999967404</v>
      </c>
      <c r="AC5" s="18">
        <f>'JUN 05'!AC55</f>
        <v>31292.757779986478</v>
      </c>
      <c r="AD5" s="18">
        <f>'JUN 05'!AD55</f>
        <v>5155</v>
      </c>
      <c r="AE5" s="18">
        <f>'JUN 05'!AE55</f>
        <v>21386.651600000001</v>
      </c>
      <c r="AF5" s="18">
        <f>'JUN 05'!AF55</f>
        <v>7956.8699999451637</v>
      </c>
      <c r="AG5" s="18">
        <f>'JUN 05'!AG55</f>
        <v>33010.825706172502</v>
      </c>
      <c r="AH5" s="18">
        <f>'JUN 05'!AH55</f>
        <v>118215.98999999718</v>
      </c>
      <c r="AI5" s="18">
        <f>'JUN 05'!AI55</f>
        <v>490445.04203278833</v>
      </c>
      <c r="AJ5" s="18">
        <f>'JUN 05'!AJ55</f>
        <v>674466.83999999822</v>
      </c>
      <c r="AK5" s="18">
        <f>'JUN 05'!AK55</f>
        <v>2798174.0684447926</v>
      </c>
      <c r="AL5" s="18">
        <f>'JUN 05'!AL55</f>
        <v>21576152.436255224</v>
      </c>
      <c r="AM5" s="18">
        <f>'JUN 05'!AM55</f>
        <v>59751704.425795354</v>
      </c>
      <c r="AN5" s="18">
        <f>'JUN 05'!AN55</f>
        <v>6276507.6901499992</v>
      </c>
      <c r="AO5" s="18">
        <f>'JUN 05'!AO55</f>
        <v>1091269.40043144</v>
      </c>
      <c r="AP5" s="18">
        <f>'JUN 05'!AP55</f>
        <v>5285267.3108801506</v>
      </c>
      <c r="AQ5" s="18">
        <f>'JUN 05'!AQ55</f>
        <v>2357744.2128221639</v>
      </c>
      <c r="AR5" s="18">
        <f>'JUN 05'!AR55</f>
        <v>33846.145451993005</v>
      </c>
      <c r="AS5" s="18">
        <f>'JUN 05'!AS55</f>
        <v>6.2909079996137462</v>
      </c>
      <c r="AT5" s="18">
        <f>'JUN 05'!AT55</f>
        <v>11.244432002509914</v>
      </c>
      <c r="AU5" s="18">
        <f>'JUN 05'!AU55</f>
        <v>70745.806203997287</v>
      </c>
      <c r="AV5" s="18">
        <f>'JUN 05'!AV55</f>
        <v>525146.68653480266</v>
      </c>
      <c r="AW5" s="18">
        <f>'JUN 05'!AW55</f>
        <v>86119.091979996796</v>
      </c>
      <c r="AX5" s="18">
        <f>'JUN 05'!AX55</f>
        <v>1047.2966740010875</v>
      </c>
      <c r="AY5" s="18">
        <f>'JUN 05'!AY55</f>
        <v>61411.100279998158</v>
      </c>
      <c r="AZ5" s="18">
        <f>'JUN 05'!AZ55</f>
        <v>23389.865177323234</v>
      </c>
      <c r="BA5" s="18">
        <f>'JUN 05'!BA55</f>
        <v>202948.7357240069</v>
      </c>
      <c r="BB5" s="18">
        <f>'JUN 05'!BB55</f>
        <v>70279.981219991139</v>
      </c>
      <c r="BC5" s="18">
        <f>'JUN 05'!BC55</f>
        <v>268095.03984799871</v>
      </c>
      <c r="BD5" s="18">
        <f>'JUN 05'!BD55</f>
        <v>17129.447599989835</v>
      </c>
      <c r="BE5" s="18">
        <f>'JUN 05'!BE55</f>
        <v>256596.93928368055</v>
      </c>
      <c r="BF5" s="18">
        <f>'JUN 05'!BF55</f>
        <v>321963.21571035992</v>
      </c>
      <c r="BG5" s="18">
        <f>'JUN 05'!BG55</f>
        <v>35109.526218882762</v>
      </c>
      <c r="BH5" s="18">
        <f>'JUN 05'!BH55</f>
        <v>26531.768320002102</v>
      </c>
      <c r="BI5" s="18">
        <f>'JUN 05'!BI55</f>
        <v>526567.9691583903</v>
      </c>
      <c r="BJ5" s="18">
        <f>'JUN 05'!BJ55</f>
        <v>198192.37105456018</v>
      </c>
      <c r="BK5" s="18">
        <f>'JUN 05'!BK55</f>
        <v>11912735.347522013</v>
      </c>
      <c r="BL5" s="18">
        <f>'JUN 05'!BL55</f>
        <v>113284.48468244605</v>
      </c>
      <c r="BM5" s="18">
        <f>'JUN 05'!BM55</f>
        <v>1073978.8948771637</v>
      </c>
      <c r="BN5" s="18">
        <f>'JUN 05'!BN55</f>
        <v>1223647.8440273812</v>
      </c>
      <c r="BO5" s="18">
        <f>'JUN 05'!BO55</f>
        <v>3.4691202304202307E-3</v>
      </c>
      <c r="BP5" s="18">
        <f>'JUN 05'!BP55</f>
        <v>209.2027093290655</v>
      </c>
      <c r="BQ5" s="18">
        <f>'JUN 05'!BQ55</f>
        <v>4.0128798844989433E-3</v>
      </c>
      <c r="BR5" s="18">
        <f>'JUN 05'!BR55</f>
        <v>645484.5260000031</v>
      </c>
      <c r="BS5" s="18">
        <f>'JUN 05'!BS55</f>
        <v>2650869.4086606889</v>
      </c>
      <c r="BT5" s="18">
        <f>'JUN 05'!BT55</f>
        <v>258402.12493201916</v>
      </c>
      <c r="BU5" s="18">
        <f>'JUN 05'!BU55</f>
        <v>1061203.2376361911</v>
      </c>
      <c r="BV5" s="18">
        <f>'JUN 05'!BV55</f>
        <v>8025.4488600000004</v>
      </c>
      <c r="BW5" s="18">
        <f>'JUN 05'!BW55</f>
        <v>397883.49299000081</v>
      </c>
      <c r="BX5" s="18">
        <f>'JUN 05'!BX55</f>
        <v>12663.664475599246</v>
      </c>
      <c r="BY5" s="18">
        <f>'JUN 05'!BY55</f>
        <v>-1107761.5390599999</v>
      </c>
      <c r="BZ5" s="18">
        <f>'JUN 05'!BZ55</f>
        <v>-5579106.0858600112</v>
      </c>
      <c r="CA5" s="18">
        <f>'JUN 05'!CA55</f>
        <v>-4089591.3944400065</v>
      </c>
      <c r="CB5" s="18">
        <f>'JUN 05'!CB55</f>
        <v>18918.56624</v>
      </c>
      <c r="CC5" s="18">
        <f>'JUN 05'!CC55</f>
        <v>905567.0501799999</v>
      </c>
      <c r="CD5" s="18">
        <f>'JUN 05'!CD55</f>
        <v>0</v>
      </c>
      <c r="CE5" s="18">
        <f>'JUN 05'!CE55</f>
        <v>28452.444999999996</v>
      </c>
      <c r="CF5" s="18">
        <f>'JUN 05'!CF55</f>
        <v>696622.45958999998</v>
      </c>
      <c r="CG5" s="18">
        <f>'JUN 05'!CG55</f>
        <v>194020.58999999994</v>
      </c>
      <c r="CH5" s="18">
        <f>'JUN 05'!CH55</f>
        <v>2.9318200000000001</v>
      </c>
      <c r="CI5" s="18">
        <f>'JUN 05'!CI55</f>
        <v>813161.95743999921</v>
      </c>
      <c r="CJ5" s="18">
        <f>'JUN 05'!CJ55</f>
        <v>201938.84803999978</v>
      </c>
      <c r="CK5" s="18">
        <f>'JUN 05'!CK55</f>
        <v>0</v>
      </c>
      <c r="CL5" s="18">
        <f>'JUN 05'!CL55</f>
        <v>0</v>
      </c>
      <c r="CM5" s="18">
        <f>'JUN 05'!CM55</f>
        <v>79545.207070000004</v>
      </c>
      <c r="CN5" s="18">
        <f>'JUN 05'!CN55</f>
        <v>662749.23605000007</v>
      </c>
      <c r="CO5" s="18">
        <f>'JUN 05'!CO55</f>
        <v>736446.43431999965</v>
      </c>
      <c r="CP5" s="18">
        <f>'JUN 05'!CP55</f>
        <v>9152723.6727600005</v>
      </c>
      <c r="CQ5" s="18">
        <f>'JUN 05'!CQ55</f>
        <v>377918.49939999997</v>
      </c>
      <c r="CR5" s="18">
        <f>'JUN 05'!CR55</f>
        <v>877844.95927000046</v>
      </c>
      <c r="CS5" s="18">
        <f>'JUN 05'!CS55</f>
        <v>5010.51</v>
      </c>
      <c r="CT5" s="18">
        <f>'JUN 05'!CT55</f>
        <v>20511.762362899997</v>
      </c>
      <c r="CU5" s="18">
        <f>'JUN 05'!CU55</f>
        <v>5010.51</v>
      </c>
      <c r="CV5" s="18">
        <f>'JUN 05'!CV55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206830904.75486636</v>
      </c>
    </row>
    <row r="6" spans="1:101" s="20" customFormat="1" x14ac:dyDescent="0.3">
      <c r="A6" s="165"/>
      <c r="B6" s="19"/>
      <c r="C6" s="19" t="s">
        <v>91</v>
      </c>
      <c r="D6" s="19">
        <v>6379.75</v>
      </c>
      <c r="E6" s="19">
        <v>12941989.51</v>
      </c>
      <c r="F6" s="19">
        <f>-1058654.81-0.01</f>
        <v>-1058654.82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-598357.92000000004</v>
      </c>
      <c r="BZ6" s="19">
        <v>-6169275.2599999998</v>
      </c>
      <c r="CA6" s="19">
        <v>-3907833.17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F8" si="0">D5+D6+D7</f>
        <v>460928.07281994517</v>
      </c>
      <c r="E8" s="18">
        <f t="shared" si="0"/>
        <v>36401361.426000446</v>
      </c>
      <c r="F8" s="18">
        <f t="shared" si="0"/>
        <v>5121157.2772043962</v>
      </c>
      <c r="G8" s="18">
        <f t="shared" ref="G8:BS8" si="1">G5+G6+G7</f>
        <v>0</v>
      </c>
      <c r="H8" s="18">
        <f t="shared" si="1"/>
        <v>0</v>
      </c>
      <c r="I8" s="18">
        <f t="shared" si="1"/>
        <v>133446.74351457896</v>
      </c>
      <c r="J8" s="18">
        <f t="shared" si="1"/>
        <v>0</v>
      </c>
      <c r="K8" s="18">
        <f t="shared" si="1"/>
        <v>278177.60913614288</v>
      </c>
      <c r="L8" s="18">
        <f t="shared" si="1"/>
        <v>206579.91235316332</v>
      </c>
      <c r="M8" s="18">
        <f t="shared" si="1"/>
        <v>388068.00339486555</v>
      </c>
      <c r="N8" s="18">
        <f t="shared" si="1"/>
        <v>177265.5199999999</v>
      </c>
      <c r="O8" s="18">
        <f t="shared" si="1"/>
        <v>735425.00813439966</v>
      </c>
      <c r="P8" s="18">
        <f t="shared" si="1"/>
        <v>11567405.530842714</v>
      </c>
      <c r="Q8" s="18">
        <f t="shared" si="1"/>
        <v>48044154.105433479</v>
      </c>
      <c r="R8" s="18">
        <f t="shared" si="1"/>
        <v>486595.42451000016</v>
      </c>
      <c r="S8" s="18">
        <f t="shared" si="1"/>
        <v>2008162.175645327</v>
      </c>
      <c r="T8" s="18">
        <f t="shared" si="1"/>
        <v>0</v>
      </c>
      <c r="U8" s="18">
        <f t="shared" si="1"/>
        <v>0</v>
      </c>
      <c r="V8" s="18">
        <f t="shared" si="1"/>
        <v>0</v>
      </c>
      <c r="W8" s="18">
        <f t="shared" si="1"/>
        <v>0</v>
      </c>
      <c r="X8" s="18">
        <f t="shared" si="1"/>
        <v>0</v>
      </c>
      <c r="Y8" s="18">
        <f t="shared" si="1"/>
        <v>0</v>
      </c>
      <c r="Z8" s="18">
        <f t="shared" si="1"/>
        <v>9662.5274983807467</v>
      </c>
      <c r="AA8" s="18">
        <f t="shared" si="1"/>
        <v>40087.12108308218</v>
      </c>
      <c r="AB8" s="18">
        <f t="shared" si="1"/>
        <v>7542.7499999967404</v>
      </c>
      <c r="AC8" s="18">
        <f t="shared" si="1"/>
        <v>31292.757779986478</v>
      </c>
      <c r="AD8" s="18">
        <f t="shared" si="1"/>
        <v>5155</v>
      </c>
      <c r="AE8" s="18">
        <f t="shared" si="1"/>
        <v>21386.651600000001</v>
      </c>
      <c r="AF8" s="18">
        <f t="shared" si="1"/>
        <v>7956.8699999451637</v>
      </c>
      <c r="AG8" s="18">
        <f t="shared" si="1"/>
        <v>33010.825706172502</v>
      </c>
      <c r="AH8" s="18">
        <f t="shared" si="1"/>
        <v>118215.98999999718</v>
      </c>
      <c r="AI8" s="18">
        <f t="shared" si="1"/>
        <v>490445.04203278833</v>
      </c>
      <c r="AJ8" s="18">
        <f t="shared" si="1"/>
        <v>674466.83999999822</v>
      </c>
      <c r="AK8" s="18">
        <f t="shared" si="1"/>
        <v>2798174.0684447926</v>
      </c>
      <c r="AL8" s="18">
        <f t="shared" si="1"/>
        <v>21576152.436255224</v>
      </c>
      <c r="AM8" s="18">
        <f t="shared" si="1"/>
        <v>59751704.425795354</v>
      </c>
      <c r="AN8" s="18">
        <f t="shared" si="1"/>
        <v>6276507.6901499992</v>
      </c>
      <c r="AO8" s="18">
        <f t="shared" si="1"/>
        <v>1091269.40043144</v>
      </c>
      <c r="AP8" s="18">
        <f t="shared" si="1"/>
        <v>5285267.3108801506</v>
      </c>
      <c r="AQ8" s="18">
        <f t="shared" si="1"/>
        <v>2357744.2128221639</v>
      </c>
      <c r="AR8" s="18">
        <f t="shared" si="1"/>
        <v>33846.145451993005</v>
      </c>
      <c r="AS8" s="18">
        <f t="shared" si="1"/>
        <v>6.2909079996137462</v>
      </c>
      <c r="AT8" s="18">
        <f t="shared" si="1"/>
        <v>11.244432002509914</v>
      </c>
      <c r="AU8" s="18">
        <f t="shared" si="1"/>
        <v>70745.806203997287</v>
      </c>
      <c r="AV8" s="18">
        <f t="shared" si="1"/>
        <v>525146.68653480266</v>
      </c>
      <c r="AW8" s="18">
        <f t="shared" si="1"/>
        <v>86119.091979996796</v>
      </c>
      <c r="AX8" s="18">
        <f t="shared" si="1"/>
        <v>1047.2966740010875</v>
      </c>
      <c r="AY8" s="18">
        <f t="shared" si="1"/>
        <v>61411.100279998158</v>
      </c>
      <c r="AZ8" s="18">
        <f t="shared" si="1"/>
        <v>23389.865177323234</v>
      </c>
      <c r="BA8" s="18">
        <f t="shared" si="1"/>
        <v>202948.7357240069</v>
      </c>
      <c r="BB8" s="18">
        <f t="shared" si="1"/>
        <v>70279.981219991139</v>
      </c>
      <c r="BC8" s="18">
        <f t="shared" si="1"/>
        <v>268095.03984799871</v>
      </c>
      <c r="BD8" s="18">
        <f t="shared" si="1"/>
        <v>17129.447599989835</v>
      </c>
      <c r="BE8" s="18">
        <f t="shared" si="1"/>
        <v>256596.93928368055</v>
      </c>
      <c r="BF8" s="18">
        <f t="shared" si="1"/>
        <v>321963.21571035992</v>
      </c>
      <c r="BG8" s="18">
        <f t="shared" si="1"/>
        <v>35109.526218882762</v>
      </c>
      <c r="BH8" s="18">
        <f t="shared" si="1"/>
        <v>26531.768320002102</v>
      </c>
      <c r="BI8" s="18">
        <f t="shared" si="1"/>
        <v>526567.9691583903</v>
      </c>
      <c r="BJ8" s="18">
        <f t="shared" si="1"/>
        <v>198192.37105456018</v>
      </c>
      <c r="BK8" s="18">
        <f t="shared" si="1"/>
        <v>11912735.347522013</v>
      </c>
      <c r="BL8" s="18">
        <f t="shared" si="1"/>
        <v>113284.48468244605</v>
      </c>
      <c r="BM8" s="18">
        <f t="shared" si="1"/>
        <v>1073978.8948771637</v>
      </c>
      <c r="BN8" s="18">
        <f t="shared" si="1"/>
        <v>1223647.8440273812</v>
      </c>
      <c r="BO8" s="18">
        <f t="shared" si="1"/>
        <v>3.4691202304202307E-3</v>
      </c>
      <c r="BP8" s="18">
        <f t="shared" si="1"/>
        <v>209.2027093290655</v>
      </c>
      <c r="BQ8" s="18">
        <f t="shared" si="1"/>
        <v>4.0128798844989433E-3</v>
      </c>
      <c r="BR8" s="18">
        <f t="shared" si="1"/>
        <v>645484.5260000031</v>
      </c>
      <c r="BS8" s="18">
        <f t="shared" si="1"/>
        <v>2650869.4086606889</v>
      </c>
      <c r="BT8" s="18">
        <f t="shared" ref="BT8:CV8" si="2">BT5+BT6+BT7</f>
        <v>258402.12493201916</v>
      </c>
      <c r="BU8" s="18">
        <f t="shared" si="2"/>
        <v>1061203.2376361911</v>
      </c>
      <c r="BV8" s="18">
        <f t="shared" si="2"/>
        <v>8025.4488600000004</v>
      </c>
      <c r="BW8" s="18">
        <f t="shared" si="2"/>
        <v>397883.49299000081</v>
      </c>
      <c r="BX8" s="18">
        <f t="shared" si="2"/>
        <v>12663.664475599246</v>
      </c>
      <c r="BY8" s="18">
        <f>+BY5+BY6+BY7:BZ7</f>
        <v>-1706119.4590599998</v>
      </c>
      <c r="BZ8" s="18">
        <f t="shared" si="2"/>
        <v>-11748381.345860012</v>
      </c>
      <c r="CA8" s="18">
        <f t="shared" si="2"/>
        <v>-7997424.5644400064</v>
      </c>
      <c r="CB8" s="18">
        <f t="shared" si="2"/>
        <v>18918.56624</v>
      </c>
      <c r="CC8" s="18">
        <f t="shared" si="2"/>
        <v>905567.0501799999</v>
      </c>
      <c r="CD8" s="18">
        <f t="shared" si="2"/>
        <v>0</v>
      </c>
      <c r="CE8" s="18">
        <f t="shared" si="2"/>
        <v>28452.444999999996</v>
      </c>
      <c r="CF8" s="18">
        <f t="shared" si="2"/>
        <v>696622.45958999998</v>
      </c>
      <c r="CG8" s="18">
        <f t="shared" si="2"/>
        <v>194020.58999999994</v>
      </c>
      <c r="CH8" s="18">
        <f t="shared" si="2"/>
        <v>2.9318200000000001</v>
      </c>
      <c r="CI8" s="18">
        <f t="shared" si="2"/>
        <v>813161.95743999921</v>
      </c>
      <c r="CJ8" s="18">
        <f t="shared" si="2"/>
        <v>201938.84803999978</v>
      </c>
      <c r="CK8" s="18">
        <f t="shared" si="2"/>
        <v>0</v>
      </c>
      <c r="CL8" s="18">
        <f t="shared" si="2"/>
        <v>0</v>
      </c>
      <c r="CM8" s="18">
        <f t="shared" si="2"/>
        <v>79545.207070000004</v>
      </c>
      <c r="CN8" s="18">
        <f t="shared" si="2"/>
        <v>662749.23605000007</v>
      </c>
      <c r="CO8" s="18">
        <f t="shared" si="2"/>
        <v>736446.43431999965</v>
      </c>
      <c r="CP8" s="18">
        <f t="shared" si="2"/>
        <v>9152723.6727600005</v>
      </c>
      <c r="CQ8" s="18">
        <f t="shared" si="2"/>
        <v>377918.49939999997</v>
      </c>
      <c r="CR8" s="18">
        <f t="shared" si="2"/>
        <v>877844.95927000046</v>
      </c>
      <c r="CS8" s="18">
        <f t="shared" si="2"/>
        <v>5010.51</v>
      </c>
      <c r="CT8" s="18">
        <f t="shared" si="2"/>
        <v>20511.762362899997</v>
      </c>
      <c r="CU8" s="18">
        <f t="shared" si="2"/>
        <v>5010.51</v>
      </c>
      <c r="CV8" s="18">
        <f t="shared" si="2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208045152.84486637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3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24811+1952249.5</f>
        <v>1977060.5</v>
      </c>
      <c r="M11" s="26"/>
      <c r="N11" s="26"/>
      <c r="O11" s="26"/>
      <c r="P11" s="26">
        <v>8283.33</v>
      </c>
      <c r="Q11" s="26">
        <f>(P11*4097.66)/1000</f>
        <v>33942.270007799998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3"/>
        <v>2011002.7700078001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10000000</v>
      </c>
      <c r="Q12" s="26">
        <f>(P12*4097.66)/1000</f>
        <v>40976600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40976600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3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3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3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3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3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3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3"/>
        <v>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>
        <v>-130452624</v>
      </c>
      <c r="M20" s="28">
        <v>-49825655</v>
      </c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3"/>
        <v>-180278279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-76851229.170000002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3"/>
        <v>-76851229.170000002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>
        <v>145963800</v>
      </c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3"/>
        <v>145963800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19574827.528000001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3"/>
        <v>19574827.528000001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3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3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3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42000</v>
      </c>
      <c r="E27" s="28"/>
      <c r="F27" s="28">
        <v>2725000</v>
      </c>
      <c r="G27" s="26"/>
      <c r="H27" s="26"/>
      <c r="I27" s="26"/>
      <c r="J27" s="26"/>
      <c r="K27" s="26"/>
      <c r="L27" s="27">
        <f>26900000+14000000</f>
        <v>40900000</v>
      </c>
      <c r="M27" s="26">
        <f>19000000+17000000+13550000</f>
        <v>49550000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3000000</v>
      </c>
      <c r="CA27" s="26">
        <v>1000000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97217000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>
        <v>-21387000</v>
      </c>
      <c r="F28" s="28"/>
      <c r="G28" s="26"/>
      <c r="H28" s="26"/>
      <c r="I28" s="26"/>
      <c r="J28" s="26"/>
      <c r="K28" s="28"/>
      <c r="L28" s="27"/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4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-21387000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3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3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3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>
        <v>55012.721610000001</v>
      </c>
      <c r="M32" s="33">
        <v>1854.6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3"/>
        <v>56867.321609999999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3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3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-730000-2180000-2120000-930000</f>
        <v>-5960000</v>
      </c>
      <c r="Q35" s="37">
        <f>(P35*4097.66)/1000</f>
        <v>-24422053.600000001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3"/>
        <v>-24422053.600000001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3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>
        <v>29577.52</v>
      </c>
      <c r="Q37" s="37">
        <f>(P37*4097.66)/1000</f>
        <v>121198.6206032</v>
      </c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3"/>
        <v>121198.6206032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f>-745100-322550</f>
        <v>-1067650</v>
      </c>
      <c r="M38" s="38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3"/>
        <v>-1067650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3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3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3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3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3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3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3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3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3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3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-1.728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f>-2.507-2.506-2.506</f>
        <v>-7.5190000000000001</v>
      </c>
      <c r="BB50" s="48">
        <f>-0.868-0.868-0.868</f>
        <v>-2.6040000000000001</v>
      </c>
      <c r="BC50" s="48">
        <f>-3.312-3.311-3.311-0.01</f>
        <v>-9.9439999999999991</v>
      </c>
      <c r="BD50" s="48">
        <f>-0.212-0.212-0.212</f>
        <v>-0.63600000000000001</v>
      </c>
      <c r="BE50" s="48"/>
      <c r="BF50" s="48"/>
      <c r="BG50" s="48"/>
      <c r="BH50" s="48"/>
      <c r="BI50" s="48"/>
      <c r="BJ50" s="48"/>
      <c r="BK50" s="48"/>
      <c r="BL50" s="48">
        <v>-1.4670000000000001</v>
      </c>
      <c r="BM50" s="48">
        <v>-13.906000000000001</v>
      </c>
      <c r="BN50" s="48">
        <v>-15.843999999999999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3"/>
        <v>-53.647999999999996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-1060.819</v>
      </c>
      <c r="F51" s="47"/>
      <c r="G51" s="48"/>
      <c r="H51" s="48"/>
      <c r="I51" s="48"/>
      <c r="J51" s="48"/>
      <c r="K51" s="47"/>
      <c r="L51" s="47">
        <v>-28.905000000000001</v>
      </c>
      <c r="M51" s="47">
        <v>-4.1289999999999996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3"/>
        <v>-1093.8529999999998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24.683399999999999</v>
      </c>
      <c r="J52" s="48"/>
      <c r="K52" s="48"/>
      <c r="L52" s="47"/>
      <c r="M52" s="47"/>
      <c r="N52" s="48"/>
      <c r="O52" s="48"/>
      <c r="P52" s="48"/>
      <c r="Q52" s="48"/>
      <c r="R52" s="48">
        <v>37.03</v>
      </c>
      <c r="S52" s="48">
        <f>(R52*4097.66)/1000</f>
        <v>151.7363498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f>35.813+35.807+35.801</f>
        <v>107.42100000000001</v>
      </c>
      <c r="BB52" s="48">
        <f>12.402+12.4+12.398</f>
        <v>37.200000000000003</v>
      </c>
      <c r="BC52" s="48">
        <f>47.309+47.301+47.293</f>
        <v>141.90299999999999</v>
      </c>
      <c r="BD52" s="48">
        <f>3.023+3.022+3.022</f>
        <v>9.0670000000000002</v>
      </c>
      <c r="BE52" s="48"/>
      <c r="BF52" s="48"/>
      <c r="BG52" s="48"/>
      <c r="BH52" s="48"/>
      <c r="BI52" s="48"/>
      <c r="BJ52" s="48"/>
      <c r="BK52" s="48"/>
      <c r="BL52" s="48">
        <v>20.95402</v>
      </c>
      <c r="BM52" s="48">
        <v>198.65194</v>
      </c>
      <c r="BN52" s="48">
        <v>226.33593999999999</v>
      </c>
      <c r="BO52" s="48"/>
      <c r="BP52" s="48">
        <f>47.45/1000</f>
        <v>4.7450000000000006E-2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3"/>
        <v>918.00009980000004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f>(E10+E13+E16+E17+E33+E38+E47+E40+E51+E35)*4/1000</f>
        <v>-4.2432759999999998</v>
      </c>
      <c r="F53" s="48">
        <f>(F10+F13+F16+F17+F33+F38+F47+F40+F51+F35)*4/1000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-4270.7156199999999</v>
      </c>
      <c r="M53" s="47">
        <f>(M10+M13+M17+M33+M38+M40+M51+M36+M49+M16)*4/1000</f>
        <v>-1.6515999999999999E-2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5">(T10+T13+T16+T17+T33+T40+T47)*4/1000</f>
        <v>0</v>
      </c>
      <c r="U53" s="48">
        <f t="shared" si="5"/>
        <v>0</v>
      </c>
      <c r="V53" s="48">
        <f t="shared" si="5"/>
        <v>0</v>
      </c>
      <c r="W53" s="48">
        <f t="shared" si="5"/>
        <v>0</v>
      </c>
      <c r="X53" s="48">
        <f t="shared" si="5"/>
        <v>0</v>
      </c>
      <c r="Y53" s="48">
        <f t="shared" si="5"/>
        <v>0</v>
      </c>
      <c r="Z53" s="48">
        <f t="shared" ref="Z53:AI53" si="6">(Z10+Z13+Z16+Z17+Z33+Z38+Z40+Z47+Z51)*4/1000</f>
        <v>0</v>
      </c>
      <c r="AA53" s="48">
        <f t="shared" si="6"/>
        <v>0</v>
      </c>
      <c r="AB53" s="48">
        <f t="shared" si="6"/>
        <v>0</v>
      </c>
      <c r="AC53" s="48">
        <f t="shared" si="6"/>
        <v>0</v>
      </c>
      <c r="AD53" s="48">
        <f t="shared" si="6"/>
        <v>0</v>
      </c>
      <c r="AE53" s="48">
        <f t="shared" si="6"/>
        <v>0</v>
      </c>
      <c r="AF53" s="48">
        <f t="shared" si="6"/>
        <v>0</v>
      </c>
      <c r="AG53" s="48">
        <f t="shared" si="6"/>
        <v>0</v>
      </c>
      <c r="AH53" s="48">
        <f t="shared" si="6"/>
        <v>0</v>
      </c>
      <c r="AI53" s="48">
        <f t="shared" si="6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7">(AR10+AR13+AR16+AR17+AR33+AR38+AR40+AR47+AR51)*4/1000</f>
        <v>0</v>
      </c>
      <c r="AS53" s="48">
        <f t="shared" si="7"/>
        <v>0</v>
      </c>
      <c r="AT53" s="48">
        <f t="shared" si="7"/>
        <v>0</v>
      </c>
      <c r="AU53" s="48">
        <f t="shared" si="7"/>
        <v>0</v>
      </c>
      <c r="AV53" s="48">
        <f t="shared" si="7"/>
        <v>0</v>
      </c>
      <c r="AW53" s="48">
        <f t="shared" si="7"/>
        <v>0</v>
      </c>
      <c r="AX53" s="48">
        <f t="shared" si="7"/>
        <v>0</v>
      </c>
      <c r="AY53" s="48">
        <f t="shared" si="7"/>
        <v>0</v>
      </c>
      <c r="AZ53" s="48">
        <f t="shared" si="7"/>
        <v>0</v>
      </c>
      <c r="BA53" s="48">
        <f t="shared" si="7"/>
        <v>0</v>
      </c>
      <c r="BB53" s="48">
        <f t="shared" si="7"/>
        <v>0</v>
      </c>
      <c r="BC53" s="48">
        <f t="shared" si="7"/>
        <v>0</v>
      </c>
      <c r="BD53" s="48">
        <f t="shared" si="7"/>
        <v>0</v>
      </c>
      <c r="BE53" s="48">
        <f t="shared" si="7"/>
        <v>0</v>
      </c>
      <c r="BF53" s="48">
        <f t="shared" si="7"/>
        <v>0</v>
      </c>
      <c r="BG53" s="48">
        <f t="shared" si="7"/>
        <v>0</v>
      </c>
      <c r="BH53" s="48">
        <f t="shared" si="7"/>
        <v>0</v>
      </c>
      <c r="BI53" s="48">
        <f t="shared" si="7"/>
        <v>0</v>
      </c>
      <c r="BJ53" s="48">
        <f t="shared" si="7"/>
        <v>0</v>
      </c>
      <c r="BK53" s="48">
        <f t="shared" si="7"/>
        <v>0</v>
      </c>
      <c r="BL53" s="48">
        <f t="shared" si="7"/>
        <v>0</v>
      </c>
      <c r="BM53" s="48">
        <f t="shared" si="7"/>
        <v>0</v>
      </c>
      <c r="BN53" s="48">
        <f t="shared" si="7"/>
        <v>0</v>
      </c>
      <c r="BO53" s="48">
        <f t="shared" si="7"/>
        <v>0</v>
      </c>
      <c r="BP53" s="48">
        <f t="shared" si="7"/>
        <v>0</v>
      </c>
      <c r="BQ53" s="48">
        <f t="shared" si="7"/>
        <v>0</v>
      </c>
      <c r="BR53" s="48">
        <f t="shared" si="7"/>
        <v>0</v>
      </c>
      <c r="BS53" s="48">
        <f t="shared" si="7"/>
        <v>0</v>
      </c>
      <c r="BT53" s="48">
        <f t="shared" si="7"/>
        <v>0</v>
      </c>
      <c r="BU53" s="48">
        <f t="shared" si="7"/>
        <v>0</v>
      </c>
      <c r="BV53" s="48">
        <f t="shared" si="7"/>
        <v>0</v>
      </c>
      <c r="BW53" s="48">
        <f t="shared" si="7"/>
        <v>0</v>
      </c>
      <c r="BX53" s="48">
        <f t="shared" si="7"/>
        <v>0</v>
      </c>
      <c r="BY53" s="48">
        <f t="shared" si="7"/>
        <v>0</v>
      </c>
      <c r="BZ53" s="48">
        <f>(BZ10+BZ13+BZ33+BZ47+BZ51)*4/1000</f>
        <v>0</v>
      </c>
      <c r="CA53" s="48">
        <f t="shared" si="7"/>
        <v>0</v>
      </c>
      <c r="CB53" s="48">
        <f t="shared" si="7"/>
        <v>0</v>
      </c>
      <c r="CC53" s="48">
        <f t="shared" si="7"/>
        <v>0</v>
      </c>
      <c r="CD53" s="48">
        <f t="shared" si="7"/>
        <v>0</v>
      </c>
      <c r="CE53" s="48">
        <f t="shared" si="7"/>
        <v>0</v>
      </c>
      <c r="CF53" s="48">
        <f t="shared" si="7"/>
        <v>0</v>
      </c>
      <c r="CG53" s="48">
        <f t="shared" si="7"/>
        <v>0</v>
      </c>
      <c r="CH53" s="48">
        <f t="shared" si="7"/>
        <v>0</v>
      </c>
      <c r="CI53" s="48">
        <f t="shared" si="7"/>
        <v>0</v>
      </c>
      <c r="CJ53" s="48">
        <f t="shared" si="7"/>
        <v>0</v>
      </c>
      <c r="CK53" s="48">
        <f t="shared" si="7"/>
        <v>0</v>
      </c>
      <c r="CL53" s="48">
        <f t="shared" si="7"/>
        <v>0</v>
      </c>
      <c r="CM53" s="48">
        <f t="shared" si="7"/>
        <v>0</v>
      </c>
      <c r="CN53" s="48">
        <f t="shared" si="7"/>
        <v>0</v>
      </c>
      <c r="CO53" s="48">
        <f t="shared" si="7"/>
        <v>0</v>
      </c>
      <c r="CP53" s="48">
        <f t="shared" si="7"/>
        <v>0</v>
      </c>
      <c r="CQ53" s="48">
        <f t="shared" si="7"/>
        <v>0</v>
      </c>
      <c r="CR53" s="48">
        <f t="shared" si="7"/>
        <v>0</v>
      </c>
      <c r="CS53" s="48"/>
      <c r="CT53" s="48"/>
      <c r="CU53" s="48"/>
      <c r="CV53" s="48"/>
      <c r="CW53" s="26">
        <f t="shared" si="3"/>
        <v>-4274.9754119999998</v>
      </c>
    </row>
    <row r="54" spans="1:101" x14ac:dyDescent="0.3">
      <c r="C54" s="49" t="s">
        <v>141</v>
      </c>
      <c r="D54" s="50">
        <f t="shared" ref="D54:AM54" si="8">SUM(D9:D53)</f>
        <v>42000</v>
      </c>
      <c r="E54" s="50">
        <f t="shared" si="8"/>
        <v>-21388065.062275998</v>
      </c>
      <c r="F54" s="50">
        <f>SUM(F9:F53)</f>
        <v>2725000</v>
      </c>
      <c r="G54" s="50">
        <f t="shared" si="8"/>
        <v>0</v>
      </c>
      <c r="H54" s="50">
        <f t="shared" si="8"/>
        <v>0</v>
      </c>
      <c r="I54" s="50">
        <f t="shared" si="8"/>
        <v>22.955399999999997</v>
      </c>
      <c r="J54" s="50">
        <f t="shared" si="8"/>
        <v>0</v>
      </c>
      <c r="K54" s="50">
        <f t="shared" si="8"/>
        <v>0</v>
      </c>
      <c r="L54" s="51">
        <f t="shared" si="8"/>
        <v>94897.95898998034</v>
      </c>
      <c r="M54" s="50">
        <f t="shared" si="8"/>
        <v>-273804.54551600001</v>
      </c>
      <c r="N54" s="50">
        <f t="shared" si="8"/>
        <v>0</v>
      </c>
      <c r="O54" s="50">
        <f t="shared" si="8"/>
        <v>0</v>
      </c>
      <c r="P54" s="50">
        <f t="shared" si="8"/>
        <v>4077860.85</v>
      </c>
      <c r="Q54" s="50">
        <f t="shared" si="8"/>
        <v>16709687.290610995</v>
      </c>
      <c r="R54" s="50">
        <f t="shared" si="8"/>
        <v>37.03</v>
      </c>
      <c r="S54" s="50">
        <f t="shared" si="8"/>
        <v>151.7363498</v>
      </c>
      <c r="T54" s="50">
        <f t="shared" si="8"/>
        <v>0</v>
      </c>
      <c r="U54" s="50">
        <f t="shared" si="8"/>
        <v>0</v>
      </c>
      <c r="V54" s="50">
        <f t="shared" si="8"/>
        <v>0</v>
      </c>
      <c r="W54" s="50">
        <f t="shared" si="8"/>
        <v>0</v>
      </c>
      <c r="X54" s="50">
        <f t="shared" si="8"/>
        <v>0</v>
      </c>
      <c r="Y54" s="50">
        <f t="shared" si="8"/>
        <v>0</v>
      </c>
      <c r="Z54" s="50">
        <f t="shared" si="8"/>
        <v>0</v>
      </c>
      <c r="AA54" s="50">
        <f t="shared" si="8"/>
        <v>0</v>
      </c>
      <c r="AB54" s="50">
        <f t="shared" si="8"/>
        <v>0</v>
      </c>
      <c r="AC54" s="50">
        <f t="shared" si="8"/>
        <v>0</v>
      </c>
      <c r="AD54" s="50">
        <f t="shared" si="8"/>
        <v>0</v>
      </c>
      <c r="AE54" s="50">
        <f t="shared" si="8"/>
        <v>0</v>
      </c>
      <c r="AF54" s="50">
        <f t="shared" si="8"/>
        <v>0</v>
      </c>
      <c r="AG54" s="50">
        <f t="shared" si="8"/>
        <v>0</v>
      </c>
      <c r="AH54" s="50">
        <f t="shared" si="8"/>
        <v>0</v>
      </c>
      <c r="AI54" s="50">
        <f t="shared" si="8"/>
        <v>0</v>
      </c>
      <c r="AJ54" s="50">
        <f t="shared" si="8"/>
        <v>0</v>
      </c>
      <c r="AK54" s="50">
        <f t="shared" si="8"/>
        <v>0</v>
      </c>
      <c r="AL54" s="50">
        <f t="shared" si="8"/>
        <v>0</v>
      </c>
      <c r="AM54" s="50">
        <f t="shared" si="8"/>
        <v>0</v>
      </c>
      <c r="AN54" s="50">
        <f t="shared" ref="AN54:CV54" si="9">SUM(AN9:AN53)</f>
        <v>0</v>
      </c>
      <c r="AO54" s="50">
        <f t="shared" si="9"/>
        <v>0</v>
      </c>
      <c r="AP54" s="50">
        <f t="shared" si="9"/>
        <v>0</v>
      </c>
      <c r="AQ54" s="50">
        <f t="shared" si="9"/>
        <v>0</v>
      </c>
      <c r="AR54" s="50">
        <f t="shared" si="9"/>
        <v>0</v>
      </c>
      <c r="AS54" s="50">
        <f t="shared" si="9"/>
        <v>0</v>
      </c>
      <c r="AT54" s="50">
        <f t="shared" si="9"/>
        <v>0</v>
      </c>
      <c r="AU54" s="50">
        <f t="shared" si="9"/>
        <v>0</v>
      </c>
      <c r="AV54" s="50">
        <f t="shared" si="9"/>
        <v>0</v>
      </c>
      <c r="AW54" s="50">
        <f t="shared" si="9"/>
        <v>0</v>
      </c>
      <c r="AX54" s="50">
        <f t="shared" si="9"/>
        <v>0</v>
      </c>
      <c r="AY54" s="50">
        <f t="shared" si="9"/>
        <v>0</v>
      </c>
      <c r="AZ54" s="50">
        <f t="shared" si="9"/>
        <v>0</v>
      </c>
      <c r="BA54" s="50">
        <f t="shared" si="9"/>
        <v>99.902000000000001</v>
      </c>
      <c r="BB54" s="50">
        <f t="shared" si="9"/>
        <v>34.596000000000004</v>
      </c>
      <c r="BC54" s="50">
        <f t="shared" si="9"/>
        <v>131.959</v>
      </c>
      <c r="BD54" s="50">
        <f t="shared" si="9"/>
        <v>8.4310000000000009</v>
      </c>
      <c r="BE54" s="50">
        <f t="shared" si="9"/>
        <v>0</v>
      </c>
      <c r="BF54" s="50">
        <f t="shared" si="9"/>
        <v>0</v>
      </c>
      <c r="BG54" s="50">
        <f t="shared" si="9"/>
        <v>0</v>
      </c>
      <c r="BH54" s="50">
        <f t="shared" si="9"/>
        <v>0</v>
      </c>
      <c r="BI54" s="50">
        <f t="shared" si="9"/>
        <v>0</v>
      </c>
      <c r="BJ54" s="50">
        <f t="shared" si="9"/>
        <v>0</v>
      </c>
      <c r="BK54" s="50">
        <f t="shared" si="9"/>
        <v>0</v>
      </c>
      <c r="BL54" s="50">
        <f t="shared" si="9"/>
        <v>19.487020000000001</v>
      </c>
      <c r="BM54" s="50">
        <f t="shared" si="9"/>
        <v>184.74593999999999</v>
      </c>
      <c r="BN54" s="50">
        <f t="shared" si="9"/>
        <v>210.49194</v>
      </c>
      <c r="BO54" s="50">
        <f t="shared" si="9"/>
        <v>0</v>
      </c>
      <c r="BP54" s="50">
        <f t="shared" si="9"/>
        <v>4.7450000000000006E-2</v>
      </c>
      <c r="BQ54" s="50">
        <f t="shared" si="9"/>
        <v>0</v>
      </c>
      <c r="BR54" s="50">
        <f t="shared" si="9"/>
        <v>0</v>
      </c>
      <c r="BS54" s="50">
        <f t="shared" si="9"/>
        <v>0</v>
      </c>
      <c r="BT54" s="50">
        <f t="shared" si="9"/>
        <v>0</v>
      </c>
      <c r="BU54" s="50">
        <f t="shared" si="9"/>
        <v>0</v>
      </c>
      <c r="BV54" s="50">
        <f t="shared" si="9"/>
        <v>0</v>
      </c>
      <c r="BW54" s="50">
        <f t="shared" si="9"/>
        <v>0</v>
      </c>
      <c r="BX54" s="50">
        <f t="shared" si="9"/>
        <v>0</v>
      </c>
      <c r="BY54" s="50">
        <f>SUM(BY9:BY53)</f>
        <v>0</v>
      </c>
      <c r="BZ54" s="50">
        <f>SUM(BZ9:BZ53)</f>
        <v>3000000</v>
      </c>
      <c r="CA54" s="50">
        <f t="shared" si="9"/>
        <v>1000000</v>
      </c>
      <c r="CB54" s="50">
        <f t="shared" si="9"/>
        <v>0</v>
      </c>
      <c r="CC54" s="50">
        <f t="shared" si="9"/>
        <v>0</v>
      </c>
      <c r="CD54" s="50">
        <f t="shared" si="9"/>
        <v>0</v>
      </c>
      <c r="CE54" s="50">
        <f t="shared" si="9"/>
        <v>0</v>
      </c>
      <c r="CF54" s="50">
        <f t="shared" si="9"/>
        <v>0</v>
      </c>
      <c r="CG54" s="50">
        <f t="shared" si="9"/>
        <v>0</v>
      </c>
      <c r="CH54" s="50">
        <f t="shared" si="9"/>
        <v>0</v>
      </c>
      <c r="CI54" s="50">
        <f t="shared" si="9"/>
        <v>0</v>
      </c>
      <c r="CJ54" s="50">
        <f t="shared" si="9"/>
        <v>0</v>
      </c>
      <c r="CK54" s="50">
        <f t="shared" si="9"/>
        <v>0</v>
      </c>
      <c r="CL54" s="50">
        <f t="shared" si="9"/>
        <v>0</v>
      </c>
      <c r="CM54" s="50">
        <f t="shared" si="9"/>
        <v>0</v>
      </c>
      <c r="CN54" s="50">
        <f t="shared" si="9"/>
        <v>0</v>
      </c>
      <c r="CO54" s="50">
        <f t="shared" si="9"/>
        <v>0</v>
      </c>
      <c r="CP54" s="50">
        <f t="shared" si="9"/>
        <v>0</v>
      </c>
      <c r="CQ54" s="50">
        <f t="shared" si="9"/>
        <v>0</v>
      </c>
      <c r="CR54" s="50">
        <f t="shared" si="9"/>
        <v>0</v>
      </c>
      <c r="CS54" s="50">
        <f t="shared" si="9"/>
        <v>0</v>
      </c>
      <c r="CT54" s="50">
        <f t="shared" si="9"/>
        <v>0</v>
      </c>
      <c r="CU54" s="50">
        <f t="shared" si="9"/>
        <v>0</v>
      </c>
      <c r="CV54" s="50">
        <f t="shared" si="9"/>
        <v>0</v>
      </c>
      <c r="CW54" s="50">
        <f t="shared" si="3"/>
        <v>1910579.9939087804</v>
      </c>
    </row>
    <row r="55" spans="1:101" s="52" customFormat="1" x14ac:dyDescent="0.3">
      <c r="B55" s="53"/>
      <c r="C55" s="54" t="s">
        <v>142</v>
      </c>
      <c r="D55" s="55">
        <f t="shared" ref="D55:BS55" si="10">+D8+D54</f>
        <v>502928.07281994517</v>
      </c>
      <c r="E55" s="55">
        <f t="shared" si="10"/>
        <v>15013296.363724448</v>
      </c>
      <c r="F55" s="55">
        <f>+F8+F54</f>
        <v>7846157.2772043962</v>
      </c>
      <c r="G55" s="55">
        <f t="shared" si="10"/>
        <v>0</v>
      </c>
      <c r="H55" s="55">
        <f t="shared" si="10"/>
        <v>0</v>
      </c>
      <c r="I55" s="55">
        <f t="shared" si="10"/>
        <v>133469.69891457897</v>
      </c>
      <c r="J55" s="55">
        <f t="shared" si="10"/>
        <v>0</v>
      </c>
      <c r="K55" s="55">
        <f t="shared" si="10"/>
        <v>278177.60913614288</v>
      </c>
      <c r="L55" s="55">
        <f t="shared" si="10"/>
        <v>301477.87134314363</v>
      </c>
      <c r="M55" s="55">
        <f t="shared" si="10"/>
        <v>114263.45787886553</v>
      </c>
      <c r="N55" s="55">
        <f t="shared" si="10"/>
        <v>177265.5199999999</v>
      </c>
      <c r="O55" s="55">
        <f t="shared" si="10"/>
        <v>735425.00813439966</v>
      </c>
      <c r="P55" s="55">
        <f t="shared" si="10"/>
        <v>15645266.380842714</v>
      </c>
      <c r="Q55" s="55">
        <f t="shared" si="10"/>
        <v>64753841.396044478</v>
      </c>
      <c r="R55" s="55">
        <f t="shared" si="10"/>
        <v>486632.45451000019</v>
      </c>
      <c r="S55" s="55">
        <f t="shared" si="10"/>
        <v>2008313.9119951269</v>
      </c>
      <c r="T55" s="55">
        <f t="shared" si="10"/>
        <v>0</v>
      </c>
      <c r="U55" s="55">
        <f t="shared" si="10"/>
        <v>0</v>
      </c>
      <c r="V55" s="55">
        <f t="shared" si="10"/>
        <v>0</v>
      </c>
      <c r="W55" s="55">
        <f t="shared" si="10"/>
        <v>0</v>
      </c>
      <c r="X55" s="55">
        <f t="shared" si="10"/>
        <v>0</v>
      </c>
      <c r="Y55" s="55">
        <f t="shared" si="10"/>
        <v>0</v>
      </c>
      <c r="Z55" s="55">
        <f t="shared" si="10"/>
        <v>9662.5274983807467</v>
      </c>
      <c r="AA55" s="55">
        <f t="shared" si="10"/>
        <v>40087.12108308218</v>
      </c>
      <c r="AB55" s="55">
        <f t="shared" si="10"/>
        <v>7542.7499999967404</v>
      </c>
      <c r="AC55" s="55">
        <f t="shared" si="10"/>
        <v>31292.757779986478</v>
      </c>
      <c r="AD55" s="55">
        <f t="shared" si="10"/>
        <v>5155</v>
      </c>
      <c r="AE55" s="55">
        <f t="shared" si="10"/>
        <v>21386.651600000001</v>
      </c>
      <c r="AF55" s="55">
        <f t="shared" si="10"/>
        <v>7956.8699999451637</v>
      </c>
      <c r="AG55" s="55">
        <f t="shared" si="10"/>
        <v>33010.825706172502</v>
      </c>
      <c r="AH55" s="55">
        <f t="shared" si="10"/>
        <v>118215.98999999718</v>
      </c>
      <c r="AI55" s="55">
        <f t="shared" si="10"/>
        <v>490445.04203278833</v>
      </c>
      <c r="AJ55" s="55">
        <f t="shared" si="10"/>
        <v>674466.83999999822</v>
      </c>
      <c r="AK55" s="55">
        <f t="shared" si="10"/>
        <v>2798174.0684447926</v>
      </c>
      <c r="AL55" s="55">
        <f t="shared" si="10"/>
        <v>21576152.436255224</v>
      </c>
      <c r="AM55" s="55">
        <f t="shared" si="10"/>
        <v>59751704.425795354</v>
      </c>
      <c r="AN55" s="55">
        <f t="shared" si="10"/>
        <v>6276507.6901499992</v>
      </c>
      <c r="AO55" s="55">
        <f t="shared" si="10"/>
        <v>1091269.40043144</v>
      </c>
      <c r="AP55" s="55">
        <f t="shared" si="10"/>
        <v>5285267.3108801506</v>
      </c>
      <c r="AQ55" s="55">
        <f t="shared" si="10"/>
        <v>2357744.2128221639</v>
      </c>
      <c r="AR55" s="55">
        <f t="shared" si="10"/>
        <v>33846.145451993005</v>
      </c>
      <c r="AS55" s="55">
        <f t="shared" si="10"/>
        <v>6.2909079996137462</v>
      </c>
      <c r="AT55" s="55">
        <f t="shared" si="10"/>
        <v>11.244432002509914</v>
      </c>
      <c r="AU55" s="55">
        <f t="shared" si="10"/>
        <v>70745.806203997287</v>
      </c>
      <c r="AV55" s="55">
        <f t="shared" si="10"/>
        <v>525146.68653480266</v>
      </c>
      <c r="AW55" s="55">
        <f t="shared" si="10"/>
        <v>86119.091979996796</v>
      </c>
      <c r="AX55" s="55">
        <f t="shared" si="10"/>
        <v>1047.2966740010875</v>
      </c>
      <c r="AY55" s="55">
        <f t="shared" si="10"/>
        <v>61411.100279998158</v>
      </c>
      <c r="AZ55" s="55">
        <f t="shared" si="10"/>
        <v>23389.865177323234</v>
      </c>
      <c r="BA55" s="55">
        <f t="shared" si="10"/>
        <v>203048.6377240069</v>
      </c>
      <c r="BB55" s="55">
        <f t="shared" si="10"/>
        <v>70314.577219991144</v>
      </c>
      <c r="BC55" s="55">
        <f t="shared" si="10"/>
        <v>268226.99884799868</v>
      </c>
      <c r="BD55" s="55">
        <f t="shared" si="10"/>
        <v>17137.878599989835</v>
      </c>
      <c r="BE55" s="55">
        <f t="shared" si="10"/>
        <v>256596.93928368055</v>
      </c>
      <c r="BF55" s="55">
        <f t="shared" si="10"/>
        <v>321963.21571035992</v>
      </c>
      <c r="BG55" s="55">
        <f t="shared" si="10"/>
        <v>35109.526218882762</v>
      </c>
      <c r="BH55" s="55">
        <f t="shared" si="10"/>
        <v>26531.768320002102</v>
      </c>
      <c r="BI55" s="55">
        <f t="shared" si="10"/>
        <v>526567.9691583903</v>
      </c>
      <c r="BJ55" s="55">
        <f t="shared" si="10"/>
        <v>198192.37105456018</v>
      </c>
      <c r="BK55" s="55">
        <f t="shared" si="10"/>
        <v>11912735.347522013</v>
      </c>
      <c r="BL55" s="55">
        <f t="shared" si="10"/>
        <v>113303.97170244606</v>
      </c>
      <c r="BM55" s="55">
        <f t="shared" si="10"/>
        <v>1074163.6408171637</v>
      </c>
      <c r="BN55" s="55">
        <f t="shared" si="10"/>
        <v>1223858.3359673813</v>
      </c>
      <c r="BO55" s="55">
        <f t="shared" si="10"/>
        <v>3.4691202304202307E-3</v>
      </c>
      <c r="BP55" s="55">
        <f t="shared" si="10"/>
        <v>209.2501593290655</v>
      </c>
      <c r="BQ55" s="55">
        <f t="shared" si="10"/>
        <v>4.0128798844989433E-3</v>
      </c>
      <c r="BR55" s="55">
        <f t="shared" si="10"/>
        <v>645484.5260000031</v>
      </c>
      <c r="BS55" s="55">
        <f t="shared" si="10"/>
        <v>2650869.4086606889</v>
      </c>
      <c r="BT55" s="55">
        <f t="shared" ref="BT55:CV55" si="11">+BT8+BT54</f>
        <v>258402.12493201916</v>
      </c>
      <c r="BU55" s="55">
        <f t="shared" si="11"/>
        <v>1061203.2376361911</v>
      </c>
      <c r="BV55" s="55">
        <f t="shared" si="11"/>
        <v>8025.4488600000004</v>
      </c>
      <c r="BW55" s="55">
        <f t="shared" si="11"/>
        <v>397883.49299000081</v>
      </c>
      <c r="BX55" s="55">
        <f t="shared" si="11"/>
        <v>12663.664475599246</v>
      </c>
      <c r="BY55" s="55">
        <f t="shared" si="11"/>
        <v>-1706119.4590599998</v>
      </c>
      <c r="BZ55" s="55">
        <f t="shared" si="11"/>
        <v>-8748381.3458600119</v>
      </c>
      <c r="CA55" s="55">
        <f t="shared" si="11"/>
        <v>-6997424.5644400064</v>
      </c>
      <c r="CB55" s="55">
        <f t="shared" si="11"/>
        <v>18918.56624</v>
      </c>
      <c r="CC55" s="55">
        <f t="shared" si="11"/>
        <v>905567.0501799999</v>
      </c>
      <c r="CD55" s="55">
        <f t="shared" si="11"/>
        <v>0</v>
      </c>
      <c r="CE55" s="55">
        <f t="shared" si="11"/>
        <v>28452.444999999996</v>
      </c>
      <c r="CF55" s="55">
        <f t="shared" si="11"/>
        <v>696622.45958999998</v>
      </c>
      <c r="CG55" s="55">
        <f t="shared" si="11"/>
        <v>194020.58999999994</v>
      </c>
      <c r="CH55" s="55">
        <f t="shared" si="11"/>
        <v>2.9318200000000001</v>
      </c>
      <c r="CI55" s="55">
        <f t="shared" si="11"/>
        <v>813161.95743999921</v>
      </c>
      <c r="CJ55" s="55">
        <f t="shared" si="11"/>
        <v>201938.84803999978</v>
      </c>
      <c r="CK55" s="55">
        <f t="shared" si="11"/>
        <v>0</v>
      </c>
      <c r="CL55" s="55">
        <f t="shared" si="11"/>
        <v>0</v>
      </c>
      <c r="CM55" s="55">
        <f t="shared" si="11"/>
        <v>79545.207070000004</v>
      </c>
      <c r="CN55" s="55">
        <f t="shared" si="11"/>
        <v>662749.23605000007</v>
      </c>
      <c r="CO55" s="55">
        <f t="shared" si="11"/>
        <v>736446.43431999965</v>
      </c>
      <c r="CP55" s="55">
        <f t="shared" si="11"/>
        <v>9152723.6727600005</v>
      </c>
      <c r="CQ55" s="55">
        <f t="shared" si="11"/>
        <v>377918.49939999997</v>
      </c>
      <c r="CR55" s="55">
        <f t="shared" si="11"/>
        <v>877844.95927000046</v>
      </c>
      <c r="CS55" s="55">
        <f t="shared" si="11"/>
        <v>5010.51</v>
      </c>
      <c r="CT55" s="55">
        <f t="shared" si="11"/>
        <v>20511.762362899997</v>
      </c>
      <c r="CU55" s="55">
        <f t="shared" si="11"/>
        <v>5010.51</v>
      </c>
      <c r="CV55" s="55">
        <f t="shared" si="11"/>
        <v>20511.762362899997</v>
      </c>
      <c r="CW55" s="55">
        <f t="shared" si="3"/>
        <v>209955732.83877522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M59" s="146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305921296.24022096</v>
      </c>
      <c r="E60" s="70"/>
      <c r="F60" s="83"/>
      <c r="G60" s="83" t="s">
        <v>149</v>
      </c>
      <c r="H60" s="84"/>
      <c r="I60" s="85"/>
      <c r="J60" s="56"/>
      <c r="M60" s="14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19574827.528000001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58"/>
      <c r="BY61" s="58"/>
      <c r="BZ61" s="56"/>
      <c r="CA61" s="58"/>
      <c r="CD61" s="58"/>
    </row>
    <row r="62" spans="1:101" x14ac:dyDescent="0.3">
      <c r="B62" s="157"/>
      <c r="C62" s="86" t="s">
        <v>152</v>
      </c>
      <c r="D62" s="87">
        <f>CW11+CW15</f>
        <v>2011002.7700078001</v>
      </c>
      <c r="E62" s="67" t="s">
        <v>204</v>
      </c>
      <c r="F62" s="88" t="s">
        <v>153</v>
      </c>
      <c r="G62" s="90">
        <f>P55</f>
        <v>15645266.380842714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97217000</v>
      </c>
      <c r="E63" s="67">
        <v>8500000</v>
      </c>
      <c r="F63" s="88" t="s">
        <v>155</v>
      </c>
      <c r="G63" s="90">
        <f>R55</f>
        <v>486632.45451000019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40976600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145963800</v>
      </c>
      <c r="E65" s="67" t="s">
        <v>204</v>
      </c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56867.321609999999</v>
      </c>
      <c r="E67" s="100" t="s">
        <v>204</v>
      </c>
      <c r="F67" s="104" t="s">
        <v>160</v>
      </c>
      <c r="G67" s="105">
        <f>K55*1000</f>
        <v>278177609.13614291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301477871.34314364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121198.6206032</v>
      </c>
      <c r="E69" s="100" t="s">
        <v>204</v>
      </c>
      <c r="F69" s="104" t="s">
        <v>162</v>
      </c>
      <c r="G69" s="105">
        <f>M55*1000</f>
        <v>114263457.87886554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-279584158.17000002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-180278279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-76851229.170000002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-21387000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-1067650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2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2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202948.7357240069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107.42100000000001</v>
      </c>
      <c r="L92" s="138">
        <f>BA50+BA51+BA53+BA40+BA42+BA43+BA45</f>
        <v>-7.5190000000000001</v>
      </c>
      <c r="M92" s="139">
        <f t="shared" si="12"/>
        <v>203048.6377240069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2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2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2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2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2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268095.03984799871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141.90299999999999</v>
      </c>
      <c r="L98" s="138">
        <f>BC50+BC51+BC53+BC40+BC42+BC43+BC45</f>
        <v>-9.9439999999999991</v>
      </c>
      <c r="M98" s="139">
        <f t="shared" si="12"/>
        <v>268226.99884799868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70279.981219991139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37.200000000000003</v>
      </c>
      <c r="L99" s="138">
        <f>BB50+BB51+BB53+BB40+BB42+BB43+BB45</f>
        <v>-2.6040000000000001</v>
      </c>
      <c r="M99" s="139">
        <f t="shared" si="12"/>
        <v>70314.57721999113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2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2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2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2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17129.447599989835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9.0670000000000002</v>
      </c>
      <c r="L104" s="138">
        <f>BD50+BD51+BD53+BD40+BD42+BD43+BD45</f>
        <v>-0.63600000000000001</v>
      </c>
      <c r="M104" s="139">
        <f t="shared" si="12"/>
        <v>17137.878599989835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2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2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3">SUM(G90:G94)</f>
        <v>606042.68075967929</v>
      </c>
      <c r="H108" s="97">
        <f t="shared" si="13"/>
        <v>0</v>
      </c>
      <c r="I108" s="97">
        <f t="shared" si="13"/>
        <v>0</v>
      </c>
      <c r="J108" s="97">
        <f t="shared" si="13"/>
        <v>0</v>
      </c>
      <c r="K108" s="97">
        <f t="shared" si="13"/>
        <v>107.42100000000001</v>
      </c>
      <c r="L108" s="97">
        <f t="shared" si="13"/>
        <v>-7.5190000000000001</v>
      </c>
      <c r="M108" s="97">
        <f t="shared" si="13"/>
        <v>606142.5827596793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4">SUM(G95:G101)</f>
        <v>1187971.0379507432</v>
      </c>
      <c r="H109" s="97">
        <f t="shared" si="14"/>
        <v>0</v>
      </c>
      <c r="I109" s="97">
        <f t="shared" si="14"/>
        <v>0</v>
      </c>
      <c r="J109" s="97">
        <f t="shared" si="14"/>
        <v>0</v>
      </c>
      <c r="K109" s="97">
        <f t="shared" si="14"/>
        <v>179.10300000000001</v>
      </c>
      <c r="L109" s="97">
        <f t="shared" si="14"/>
        <v>-12.547999999999998</v>
      </c>
      <c r="M109" s="97">
        <f t="shared" si="14"/>
        <v>1188137.5929507432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5">SUM(G102:G106)</f>
        <v>382588.25135742821</v>
      </c>
      <c r="H110" s="97">
        <f t="shared" si="15"/>
        <v>0</v>
      </c>
      <c r="I110" s="97">
        <f t="shared" si="15"/>
        <v>0</v>
      </c>
      <c r="J110" s="97">
        <f t="shared" si="15"/>
        <v>0</v>
      </c>
      <c r="K110" s="97">
        <f t="shared" si="15"/>
        <v>9.0670000000000002</v>
      </c>
      <c r="L110" s="97">
        <f t="shared" si="15"/>
        <v>-0.63600000000000001</v>
      </c>
      <c r="M110" s="97">
        <f t="shared" si="15"/>
        <v>382596.68235742819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A9:A29"/>
    <mergeCell ref="D1:BK1"/>
    <mergeCell ref="BL1:BN1"/>
    <mergeCell ref="BR1:CJ1"/>
    <mergeCell ref="CW2:CW4"/>
    <mergeCell ref="A5:A8"/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+'JUN 06'!D55</f>
        <v>502928.07281994517</v>
      </c>
      <c r="E5" s="18">
        <f>+'JUN 06'!E55</f>
        <v>15013296.363724448</v>
      </c>
      <c r="F5" s="18">
        <f>+'JUN 06'!F55</f>
        <v>7846157.2772043962</v>
      </c>
      <c r="G5" s="18">
        <f>+'JUN 06'!G55</f>
        <v>0</v>
      </c>
      <c r="H5" s="18">
        <f>+'JUN 06'!H55</f>
        <v>0</v>
      </c>
      <c r="I5" s="18">
        <f>+'JUN 06'!I55</f>
        <v>133469.69891457897</v>
      </c>
      <c r="J5" s="18">
        <f>+'JUN 06'!J55</f>
        <v>0</v>
      </c>
      <c r="K5" s="18">
        <f>+'JUN 06'!K55</f>
        <v>278177.60913614288</v>
      </c>
      <c r="L5" s="18">
        <f>+'JUN 06'!L55</f>
        <v>301477.87134314363</v>
      </c>
      <c r="M5" s="18">
        <f>+'JUN 06'!M55</f>
        <v>114263.45787886553</v>
      </c>
      <c r="N5" s="18">
        <f>+'JUN 06'!N55</f>
        <v>177265.5199999999</v>
      </c>
      <c r="O5" s="18">
        <f>+'JUN 06'!O55</f>
        <v>735425.00813439966</v>
      </c>
      <c r="P5" s="18">
        <f>+'JUN 06'!P55</f>
        <v>15645266.380842714</v>
      </c>
      <c r="Q5" s="18">
        <f>+'JUN 06'!Q55</f>
        <v>64753841.396044478</v>
      </c>
      <c r="R5" s="18">
        <f>+'JUN 06'!R55</f>
        <v>486632.45451000019</v>
      </c>
      <c r="S5" s="18">
        <f>+'JUN 06'!S55</f>
        <v>2008313.9119951269</v>
      </c>
      <c r="T5" s="18">
        <f>+'JUN 06'!T55</f>
        <v>0</v>
      </c>
      <c r="U5" s="18">
        <f>+'JUN 06'!U55</f>
        <v>0</v>
      </c>
      <c r="V5" s="18">
        <f>+'JUN 06'!V55</f>
        <v>0</v>
      </c>
      <c r="W5" s="18">
        <f>+'JUN 06'!W55</f>
        <v>0</v>
      </c>
      <c r="X5" s="18">
        <f>+'JUN 06'!X55</f>
        <v>0</v>
      </c>
      <c r="Y5" s="18">
        <f>+'JUN 06'!Y55</f>
        <v>0</v>
      </c>
      <c r="Z5" s="18">
        <f>+'JUN 06'!Z55</f>
        <v>9662.5274983807467</v>
      </c>
      <c r="AA5" s="18">
        <f>+'JUN 06'!AA55</f>
        <v>40087.12108308218</v>
      </c>
      <c r="AB5" s="18">
        <f>+'JUN 06'!AB55</f>
        <v>7542.7499999967404</v>
      </c>
      <c r="AC5" s="18">
        <f>+'JUN 06'!AC55</f>
        <v>31292.757779986478</v>
      </c>
      <c r="AD5" s="18">
        <f>+'JUN 06'!AD55</f>
        <v>5155</v>
      </c>
      <c r="AE5" s="18">
        <f>+'JUN 06'!AE55</f>
        <v>21386.651600000001</v>
      </c>
      <c r="AF5" s="18">
        <f>+'JUN 06'!AF55</f>
        <v>7956.8699999451637</v>
      </c>
      <c r="AG5" s="18">
        <f>+'JUN 06'!AG55</f>
        <v>33010.825706172502</v>
      </c>
      <c r="AH5" s="18">
        <f>+'JUN 06'!AH55</f>
        <v>118215.98999999718</v>
      </c>
      <c r="AI5" s="18">
        <f>+'JUN 06'!AI55</f>
        <v>490445.04203278833</v>
      </c>
      <c r="AJ5" s="18">
        <f>+'JUN 06'!AJ55</f>
        <v>674466.83999999822</v>
      </c>
      <c r="AK5" s="18">
        <f>+'JUN 06'!AK55</f>
        <v>2798174.0684447926</v>
      </c>
      <c r="AL5" s="18">
        <f>+'JUN 06'!AL55</f>
        <v>21576152.436255224</v>
      </c>
      <c r="AM5" s="18">
        <f>+'JUN 06'!AM55</f>
        <v>59751704.425795354</v>
      </c>
      <c r="AN5" s="18">
        <f>+'JUN 06'!AN55</f>
        <v>6276507.6901499992</v>
      </c>
      <c r="AO5" s="18">
        <f>+'JUN 06'!AO55</f>
        <v>1091269.40043144</v>
      </c>
      <c r="AP5" s="18">
        <f>+'JUN 06'!AP55</f>
        <v>5285267.3108801506</v>
      </c>
      <c r="AQ5" s="18">
        <f>+'JUN 06'!AQ55</f>
        <v>2357744.2128221639</v>
      </c>
      <c r="AR5" s="18">
        <f>+'JUN 06'!AR55</f>
        <v>33846.145451993005</v>
      </c>
      <c r="AS5" s="18">
        <f>+'JUN 06'!AS55</f>
        <v>6.2909079996137462</v>
      </c>
      <c r="AT5" s="18">
        <f>+'JUN 06'!AT55</f>
        <v>11.244432002509914</v>
      </c>
      <c r="AU5" s="18">
        <f>+'JUN 06'!AU55</f>
        <v>70745.806203997287</v>
      </c>
      <c r="AV5" s="18">
        <f>+'JUN 06'!AV55</f>
        <v>525146.68653480266</v>
      </c>
      <c r="AW5" s="18">
        <f>+'JUN 06'!AW55</f>
        <v>86119.091979996796</v>
      </c>
      <c r="AX5" s="18">
        <f>+'JUN 06'!AX55</f>
        <v>1047.2966740010875</v>
      </c>
      <c r="AY5" s="18">
        <f>+'JUN 06'!AY55</f>
        <v>61411.100279998158</v>
      </c>
      <c r="AZ5" s="18">
        <f>+'JUN 06'!AZ55</f>
        <v>23389.865177323234</v>
      </c>
      <c r="BA5" s="18">
        <f>+'JUN 06'!BA55</f>
        <v>203048.6377240069</v>
      </c>
      <c r="BB5" s="18">
        <f>+'JUN 06'!BB55</f>
        <v>70314.577219991144</v>
      </c>
      <c r="BC5" s="18">
        <f>+'JUN 06'!BC55</f>
        <v>268226.99884799868</v>
      </c>
      <c r="BD5" s="18">
        <f>+'JUN 06'!BD55</f>
        <v>17137.878599989835</v>
      </c>
      <c r="BE5" s="18">
        <f>+'JUN 06'!BE55</f>
        <v>256596.93928368055</v>
      </c>
      <c r="BF5" s="18">
        <f>+'JUN 06'!BF55</f>
        <v>321963.21571035992</v>
      </c>
      <c r="BG5" s="18">
        <f>+'JUN 06'!BG55</f>
        <v>35109.526218882762</v>
      </c>
      <c r="BH5" s="18">
        <f>+'JUN 06'!BH55</f>
        <v>26531.768320002102</v>
      </c>
      <c r="BI5" s="18">
        <f>+'JUN 06'!BI55</f>
        <v>526567.9691583903</v>
      </c>
      <c r="BJ5" s="18">
        <f>+'JUN 06'!BJ55</f>
        <v>198192.37105456018</v>
      </c>
      <c r="BK5" s="18">
        <f>+'JUN 06'!BK55</f>
        <v>11912735.347522013</v>
      </c>
      <c r="BL5" s="18">
        <f>+'JUN 06'!BL55</f>
        <v>113303.97170244606</v>
      </c>
      <c r="BM5" s="18">
        <f>+'JUN 06'!BM55</f>
        <v>1074163.6408171637</v>
      </c>
      <c r="BN5" s="18">
        <f>+'JUN 06'!BN55</f>
        <v>1223858.3359673813</v>
      </c>
      <c r="BO5" s="18">
        <f>+'JUN 06'!BO55</f>
        <v>3.4691202304202307E-3</v>
      </c>
      <c r="BP5" s="18">
        <f>+'JUN 06'!BP55</f>
        <v>209.2501593290655</v>
      </c>
      <c r="BQ5" s="18">
        <f>+'JUN 06'!BQ55</f>
        <v>4.0128798844989433E-3</v>
      </c>
      <c r="BR5" s="18">
        <f>+'JUN 06'!BR55</f>
        <v>645484.5260000031</v>
      </c>
      <c r="BS5" s="18">
        <f>+'JUN 06'!BS55</f>
        <v>2650869.4086606889</v>
      </c>
      <c r="BT5" s="18">
        <f>+'JUN 06'!BT55</f>
        <v>258402.12493201916</v>
      </c>
      <c r="BU5" s="18">
        <f>+'JUN 06'!BU55</f>
        <v>1061203.2376361911</v>
      </c>
      <c r="BV5" s="18">
        <f>+'JUN 06'!BV55</f>
        <v>8025.4488600000004</v>
      </c>
      <c r="BW5" s="18">
        <f>+'JUN 06'!BW55</f>
        <v>397883.49299000081</v>
      </c>
      <c r="BX5" s="18">
        <f>+'JUN 06'!BX55</f>
        <v>12663.664475599246</v>
      </c>
      <c r="BY5" s="18">
        <f>+'JUN 06'!BY55</f>
        <v>-1706119.4590599998</v>
      </c>
      <c r="BZ5" s="18">
        <f>+'JUN 06'!BZ55</f>
        <v>-8748381.3458600119</v>
      </c>
      <c r="CA5" s="18">
        <f>+'JUN 06'!CA55</f>
        <v>-6997424.5644400064</v>
      </c>
      <c r="CB5" s="18">
        <f>+'JUN 06'!CB55</f>
        <v>18918.56624</v>
      </c>
      <c r="CC5" s="18">
        <f>+'JUN 06'!CC55</f>
        <v>905567.0501799999</v>
      </c>
      <c r="CD5" s="18">
        <f>+'JUN 06'!CD55</f>
        <v>0</v>
      </c>
      <c r="CE5" s="18">
        <f>+'JUN 06'!CE55</f>
        <v>28452.444999999996</v>
      </c>
      <c r="CF5" s="18">
        <f>+'JUN 06'!CF55</f>
        <v>696622.45958999998</v>
      </c>
      <c r="CG5" s="18">
        <f>+'JUN 06'!CG55</f>
        <v>194020.58999999994</v>
      </c>
      <c r="CH5" s="18">
        <f>+'JUN 06'!CH55</f>
        <v>2.9318200000000001</v>
      </c>
      <c r="CI5" s="18">
        <f>+'JUN 06'!CI55</f>
        <v>813161.95743999921</v>
      </c>
      <c r="CJ5" s="18">
        <f>+'JUN 06'!CJ55</f>
        <v>201938.84803999978</v>
      </c>
      <c r="CK5" s="18">
        <f>+'JUN 06'!CK55</f>
        <v>0</v>
      </c>
      <c r="CL5" s="18">
        <f>+'JUN 06'!CL55</f>
        <v>0</v>
      </c>
      <c r="CM5" s="18">
        <f>+'JUN 06'!CM55</f>
        <v>79545.207070000004</v>
      </c>
      <c r="CN5" s="18">
        <f>+'JUN 06'!CN55</f>
        <v>662749.23605000007</v>
      </c>
      <c r="CO5" s="18">
        <f>+'JUN 06'!CO55</f>
        <v>736446.43431999965</v>
      </c>
      <c r="CP5" s="18">
        <f>+'JUN 06'!CP55</f>
        <v>9152723.6727600005</v>
      </c>
      <c r="CQ5" s="18">
        <f>+'JUN 06'!CQ55</f>
        <v>377918.49939999997</v>
      </c>
      <c r="CR5" s="18">
        <f>+'JUN 06'!CR55</f>
        <v>877844.95927000046</v>
      </c>
      <c r="CS5" s="18">
        <f>+'JUN 06'!CS55</f>
        <v>5010.51</v>
      </c>
      <c r="CT5" s="18">
        <f>+'JUN 06'!CT55</f>
        <v>20511.762362899997</v>
      </c>
      <c r="CU5" s="18">
        <f>+'JUN 06'!CU55</f>
        <v>5010.51</v>
      </c>
      <c r="CV5" s="18">
        <f>+'JUN 06'!CV55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209955732.83877522</v>
      </c>
    </row>
    <row r="6" spans="1:101" s="20" customFormat="1" x14ac:dyDescent="0.3">
      <c r="A6" s="165"/>
      <c r="B6" s="19"/>
      <c r="C6" s="19" t="s">
        <v>91</v>
      </c>
      <c r="D6" s="19">
        <f>-152423.16+0.01</f>
        <v>-152423.15</v>
      </c>
      <c r="E6" s="19">
        <v>12340352</v>
      </c>
      <c r="F6" s="19">
        <v>24858082.649999999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-655033.98</v>
      </c>
      <c r="BZ6" s="19">
        <v>-8327981.9699999997</v>
      </c>
      <c r="CA6" s="19">
        <v>-4470567.97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350504.92281994515</v>
      </c>
      <c r="E8" s="18">
        <f t="shared" si="0"/>
        <v>27353648.363724448</v>
      </c>
      <c r="F8" s="18">
        <f t="shared" si="0"/>
        <v>32704239.927204393</v>
      </c>
      <c r="G8" s="18">
        <f t="shared" si="0"/>
        <v>0</v>
      </c>
      <c r="H8" s="18">
        <f t="shared" si="0"/>
        <v>0</v>
      </c>
      <c r="I8" s="18">
        <f t="shared" si="0"/>
        <v>133469.69891457897</v>
      </c>
      <c r="J8" s="18">
        <f t="shared" si="0"/>
        <v>0</v>
      </c>
      <c r="K8" s="18">
        <f t="shared" si="0"/>
        <v>278177.60913614288</v>
      </c>
      <c r="L8" s="18">
        <f t="shared" si="0"/>
        <v>301477.87134314363</v>
      </c>
      <c r="M8" s="18">
        <f t="shared" si="0"/>
        <v>114263.45787886553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15645266.380842714</v>
      </c>
      <c r="Q8" s="18">
        <f t="shared" si="0"/>
        <v>64753841.396044478</v>
      </c>
      <c r="R8" s="18">
        <f t="shared" si="0"/>
        <v>486632.45451000019</v>
      </c>
      <c r="S8" s="18">
        <f t="shared" si="0"/>
        <v>2008313.9119951269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21576152.436255224</v>
      </c>
      <c r="AM8" s="18">
        <f t="shared" si="0"/>
        <v>59751704.425795354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2357744.2128221639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203048.6377240069</v>
      </c>
      <c r="BB8" s="18">
        <f t="shared" si="0"/>
        <v>70314.577219991144</v>
      </c>
      <c r="BC8" s="18">
        <f t="shared" si="0"/>
        <v>268226.99884799868</v>
      </c>
      <c r="BD8" s="18">
        <f t="shared" si="0"/>
        <v>17137.878599989835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11912735.347522013</v>
      </c>
      <c r="BL8" s="18">
        <f t="shared" si="0"/>
        <v>113303.97170244606</v>
      </c>
      <c r="BM8" s="18">
        <f t="shared" si="0"/>
        <v>1074163.6408171637</v>
      </c>
      <c r="BN8" s="18">
        <f t="shared" si="0"/>
        <v>1223858.3359673813</v>
      </c>
      <c r="BO8" s="18">
        <f t="shared" si="0"/>
        <v>3.4691202304202307E-3</v>
      </c>
      <c r="BP8" s="18">
        <f t="shared" si="0"/>
        <v>209.2501593290655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258402.12493201916</v>
      </c>
      <c r="BU8" s="18">
        <f t="shared" si="1"/>
        <v>1061203.2376361911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-2361153.4390599998</v>
      </c>
      <c r="BZ8" s="18">
        <f t="shared" si="1"/>
        <v>-17076363.315860011</v>
      </c>
      <c r="CA8" s="18">
        <f t="shared" si="1"/>
        <v>-11467992.534440007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233548160.41877523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>
        <v>597.08254999999997</v>
      </c>
      <c r="L11" s="27">
        <f>4370456+255860.5+960056+955.33188</f>
        <v>5587327.8318800004</v>
      </c>
      <c r="M11" s="26">
        <f>25072+11317.5+7666.23652</f>
        <v>44055.736519999999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5631980.6509500006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>
        <v>37283.423419999999</v>
      </c>
      <c r="L12" s="27">
        <v>59653.399270000002</v>
      </c>
      <c r="M12" s="26">
        <v>68482.093420000005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165418.91610999999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>
        <v>-12136125.39099</v>
      </c>
      <c r="M19" s="28"/>
      <c r="N19" s="26"/>
      <c r="O19" s="26"/>
      <c r="P19" s="26">
        <v>-5000000</v>
      </c>
      <c r="Q19" s="26">
        <f>(P19*4138.72)/1000</f>
        <v>-20693600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-32829725.39099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>
        <v>-93100968</v>
      </c>
      <c r="M20" s="28">
        <v>-21743376</v>
      </c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-114844344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-81175057.259000003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-81175057.259000003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>
        <v>73601275</v>
      </c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73601275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28729764.952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28729764.952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>
        <v>81592197.349999994</v>
      </c>
      <c r="M24" s="28">
        <v>29917139.028999999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111509336.37899999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107000</v>
      </c>
      <c r="E27" s="28"/>
      <c r="F27" s="28"/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>
        <v>150000</v>
      </c>
      <c r="BZ27" s="26">
        <v>4600000</v>
      </c>
      <c r="CA27" s="26">
        <v>2700000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7557000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>
        <v>-10601000</v>
      </c>
      <c r="F28" s="28"/>
      <c r="G28" s="26"/>
      <c r="H28" s="26"/>
      <c r="I28" s="26"/>
      <c r="J28" s="26"/>
      <c r="K28" s="28"/>
      <c r="L28" s="27">
        <v>-2500000</v>
      </c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-13101000</v>
      </c>
    </row>
    <row r="29" spans="1:101" x14ac:dyDescent="0.3">
      <c r="A29" s="158"/>
      <c r="B29" s="24"/>
      <c r="C29" s="25" t="s">
        <v>116</v>
      </c>
      <c r="D29" s="26"/>
      <c r="E29" s="28"/>
      <c r="F29" s="28">
        <v>8043000</v>
      </c>
      <c r="G29" s="26"/>
      <c r="H29" s="26"/>
      <c r="I29" s="28"/>
      <c r="J29" s="26"/>
      <c r="K29" s="26"/>
      <c r="L29" s="28"/>
      <c r="M29" s="28">
        <v>-8043000</v>
      </c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>
        <v>-259992.25</v>
      </c>
      <c r="Q30" s="33">
        <f>(P30*4138.72)/1000</f>
        <v>-1076035.1249200001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-1076035.1249200001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720000+1140000</f>
        <v>1860000</v>
      </c>
      <c r="Q35" s="37">
        <f>(P35*4138.72)/1000</f>
        <v>7698019.2000000002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7698019.2000000002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f>-209350-217350</f>
        <v>-426700</v>
      </c>
      <c r="M38" s="38">
        <f>-86940-83740</f>
        <v>-170680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-597380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>
        <v>355.46262415056236</v>
      </c>
      <c r="Q39" s="37">
        <f>(P39*4138.72)/1000</f>
        <v>1471.1602718244155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1471.1602718244155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>
        <v>-10447.17424</v>
      </c>
      <c r="F40" s="43">
        <v>-113978.09709</v>
      </c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-124425.27132999999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>
        <v>-11578000</v>
      </c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>
        <v>2800000</v>
      </c>
      <c r="BU42" s="43">
        <v>11578000</v>
      </c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f>-5.185-0.01</f>
        <v>-5.1949999999999994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-2.5070000000000001</v>
      </c>
      <c r="BB50" s="48">
        <v>-0.86799999999999999</v>
      </c>
      <c r="BC50" s="48">
        <v>-3.3119999999999998</v>
      </c>
      <c r="BD50" s="48">
        <v>-0.21199999999999999</v>
      </c>
      <c r="BE50" s="48"/>
      <c r="BF50" s="48"/>
      <c r="BG50" s="48"/>
      <c r="BH50" s="48"/>
      <c r="BI50" s="48"/>
      <c r="BJ50" s="48"/>
      <c r="BK50" s="48"/>
      <c r="BL50" s="48">
        <f>-4.402-0.01</f>
        <v>-4.4119999999999999</v>
      </c>
      <c r="BM50" s="48">
        <v>-41.731000000000002</v>
      </c>
      <c r="BN50" s="48">
        <f>-47.547-0.01</f>
        <v>-47.556999999999995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-105.794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-3347.3820000000001</v>
      </c>
      <c r="F51" s="47">
        <v>-112.164</v>
      </c>
      <c r="G51" s="48"/>
      <c r="H51" s="48"/>
      <c r="I51" s="48"/>
      <c r="J51" s="48"/>
      <c r="K51" s="47"/>
      <c r="L51" s="47">
        <v>-215.66399999999999</v>
      </c>
      <c r="M51" s="47">
        <v>-157.00899999999999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-3832.2190000000001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74.075680000000006</v>
      </c>
      <c r="J52" s="48"/>
      <c r="K52" s="48"/>
      <c r="L52" s="47"/>
      <c r="M52" s="47"/>
      <c r="N52" s="48"/>
      <c r="O52" s="48"/>
      <c r="P52" s="48"/>
      <c r="Q52" s="48"/>
      <c r="R52" s="48">
        <v>111.09</v>
      </c>
      <c r="S52" s="48">
        <f>(R52*4138.72)/1000</f>
        <v>459.77040479999999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35.819000000000003</v>
      </c>
      <c r="BB52" s="48">
        <v>12.404</v>
      </c>
      <c r="BC52" s="48">
        <f>47.317+0.01</f>
        <v>47.326999999999998</v>
      </c>
      <c r="BD52" s="48">
        <f>3.023+0.01</f>
        <v>3.0329999999999999</v>
      </c>
      <c r="BE52" s="48"/>
      <c r="BF52" s="48"/>
      <c r="BG52" s="48"/>
      <c r="BH52" s="48"/>
      <c r="BI52" s="48"/>
      <c r="BJ52" s="48"/>
      <c r="BK52" s="48"/>
      <c r="BL52" s="48">
        <v>62.883699999999997</v>
      </c>
      <c r="BM52" s="48">
        <v>596.16090999999994</v>
      </c>
      <c r="BN52" s="48">
        <v>679.24149</v>
      </c>
      <c r="BO52" s="48"/>
      <c r="BP52" s="48">
        <f>142.4/1000</f>
        <v>0.1424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1970.8575847999998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f>(E10+E13+E16+E17+E33+E38+E47+E40+E51+E35)*4/1000</f>
        <v>-55.178224960000001</v>
      </c>
      <c r="F53" s="48">
        <f>(F10+F13+F16+F17+F33+F38+F47+F35)*4/1000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-1707.662656</v>
      </c>
      <c r="M53" s="47">
        <f>(M10+M13+M17+M33+M38+M40+M51+M36+M49+M16)*4/1000</f>
        <v>-683.34803599999998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-2446.1889169599999</v>
      </c>
    </row>
    <row r="54" spans="1:101" x14ac:dyDescent="0.3">
      <c r="C54" s="49" t="s">
        <v>141</v>
      </c>
      <c r="D54" s="50">
        <f t="shared" ref="D54:AM54" si="7">SUM(D9:D53)</f>
        <v>107000</v>
      </c>
      <c r="E54" s="50">
        <f t="shared" si="7"/>
        <v>-10614849.73446496</v>
      </c>
      <c r="F54" s="50">
        <f>SUM(F9:F53)</f>
        <v>-3649090.2610900002</v>
      </c>
      <c r="G54" s="50">
        <f t="shared" si="7"/>
        <v>0</v>
      </c>
      <c r="H54" s="50">
        <f t="shared" si="7"/>
        <v>0</v>
      </c>
      <c r="I54" s="50">
        <f t="shared" si="7"/>
        <v>68.880680000000012</v>
      </c>
      <c r="J54" s="50">
        <f t="shared" si="7"/>
        <v>0</v>
      </c>
      <c r="K54" s="50">
        <f t="shared" si="7"/>
        <v>37880.505969999998</v>
      </c>
      <c r="L54" s="51">
        <f t="shared" si="7"/>
        <v>229444.55650399509</v>
      </c>
      <c r="M54" s="50">
        <f t="shared" si="7"/>
        <v>71780.501903997851</v>
      </c>
      <c r="N54" s="50">
        <f t="shared" si="7"/>
        <v>0</v>
      </c>
      <c r="O54" s="50">
        <f t="shared" si="7"/>
        <v>0</v>
      </c>
      <c r="P54" s="50">
        <f t="shared" si="7"/>
        <v>-3399636.7873758492</v>
      </c>
      <c r="Q54" s="50">
        <f t="shared" si="7"/>
        <v>-14070144.764648175</v>
      </c>
      <c r="R54" s="50">
        <f t="shared" si="7"/>
        <v>111.09</v>
      </c>
      <c r="S54" s="50">
        <f t="shared" si="7"/>
        <v>459.77040479999999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33.312000000000005</v>
      </c>
      <c r="BB54" s="50">
        <f t="shared" si="8"/>
        <v>11.536</v>
      </c>
      <c r="BC54" s="50">
        <f t="shared" si="8"/>
        <v>44.015000000000001</v>
      </c>
      <c r="BD54" s="50">
        <f t="shared" si="8"/>
        <v>2.8209999999999997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58.471699999999998</v>
      </c>
      <c r="BM54" s="50">
        <f t="shared" si="8"/>
        <v>554.42990999999995</v>
      </c>
      <c r="BN54" s="50">
        <f t="shared" si="8"/>
        <v>631.68448999999998</v>
      </c>
      <c r="BO54" s="50">
        <f t="shared" si="8"/>
        <v>0</v>
      </c>
      <c r="BP54" s="50">
        <f t="shared" si="8"/>
        <v>0.1424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2800000</v>
      </c>
      <c r="BU54" s="50">
        <f t="shared" si="8"/>
        <v>11578000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150000</v>
      </c>
      <c r="BZ54" s="50">
        <f>SUM(BZ9:BZ53)</f>
        <v>4600000</v>
      </c>
      <c r="CA54" s="50">
        <f t="shared" si="8"/>
        <v>2700000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-8858114.1322403438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457504.92281994515</v>
      </c>
      <c r="E55" s="55">
        <f t="shared" si="9"/>
        <v>16738798.629259488</v>
      </c>
      <c r="F55" s="55">
        <f>+F8+F54</f>
        <v>29055149.666114394</v>
      </c>
      <c r="G55" s="55">
        <f t="shared" si="9"/>
        <v>0</v>
      </c>
      <c r="H55" s="55">
        <f t="shared" si="9"/>
        <v>0</v>
      </c>
      <c r="I55" s="55">
        <f t="shared" si="9"/>
        <v>133538.57959457897</v>
      </c>
      <c r="J55" s="55">
        <f t="shared" si="9"/>
        <v>0</v>
      </c>
      <c r="K55" s="55">
        <f t="shared" si="9"/>
        <v>316058.11510614288</v>
      </c>
      <c r="L55" s="55">
        <f t="shared" si="9"/>
        <v>530922.42784713872</v>
      </c>
      <c r="M55" s="55">
        <f t="shared" si="9"/>
        <v>186043.95978286339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12245629.593466865</v>
      </c>
      <c r="Q55" s="55">
        <f t="shared" si="9"/>
        <v>50683696.631396301</v>
      </c>
      <c r="R55" s="55">
        <f t="shared" si="9"/>
        <v>486743.54451000021</v>
      </c>
      <c r="S55" s="55">
        <f t="shared" si="9"/>
        <v>2008773.6823999269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21576152.436255224</v>
      </c>
      <c r="AM55" s="55">
        <f t="shared" si="9"/>
        <v>59751704.425795354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2357744.2128221639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203081.9497240069</v>
      </c>
      <c r="BB55" s="55">
        <f t="shared" si="9"/>
        <v>70326.113219991137</v>
      </c>
      <c r="BC55" s="55">
        <f t="shared" si="9"/>
        <v>268271.01384799869</v>
      </c>
      <c r="BD55" s="55">
        <f t="shared" si="9"/>
        <v>17140.699599989835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11912735.347522013</v>
      </c>
      <c r="BL55" s="55">
        <f t="shared" si="9"/>
        <v>113362.44340244605</v>
      </c>
      <c r="BM55" s="55">
        <f t="shared" si="9"/>
        <v>1074718.0707271637</v>
      </c>
      <c r="BN55" s="55">
        <f t="shared" si="9"/>
        <v>1224490.0204573811</v>
      </c>
      <c r="BO55" s="55">
        <f t="shared" si="9"/>
        <v>3.4691202304202307E-3</v>
      </c>
      <c r="BP55" s="55">
        <f t="shared" si="9"/>
        <v>209.39255932906551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3058402.124932019</v>
      </c>
      <c r="BU55" s="55">
        <f t="shared" si="10"/>
        <v>12639203.237636192</v>
      </c>
      <c r="BV55" s="55">
        <f t="shared" si="10"/>
        <v>8025.4488600000004</v>
      </c>
      <c r="BW55" s="55">
        <f t="shared" si="10"/>
        <v>397883.49299000081</v>
      </c>
      <c r="BX55" s="55">
        <f t="shared" si="10"/>
        <v>12663.664475599246</v>
      </c>
      <c r="BY55" s="55">
        <f t="shared" si="10"/>
        <v>-2211153.4390599998</v>
      </c>
      <c r="BZ55" s="55">
        <f t="shared" si="10"/>
        <v>-12476363.315860011</v>
      </c>
      <c r="CA55" s="55">
        <f t="shared" si="10"/>
        <v>-8767992.5344400071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877844.95927000046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224690046.28653485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67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67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67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  <c r="CK59" s="70"/>
    </row>
    <row r="60" spans="1:101" x14ac:dyDescent="0.3">
      <c r="C60" s="81" t="s">
        <v>148</v>
      </c>
      <c r="D60" s="82">
        <f>SUM(D61:D72)</f>
        <v>227196247.05833182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  <c r="CK60" s="70"/>
    </row>
    <row r="61" spans="1:101" ht="15" customHeight="1" x14ac:dyDescent="0.3">
      <c r="B61" s="157" t="s">
        <v>94</v>
      </c>
      <c r="C61" s="86" t="s">
        <v>150</v>
      </c>
      <c r="D61" s="87">
        <f>CW18+CW23</f>
        <v>28729764.952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58"/>
      <c r="BY61" s="58"/>
      <c r="BZ61" s="56"/>
      <c r="CA61" s="58"/>
      <c r="CD61" s="58"/>
    </row>
    <row r="62" spans="1:101" x14ac:dyDescent="0.3">
      <c r="B62" s="157"/>
      <c r="C62" s="86" t="s">
        <v>152</v>
      </c>
      <c r="D62" s="87">
        <f>CW11+CW15</f>
        <v>5631980.6509500006</v>
      </c>
      <c r="E62" s="67">
        <v>12024.05912</v>
      </c>
      <c r="F62" s="88" t="s">
        <v>153</v>
      </c>
      <c r="G62" s="90">
        <f>P55</f>
        <v>12245629.593466865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7557000</v>
      </c>
      <c r="E63" s="67" t="s">
        <v>204</v>
      </c>
      <c r="F63" s="88" t="s">
        <v>155</v>
      </c>
      <c r="G63" s="90">
        <f>R55</f>
        <v>486743.54451000021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111674755.29510999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73601275</v>
      </c>
      <c r="E65" s="67" t="s">
        <v>204</v>
      </c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316058115.10614288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530922427.8471387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186043959.78286338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1471.1602718244155</v>
      </c>
      <c r="E70" s="70" t="s">
        <v>204</v>
      </c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-243747967.04624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-147674069.39098999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-81175057.259000003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-13101000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-1076035.1249200001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-597380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-124425.27132999999</v>
      </c>
      <c r="E82" s="70" t="s">
        <v>204</v>
      </c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203048.6377240069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35.819000000000003</v>
      </c>
      <c r="L92" s="138">
        <f>BA50+BA51+BA53+BA40+BA42+BA43+BA45</f>
        <v>-2.5070000000000001</v>
      </c>
      <c r="M92" s="139">
        <f t="shared" si="11"/>
        <v>203081.94972400687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268226.99884799868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47.326999999999998</v>
      </c>
      <c r="L98" s="138">
        <f>BC50+BC51+BC53+BC40+BC42+BC43+BC45</f>
        <v>-3.3119999999999998</v>
      </c>
      <c r="M98" s="139">
        <f t="shared" si="11"/>
        <v>268271.01384799869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70314.577219991144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12.404</v>
      </c>
      <c r="L99" s="138">
        <f>BB50+BB51+BB53+BB40+BB42+BB43+BB45</f>
        <v>-0.86799999999999999</v>
      </c>
      <c r="M99" s="139">
        <f t="shared" si="11"/>
        <v>70326.113219991137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17137.878599989835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3.0329999999999999</v>
      </c>
      <c r="L104" s="138">
        <f>BD50+BD51+BD53+BD40+BD42+BD43+BD45</f>
        <v>-0.21199999999999999</v>
      </c>
      <c r="M104" s="139">
        <f t="shared" si="11"/>
        <v>17140.699599989835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606142.5827596793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35.819000000000003</v>
      </c>
      <c r="L108" s="97">
        <f t="shared" si="12"/>
        <v>-2.5070000000000001</v>
      </c>
      <c r="M108" s="97">
        <f t="shared" si="12"/>
        <v>606175.89475967933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1188137.5929507432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59.730999999999995</v>
      </c>
      <c r="L109" s="97">
        <f t="shared" si="13"/>
        <v>-4.18</v>
      </c>
      <c r="M109" s="97">
        <f t="shared" si="13"/>
        <v>1188193.1439507431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382596.68235742819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3.0329999999999999</v>
      </c>
      <c r="L110" s="97">
        <f t="shared" si="14"/>
        <v>-0.21199999999999999</v>
      </c>
      <c r="M110" s="97">
        <f t="shared" si="14"/>
        <v>382599.50335742824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  <mergeCell ref="A9:A29"/>
    <mergeCell ref="D1:BK1"/>
    <mergeCell ref="BL1:BN1"/>
    <mergeCell ref="BR1:CJ1"/>
    <mergeCell ref="CW2:CW4"/>
    <mergeCell ref="A5:A8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0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09'!D55</f>
        <v>457504.92281994515</v>
      </c>
      <c r="E5" s="18">
        <f>'JUN 09'!E55</f>
        <v>16738798.629259488</v>
      </c>
      <c r="F5" s="18">
        <f>'JUN 09'!F55</f>
        <v>29055149.666114394</v>
      </c>
      <c r="G5" s="18">
        <f>'JUN 09'!G55</f>
        <v>0</v>
      </c>
      <c r="H5" s="18">
        <f>'JUN 09'!H55</f>
        <v>0</v>
      </c>
      <c r="I5" s="18">
        <f>'JUN 09'!I55</f>
        <v>133538.57959457897</v>
      </c>
      <c r="J5" s="18">
        <f>'JUN 09'!J55</f>
        <v>0</v>
      </c>
      <c r="K5" s="18">
        <f>'JUN 09'!K55</f>
        <v>316058.11510614288</v>
      </c>
      <c r="L5" s="18">
        <f>'JUN 09'!L55</f>
        <v>530922.42784713872</v>
      </c>
      <c r="M5" s="18">
        <f>'JUN 09'!M55</f>
        <v>186043.95978286339</v>
      </c>
      <c r="N5" s="18">
        <f>'JUN 09'!N55</f>
        <v>177265.5199999999</v>
      </c>
      <c r="O5" s="18">
        <f>'JUN 09'!O55</f>
        <v>735425.00813439966</v>
      </c>
      <c r="P5" s="18">
        <f>'JUN 09'!P55</f>
        <v>12245629.593466865</v>
      </c>
      <c r="Q5" s="18">
        <f>'JUN 09'!Q55</f>
        <v>50683696.631396301</v>
      </c>
      <c r="R5" s="18">
        <f>'JUN 09'!R55</f>
        <v>486743.54451000021</v>
      </c>
      <c r="S5" s="18">
        <f>'JUN 09'!S55</f>
        <v>2008773.6823999269</v>
      </c>
      <c r="T5" s="18">
        <f>'JUN 09'!T55</f>
        <v>0</v>
      </c>
      <c r="U5" s="18">
        <f>'JUN 09'!U55</f>
        <v>0</v>
      </c>
      <c r="V5" s="18">
        <f>'JUN 09'!V55</f>
        <v>0</v>
      </c>
      <c r="W5" s="18">
        <f>'JUN 09'!W55</f>
        <v>0</v>
      </c>
      <c r="X5" s="18">
        <f>'JUN 09'!X55</f>
        <v>0</v>
      </c>
      <c r="Y5" s="18">
        <f>'JUN 09'!Y55</f>
        <v>0</v>
      </c>
      <c r="Z5" s="18">
        <f>'JUN 09'!Z55</f>
        <v>9662.5274983807467</v>
      </c>
      <c r="AA5" s="18">
        <f>'JUN 09'!AA55</f>
        <v>40087.12108308218</v>
      </c>
      <c r="AB5" s="18">
        <f>'JUN 09'!AB55</f>
        <v>7542.7499999967404</v>
      </c>
      <c r="AC5" s="18">
        <f>'JUN 09'!AC55</f>
        <v>31292.757779986478</v>
      </c>
      <c r="AD5" s="18">
        <f>'JUN 09'!AD55</f>
        <v>5155</v>
      </c>
      <c r="AE5" s="18">
        <f>'JUN 09'!AE55</f>
        <v>21386.651600000001</v>
      </c>
      <c r="AF5" s="18">
        <f>'JUN 09'!AF55</f>
        <v>7956.8699999451637</v>
      </c>
      <c r="AG5" s="18">
        <f>'JUN 09'!AG55</f>
        <v>33010.825706172502</v>
      </c>
      <c r="AH5" s="18">
        <f>'JUN 09'!AH55</f>
        <v>118215.98999999718</v>
      </c>
      <c r="AI5" s="18">
        <f>'JUN 09'!AI55</f>
        <v>490445.04203278833</v>
      </c>
      <c r="AJ5" s="18">
        <f>'JUN 09'!AJ55</f>
        <v>674466.83999999822</v>
      </c>
      <c r="AK5" s="18">
        <f>'JUN 09'!AK55</f>
        <v>2798174.0684447926</v>
      </c>
      <c r="AL5" s="18">
        <f>'JUN 09'!AL55</f>
        <v>21576152.436255224</v>
      </c>
      <c r="AM5" s="18">
        <f>'JUN 09'!AM55</f>
        <v>59751704.425795354</v>
      </c>
      <c r="AN5" s="18">
        <f>'JUN 09'!AN55</f>
        <v>6276507.6901499992</v>
      </c>
      <c r="AO5" s="18">
        <f>'JUN 09'!AO55</f>
        <v>1091269.40043144</v>
      </c>
      <c r="AP5" s="18">
        <f>'JUN 09'!AP55</f>
        <v>5285267.3108801506</v>
      </c>
      <c r="AQ5" s="18">
        <f>'JUN 09'!AQ55</f>
        <v>2357744.2128221639</v>
      </c>
      <c r="AR5" s="18">
        <f>'JUN 09'!AR55</f>
        <v>33846.145451993005</v>
      </c>
      <c r="AS5" s="18">
        <f>'JUN 09'!AS55</f>
        <v>6.2909079996137462</v>
      </c>
      <c r="AT5" s="18">
        <f>'JUN 09'!AT55</f>
        <v>11.244432002509914</v>
      </c>
      <c r="AU5" s="18">
        <f>'JUN 09'!AU55</f>
        <v>70745.806203997287</v>
      </c>
      <c r="AV5" s="18">
        <f>'JUN 09'!AV55</f>
        <v>525146.68653480266</v>
      </c>
      <c r="AW5" s="18">
        <f>'JUN 09'!AW55</f>
        <v>86119.091979996796</v>
      </c>
      <c r="AX5" s="18">
        <f>'JUN 09'!AX55</f>
        <v>1047.2966740010875</v>
      </c>
      <c r="AY5" s="18">
        <f>'JUN 09'!AY55</f>
        <v>61411.100279998158</v>
      </c>
      <c r="AZ5" s="18">
        <f>'JUN 09'!AZ55</f>
        <v>23389.865177323234</v>
      </c>
      <c r="BA5" s="18">
        <f>'JUN 09'!BA55</f>
        <v>203081.9497240069</v>
      </c>
      <c r="BB5" s="18">
        <f>'JUN 09'!BB55</f>
        <v>70326.113219991137</v>
      </c>
      <c r="BC5" s="18">
        <f>'JUN 09'!BC55</f>
        <v>268271.01384799869</v>
      </c>
      <c r="BD5" s="18">
        <f>'JUN 09'!BD55</f>
        <v>17140.699599989835</v>
      </c>
      <c r="BE5" s="18">
        <f>'JUN 09'!BE55</f>
        <v>256596.93928368055</v>
      </c>
      <c r="BF5" s="18">
        <f>'JUN 09'!BF55</f>
        <v>321963.21571035992</v>
      </c>
      <c r="BG5" s="18">
        <f>'JUN 09'!BG55</f>
        <v>35109.526218882762</v>
      </c>
      <c r="BH5" s="18">
        <f>'JUN 09'!BH55</f>
        <v>26531.768320002102</v>
      </c>
      <c r="BI5" s="18">
        <f>'JUN 09'!BI55</f>
        <v>526567.9691583903</v>
      </c>
      <c r="BJ5" s="18">
        <f>'JUN 09'!BJ55</f>
        <v>198192.37105456018</v>
      </c>
      <c r="BK5" s="18">
        <f>'JUN 09'!BK55</f>
        <v>11912735.347522013</v>
      </c>
      <c r="BL5" s="18">
        <f>'JUN 09'!BL55</f>
        <v>113362.44340244605</v>
      </c>
      <c r="BM5" s="18">
        <f>'JUN 09'!BM55</f>
        <v>1074718.0707271637</v>
      </c>
      <c r="BN5" s="18">
        <f>'JUN 09'!BN55</f>
        <v>1224490.0204573811</v>
      </c>
      <c r="BO5" s="18">
        <f>'JUN 09'!BO55</f>
        <v>3.4691202304202307E-3</v>
      </c>
      <c r="BP5" s="18">
        <f>'JUN 09'!BP55</f>
        <v>209.39255932906551</v>
      </c>
      <c r="BQ5" s="18">
        <f>'JUN 09'!BQ55</f>
        <v>4.0128798844989433E-3</v>
      </c>
      <c r="BR5" s="18">
        <f>'JUN 09'!BR55</f>
        <v>645484.5260000031</v>
      </c>
      <c r="BS5" s="18">
        <f>'JUN 09'!BS55</f>
        <v>2650869.4086606889</v>
      </c>
      <c r="BT5" s="18">
        <f>'JUN 09'!BT55</f>
        <v>3058402.124932019</v>
      </c>
      <c r="BU5" s="18">
        <f>'JUN 09'!BU55</f>
        <v>12639203.237636192</v>
      </c>
      <c r="BV5" s="18">
        <f>'JUN 09'!BV55</f>
        <v>8025.4488600000004</v>
      </c>
      <c r="BW5" s="18">
        <f>'JUN 09'!BW55</f>
        <v>397883.49299000081</v>
      </c>
      <c r="BX5" s="18">
        <f>'JUN 09'!BX55</f>
        <v>12663.664475599246</v>
      </c>
      <c r="BY5" s="18">
        <f>'JUN 09'!BY55</f>
        <v>-2211153.4390599998</v>
      </c>
      <c r="BZ5" s="18">
        <f>'JUN 09'!BZ55</f>
        <v>-12476363.315860011</v>
      </c>
      <c r="CA5" s="18">
        <f>'JUN 09'!CA55</f>
        <v>-8767992.5344400071</v>
      </c>
      <c r="CB5" s="18">
        <f>'JUN 09'!CB55</f>
        <v>18918.56624</v>
      </c>
      <c r="CC5" s="18">
        <f>'JUN 09'!CC55</f>
        <v>905567.0501799999</v>
      </c>
      <c r="CD5" s="18">
        <f>'JUN 09'!CD55</f>
        <v>0</v>
      </c>
      <c r="CE5" s="18">
        <f>'JUN 09'!CE55</f>
        <v>28452.444999999996</v>
      </c>
      <c r="CF5" s="18">
        <f>'JUN 09'!CF55</f>
        <v>696622.45958999998</v>
      </c>
      <c r="CG5" s="18">
        <f>'JUN 09'!CG55</f>
        <v>194020.58999999994</v>
      </c>
      <c r="CH5" s="18">
        <f>'JUN 09'!CH55</f>
        <v>2.9318200000000001</v>
      </c>
      <c r="CI5" s="18">
        <f>'JUN 09'!CI55</f>
        <v>813161.95743999921</v>
      </c>
      <c r="CJ5" s="18">
        <f>'JUN 09'!CJ55</f>
        <v>201938.84803999978</v>
      </c>
      <c r="CK5" s="18">
        <f>'JUN 09'!CK55</f>
        <v>0</v>
      </c>
      <c r="CL5" s="18">
        <f>'JUN 09'!CL55</f>
        <v>0</v>
      </c>
      <c r="CM5" s="18">
        <f>'JUN 09'!CM55</f>
        <v>79545.207070000004</v>
      </c>
      <c r="CN5" s="18">
        <f>'JUN 09'!CN55</f>
        <v>662749.23605000007</v>
      </c>
      <c r="CO5" s="18">
        <f>'JUN 09'!CO55</f>
        <v>736446.43431999965</v>
      </c>
      <c r="CP5" s="18">
        <f>'JUN 09'!CP55</f>
        <v>9152723.6727600005</v>
      </c>
      <c r="CQ5" s="18">
        <f>'JUN 09'!CQ55</f>
        <v>377918.49939999997</v>
      </c>
      <c r="CR5" s="18">
        <f>'JUN 09'!CR55</f>
        <v>877844.95927000046</v>
      </c>
      <c r="CS5" s="18">
        <f>'JUN 09'!CS55</f>
        <v>5010.51</v>
      </c>
      <c r="CT5" s="18">
        <f>'JUN 09'!CT55</f>
        <v>20511.762362899997</v>
      </c>
      <c r="CU5" s="18">
        <f>'JUN 09'!CU55</f>
        <v>5010.51</v>
      </c>
      <c r="CV5" s="18">
        <f>'JUN 09'!CV55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224690046.28653485</v>
      </c>
    </row>
    <row r="6" spans="1:101" s="20" customFormat="1" x14ac:dyDescent="0.3">
      <c r="A6" s="165"/>
      <c r="B6" s="19"/>
      <c r="C6" s="19" t="s">
        <v>91</v>
      </c>
      <c r="D6" s="19">
        <f>15815.18-0.01</f>
        <v>15815.17</v>
      </c>
      <c r="E6" s="19">
        <v>9238541.0500000007</v>
      </c>
      <c r="F6" s="19">
        <v>5275463.4000000004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-619898.93000000005</v>
      </c>
      <c r="BZ6" s="19">
        <v>-6424256.2800000003</v>
      </c>
      <c r="CA6" s="19">
        <v>-3178798.62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473320.09281994513</v>
      </c>
      <c r="E8" s="18">
        <f t="shared" si="0"/>
        <v>25977339.679259486</v>
      </c>
      <c r="F8" s="18">
        <f t="shared" si="0"/>
        <v>34330613.066114396</v>
      </c>
      <c r="G8" s="18">
        <f t="shared" si="0"/>
        <v>0</v>
      </c>
      <c r="H8" s="18">
        <f t="shared" si="0"/>
        <v>0</v>
      </c>
      <c r="I8" s="18">
        <f t="shared" si="0"/>
        <v>133538.57959457897</v>
      </c>
      <c r="J8" s="18">
        <f t="shared" si="0"/>
        <v>0</v>
      </c>
      <c r="K8" s="18">
        <f t="shared" si="0"/>
        <v>316058.11510614288</v>
      </c>
      <c r="L8" s="18">
        <f t="shared" si="0"/>
        <v>530922.42784713872</v>
      </c>
      <c r="M8" s="18">
        <f t="shared" si="0"/>
        <v>186043.95978286339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12245629.593466865</v>
      </c>
      <c r="Q8" s="18">
        <f t="shared" si="0"/>
        <v>50683696.631396301</v>
      </c>
      <c r="R8" s="18">
        <f t="shared" si="0"/>
        <v>486743.54451000021</v>
      </c>
      <c r="S8" s="18">
        <f t="shared" si="0"/>
        <v>2008773.6823999269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21576152.436255224</v>
      </c>
      <c r="AM8" s="18">
        <f t="shared" si="0"/>
        <v>59751704.425795354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2357744.2128221639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203081.9497240069</v>
      </c>
      <c r="BB8" s="18">
        <f t="shared" si="0"/>
        <v>70326.113219991137</v>
      </c>
      <c r="BC8" s="18">
        <f t="shared" si="0"/>
        <v>268271.01384799869</v>
      </c>
      <c r="BD8" s="18">
        <f t="shared" si="0"/>
        <v>17140.699599989835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11912735.347522013</v>
      </c>
      <c r="BL8" s="18">
        <f t="shared" si="0"/>
        <v>113362.44340244605</v>
      </c>
      <c r="BM8" s="18">
        <f t="shared" si="0"/>
        <v>1074718.0707271637</v>
      </c>
      <c r="BN8" s="18">
        <f t="shared" si="0"/>
        <v>1224490.0204573811</v>
      </c>
      <c r="BO8" s="18">
        <f t="shared" si="0"/>
        <v>3.4691202304202307E-3</v>
      </c>
      <c r="BP8" s="18">
        <f t="shared" si="0"/>
        <v>209.39255932906551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3058402.124932019</v>
      </c>
      <c r="BU8" s="18">
        <f t="shared" si="1"/>
        <v>12639203.237636192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-2831052.3690599999</v>
      </c>
      <c r="BZ8" s="18">
        <f t="shared" si="1"/>
        <v>-18900619.595860012</v>
      </c>
      <c r="CA8" s="18">
        <f t="shared" si="1"/>
        <v>-11946791.154440008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228996912.07653484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344414+219820.5</f>
        <v>564234.5</v>
      </c>
      <c r="M11" s="26"/>
      <c r="N11" s="26"/>
      <c r="O11" s="26"/>
      <c r="P11" s="26">
        <v>4200</v>
      </c>
      <c r="Q11" s="26">
        <f>(P11*4138.53)/1000</f>
        <v>17381.826000000001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8">
        <v>237386.34899999999</v>
      </c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819002.67500000005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>
        <v>5000000</v>
      </c>
      <c r="Q12" s="26">
        <f>(P12*4138.53)/1000</f>
        <v>20692650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20692650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8">
        <v>-237386.34899999999</v>
      </c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-237386.34899999999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v>-5000000</v>
      </c>
      <c r="Q19" s="26">
        <f>(P19*4138.53)/1000</f>
        <v>-20692650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-20692650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>
        <v>-63325705</v>
      </c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-63325705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-79770911.599000007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-79770911.599000007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63822079.741999999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63822079.741999999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>
        <v>78838844.631999999</v>
      </c>
      <c r="M24" s="28">
        <v>21748646.795000002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100587491.427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/>
      <c r="E27" s="28"/>
      <c r="F27" s="28"/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2700000</v>
      </c>
      <c r="CA27" s="26">
        <v>1100000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3800000</v>
      </c>
    </row>
    <row r="28" spans="1:101" x14ac:dyDescent="0.3">
      <c r="A28" s="158"/>
      <c r="B28" s="24" t="s">
        <v>97</v>
      </c>
      <c r="C28" s="25" t="s">
        <v>115</v>
      </c>
      <c r="D28" s="26">
        <v>-3000</v>
      </c>
      <c r="E28" s="26">
        <v>-11418000</v>
      </c>
      <c r="F28" s="28">
        <f>-10033000-18000000</f>
        <v>-28033000</v>
      </c>
      <c r="G28" s="26"/>
      <c r="H28" s="26"/>
      <c r="I28" s="26"/>
      <c r="J28" s="26"/>
      <c r="K28" s="28"/>
      <c r="L28" s="27"/>
      <c r="M28" s="26">
        <f>-1700000-20000000</f>
        <v>-21700000</v>
      </c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-61154000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-1220000-940000-1710000</f>
        <v>-3870000</v>
      </c>
      <c r="Q35" s="37">
        <f>(P35*4138.53)/1000</f>
        <v>-16016111.099999998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-16016111.099999998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f>-227450-47700</f>
        <v>-275150</v>
      </c>
      <c r="M38" s="38">
        <v>-31800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-306950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-1.7290000000000001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-2.508</v>
      </c>
      <c r="BB50" s="48">
        <v>-0.86799999999999999</v>
      </c>
      <c r="BC50" s="48">
        <v>-3.3130000000000002</v>
      </c>
      <c r="BD50" s="48">
        <v>-0.21199999999999999</v>
      </c>
      <c r="BE50" s="48"/>
      <c r="BF50" s="48"/>
      <c r="BG50" s="48"/>
      <c r="BH50" s="48"/>
      <c r="BI50" s="48"/>
      <c r="BJ50" s="48"/>
      <c r="BK50" s="48"/>
      <c r="BL50" s="48">
        <v>-1.468</v>
      </c>
      <c r="BM50" s="48">
        <v>-13.914999999999999</v>
      </c>
      <c r="BN50" s="48">
        <v>-15.853999999999999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-39.866999999999997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-1084.0940000000001</v>
      </c>
      <c r="F51" s="47">
        <f>-31.264-0.01</f>
        <v>-31.274000000000001</v>
      </c>
      <c r="G51" s="48"/>
      <c r="H51" s="48"/>
      <c r="I51" s="48"/>
      <c r="J51" s="48"/>
      <c r="K51" s="47">
        <f>-2997.908-569.603+0.01</f>
        <v>-3567.5009999999997</v>
      </c>
      <c r="L51" s="47">
        <f>-53.681-2997.908-569.603</f>
        <v>-3621.192</v>
      </c>
      <c r="M51" s="47">
        <f>-16.517-911.222-173.132</f>
        <v>-1100.8710000000001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-9404.9320000000007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f>24.70039-22.93</f>
        <v>1.770389999999999</v>
      </c>
      <c r="J52" s="48"/>
      <c r="K52" s="48"/>
      <c r="L52" s="47"/>
      <c r="M52" s="47"/>
      <c r="N52" s="48"/>
      <c r="O52" s="48"/>
      <c r="P52" s="48"/>
      <c r="Q52" s="48"/>
      <c r="R52" s="48">
        <v>37.04</v>
      </c>
      <c r="S52" s="48">
        <f>(R52*4138.53)/1000</f>
        <v>153.2911512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35.825000000000003</v>
      </c>
      <c r="BB52" s="48">
        <v>12.406000000000001</v>
      </c>
      <c r="BC52" s="48">
        <v>47.323999999999998</v>
      </c>
      <c r="BD52" s="48">
        <v>3.024</v>
      </c>
      <c r="BE52" s="48"/>
      <c r="BF52" s="48"/>
      <c r="BG52" s="48"/>
      <c r="BH52" s="48"/>
      <c r="BI52" s="48"/>
      <c r="BJ52" s="48"/>
      <c r="BK52" s="48"/>
      <c r="BL52" s="48">
        <f>20.96845-19.47</f>
        <v>1.4984500000000018</v>
      </c>
      <c r="BM52" s="48">
        <f>198.78869-184.58</f>
        <v>14.20868999999999</v>
      </c>
      <c r="BN52" s="48">
        <f>226.49174-210.31</f>
        <v>16.181739999999991</v>
      </c>
      <c r="BO52" s="48"/>
      <c r="BP52" s="48">
        <f>47.48/1000+47.3</f>
        <v>47.347479999999997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332.87690120000002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f>(E10+E13+E16+E17+E33+E38+E47+E40+E51+E35)*4/1000</f>
        <v>-4.3363760000000005</v>
      </c>
      <c r="F53" s="48">
        <f>(F10+F13+F16+F17+F33+F38+F47+F40+F35)*4/1000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-14.270003999999998</v>
      </c>
      <c r="L53" s="47">
        <f>(L10+L13+L17+L33+L38+L40+L51+L36+L49)*4/1000</f>
        <v>-1115.0847679999999</v>
      </c>
      <c r="M53" s="47">
        <f>(M10+M13+M17+M33+M38+M40+M51+M36+M49+M16)*4/1000</f>
        <v>-131.60348400000001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-949.54539599999998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-2214.8400279999996</v>
      </c>
    </row>
    <row r="54" spans="1:101" x14ac:dyDescent="0.3">
      <c r="C54" s="49" t="s">
        <v>141</v>
      </c>
      <c r="D54" s="50">
        <f t="shared" ref="D54:AM54" si="7">SUM(D9:D53)</f>
        <v>-3000</v>
      </c>
      <c r="E54" s="50">
        <f t="shared" si="7"/>
        <v>-11419088.430376001</v>
      </c>
      <c r="F54" s="50">
        <f>SUM(F9:F53)</f>
        <v>-28033031.274</v>
      </c>
      <c r="G54" s="50">
        <f t="shared" si="7"/>
        <v>0</v>
      </c>
      <c r="H54" s="50">
        <f t="shared" si="7"/>
        <v>0</v>
      </c>
      <c r="I54" s="50">
        <f t="shared" si="7"/>
        <v>4.1389999999998928E-2</v>
      </c>
      <c r="J54" s="50">
        <f t="shared" si="7"/>
        <v>0</v>
      </c>
      <c r="K54" s="50">
        <f t="shared" si="7"/>
        <v>-3581.7710039999997</v>
      </c>
      <c r="L54" s="51">
        <f t="shared" si="7"/>
        <v>-151344.00176800895</v>
      </c>
      <c r="M54" s="50">
        <f t="shared" si="7"/>
        <v>15614.32051600179</v>
      </c>
      <c r="N54" s="50">
        <f t="shared" si="7"/>
        <v>0</v>
      </c>
      <c r="O54" s="50">
        <f t="shared" si="7"/>
        <v>0</v>
      </c>
      <c r="P54" s="50">
        <f t="shared" si="7"/>
        <v>-3865800</v>
      </c>
      <c r="Q54" s="50">
        <f t="shared" si="7"/>
        <v>-15998729.273999996</v>
      </c>
      <c r="R54" s="50">
        <f t="shared" si="7"/>
        <v>37.04</v>
      </c>
      <c r="S54" s="50">
        <f t="shared" si="7"/>
        <v>153.2911512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237386.34899999999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-238335.89439599999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33.317</v>
      </c>
      <c r="BB54" s="50">
        <f t="shared" si="8"/>
        <v>11.538</v>
      </c>
      <c r="BC54" s="50">
        <f t="shared" si="8"/>
        <v>44.010999999999996</v>
      </c>
      <c r="BD54" s="50">
        <f t="shared" si="8"/>
        <v>2.8119999999999998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3.0450000000001864E-2</v>
      </c>
      <c r="BM54" s="50">
        <f t="shared" si="8"/>
        <v>0.2936899999999909</v>
      </c>
      <c r="BN54" s="50">
        <f t="shared" si="8"/>
        <v>0.32773999999999148</v>
      </c>
      <c r="BO54" s="50">
        <f t="shared" si="8"/>
        <v>0</v>
      </c>
      <c r="BP54" s="50">
        <f t="shared" si="8"/>
        <v>47.347479999999997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2700000</v>
      </c>
      <c r="CA54" s="50">
        <f t="shared" si="8"/>
        <v>1100000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-51793816.966126785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470320.09281994513</v>
      </c>
      <c r="E55" s="55">
        <f t="shared" si="9"/>
        <v>14558251.248883486</v>
      </c>
      <c r="F55" s="55">
        <f>+F8+F54</f>
        <v>6297581.7921143956</v>
      </c>
      <c r="G55" s="55">
        <f t="shared" si="9"/>
        <v>0</v>
      </c>
      <c r="H55" s="55">
        <f t="shared" si="9"/>
        <v>0</v>
      </c>
      <c r="I55" s="55">
        <f t="shared" si="9"/>
        <v>133538.62098457897</v>
      </c>
      <c r="J55" s="55">
        <f t="shared" si="9"/>
        <v>0</v>
      </c>
      <c r="K55" s="55">
        <f t="shared" si="9"/>
        <v>312476.3441021429</v>
      </c>
      <c r="L55" s="55">
        <f t="shared" si="9"/>
        <v>379578.4260791298</v>
      </c>
      <c r="M55" s="55">
        <f t="shared" si="9"/>
        <v>201658.28029886517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8379829.5934668649</v>
      </c>
      <c r="Q55" s="55">
        <f t="shared" si="9"/>
        <v>34684967.357396305</v>
      </c>
      <c r="R55" s="55">
        <f t="shared" si="9"/>
        <v>486780.58451000019</v>
      </c>
      <c r="S55" s="55">
        <f t="shared" si="9"/>
        <v>2008926.9735511269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21576152.436255224</v>
      </c>
      <c r="AM55" s="55">
        <f t="shared" si="9"/>
        <v>59989090.774795353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2119408.3184261639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203115.26672400691</v>
      </c>
      <c r="BB55" s="55">
        <f t="shared" si="9"/>
        <v>70337.651219991138</v>
      </c>
      <c r="BC55" s="55">
        <f t="shared" si="9"/>
        <v>268315.02484799869</v>
      </c>
      <c r="BD55" s="55">
        <f t="shared" si="9"/>
        <v>17143.511599989837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11912735.347522013</v>
      </c>
      <c r="BL55" s="55">
        <f t="shared" si="9"/>
        <v>113362.47385244606</v>
      </c>
      <c r="BM55" s="55">
        <f t="shared" si="9"/>
        <v>1074718.3644171637</v>
      </c>
      <c r="BN55" s="55">
        <f t="shared" si="9"/>
        <v>1224490.3481973812</v>
      </c>
      <c r="BO55" s="55">
        <f t="shared" si="9"/>
        <v>3.4691202304202307E-3</v>
      </c>
      <c r="BP55" s="55">
        <f t="shared" si="9"/>
        <v>256.7400393290655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3058402.124932019</v>
      </c>
      <c r="BU55" s="55">
        <f t="shared" si="10"/>
        <v>12639203.237636192</v>
      </c>
      <c r="BV55" s="55">
        <f t="shared" si="10"/>
        <v>8025.4488600000004</v>
      </c>
      <c r="BW55" s="55">
        <f t="shared" si="10"/>
        <v>397883.49299000081</v>
      </c>
      <c r="BX55" s="55">
        <f t="shared" si="10"/>
        <v>12663.664475599246</v>
      </c>
      <c r="BY55" s="55">
        <f t="shared" si="10"/>
        <v>-2831052.3690599999</v>
      </c>
      <c r="BZ55" s="55">
        <f t="shared" si="10"/>
        <v>-16200619.595860012</v>
      </c>
      <c r="CA55" s="55">
        <f t="shared" si="10"/>
        <v>-10846791.154440008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877844.95927000046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177203095.11040804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189721223.84399998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63822079.741999999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58"/>
      <c r="BY61" s="58"/>
      <c r="BZ61" s="56"/>
      <c r="CA61" s="58"/>
      <c r="CD61" s="58"/>
    </row>
    <row r="62" spans="1:101" x14ac:dyDescent="0.3">
      <c r="B62" s="157"/>
      <c r="C62" s="86" t="s">
        <v>152</v>
      </c>
      <c r="D62" s="87">
        <f>CW11+CW15</f>
        <v>819002.67500000005</v>
      </c>
      <c r="E62" s="67">
        <v>-237386.34899999999</v>
      </c>
      <c r="F62" s="88" t="s">
        <v>153</v>
      </c>
      <c r="G62" s="90">
        <f>P55</f>
        <v>8379829.5934668649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3800000</v>
      </c>
      <c r="E63" s="67">
        <v>70835.73762</v>
      </c>
      <c r="F63" s="88" t="s">
        <v>155</v>
      </c>
      <c r="G63" s="90">
        <f>R55</f>
        <v>486780.58451000019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121280141.427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312476344.10214293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379578426.07912982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201658280.29886517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-225487602.94800001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-84018355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-80008297.948000014</v>
      </c>
      <c r="E76" s="67">
        <v>237386.34899999999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-61154000</v>
      </c>
      <c r="E77" s="67">
        <v>-70835.73762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>
        <v>-1076035.1249200001</v>
      </c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-306950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203081.9497240069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35.825000000000003</v>
      </c>
      <c r="L92" s="138">
        <f>BA50+BA51+BA53+BA40+BA42+BA43+BA45</f>
        <v>-2.508</v>
      </c>
      <c r="M92" s="139">
        <f t="shared" si="11"/>
        <v>203115.26672400691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268271.01384799869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47.323999999999998</v>
      </c>
      <c r="L98" s="138">
        <f>BC50+BC51+BC53+BC40+BC42+BC43+BC45</f>
        <v>-3.3130000000000002</v>
      </c>
      <c r="M98" s="139">
        <f t="shared" si="11"/>
        <v>268315.02484799869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70326.113219991137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12.406000000000001</v>
      </c>
      <c r="L99" s="138">
        <f>BB50+BB51+BB53+BB40+BB42+BB43+BB45</f>
        <v>-0.86799999999999999</v>
      </c>
      <c r="M99" s="139">
        <f t="shared" si="11"/>
        <v>70337.651219991138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17140.699599989835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3.024</v>
      </c>
      <c r="L104" s="138">
        <f>BD50+BD51+BD53+BD40+BD42+BD43+BD45</f>
        <v>-0.21199999999999999</v>
      </c>
      <c r="M104" s="139">
        <f t="shared" si="11"/>
        <v>17143.511599989837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606175.89475967933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35.825000000000003</v>
      </c>
      <c r="L108" s="97">
        <f t="shared" si="12"/>
        <v>-2.508</v>
      </c>
      <c r="M108" s="97">
        <f t="shared" si="12"/>
        <v>606209.21175967937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1188193.1439507431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59.73</v>
      </c>
      <c r="L109" s="97">
        <f t="shared" si="13"/>
        <v>-4.181</v>
      </c>
      <c r="M109" s="97">
        <f t="shared" si="13"/>
        <v>1188248.6929507433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382599.50335742824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3.024</v>
      </c>
      <c r="L110" s="97">
        <f t="shared" si="14"/>
        <v>-0.21199999999999999</v>
      </c>
      <c r="M110" s="97">
        <f t="shared" si="14"/>
        <v>382602.31535742822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  <mergeCell ref="A9:A29"/>
    <mergeCell ref="D1:BK1"/>
    <mergeCell ref="BL1:BN1"/>
    <mergeCell ref="BR1:CJ1"/>
    <mergeCell ref="CW2:CW4"/>
    <mergeCell ref="A5:A8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10'!D55</f>
        <v>470320.09281994513</v>
      </c>
      <c r="E5" s="18">
        <f>'JUN 10'!E55</f>
        <v>14558251.248883486</v>
      </c>
      <c r="F5" s="18">
        <f>'JUN 10'!F55</f>
        <v>6297581.7921143956</v>
      </c>
      <c r="G5" s="18">
        <f>'JUN 10'!G55</f>
        <v>0</v>
      </c>
      <c r="H5" s="18">
        <f>'JUN 10'!H55</f>
        <v>0</v>
      </c>
      <c r="I5" s="18">
        <f>'JUN 10'!I55</f>
        <v>133538.62098457897</v>
      </c>
      <c r="J5" s="18">
        <f>'JUN 10'!J55</f>
        <v>0</v>
      </c>
      <c r="K5" s="18">
        <f>'JUN 10'!K55</f>
        <v>312476.3441021429</v>
      </c>
      <c r="L5" s="18">
        <f>'JUN 10'!L55</f>
        <v>379578.4260791298</v>
      </c>
      <c r="M5" s="18">
        <f>'JUN 10'!M55</f>
        <v>201658.28029886517</v>
      </c>
      <c r="N5" s="18">
        <f>'JUN 10'!N55</f>
        <v>177265.5199999999</v>
      </c>
      <c r="O5" s="18">
        <f>'JUN 10'!O55</f>
        <v>735425.00813439966</v>
      </c>
      <c r="P5" s="18">
        <f>'JUN 10'!P55</f>
        <v>8379829.5934668649</v>
      </c>
      <c r="Q5" s="18">
        <f>'JUN 10'!Q55</f>
        <v>34684967.357396305</v>
      </c>
      <c r="R5" s="18">
        <f>'JUN 10'!R55</f>
        <v>486780.58451000019</v>
      </c>
      <c r="S5" s="18">
        <f>'JUN 10'!S55</f>
        <v>2008926.9735511269</v>
      </c>
      <c r="T5" s="18">
        <f>'JUN 10'!T55</f>
        <v>0</v>
      </c>
      <c r="U5" s="18">
        <f>'JUN 10'!U55</f>
        <v>0</v>
      </c>
      <c r="V5" s="18">
        <f>'JUN 10'!V55</f>
        <v>0</v>
      </c>
      <c r="W5" s="18">
        <f>'JUN 10'!W55</f>
        <v>0</v>
      </c>
      <c r="X5" s="18">
        <f>'JUN 10'!X55</f>
        <v>0</v>
      </c>
      <c r="Y5" s="18">
        <f>'JUN 10'!Y55</f>
        <v>0</v>
      </c>
      <c r="Z5" s="18">
        <f>'JUN 10'!Z55</f>
        <v>9662.5274983807467</v>
      </c>
      <c r="AA5" s="18">
        <f>'JUN 10'!AA55</f>
        <v>40087.12108308218</v>
      </c>
      <c r="AB5" s="18">
        <f>'JUN 10'!AB55</f>
        <v>7542.7499999967404</v>
      </c>
      <c r="AC5" s="18">
        <f>'JUN 10'!AC55</f>
        <v>31292.757779986478</v>
      </c>
      <c r="AD5" s="18">
        <f>'JUN 10'!AD55</f>
        <v>5155</v>
      </c>
      <c r="AE5" s="18">
        <f>'JUN 10'!AE55</f>
        <v>21386.651600000001</v>
      </c>
      <c r="AF5" s="18">
        <f>'JUN 10'!AF55</f>
        <v>7956.8699999451637</v>
      </c>
      <c r="AG5" s="18">
        <f>'JUN 10'!AG55</f>
        <v>33010.825706172502</v>
      </c>
      <c r="AH5" s="18">
        <f>'JUN 10'!AH55</f>
        <v>118215.98999999718</v>
      </c>
      <c r="AI5" s="18">
        <f>'JUN 10'!AI55</f>
        <v>490445.04203278833</v>
      </c>
      <c r="AJ5" s="18">
        <f>'JUN 10'!AJ55</f>
        <v>674466.83999999822</v>
      </c>
      <c r="AK5" s="18">
        <f>'JUN 10'!AK55</f>
        <v>2798174.0684447926</v>
      </c>
      <c r="AL5" s="18">
        <f>'JUN 10'!AL55</f>
        <v>21576152.436255224</v>
      </c>
      <c r="AM5" s="18">
        <f>'JUN 10'!AM55</f>
        <v>59989090.774795353</v>
      </c>
      <c r="AN5" s="18">
        <f>'JUN 10'!AN55</f>
        <v>6276507.6901499992</v>
      </c>
      <c r="AO5" s="18">
        <f>'JUN 10'!AO55</f>
        <v>1091269.40043144</v>
      </c>
      <c r="AP5" s="18">
        <f>'JUN 10'!AP55</f>
        <v>5285267.3108801506</v>
      </c>
      <c r="AQ5" s="18">
        <f>'JUN 10'!AQ55</f>
        <v>2119408.3184261639</v>
      </c>
      <c r="AR5" s="18">
        <f>'JUN 10'!AR55</f>
        <v>33846.145451993005</v>
      </c>
      <c r="AS5" s="18">
        <f>'JUN 10'!AS55</f>
        <v>6.2909079996137462</v>
      </c>
      <c r="AT5" s="18">
        <f>'JUN 10'!AT55</f>
        <v>11.244432002509914</v>
      </c>
      <c r="AU5" s="18">
        <f>'JUN 10'!AU55</f>
        <v>70745.806203997287</v>
      </c>
      <c r="AV5" s="18">
        <f>'JUN 10'!AV55</f>
        <v>525146.68653480266</v>
      </c>
      <c r="AW5" s="18">
        <f>'JUN 10'!AW55</f>
        <v>86119.091979996796</v>
      </c>
      <c r="AX5" s="18">
        <f>'JUN 10'!AX55</f>
        <v>1047.2966740010875</v>
      </c>
      <c r="AY5" s="18">
        <f>'JUN 10'!AY55</f>
        <v>61411.100279998158</v>
      </c>
      <c r="AZ5" s="18">
        <f>'JUN 10'!AZ55</f>
        <v>23389.865177323234</v>
      </c>
      <c r="BA5" s="18">
        <f>'JUN 10'!BA55</f>
        <v>203115.26672400691</v>
      </c>
      <c r="BB5" s="18">
        <f>'JUN 10'!BB55</f>
        <v>70337.651219991138</v>
      </c>
      <c r="BC5" s="18">
        <f>'JUN 10'!BC55</f>
        <v>268315.02484799869</v>
      </c>
      <c r="BD5" s="18">
        <f>'JUN 10'!BD55</f>
        <v>17143.511599989837</v>
      </c>
      <c r="BE5" s="18">
        <f>'JUN 10'!BE55</f>
        <v>256596.93928368055</v>
      </c>
      <c r="BF5" s="18">
        <f>'JUN 10'!BF55</f>
        <v>321963.21571035992</v>
      </c>
      <c r="BG5" s="18">
        <f>'JUN 10'!BG55</f>
        <v>35109.526218882762</v>
      </c>
      <c r="BH5" s="18">
        <f>'JUN 10'!BH55</f>
        <v>26531.768320002102</v>
      </c>
      <c r="BI5" s="18">
        <f>'JUN 10'!BI55</f>
        <v>526567.9691583903</v>
      </c>
      <c r="BJ5" s="18">
        <f>'JUN 10'!BJ55</f>
        <v>198192.37105456018</v>
      </c>
      <c r="BK5" s="18">
        <f>'JUN 10'!BK55</f>
        <v>11912735.347522013</v>
      </c>
      <c r="BL5" s="18">
        <f>'JUN 10'!BL55</f>
        <v>113362.47385244606</v>
      </c>
      <c r="BM5" s="18">
        <f>'JUN 10'!BM55</f>
        <v>1074718.3644171637</v>
      </c>
      <c r="BN5" s="18">
        <f>'JUN 10'!BN55</f>
        <v>1224490.3481973812</v>
      </c>
      <c r="BO5" s="18">
        <f>'JUN 10'!BO55</f>
        <v>3.4691202304202307E-3</v>
      </c>
      <c r="BP5" s="18">
        <f>'JUN 10'!BP55</f>
        <v>256.7400393290655</v>
      </c>
      <c r="BQ5" s="18">
        <f>'JUN 10'!BQ55</f>
        <v>4.0128798844989433E-3</v>
      </c>
      <c r="BR5" s="18">
        <f>'JUN 10'!BR55</f>
        <v>645484.5260000031</v>
      </c>
      <c r="BS5" s="18">
        <f>'JUN 10'!BS55</f>
        <v>2650869.4086606889</v>
      </c>
      <c r="BT5" s="18">
        <f>'JUN 10'!BT55</f>
        <v>3058402.124932019</v>
      </c>
      <c r="BU5" s="18">
        <f>'JUN 10'!BU55</f>
        <v>12639203.237636192</v>
      </c>
      <c r="BV5" s="18">
        <f>'JUN 10'!BV55</f>
        <v>8025.4488600000004</v>
      </c>
      <c r="BW5" s="18">
        <f>'JUN 10'!BW55</f>
        <v>397883.49299000081</v>
      </c>
      <c r="BX5" s="18">
        <f>'JUN 10'!BX55</f>
        <v>12663.664475599246</v>
      </c>
      <c r="BY5" s="18">
        <f>'JUN 10'!BY55</f>
        <v>-2831052.3690599999</v>
      </c>
      <c r="BZ5" s="18">
        <f>'JUN 10'!BZ55</f>
        <v>-16200619.595860012</v>
      </c>
      <c r="CA5" s="18">
        <f>'JUN 10'!CA55</f>
        <v>-10846791.154440008</v>
      </c>
      <c r="CB5" s="18">
        <f>'JUN 10'!CB55</f>
        <v>18918.56624</v>
      </c>
      <c r="CC5" s="18">
        <f>'JUN 10'!CC55</f>
        <v>905567.0501799999</v>
      </c>
      <c r="CD5" s="18">
        <f>'JUN 10'!CD55</f>
        <v>0</v>
      </c>
      <c r="CE5" s="18">
        <f>'JUN 10'!CE55</f>
        <v>28452.444999999996</v>
      </c>
      <c r="CF5" s="18">
        <f>'JUN 10'!CF55</f>
        <v>696622.45958999998</v>
      </c>
      <c r="CG5" s="18">
        <f>'JUN 10'!CG55</f>
        <v>194020.58999999994</v>
      </c>
      <c r="CH5" s="18">
        <f>'JUN 10'!CH55</f>
        <v>2.9318200000000001</v>
      </c>
      <c r="CI5" s="18">
        <f>'JUN 10'!CI55</f>
        <v>813161.95743999921</v>
      </c>
      <c r="CJ5" s="18">
        <f>'JUN 10'!CJ55</f>
        <v>201938.84803999978</v>
      </c>
      <c r="CK5" s="18">
        <f>'JUN 10'!CK55</f>
        <v>0</v>
      </c>
      <c r="CL5" s="18">
        <f>'JUN 10'!CL55</f>
        <v>0</v>
      </c>
      <c r="CM5" s="18">
        <f>'JUN 10'!CM55</f>
        <v>79545.207070000004</v>
      </c>
      <c r="CN5" s="18">
        <f>'JUN 10'!CN55</f>
        <v>662749.23605000007</v>
      </c>
      <c r="CO5" s="18">
        <f>'JUN 10'!CO55</f>
        <v>736446.43431999965</v>
      </c>
      <c r="CP5" s="18">
        <f>'JUN 10'!CP55</f>
        <v>9152723.6727600005</v>
      </c>
      <c r="CQ5" s="18">
        <f>'JUN 10'!CQ55</f>
        <v>377918.49939999997</v>
      </c>
      <c r="CR5" s="18">
        <f>'JUN 10'!CR55</f>
        <v>877844.95927000046</v>
      </c>
      <c r="CS5" s="18">
        <f>'JUN 10'!CS55</f>
        <v>5010.51</v>
      </c>
      <c r="CT5" s="18">
        <f>'JUN 10'!CT55</f>
        <v>20511.762362899997</v>
      </c>
      <c r="CU5" s="18">
        <f>'JUN 10'!CU55</f>
        <v>5010.51</v>
      </c>
      <c r="CV5" s="18">
        <f>'JUN 10'!CV55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177203095.11040804</v>
      </c>
    </row>
    <row r="6" spans="1:101" s="20" customFormat="1" x14ac:dyDescent="0.3">
      <c r="A6" s="165"/>
      <c r="B6" s="19"/>
      <c r="C6" s="19" t="s">
        <v>91</v>
      </c>
      <c r="D6" s="19">
        <v>-11540.28</v>
      </c>
      <c r="E6" s="19">
        <f>10913356.48-0.01</f>
        <v>10913356.470000001</v>
      </c>
      <c r="F6" s="19">
        <v>7463843.0999999996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-656558.93999999994</v>
      </c>
      <c r="BZ6" s="19">
        <v>-9426082.0099999998</v>
      </c>
      <c r="CA6" s="19">
        <v>-4751957.38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458779.8128199451</v>
      </c>
      <c r="E8" s="18">
        <f t="shared" si="0"/>
        <v>25471607.718883485</v>
      </c>
      <c r="F8" s="18">
        <f t="shared" si="0"/>
        <v>13761424.892114395</v>
      </c>
      <c r="G8" s="18">
        <f t="shared" si="0"/>
        <v>0</v>
      </c>
      <c r="H8" s="18">
        <f t="shared" si="0"/>
        <v>0</v>
      </c>
      <c r="I8" s="18">
        <f t="shared" si="0"/>
        <v>133538.62098457897</v>
      </c>
      <c r="J8" s="18">
        <f t="shared" si="0"/>
        <v>0</v>
      </c>
      <c r="K8" s="18">
        <f t="shared" si="0"/>
        <v>312476.3441021429</v>
      </c>
      <c r="L8" s="18">
        <f t="shared" si="0"/>
        <v>379578.4260791298</v>
      </c>
      <c r="M8" s="18">
        <f t="shared" si="0"/>
        <v>201658.28029886517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8379829.5934668649</v>
      </c>
      <c r="Q8" s="18">
        <f t="shared" si="0"/>
        <v>34684967.357396305</v>
      </c>
      <c r="R8" s="18">
        <f t="shared" si="0"/>
        <v>486780.58451000019</v>
      </c>
      <c r="S8" s="18">
        <f t="shared" si="0"/>
        <v>2008926.9735511269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21576152.436255224</v>
      </c>
      <c r="AM8" s="18">
        <f t="shared" si="0"/>
        <v>59989090.774795353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2119408.3184261639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203115.26672400691</v>
      </c>
      <c r="BB8" s="18">
        <f t="shared" si="0"/>
        <v>70337.651219991138</v>
      </c>
      <c r="BC8" s="18">
        <f t="shared" si="0"/>
        <v>268315.02484799869</v>
      </c>
      <c r="BD8" s="18">
        <f t="shared" si="0"/>
        <v>17143.511599989837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11912735.347522013</v>
      </c>
      <c r="BL8" s="18">
        <f t="shared" si="0"/>
        <v>113362.47385244606</v>
      </c>
      <c r="BM8" s="18">
        <f t="shared" si="0"/>
        <v>1074718.3644171637</v>
      </c>
      <c r="BN8" s="18">
        <f t="shared" si="0"/>
        <v>1224490.3481973812</v>
      </c>
      <c r="BO8" s="18">
        <f t="shared" si="0"/>
        <v>3.4691202304202307E-3</v>
      </c>
      <c r="BP8" s="18">
        <f t="shared" si="0"/>
        <v>256.7400393290655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3058402.124932019</v>
      </c>
      <c r="BU8" s="18">
        <f t="shared" si="1"/>
        <v>12639203.237636192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-3487611.3090599999</v>
      </c>
      <c r="BZ8" s="18">
        <f t="shared" si="1"/>
        <v>-25626701.60586001</v>
      </c>
      <c r="CA8" s="18">
        <f t="shared" si="1"/>
        <v>-15598748.534440007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180734156.07040805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49320+70323+347625+623993.7+3323.944</f>
        <v>1094585.6439999999</v>
      </c>
      <c r="M11" s="26"/>
      <c r="N11" s="26"/>
      <c r="O11" s="26"/>
      <c r="P11" s="26">
        <v>4200</v>
      </c>
      <c r="Q11" s="26">
        <f>(P11*4190.9)/1000</f>
        <v>17601.78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1112187.4239999999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>
        <v>16248.59</v>
      </c>
      <c r="M12" s="26"/>
      <c r="N12" s="26"/>
      <c r="O12" s="26"/>
      <c r="P12" s="26">
        <v>5000000</v>
      </c>
      <c r="Q12" s="26">
        <f>(P12*4190.9)/1000</f>
        <v>20954500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20970748.59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>
        <v>-7811577.5999999996</v>
      </c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-7811577.5999999996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>
        <v>-20847080</v>
      </c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-20847080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-88739941.180999994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-88739941.180999994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28093199.408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28093199.408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>
        <v>50391582.909000002</v>
      </c>
      <c r="M24" s="28">
        <v>19954430.112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70346013.020999998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/>
      <c r="E27" s="28"/>
      <c r="F27" s="28"/>
      <c r="G27" s="26"/>
      <c r="H27" s="26"/>
      <c r="I27" s="26"/>
      <c r="J27" s="26"/>
      <c r="K27" s="26"/>
      <c r="L27" s="27">
        <v>8920000</v>
      </c>
      <c r="M27" s="26">
        <v>750000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2500000</v>
      </c>
      <c r="CA27" s="26">
        <v>5000000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17170000</v>
      </c>
    </row>
    <row r="28" spans="1:101" x14ac:dyDescent="0.3">
      <c r="A28" s="158"/>
      <c r="B28" s="24" t="s">
        <v>97</v>
      </c>
      <c r="C28" s="25" t="s">
        <v>115</v>
      </c>
      <c r="D28" s="26">
        <v>-12000</v>
      </c>
      <c r="E28" s="26">
        <v>-12266000</v>
      </c>
      <c r="F28" s="28">
        <v>-7061000</v>
      </c>
      <c r="G28" s="26"/>
      <c r="H28" s="26"/>
      <c r="I28" s="26"/>
      <c r="J28" s="26"/>
      <c r="K28" s="28"/>
      <c r="L28" s="27"/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-19339000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>
        <v>-923746.5</v>
      </c>
      <c r="Q30" s="33">
        <f>(P30*4190.9)/1000</f>
        <v>-3871329.2068499993</v>
      </c>
      <c r="R30" s="33">
        <v>-10241.65</v>
      </c>
      <c r="S30" s="33">
        <f>(R30*4190.9)/1000</f>
        <v>-42921.730984999995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-3914250.9378349991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0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640000-3460000-3310000+580000</f>
        <v>-5550000</v>
      </c>
      <c r="Q35" s="37">
        <f>(P35*4190.9)/1000</f>
        <v>-23259494.999999996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-23259494.999999996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/>
      <c r="M38" s="38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>
        <v>70550</v>
      </c>
      <c r="M39" s="37">
        <v>70550</v>
      </c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141100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-1.7290000000000001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-2.508</v>
      </c>
      <c r="BB50" s="48">
        <v>-0.86899999999999999</v>
      </c>
      <c r="BC50" s="48">
        <v>-3.3130000000000002</v>
      </c>
      <c r="BD50" s="48">
        <v>-0.21199999999999999</v>
      </c>
      <c r="BE50" s="48"/>
      <c r="BF50" s="48"/>
      <c r="BG50" s="48"/>
      <c r="BH50" s="48"/>
      <c r="BI50" s="48"/>
      <c r="BJ50" s="48"/>
      <c r="BK50" s="48"/>
      <c r="BL50" s="48">
        <v>-1.468</v>
      </c>
      <c r="BM50" s="48">
        <v>-13.917999999999999</v>
      </c>
      <c r="BN50" s="48">
        <v>-15.856999999999999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-39.873999999999995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-1059.8320000000001</v>
      </c>
      <c r="F51" s="47">
        <v>-14.959</v>
      </c>
      <c r="G51" s="48"/>
      <c r="H51" s="48"/>
      <c r="I51" s="48"/>
      <c r="J51" s="48"/>
      <c r="K51" s="47"/>
      <c r="L51" s="47">
        <v>-53.680999999999997</v>
      </c>
      <c r="M51" s="47">
        <v>-12.388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-1140.8600000000001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24.704640000000001</v>
      </c>
      <c r="J52" s="48"/>
      <c r="K52" s="48"/>
      <c r="L52" s="47"/>
      <c r="M52" s="47"/>
      <c r="N52" s="48"/>
      <c r="O52" s="48"/>
      <c r="P52" s="48"/>
      <c r="Q52" s="48"/>
      <c r="R52" s="48">
        <v>37.04</v>
      </c>
      <c r="S52" s="48">
        <f>(R52*4190.9)/1000</f>
        <v>155.23093599999999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35.831000000000003</v>
      </c>
      <c r="BB52" s="48">
        <v>12.407999999999999</v>
      </c>
      <c r="BC52" s="48">
        <v>47.332000000000001</v>
      </c>
      <c r="BD52" s="48">
        <v>3.024</v>
      </c>
      <c r="BE52" s="48"/>
      <c r="BF52" s="48"/>
      <c r="BG52" s="48"/>
      <c r="BH52" s="48"/>
      <c r="BI52" s="48"/>
      <c r="BJ52" s="48"/>
      <c r="BK52" s="48"/>
      <c r="BL52" s="48">
        <v>20.972049999999999</v>
      </c>
      <c r="BM52" s="48">
        <v>198.82289</v>
      </c>
      <c r="BN52" s="48">
        <v>226.53071</v>
      </c>
      <c r="BO52" s="48"/>
      <c r="BP52" s="48">
        <f>47.49/1000</f>
        <v>4.7490000000000004E-2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724.90371600000003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f>(E10+E13+E16+E17+E33+E38+E47+E40+E51+E35)*4/1000</f>
        <v>-4.2393280000000004</v>
      </c>
      <c r="F53" s="48">
        <f>(F10+F13+F16+F17+F33+F38+F47+F40+F35)*4/1000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-0.214724</v>
      </c>
      <c r="M53" s="47">
        <f>(M10+M13+M17+M33+M38+M40+M51+M36+M49+M16)*4/1000</f>
        <v>-4.9551999999999999E-2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-31246.310399999998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-31250.814004</v>
      </c>
    </row>
    <row r="54" spans="1:101" x14ac:dyDescent="0.3">
      <c r="C54" s="49" t="s">
        <v>141</v>
      </c>
      <c r="D54" s="50">
        <f t="shared" ref="D54:AM54" si="7">SUM(D9:D53)</f>
        <v>-12000</v>
      </c>
      <c r="E54" s="50">
        <f t="shared" si="7"/>
        <v>-12267064.071328001</v>
      </c>
      <c r="F54" s="50">
        <f>SUM(F9:F53)</f>
        <v>-7061014.9589999998</v>
      </c>
      <c r="G54" s="50">
        <f t="shared" si="7"/>
        <v>0</v>
      </c>
      <c r="H54" s="50">
        <f t="shared" si="7"/>
        <v>0</v>
      </c>
      <c r="I54" s="50">
        <f t="shared" si="7"/>
        <v>22.975640000000002</v>
      </c>
      <c r="J54" s="50">
        <f t="shared" si="7"/>
        <v>0</v>
      </c>
      <c r="K54" s="50">
        <f t="shared" si="7"/>
        <v>0</v>
      </c>
      <c r="L54" s="51">
        <f t="shared" si="7"/>
        <v>-153828.52572399523</v>
      </c>
      <c r="M54" s="50">
        <f t="shared" si="7"/>
        <v>-72112.325552000271</v>
      </c>
      <c r="N54" s="50">
        <f t="shared" si="7"/>
        <v>0</v>
      </c>
      <c r="O54" s="50">
        <f t="shared" si="7"/>
        <v>0</v>
      </c>
      <c r="P54" s="50">
        <f t="shared" si="7"/>
        <v>-1469546.5</v>
      </c>
      <c r="Q54" s="50">
        <f t="shared" si="7"/>
        <v>-6158722.4268499948</v>
      </c>
      <c r="R54" s="50">
        <f t="shared" si="7"/>
        <v>-10204.609999999999</v>
      </c>
      <c r="S54" s="50">
        <f t="shared" si="7"/>
        <v>-42766.500048999995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33.323</v>
      </c>
      <c r="BB54" s="50">
        <f t="shared" si="8"/>
        <v>11.539</v>
      </c>
      <c r="BC54" s="50">
        <f t="shared" si="8"/>
        <v>44.018999999999998</v>
      </c>
      <c r="BD54" s="50">
        <f t="shared" si="8"/>
        <v>2.8119999999999998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-7842823.9103999995</v>
      </c>
      <c r="BL54" s="50">
        <f t="shared" si="8"/>
        <v>19.504049999999999</v>
      </c>
      <c r="BM54" s="50">
        <f t="shared" si="8"/>
        <v>184.90488999999999</v>
      </c>
      <c r="BN54" s="50">
        <f t="shared" si="8"/>
        <v>210.67371</v>
      </c>
      <c r="BO54" s="50">
        <f t="shared" si="8"/>
        <v>0</v>
      </c>
      <c r="BP54" s="50">
        <f t="shared" si="8"/>
        <v>4.7490000000000004E-2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2500000</v>
      </c>
      <c r="CA54" s="50">
        <f t="shared" si="8"/>
        <v>5000000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-26109802.920122985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446779.8128199451</v>
      </c>
      <c r="E55" s="55">
        <f t="shared" si="9"/>
        <v>13204543.647555484</v>
      </c>
      <c r="F55" s="55">
        <f>+F8+F54</f>
        <v>6700409.9331143955</v>
      </c>
      <c r="G55" s="55">
        <f t="shared" si="9"/>
        <v>0</v>
      </c>
      <c r="H55" s="55">
        <f t="shared" si="9"/>
        <v>0</v>
      </c>
      <c r="I55" s="55">
        <f t="shared" si="9"/>
        <v>133561.59662457896</v>
      </c>
      <c r="J55" s="55">
        <f t="shared" si="9"/>
        <v>0</v>
      </c>
      <c r="K55" s="55">
        <f t="shared" si="9"/>
        <v>312476.3441021429</v>
      </c>
      <c r="L55" s="55">
        <f t="shared" si="9"/>
        <v>225749.90035513457</v>
      </c>
      <c r="M55" s="55">
        <f t="shared" si="9"/>
        <v>129545.9547468649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6910283.0934668649</v>
      </c>
      <c r="Q55" s="55">
        <f t="shared" si="9"/>
        <v>28526244.93054631</v>
      </c>
      <c r="R55" s="55">
        <f t="shared" si="9"/>
        <v>476575.9745100002</v>
      </c>
      <c r="S55" s="55">
        <f t="shared" si="9"/>
        <v>1966160.473502127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21576152.436255224</v>
      </c>
      <c r="AM55" s="55">
        <f t="shared" si="9"/>
        <v>59989090.774795353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2119408.3184261639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203148.58972400692</v>
      </c>
      <c r="BB55" s="55">
        <f t="shared" si="9"/>
        <v>70349.190219991142</v>
      </c>
      <c r="BC55" s="55">
        <f t="shared" si="9"/>
        <v>268359.04384799866</v>
      </c>
      <c r="BD55" s="55">
        <f t="shared" si="9"/>
        <v>17146.323599989839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4069911.4371220134</v>
      </c>
      <c r="BL55" s="55">
        <f t="shared" si="9"/>
        <v>113381.97790244606</v>
      </c>
      <c r="BM55" s="55">
        <f t="shared" si="9"/>
        <v>1074903.2693071635</v>
      </c>
      <c r="BN55" s="55">
        <f t="shared" si="9"/>
        <v>1224701.0219073812</v>
      </c>
      <c r="BO55" s="55">
        <f t="shared" si="9"/>
        <v>3.4691202304202307E-3</v>
      </c>
      <c r="BP55" s="55">
        <f t="shared" si="9"/>
        <v>256.78752932906548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3058402.124932019</v>
      </c>
      <c r="BU55" s="55">
        <f t="shared" si="10"/>
        <v>12639203.237636192</v>
      </c>
      <c r="BV55" s="55">
        <f t="shared" si="10"/>
        <v>8025.4488600000004</v>
      </c>
      <c r="BW55" s="55">
        <f t="shared" si="10"/>
        <v>397883.49299000081</v>
      </c>
      <c r="BX55" s="55">
        <f t="shared" si="10"/>
        <v>12663.664475599246</v>
      </c>
      <c r="BY55" s="55">
        <f t="shared" si="10"/>
        <v>-3487611.3090599999</v>
      </c>
      <c r="BZ55" s="55">
        <f t="shared" si="10"/>
        <v>-23126701.60586001</v>
      </c>
      <c r="CA55" s="55">
        <f t="shared" si="10"/>
        <v>-10598748.534440007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877844.95927000046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154624353.15028507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137833248.44300002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28093199.408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148"/>
      <c r="BY61" s="148"/>
      <c r="BZ61" s="67"/>
      <c r="CA61" s="148"/>
      <c r="CB61" s="70"/>
      <c r="CC61" s="70"/>
      <c r="CD61" s="148"/>
      <c r="CE61" s="70"/>
      <c r="CF61" s="70"/>
      <c r="CG61" s="70"/>
      <c r="CH61" s="70"/>
      <c r="CI61" s="70"/>
      <c r="CJ61" s="70"/>
    </row>
    <row r="62" spans="1:101" x14ac:dyDescent="0.3">
      <c r="B62" s="157"/>
      <c r="C62" s="86" t="s">
        <v>152</v>
      </c>
      <c r="D62" s="87">
        <f>CW11+CW15</f>
        <v>1112187.4239999999</v>
      </c>
      <c r="E62" s="67" t="s">
        <v>204</v>
      </c>
      <c r="F62" s="88" t="s">
        <v>153</v>
      </c>
      <c r="G62" s="90">
        <f>P55</f>
        <v>6910283.0934668649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17170000</v>
      </c>
      <c r="E63" s="67" t="s">
        <v>204</v>
      </c>
      <c r="F63" s="88" t="s">
        <v>155</v>
      </c>
      <c r="G63" s="90">
        <f>R55</f>
        <v>476575.9745100002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91316761.611000001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0</v>
      </c>
      <c r="E66" s="100"/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312476344.10214293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225749900.35513458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129545954.7468649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141100</v>
      </c>
      <c r="E70" s="70" t="s">
        <v>204</v>
      </c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-140651849.718835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-7811577.5999999996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-20847080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-88739941.180999994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-19339000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-3914250.9378349991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0</v>
      </c>
      <c r="E81" s="100"/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203115.26672400691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35.831000000000003</v>
      </c>
      <c r="L92" s="138">
        <f>BA50+BA51+BA53+BA40+BA42+BA43+BA45</f>
        <v>-2.508</v>
      </c>
      <c r="M92" s="139">
        <f t="shared" si="11"/>
        <v>203148.58972400692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268315.02484799869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47.332000000000001</v>
      </c>
      <c r="L98" s="138">
        <f>BC50+BC51+BC53+BC40+BC42+BC43+BC45</f>
        <v>-3.3130000000000002</v>
      </c>
      <c r="M98" s="139">
        <f t="shared" si="11"/>
        <v>268359.04384799866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70337.651219991138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12.407999999999999</v>
      </c>
      <c r="L99" s="138">
        <f>BB50+BB51+BB53+BB40+BB42+BB43+BB45</f>
        <v>-0.86899999999999999</v>
      </c>
      <c r="M99" s="139">
        <f t="shared" si="11"/>
        <v>70349.190219991127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17143.511599989837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3.024</v>
      </c>
      <c r="L104" s="138">
        <f>BD50+BD51+BD53+BD40+BD42+BD43+BD45</f>
        <v>-0.21199999999999999</v>
      </c>
      <c r="M104" s="139">
        <f t="shared" si="11"/>
        <v>17146.323599989839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606209.21175967937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35.831000000000003</v>
      </c>
      <c r="L108" s="97">
        <f t="shared" si="12"/>
        <v>-2.508</v>
      </c>
      <c r="M108" s="97">
        <f t="shared" si="12"/>
        <v>606242.53475967934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1188248.6929507433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59.74</v>
      </c>
      <c r="L109" s="97">
        <f t="shared" si="13"/>
        <v>-4.1820000000000004</v>
      </c>
      <c r="M109" s="97">
        <f t="shared" si="13"/>
        <v>1188304.2509507432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382602.31535742822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3.024</v>
      </c>
      <c r="L110" s="97">
        <f t="shared" si="14"/>
        <v>-0.21199999999999999</v>
      </c>
      <c r="M110" s="97">
        <f t="shared" si="14"/>
        <v>382605.12735742819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A9:A29"/>
    <mergeCell ref="D1:BK1"/>
    <mergeCell ref="BL1:BN1"/>
    <mergeCell ref="BR1:CJ1"/>
    <mergeCell ref="CW2:CW4"/>
    <mergeCell ref="A5:A8"/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30"/>
  <sheetViews>
    <sheetView zoomScale="110" zoomScaleNormal="110"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D55" sqref="D55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11'!D55</f>
        <v>446779.8128199451</v>
      </c>
      <c r="E5" s="18">
        <f>'JUN 11'!E55</f>
        <v>13204543.647555484</v>
      </c>
      <c r="F5" s="18">
        <f>'JUN 11'!F55</f>
        <v>6700409.9331143955</v>
      </c>
      <c r="G5" s="18">
        <f>'JUN 11'!G55</f>
        <v>0</v>
      </c>
      <c r="H5" s="18">
        <f>'JUN 11'!H55</f>
        <v>0</v>
      </c>
      <c r="I5" s="18">
        <f>'JUN 11'!I55</f>
        <v>133561.59662457896</v>
      </c>
      <c r="J5" s="18">
        <f>'JUN 11'!J55</f>
        <v>0</v>
      </c>
      <c r="K5" s="18">
        <f>'JUN 11'!K55</f>
        <v>312476.3441021429</v>
      </c>
      <c r="L5" s="18">
        <f>'JUN 11'!L55</f>
        <v>225749.90035513457</v>
      </c>
      <c r="M5" s="18">
        <f>'JUN 11'!M55</f>
        <v>129545.9547468649</v>
      </c>
      <c r="N5" s="18">
        <f>'JUN 11'!N55</f>
        <v>177265.5199999999</v>
      </c>
      <c r="O5" s="18">
        <f>'JUN 11'!O55</f>
        <v>735425.00813439966</v>
      </c>
      <c r="P5" s="18">
        <f>'JUN 11'!P55</f>
        <v>6910283.0934668649</v>
      </c>
      <c r="Q5" s="18">
        <f>'JUN 11'!Q55</f>
        <v>28526244.93054631</v>
      </c>
      <c r="R5" s="18">
        <f>'JUN 11'!R55</f>
        <v>476575.9745100002</v>
      </c>
      <c r="S5" s="18">
        <f>'JUN 11'!S55</f>
        <v>1966160.473502127</v>
      </c>
      <c r="T5" s="18">
        <f>'JUN 11'!T55</f>
        <v>0</v>
      </c>
      <c r="U5" s="18">
        <f>'JUN 11'!U55</f>
        <v>0</v>
      </c>
      <c r="V5" s="18">
        <f>'JUN 11'!V55</f>
        <v>0</v>
      </c>
      <c r="W5" s="18">
        <f>'JUN 11'!W55</f>
        <v>0</v>
      </c>
      <c r="X5" s="18">
        <f>'JUN 11'!X55</f>
        <v>0</v>
      </c>
      <c r="Y5" s="18">
        <f>'JUN 11'!Y55</f>
        <v>0</v>
      </c>
      <c r="Z5" s="18">
        <f>'JUN 11'!Z55</f>
        <v>9662.5274983807467</v>
      </c>
      <c r="AA5" s="18">
        <f>'JUN 11'!AA55</f>
        <v>40087.12108308218</v>
      </c>
      <c r="AB5" s="18">
        <f>'JUN 11'!AB55</f>
        <v>7542.7499999967404</v>
      </c>
      <c r="AC5" s="18">
        <f>'JUN 11'!AC55</f>
        <v>31292.757779986478</v>
      </c>
      <c r="AD5" s="18">
        <f>'JUN 11'!AD55</f>
        <v>5155</v>
      </c>
      <c r="AE5" s="18">
        <f>'JUN 11'!AE55</f>
        <v>21386.651600000001</v>
      </c>
      <c r="AF5" s="18">
        <f>'JUN 11'!AF55</f>
        <v>7956.8699999451637</v>
      </c>
      <c r="AG5" s="18">
        <f>'JUN 11'!AG55</f>
        <v>33010.825706172502</v>
      </c>
      <c r="AH5" s="18">
        <f>'JUN 11'!AH55</f>
        <v>118215.98999999718</v>
      </c>
      <c r="AI5" s="18">
        <f>'JUN 11'!AI55</f>
        <v>490445.04203278833</v>
      </c>
      <c r="AJ5" s="18">
        <f>'JUN 11'!AJ55</f>
        <v>674466.83999999822</v>
      </c>
      <c r="AK5" s="18">
        <f>'JUN 11'!AK55</f>
        <v>2798174.0684447926</v>
      </c>
      <c r="AL5" s="18">
        <f>'JUN 11'!AL55</f>
        <v>21576152.436255224</v>
      </c>
      <c r="AM5" s="18">
        <f>'JUN 11'!AM55</f>
        <v>59989090.774795353</v>
      </c>
      <c r="AN5" s="18">
        <f>'JUN 11'!AN55</f>
        <v>6276507.6901499992</v>
      </c>
      <c r="AO5" s="18">
        <f>'JUN 11'!AO55</f>
        <v>1091269.40043144</v>
      </c>
      <c r="AP5" s="18">
        <f>'JUN 11'!AP55</f>
        <v>5285267.3108801506</v>
      </c>
      <c r="AQ5" s="18">
        <f>'JUN 11'!AQ55</f>
        <v>2119408.3184261639</v>
      </c>
      <c r="AR5" s="18">
        <f>'JUN 11'!AR55</f>
        <v>33846.145451993005</v>
      </c>
      <c r="AS5" s="18">
        <f>'JUN 11'!AS55</f>
        <v>6.2909079996137462</v>
      </c>
      <c r="AT5" s="18">
        <f>'JUN 11'!AT55</f>
        <v>11.244432002509914</v>
      </c>
      <c r="AU5" s="18">
        <f>'JUN 11'!AU55</f>
        <v>70745.806203997287</v>
      </c>
      <c r="AV5" s="18">
        <f>'JUN 11'!AV55</f>
        <v>525146.68653480266</v>
      </c>
      <c r="AW5" s="18">
        <f>'JUN 11'!AW55</f>
        <v>86119.091979996796</v>
      </c>
      <c r="AX5" s="18">
        <f>'JUN 11'!AX55</f>
        <v>1047.2966740010875</v>
      </c>
      <c r="AY5" s="18">
        <f>'JUN 11'!AY55</f>
        <v>61411.100279998158</v>
      </c>
      <c r="AZ5" s="18">
        <f>'JUN 11'!AZ55</f>
        <v>23389.865177323234</v>
      </c>
      <c r="BA5" s="18">
        <f>'JUN 11'!BA55</f>
        <v>203148.58972400692</v>
      </c>
      <c r="BB5" s="18">
        <f>'JUN 11'!BB55</f>
        <v>70349.190219991142</v>
      </c>
      <c r="BC5" s="18">
        <f>'JUN 11'!BC55</f>
        <v>268359.04384799866</v>
      </c>
      <c r="BD5" s="18">
        <f>'JUN 11'!BD55</f>
        <v>17146.323599989839</v>
      </c>
      <c r="BE5" s="18">
        <f>'JUN 11'!BE55</f>
        <v>256596.93928368055</v>
      </c>
      <c r="BF5" s="18">
        <f>'JUN 11'!BF55</f>
        <v>321963.21571035992</v>
      </c>
      <c r="BG5" s="18">
        <f>'JUN 11'!BG55</f>
        <v>35109.526218882762</v>
      </c>
      <c r="BH5" s="18">
        <f>'JUN 11'!BH55</f>
        <v>26531.768320002102</v>
      </c>
      <c r="BI5" s="18">
        <f>'JUN 11'!BI55</f>
        <v>526567.9691583903</v>
      </c>
      <c r="BJ5" s="18">
        <f>'JUN 11'!BJ55</f>
        <v>198192.37105456018</v>
      </c>
      <c r="BK5" s="18">
        <f>'JUN 11'!BK55</f>
        <v>4069911.4371220134</v>
      </c>
      <c r="BL5" s="18">
        <f>'JUN 11'!BL55</f>
        <v>113381.97790244606</v>
      </c>
      <c r="BM5" s="18">
        <f>'JUN 11'!BM55</f>
        <v>1074903.2693071635</v>
      </c>
      <c r="BN5" s="18">
        <f>'JUN 11'!BN55</f>
        <v>1224701.0219073812</v>
      </c>
      <c r="BO5" s="18">
        <f>'JUN 11'!BO55</f>
        <v>3.4691202304202307E-3</v>
      </c>
      <c r="BP5" s="18">
        <f>'JUN 11'!BP55</f>
        <v>256.78752932906548</v>
      </c>
      <c r="BQ5" s="18">
        <f>'JUN 11'!BQ55</f>
        <v>4.0128798844989433E-3</v>
      </c>
      <c r="BR5" s="18">
        <f>'JUN 11'!BR55</f>
        <v>645484.5260000031</v>
      </c>
      <c r="BS5" s="18">
        <f>'JUN 11'!BS55</f>
        <v>2650869.4086606889</v>
      </c>
      <c r="BT5" s="18">
        <f>'JUN 11'!BT55</f>
        <v>3058402.124932019</v>
      </c>
      <c r="BU5" s="18">
        <f>'JUN 11'!BU55</f>
        <v>12639203.237636192</v>
      </c>
      <c r="BV5" s="18">
        <f>'JUN 11'!BV55</f>
        <v>8025.4488600000004</v>
      </c>
      <c r="BW5" s="18">
        <f>'JUN 11'!BW55</f>
        <v>397883.49299000081</v>
      </c>
      <c r="BX5" s="18">
        <f>'JUN 11'!BX55</f>
        <v>12663.664475599246</v>
      </c>
      <c r="BY5" s="18">
        <f>'JUN 11'!BY55</f>
        <v>-3487611.3090599999</v>
      </c>
      <c r="BZ5" s="18">
        <f>'JUN 11'!BZ55</f>
        <v>-23126701.60586001</v>
      </c>
      <c r="CA5" s="18">
        <f>'JUN 11'!CA55</f>
        <v>-10598748.534440007</v>
      </c>
      <c r="CB5" s="18">
        <f>'JUN 11'!CB55</f>
        <v>18918.56624</v>
      </c>
      <c r="CC5" s="18">
        <f>'JUN 11'!CC55</f>
        <v>905567.0501799999</v>
      </c>
      <c r="CD5" s="18">
        <f>'JUN 11'!CD55</f>
        <v>0</v>
      </c>
      <c r="CE5" s="18">
        <f>'JUN 11'!CE55</f>
        <v>28452.444999999996</v>
      </c>
      <c r="CF5" s="18">
        <f>'JUN 11'!CF55</f>
        <v>696622.45958999998</v>
      </c>
      <c r="CG5" s="18">
        <f>'JUN 11'!CG55</f>
        <v>194020.58999999994</v>
      </c>
      <c r="CH5" s="18">
        <f>'JUN 11'!CH55</f>
        <v>2.9318200000000001</v>
      </c>
      <c r="CI5" s="18">
        <f>'JUN 11'!CI55</f>
        <v>813161.95743999921</v>
      </c>
      <c r="CJ5" s="18">
        <f>'JUN 11'!CJ55</f>
        <v>201938.84803999978</v>
      </c>
      <c r="CK5" s="18">
        <f>'JUN 11'!CK55</f>
        <v>0</v>
      </c>
      <c r="CL5" s="18">
        <f>'JUN 11'!CL55</f>
        <v>0</v>
      </c>
      <c r="CM5" s="18">
        <f>'JUN 11'!CM55</f>
        <v>79545.207070000004</v>
      </c>
      <c r="CN5" s="18">
        <f>'JUN 11'!CN55</f>
        <v>662749.23605000007</v>
      </c>
      <c r="CO5" s="18">
        <f>'JUN 11'!CO55</f>
        <v>736446.43431999965</v>
      </c>
      <c r="CP5" s="18">
        <f>'JUN 11'!CP55</f>
        <v>9152723.6727600005</v>
      </c>
      <c r="CQ5" s="18">
        <f>'JUN 11'!CQ55</f>
        <v>377918.49939999997</v>
      </c>
      <c r="CR5" s="18">
        <f>'JUN 11'!CR55</f>
        <v>877844.95927000046</v>
      </c>
      <c r="CS5" s="18">
        <f>'JUN 11'!CS55</f>
        <v>5010.51</v>
      </c>
      <c r="CT5" s="18">
        <f>'JUN 11'!CT55</f>
        <v>20511.762362899997</v>
      </c>
      <c r="CU5" s="18">
        <f>'JUN 11'!CU55</f>
        <v>5010.51</v>
      </c>
      <c r="CV5" s="18">
        <f>'JUN 11'!CV55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154624353.15028507</v>
      </c>
    </row>
    <row r="6" spans="1:101" s="20" customFormat="1" x14ac:dyDescent="0.3">
      <c r="A6" s="165"/>
      <c r="B6" s="19"/>
      <c r="C6" s="19" t="s">
        <v>91</v>
      </c>
      <c r="D6" s="19">
        <v>-55176.32</v>
      </c>
      <c r="E6" s="19">
        <v>13399546.359999999</v>
      </c>
      <c r="F6" s="19">
        <v>15915382.310000001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-620198.74</v>
      </c>
      <c r="BZ6" s="19">
        <v>-5414836.46</v>
      </c>
      <c r="CA6" s="19">
        <v>-3907024.96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391603.4928199451</v>
      </c>
      <c r="E8" s="18">
        <f t="shared" si="0"/>
        <v>26604090.007555485</v>
      </c>
      <c r="F8" s="18">
        <f t="shared" si="0"/>
        <v>22615792.243114397</v>
      </c>
      <c r="G8" s="18">
        <f t="shared" si="0"/>
        <v>0</v>
      </c>
      <c r="H8" s="18">
        <f t="shared" si="0"/>
        <v>0</v>
      </c>
      <c r="I8" s="18">
        <f t="shared" si="0"/>
        <v>133561.59662457896</v>
      </c>
      <c r="J8" s="18">
        <f t="shared" si="0"/>
        <v>0</v>
      </c>
      <c r="K8" s="18">
        <f t="shared" si="0"/>
        <v>312476.3441021429</v>
      </c>
      <c r="L8" s="18">
        <f t="shared" si="0"/>
        <v>225749.90035513457</v>
      </c>
      <c r="M8" s="18">
        <f t="shared" si="0"/>
        <v>129545.9547468649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6910283.0934668649</v>
      </c>
      <c r="Q8" s="18">
        <f t="shared" si="0"/>
        <v>28526244.93054631</v>
      </c>
      <c r="R8" s="18">
        <f t="shared" si="0"/>
        <v>476575.9745100002</v>
      </c>
      <c r="S8" s="18">
        <f t="shared" si="0"/>
        <v>1966160.473502127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21576152.436255224</v>
      </c>
      <c r="AM8" s="18">
        <f t="shared" si="0"/>
        <v>59989090.774795353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2119408.3184261639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203148.58972400692</v>
      </c>
      <c r="BB8" s="18">
        <f t="shared" si="0"/>
        <v>70349.190219991142</v>
      </c>
      <c r="BC8" s="18">
        <f t="shared" si="0"/>
        <v>268359.04384799866</v>
      </c>
      <c r="BD8" s="18">
        <f t="shared" si="0"/>
        <v>17146.323599989839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4069911.4371220134</v>
      </c>
      <c r="BL8" s="18">
        <f t="shared" si="0"/>
        <v>113381.97790244606</v>
      </c>
      <c r="BM8" s="18">
        <f t="shared" si="0"/>
        <v>1074903.2693071635</v>
      </c>
      <c r="BN8" s="18">
        <f t="shared" si="0"/>
        <v>1224701.0219073812</v>
      </c>
      <c r="BO8" s="18">
        <f t="shared" si="0"/>
        <v>3.4691202304202307E-3</v>
      </c>
      <c r="BP8" s="18">
        <f t="shared" si="0"/>
        <v>256.78752932906548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3058402.124932019</v>
      </c>
      <c r="BU8" s="18">
        <f t="shared" si="1"/>
        <v>12639203.237636192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-4107810.0490600001</v>
      </c>
      <c r="BZ8" s="18">
        <f t="shared" si="1"/>
        <v>-28541538.065860011</v>
      </c>
      <c r="CA8" s="18">
        <f t="shared" si="1"/>
        <v>-14505773.494440008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173942045.34028509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f>676360+321622.91884</f>
        <v>997982.91883999994</v>
      </c>
      <c r="M11" s="26">
        <v>202908</v>
      </c>
      <c r="N11" s="26"/>
      <c r="O11" s="26"/>
      <c r="P11" s="26">
        <v>8400</v>
      </c>
      <c r="Q11" s="26">
        <f>(P11*4190.61)/1000</f>
        <v>35201.124000000003</v>
      </c>
      <c r="R11" s="26">
        <v>1260</v>
      </c>
      <c r="S11" s="26">
        <f>(R11*4190.61)/1000</f>
        <v>5280.1686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1241372.21144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>
        <v>2035320.47484</v>
      </c>
      <c r="M12" s="26"/>
      <c r="N12" s="26"/>
      <c r="O12" s="26"/>
      <c r="P12" s="26">
        <v>10000000</v>
      </c>
      <c r="Q12" s="26">
        <f>(P12*4190.61)/1000</f>
        <v>41906100</v>
      </c>
      <c r="R12" s="26">
        <v>1500000</v>
      </c>
      <c r="S12" s="26">
        <f>(R12*4190.61)/1000</f>
        <v>6285914.9999999991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50227335.47484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>
        <v>-5000000</v>
      </c>
      <c r="Q19" s="26">
        <f>(P19*4190.61)/1000</f>
        <v>-20953050</v>
      </c>
      <c r="R19" s="26">
        <v>-1500000</v>
      </c>
      <c r="S19" s="26">
        <f>(R19*4190.61)/1000</f>
        <v>-6285914.9999999991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-27238965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/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0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-109969545.75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-109969545.75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/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0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13880224.412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13880224.412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>
        <v>76235158.826000005</v>
      </c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76235158.826000005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24000</v>
      </c>
      <c r="E27" s="28"/>
      <c r="F27" s="28"/>
      <c r="G27" s="26"/>
      <c r="H27" s="26"/>
      <c r="I27" s="26"/>
      <c r="J27" s="26"/>
      <c r="K27" s="26"/>
      <c r="L27" s="27">
        <v>17000000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>
        <v>9000000</v>
      </c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>
        <v>5000000</v>
      </c>
      <c r="CA27" s="26">
        <v>135000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31159000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>
        <v>-11113000</v>
      </c>
      <c r="F28" s="28">
        <v>-1667000</v>
      </c>
      <c r="G28" s="26"/>
      <c r="H28" s="26"/>
      <c r="I28" s="26"/>
      <c r="J28" s="26"/>
      <c r="K28" s="28"/>
      <c r="L28" s="27"/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-12780000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0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>
        <v>661197.5</v>
      </c>
      <c r="Q31" s="33">
        <f>(P31*4190.61)/1000</f>
        <v>2770820.8554750001</v>
      </c>
      <c r="R31" s="33">
        <v>7953.6</v>
      </c>
      <c r="S31" s="33">
        <f>(R31*4190.61)/1000</f>
        <v>33330.435696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2804151.2911710003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-470000-560000-400000-410000</f>
        <v>-1840000</v>
      </c>
      <c r="Q35" s="37">
        <f>(P35*4190.61)/1000</f>
        <v>-7710722.3999999994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-7710722.3999999994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f>-119900-148650</f>
        <v>-268550</v>
      </c>
      <c r="M38" s="38">
        <v>-47960</v>
      </c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-316510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/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0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/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3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-1.73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v>-2.5089999999999999</v>
      </c>
      <c r="BB50" s="48">
        <v>-0.86899999999999999</v>
      </c>
      <c r="BC50" s="48">
        <f>-3.314-0.01</f>
        <v>-3.3239999999999998</v>
      </c>
      <c r="BD50" s="48">
        <f>-0.212-0.01</f>
        <v>-0.222</v>
      </c>
      <c r="BE50" s="48"/>
      <c r="BF50" s="48"/>
      <c r="BG50" s="48"/>
      <c r="BH50" s="48"/>
      <c r="BI50" s="48"/>
      <c r="BJ50" s="48"/>
      <c r="BK50" s="48"/>
      <c r="BL50" s="48">
        <v>-1.468</v>
      </c>
      <c r="BM50" s="48">
        <f>-13.92-0.01</f>
        <v>-13.93</v>
      </c>
      <c r="BN50" s="48">
        <v>-15.86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-39.911999999999999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-975.55600000000004</v>
      </c>
      <c r="F51" s="47">
        <v>-15.648999999999999</v>
      </c>
      <c r="G51" s="48"/>
      <c r="H51" s="48"/>
      <c r="I51" s="48"/>
      <c r="J51" s="48"/>
      <c r="K51" s="47"/>
      <c r="L51" s="47">
        <v>-12.388</v>
      </c>
      <c r="M51" s="47">
        <v>-4.1289999999999996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-1007.7220000000001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24.70889</v>
      </c>
      <c r="J52" s="48"/>
      <c r="K52" s="48"/>
      <c r="L52" s="47"/>
      <c r="M52" s="47"/>
      <c r="N52" s="48"/>
      <c r="O52" s="48"/>
      <c r="P52" s="48"/>
      <c r="Q52" s="48"/>
      <c r="R52" s="48">
        <v>36.270000000000003</v>
      </c>
      <c r="S52" s="48">
        <f>(R52*4190.61)/1000</f>
        <v>151.99342469999999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v>35.835999999999999</v>
      </c>
      <c r="BB52" s="48">
        <v>12.41</v>
      </c>
      <c r="BC52" s="48">
        <v>47.34</v>
      </c>
      <c r="BD52" s="48">
        <v>3.0249999999999999</v>
      </c>
      <c r="BE52" s="48"/>
      <c r="BF52" s="48"/>
      <c r="BG52" s="48"/>
      <c r="BH52" s="48"/>
      <c r="BI52" s="48"/>
      <c r="BJ52" s="48"/>
      <c r="BK52" s="48"/>
      <c r="BL52" s="48">
        <v>20.975660000000001</v>
      </c>
      <c r="BM52" s="48">
        <v>198.8571</v>
      </c>
      <c r="BN52" s="48">
        <v>226.56968000000001</v>
      </c>
      <c r="BO52" s="48"/>
      <c r="BP52" s="48">
        <f>47.5/1000-0.01</f>
        <v>3.7499999999999999E-2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721.75325469999996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f>(E10+E13+E16+E17+E33+E38+E47+E40+E51+E35)*4/1000</f>
        <v>-3.9022240000000004</v>
      </c>
      <c r="F53" s="48">
        <f>(F10+F13+F16+F17+F33+F38+F47+F40+F35)*4/1000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-1074.249552</v>
      </c>
      <c r="M53" s="47">
        <f>(M10+M13+M17+M33+M38+M40+M51+M36+M49+M16)*4/1000</f>
        <v>-191.856516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0</v>
      </c>
      <c r="AM53" s="48">
        <f>(AM10+AM17+AM38+AM40+AM47+AM51+AM50+AM16+AM13+AM30+AM33)*4/1000</f>
        <v>0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0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-1270.008292</v>
      </c>
    </row>
    <row r="54" spans="1:101" x14ac:dyDescent="0.3">
      <c r="C54" s="49" t="s">
        <v>141</v>
      </c>
      <c r="D54" s="50">
        <f t="shared" ref="D54:AM54" si="7">SUM(D9:D53)</f>
        <v>24000</v>
      </c>
      <c r="E54" s="50">
        <f t="shared" si="7"/>
        <v>-11113979.458224</v>
      </c>
      <c r="F54" s="50">
        <f>SUM(F9:F53)</f>
        <v>-1667015.649</v>
      </c>
      <c r="G54" s="50">
        <f t="shared" si="7"/>
        <v>0</v>
      </c>
      <c r="H54" s="50">
        <f t="shared" si="7"/>
        <v>0</v>
      </c>
      <c r="I54" s="50">
        <f t="shared" si="7"/>
        <v>22.97889</v>
      </c>
      <c r="J54" s="50">
        <f t="shared" si="7"/>
        <v>0</v>
      </c>
      <c r="K54" s="50">
        <f t="shared" si="7"/>
        <v>0</v>
      </c>
      <c r="L54" s="51">
        <f t="shared" si="7"/>
        <v>-90495.755871988251</v>
      </c>
      <c r="M54" s="50">
        <f t="shared" si="7"/>
        <v>154752.01448400001</v>
      </c>
      <c r="N54" s="50">
        <f t="shared" si="7"/>
        <v>0</v>
      </c>
      <c r="O54" s="50">
        <f t="shared" si="7"/>
        <v>0</v>
      </c>
      <c r="P54" s="50">
        <f t="shared" si="7"/>
        <v>3829597.5</v>
      </c>
      <c r="Q54" s="50">
        <f t="shared" si="7"/>
        <v>16048349.579475001</v>
      </c>
      <c r="R54" s="50">
        <f t="shared" si="7"/>
        <v>9249.8700000000008</v>
      </c>
      <c r="S54" s="50">
        <f t="shared" si="7"/>
        <v>38762.59772070044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0</v>
      </c>
      <c r="AM54" s="50">
        <f t="shared" si="7"/>
        <v>0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0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33.326999999999998</v>
      </c>
      <c r="BB54" s="50">
        <f t="shared" si="8"/>
        <v>11.541</v>
      </c>
      <c r="BC54" s="50">
        <f t="shared" si="8"/>
        <v>44.016000000000005</v>
      </c>
      <c r="BD54" s="50">
        <f t="shared" si="8"/>
        <v>2.8029999999999999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9000000</v>
      </c>
      <c r="BL54" s="50">
        <f t="shared" si="8"/>
        <v>19.507660000000001</v>
      </c>
      <c r="BM54" s="50">
        <f t="shared" si="8"/>
        <v>184.9271</v>
      </c>
      <c r="BN54" s="50">
        <f t="shared" si="8"/>
        <v>210.70967999999999</v>
      </c>
      <c r="BO54" s="50">
        <f t="shared" si="8"/>
        <v>0</v>
      </c>
      <c r="BP54" s="50">
        <f t="shared" si="8"/>
        <v>3.7499999999999999E-2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0</v>
      </c>
      <c r="BU54" s="50">
        <f t="shared" si="8"/>
        <v>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5000000</v>
      </c>
      <c r="CA54" s="50">
        <f t="shared" si="8"/>
        <v>135000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17529903.176413711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415603.4928199451</v>
      </c>
      <c r="E55" s="55">
        <f t="shared" si="9"/>
        <v>15490110.549331484</v>
      </c>
      <c r="F55" s="55">
        <f>+F8+F54</f>
        <v>20948776.594114397</v>
      </c>
      <c r="G55" s="55">
        <f t="shared" si="9"/>
        <v>0</v>
      </c>
      <c r="H55" s="55">
        <f t="shared" si="9"/>
        <v>0</v>
      </c>
      <c r="I55" s="55">
        <f t="shared" si="9"/>
        <v>133584.57551457896</v>
      </c>
      <c r="J55" s="55">
        <f t="shared" si="9"/>
        <v>0</v>
      </c>
      <c r="K55" s="55">
        <f t="shared" si="9"/>
        <v>312476.3441021429</v>
      </c>
      <c r="L55" s="55">
        <f t="shared" si="9"/>
        <v>135254.14448314632</v>
      </c>
      <c r="M55" s="55">
        <f t="shared" si="9"/>
        <v>284297.9692308649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10739880.593466865</v>
      </c>
      <c r="Q55" s="55">
        <f t="shared" si="9"/>
        <v>44574594.510021314</v>
      </c>
      <c r="R55" s="55">
        <f t="shared" si="9"/>
        <v>485825.8445100002</v>
      </c>
      <c r="S55" s="55">
        <f t="shared" si="9"/>
        <v>2004923.0712228275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21576152.436255224</v>
      </c>
      <c r="AM55" s="55">
        <f t="shared" si="9"/>
        <v>59989090.774795353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2119408.3184261639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203181.91672400691</v>
      </c>
      <c r="BB55" s="55">
        <f t="shared" si="9"/>
        <v>70360.731219991139</v>
      </c>
      <c r="BC55" s="55">
        <f t="shared" si="9"/>
        <v>268403.05984799867</v>
      </c>
      <c r="BD55" s="55">
        <f t="shared" si="9"/>
        <v>17149.126599989839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13069911.437122013</v>
      </c>
      <c r="BL55" s="55">
        <f t="shared" si="9"/>
        <v>113401.48556244606</v>
      </c>
      <c r="BM55" s="55">
        <f t="shared" si="9"/>
        <v>1075088.1964071635</v>
      </c>
      <c r="BN55" s="55">
        <f t="shared" si="9"/>
        <v>1224911.7315873813</v>
      </c>
      <c r="BO55" s="55">
        <f t="shared" si="9"/>
        <v>3.4691202304202307E-3</v>
      </c>
      <c r="BP55" s="55">
        <f t="shared" si="9"/>
        <v>256.8250293290655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3058402.124932019</v>
      </c>
      <c r="BU55" s="55">
        <f t="shared" si="10"/>
        <v>12639203.237636192</v>
      </c>
      <c r="BV55" s="55">
        <f t="shared" si="10"/>
        <v>8025.4488600000004</v>
      </c>
      <c r="BW55" s="55">
        <f t="shared" si="10"/>
        <v>397883.49299000081</v>
      </c>
      <c r="BX55" s="55">
        <f t="shared" si="10"/>
        <v>12663.664475599246</v>
      </c>
      <c r="BY55" s="55">
        <f t="shared" si="10"/>
        <v>-4107810.0490600001</v>
      </c>
      <c r="BZ55" s="55">
        <f t="shared" si="10"/>
        <v>-23541538.065860011</v>
      </c>
      <c r="CA55" s="55">
        <f t="shared" si="10"/>
        <v>-14370773.494440008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877844.95927000046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191471948.51669881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175547242.215451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13880224.412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148"/>
      <c r="BY61" s="148"/>
      <c r="BZ61" s="67"/>
      <c r="CA61" s="148"/>
      <c r="CB61" s="70"/>
      <c r="CC61" s="70"/>
      <c r="CD61" s="148"/>
      <c r="CE61" s="70"/>
      <c r="CF61" s="70"/>
      <c r="CG61" s="70"/>
      <c r="CH61" s="70"/>
      <c r="CI61" s="70"/>
      <c r="CJ61" s="70"/>
    </row>
    <row r="62" spans="1:101" x14ac:dyDescent="0.3">
      <c r="B62" s="157"/>
      <c r="C62" s="86" t="s">
        <v>152</v>
      </c>
      <c r="D62" s="87">
        <f>CW11+CW15</f>
        <v>1241372.21144</v>
      </c>
      <c r="E62" s="67" t="s">
        <v>204</v>
      </c>
      <c r="F62" s="88" t="s">
        <v>153</v>
      </c>
      <c r="G62" s="90">
        <f>P55</f>
        <v>10739880.593466865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31159000</v>
      </c>
      <c r="E63" s="67" t="s">
        <v>204</v>
      </c>
      <c r="F63" s="88" t="s">
        <v>155</v>
      </c>
      <c r="G63" s="90">
        <f>R55</f>
        <v>485825.8445100002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126462494.30084001</v>
      </c>
      <c r="E64" s="67" t="s">
        <v>204</v>
      </c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0</v>
      </c>
      <c r="E65" s="67"/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2804151.2911710003</v>
      </c>
      <c r="E66" s="100">
        <v>194.053818999767</v>
      </c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312476344.10214293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135254144.48314631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284297969.23086488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-150305020.75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-27238965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-109969545.75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-12780000</v>
      </c>
      <c r="E77" s="67" t="s">
        <v>204</v>
      </c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0</v>
      </c>
      <c r="E78" s="67">
        <v>-3914250.9168799999</v>
      </c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-316510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0</v>
      </c>
      <c r="E82" s="70"/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203148.58972400692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35.835999999999999</v>
      </c>
      <c r="L92" s="138">
        <f>BA50+BA51+BA53+BA40+BA42+BA43+BA45</f>
        <v>-2.5089999999999999</v>
      </c>
      <c r="M92" s="139">
        <f t="shared" si="11"/>
        <v>203181.91672400694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268359.04384799866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47.34</v>
      </c>
      <c r="L98" s="138">
        <f>BC50+BC51+BC53+BC40+BC42+BC43+BC45</f>
        <v>-3.3239999999999998</v>
      </c>
      <c r="M98" s="139">
        <f t="shared" si="11"/>
        <v>268403.05984799867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70349.190219991142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12.41</v>
      </c>
      <c r="L99" s="138">
        <f>BB50+BB51+BB53+BB40+BB42+BB43+BB45</f>
        <v>-0.86899999999999999</v>
      </c>
      <c r="M99" s="139">
        <f t="shared" si="11"/>
        <v>70360.731219991139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17146.323599989839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3.0249999999999999</v>
      </c>
      <c r="L104" s="138">
        <f>BD50+BD51+BD53+BD40+BD42+BD43+BD45</f>
        <v>-0.222</v>
      </c>
      <c r="M104" s="139">
        <f t="shared" si="11"/>
        <v>17149.126599989839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606242.53475967934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35.835999999999999</v>
      </c>
      <c r="L108" s="97">
        <f t="shared" si="12"/>
        <v>-2.5089999999999999</v>
      </c>
      <c r="M108" s="97">
        <f t="shared" si="12"/>
        <v>606275.86175967939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1188304.2509507432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59.75</v>
      </c>
      <c r="L109" s="97">
        <f t="shared" si="13"/>
        <v>-4.1929999999999996</v>
      </c>
      <c r="M109" s="97">
        <f t="shared" si="13"/>
        <v>1188359.8079507432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382605.12735742819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3.0249999999999999</v>
      </c>
      <c r="L110" s="97">
        <f t="shared" si="14"/>
        <v>-0.222</v>
      </c>
      <c r="M110" s="97">
        <f t="shared" si="14"/>
        <v>382607.93035742821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  <mergeCell ref="A9:A29"/>
    <mergeCell ref="D1:BK1"/>
    <mergeCell ref="BL1:BN1"/>
    <mergeCell ref="BR1:CJ1"/>
    <mergeCell ref="CW2:CW4"/>
    <mergeCell ref="A5:A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W130"/>
  <sheetViews>
    <sheetView zoomScale="110" zoomScaleNormal="110" workbookViewId="0">
      <pane xSplit="3" ySplit="4" topLeftCell="D44" activePane="bottomRight" state="frozen"/>
      <selection pane="topRight" activeCell="D1" sqref="D1"/>
      <selection pane="bottomLeft" activeCell="A5" sqref="A5"/>
      <selection pane="bottomRight" activeCell="D68" sqref="D68"/>
    </sheetView>
  </sheetViews>
  <sheetFormatPr baseColWidth="10" defaultColWidth="19.109375" defaultRowHeight="14.4" x14ac:dyDescent="0.3"/>
  <cols>
    <col min="1" max="1" width="19.109375" style="1"/>
    <col min="2" max="2" width="6" style="2" customWidth="1"/>
    <col min="3" max="3" width="48.109375" style="3" bestFit="1" customWidth="1"/>
    <col min="4" max="4" width="23.5546875" style="1" customWidth="1"/>
    <col min="5" max="5" width="19.33203125" style="1" bestFit="1" customWidth="1"/>
    <col min="6" max="6" width="23.33203125" style="1" customWidth="1"/>
    <col min="7" max="7" width="20.88671875" style="1" customWidth="1"/>
    <col min="8" max="8" width="19.33203125" style="1" customWidth="1"/>
    <col min="9" max="9" width="27.6640625" style="1" customWidth="1"/>
    <col min="10" max="10" width="19.88671875" style="1" bestFit="1" customWidth="1"/>
    <col min="11" max="11" width="19.88671875" style="1" customWidth="1"/>
    <col min="12" max="12" width="21.88671875" style="1" customWidth="1"/>
    <col min="13" max="13" width="17.6640625" style="1" bestFit="1" customWidth="1"/>
    <col min="14" max="14" width="20.109375" style="1" bestFit="1" customWidth="1"/>
    <col min="15" max="15" width="22.5546875" style="1" bestFit="1" customWidth="1"/>
    <col min="16" max="16" width="21.21875" style="1" customWidth="1"/>
    <col min="17" max="17" width="23.5546875" style="1" bestFit="1" customWidth="1"/>
    <col min="18" max="18" width="17.88671875" style="1" bestFit="1" customWidth="1"/>
    <col min="19" max="19" width="19.44140625" style="1" bestFit="1" customWidth="1"/>
    <col min="20" max="25" width="19.44140625" style="1" customWidth="1"/>
    <col min="26" max="26" width="20.109375" style="1" bestFit="1" customWidth="1"/>
    <col min="27" max="27" width="22.5546875" style="1" bestFit="1" customWidth="1"/>
    <col min="28" max="29" width="15.6640625" style="1" bestFit="1" customWidth="1"/>
    <col min="30" max="30" width="17.109375" style="1" bestFit="1" customWidth="1"/>
    <col min="31" max="31" width="19.44140625" style="1" bestFit="1" customWidth="1"/>
    <col min="32" max="32" width="19.33203125" style="1" bestFit="1" customWidth="1"/>
    <col min="33" max="33" width="21.6640625" style="1" bestFit="1" customWidth="1"/>
    <col min="34" max="37" width="15.6640625" style="1" bestFit="1" customWidth="1"/>
    <col min="38" max="38" width="18.44140625" style="1" bestFit="1" customWidth="1"/>
    <col min="39" max="39" width="18.5546875" style="1" bestFit="1" customWidth="1"/>
    <col min="40" max="43" width="18.5546875" style="1" customWidth="1"/>
    <col min="44" max="48" width="18.33203125" style="1" bestFit="1" customWidth="1"/>
    <col min="49" max="49" width="16.44140625" style="1" bestFit="1" customWidth="1"/>
    <col min="50" max="50" width="11.5546875" style="1" bestFit="1" customWidth="1"/>
    <col min="51" max="51" width="13.88671875" style="1" bestFit="1" customWidth="1"/>
    <col min="52" max="52" width="15.44140625" style="1" bestFit="1" customWidth="1"/>
    <col min="53" max="53" width="16.44140625" style="1" bestFit="1" customWidth="1"/>
    <col min="54" max="54" width="13.88671875" style="1" bestFit="1" customWidth="1"/>
    <col min="55" max="55" width="14.109375" style="1" bestFit="1" customWidth="1"/>
    <col min="56" max="56" width="17.5546875" style="1" bestFit="1" customWidth="1"/>
    <col min="57" max="59" width="17.88671875" style="1" bestFit="1" customWidth="1"/>
    <col min="60" max="60" width="16.44140625" style="1" bestFit="1" customWidth="1"/>
    <col min="61" max="61" width="15.6640625" style="1" bestFit="1" customWidth="1"/>
    <col min="62" max="62" width="14.44140625" style="1" bestFit="1" customWidth="1"/>
    <col min="63" max="63" width="15.88671875" style="1" bestFit="1" customWidth="1"/>
    <col min="64" max="64" width="20.88671875" style="1" bestFit="1" customWidth="1"/>
    <col min="65" max="66" width="19.33203125" style="1" bestFit="1" customWidth="1"/>
    <col min="67" max="68" width="19.33203125" style="1" customWidth="1"/>
    <col min="69" max="69" width="21.33203125" style="1" customWidth="1"/>
    <col min="70" max="73" width="21.5546875" style="1" bestFit="1" customWidth="1"/>
    <col min="74" max="76" width="18.33203125" style="1" bestFit="1" customWidth="1"/>
    <col min="77" max="77" width="23.33203125" style="1" bestFit="1" customWidth="1"/>
    <col min="78" max="79" width="20.44140625" style="1" bestFit="1" customWidth="1"/>
    <col min="80" max="80" width="16.44140625" style="1" bestFit="1" customWidth="1"/>
    <col min="81" max="82" width="16.33203125" style="1" bestFit="1" customWidth="1"/>
    <col min="83" max="83" width="16.44140625" style="1" bestFit="1" customWidth="1"/>
    <col min="84" max="84" width="14" style="1" customWidth="1"/>
    <col min="85" max="85" width="13.33203125" style="1" bestFit="1" customWidth="1"/>
    <col min="86" max="86" width="17.88671875" style="1" bestFit="1" customWidth="1"/>
    <col min="87" max="88" width="20.6640625" style="1" bestFit="1" customWidth="1"/>
    <col min="89" max="95" width="20.6640625" style="1" customWidth="1"/>
    <col min="96" max="96" width="20.44140625" style="1" bestFit="1" customWidth="1"/>
    <col min="97" max="100" width="20.44140625" style="1" customWidth="1"/>
    <col min="101" max="16384" width="19.109375" style="1"/>
  </cols>
  <sheetData>
    <row r="1" spans="1:101" x14ac:dyDescent="0.3">
      <c r="D1" s="159" t="s">
        <v>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1"/>
      <c r="BL1" s="159" t="s">
        <v>1</v>
      </c>
      <c r="BM1" s="160"/>
      <c r="BN1" s="161"/>
      <c r="BO1" s="4" t="s">
        <v>2</v>
      </c>
      <c r="BP1" s="4" t="s">
        <v>3</v>
      </c>
      <c r="BQ1" s="4" t="s">
        <v>4</v>
      </c>
      <c r="BR1" s="162" t="s">
        <v>5</v>
      </c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</row>
    <row r="2" spans="1:101" s="2" customFormat="1" x14ac:dyDescent="0.3">
      <c r="C2" s="3"/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6</v>
      </c>
      <c r="L2" s="7" t="s">
        <v>7</v>
      </c>
      <c r="M2" s="7" t="s">
        <v>8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13</v>
      </c>
      <c r="AA2" s="6" t="s">
        <v>14</v>
      </c>
      <c r="AB2" s="6" t="s">
        <v>15</v>
      </c>
      <c r="AC2" s="6" t="s">
        <v>16</v>
      </c>
      <c r="AD2" s="6" t="s">
        <v>17</v>
      </c>
      <c r="AE2" s="6" t="s">
        <v>18</v>
      </c>
      <c r="AF2" s="6" t="s">
        <v>19</v>
      </c>
      <c r="AG2" s="6" t="s">
        <v>20</v>
      </c>
      <c r="AH2" s="6" t="s">
        <v>21</v>
      </c>
      <c r="AI2" s="6" t="s">
        <v>22</v>
      </c>
      <c r="AJ2" s="6" t="s">
        <v>23</v>
      </c>
      <c r="AK2" s="6" t="s">
        <v>24</v>
      </c>
      <c r="AL2" s="6" t="s">
        <v>25</v>
      </c>
      <c r="AM2" s="6" t="s">
        <v>26</v>
      </c>
      <c r="AN2" s="6" t="s">
        <v>27</v>
      </c>
      <c r="AO2" s="6" t="s">
        <v>28</v>
      </c>
      <c r="AP2" s="6" t="s">
        <v>29</v>
      </c>
      <c r="AQ2" s="6" t="s">
        <v>29</v>
      </c>
      <c r="AR2" s="6" t="s">
        <v>6</v>
      </c>
      <c r="AS2" s="6" t="s">
        <v>7</v>
      </c>
      <c r="AT2" s="6" t="s">
        <v>11</v>
      </c>
      <c r="AU2" s="6" t="s">
        <v>8</v>
      </c>
      <c r="AV2" s="6" t="s">
        <v>25</v>
      </c>
      <c r="AW2" s="6" t="s">
        <v>6</v>
      </c>
      <c r="AX2" s="6" t="s">
        <v>7</v>
      </c>
      <c r="AY2" s="6" t="s">
        <v>8</v>
      </c>
      <c r="AZ2" s="6" t="s">
        <v>25</v>
      </c>
      <c r="BA2" s="6" t="s">
        <v>6</v>
      </c>
      <c r="BB2" s="6" t="s">
        <v>7</v>
      </c>
      <c r="BC2" s="6" t="s">
        <v>11</v>
      </c>
      <c r="BD2" s="6" t="s">
        <v>8</v>
      </c>
      <c r="BE2" s="6" t="s">
        <v>6</v>
      </c>
      <c r="BF2" s="6" t="s">
        <v>7</v>
      </c>
      <c r="BG2" s="6" t="s">
        <v>8</v>
      </c>
      <c r="BH2" s="6" t="s">
        <v>6</v>
      </c>
      <c r="BI2" s="6" t="s">
        <v>7</v>
      </c>
      <c r="BJ2" s="6" t="s">
        <v>8</v>
      </c>
      <c r="BK2" s="6" t="s">
        <v>25</v>
      </c>
      <c r="BL2" s="6" t="s">
        <v>9</v>
      </c>
      <c r="BM2" s="6" t="s">
        <v>10</v>
      </c>
      <c r="BN2" s="6" t="s">
        <v>12</v>
      </c>
      <c r="BO2" s="6" t="s">
        <v>10</v>
      </c>
      <c r="BP2" s="6" t="s">
        <v>10</v>
      </c>
      <c r="BQ2" s="6" t="s">
        <v>10</v>
      </c>
      <c r="BR2" s="8" t="s">
        <v>30</v>
      </c>
      <c r="BS2" s="8" t="s">
        <v>16</v>
      </c>
      <c r="BT2" s="8" t="s">
        <v>31</v>
      </c>
      <c r="BU2" s="8" t="s">
        <v>18</v>
      </c>
      <c r="BV2" s="8" t="s">
        <v>6</v>
      </c>
      <c r="BW2" s="8" t="s">
        <v>7</v>
      </c>
      <c r="BX2" s="8" t="s">
        <v>8</v>
      </c>
      <c r="BY2" s="8" t="s">
        <v>6</v>
      </c>
      <c r="BZ2" s="8" t="s">
        <v>7</v>
      </c>
      <c r="CA2" s="8" t="s">
        <v>8</v>
      </c>
      <c r="CB2" s="8" t="s">
        <v>6</v>
      </c>
      <c r="CC2" s="8" t="s">
        <v>7</v>
      </c>
      <c r="CD2" s="8" t="s">
        <v>8</v>
      </c>
      <c r="CE2" s="8" t="s">
        <v>6</v>
      </c>
      <c r="CF2" s="8" t="s">
        <v>7</v>
      </c>
      <c r="CG2" s="8" t="s">
        <v>8</v>
      </c>
      <c r="CH2" s="8" t="s">
        <v>8</v>
      </c>
      <c r="CI2" s="8" t="s">
        <v>7</v>
      </c>
      <c r="CJ2" s="8" t="s">
        <v>8</v>
      </c>
      <c r="CK2" s="8" t="s">
        <v>7</v>
      </c>
      <c r="CL2" s="8" t="s">
        <v>7</v>
      </c>
      <c r="CM2" s="8" t="s">
        <v>7</v>
      </c>
      <c r="CN2" s="8" t="s">
        <v>7</v>
      </c>
      <c r="CO2" s="8" t="s">
        <v>7</v>
      </c>
      <c r="CP2" s="8" t="s">
        <v>7</v>
      </c>
      <c r="CQ2" s="8" t="s">
        <v>7</v>
      </c>
      <c r="CR2" s="8" t="s">
        <v>7</v>
      </c>
      <c r="CS2" s="8" t="s">
        <v>30</v>
      </c>
      <c r="CT2" s="8" t="s">
        <v>16</v>
      </c>
      <c r="CU2" s="8" t="s">
        <v>31</v>
      </c>
      <c r="CV2" s="8" t="s">
        <v>18</v>
      </c>
      <c r="CW2" s="163" t="s">
        <v>32</v>
      </c>
    </row>
    <row r="3" spans="1:101" s="2" customFormat="1" x14ac:dyDescent="0.3">
      <c r="C3" s="3"/>
      <c r="D3" s="9" t="s">
        <v>33</v>
      </c>
      <c r="E3" s="9" t="s">
        <v>33</v>
      </c>
      <c r="F3" s="9" t="s">
        <v>33</v>
      </c>
      <c r="G3" s="9" t="s">
        <v>33</v>
      </c>
      <c r="H3" s="9" t="s">
        <v>33</v>
      </c>
      <c r="I3" s="9" t="s">
        <v>33</v>
      </c>
      <c r="J3" s="9" t="s">
        <v>33</v>
      </c>
      <c r="K3" s="10" t="s">
        <v>34</v>
      </c>
      <c r="L3" s="10" t="s">
        <v>34</v>
      </c>
      <c r="M3" s="10" t="s">
        <v>34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36</v>
      </c>
      <c r="U3" s="9" t="s">
        <v>36</v>
      </c>
      <c r="V3" s="9" t="s">
        <v>36</v>
      </c>
      <c r="W3" s="9" t="s">
        <v>36</v>
      </c>
      <c r="X3" s="9" t="s">
        <v>36</v>
      </c>
      <c r="Y3" s="9" t="s">
        <v>36</v>
      </c>
      <c r="Z3" s="9" t="s">
        <v>37</v>
      </c>
      <c r="AA3" s="9" t="s">
        <v>37</v>
      </c>
      <c r="AB3" s="9" t="s">
        <v>37</v>
      </c>
      <c r="AC3" s="9" t="s">
        <v>37</v>
      </c>
      <c r="AD3" s="9" t="s">
        <v>37</v>
      </c>
      <c r="AE3" s="9" t="s">
        <v>37</v>
      </c>
      <c r="AF3" s="9" t="s">
        <v>37</v>
      </c>
      <c r="AG3" s="9" t="s">
        <v>37</v>
      </c>
      <c r="AH3" s="9" t="s">
        <v>37</v>
      </c>
      <c r="AI3" s="9" t="s">
        <v>37</v>
      </c>
      <c r="AJ3" s="9" t="s">
        <v>37</v>
      </c>
      <c r="AK3" s="9" t="s">
        <v>37</v>
      </c>
      <c r="AL3" s="9" t="s">
        <v>38</v>
      </c>
      <c r="AM3" s="9" t="s">
        <v>38</v>
      </c>
      <c r="AN3" s="9"/>
      <c r="AO3" s="9"/>
      <c r="AP3" s="9"/>
      <c r="AQ3" s="9" t="s">
        <v>39</v>
      </c>
      <c r="AR3" s="9" t="s">
        <v>40</v>
      </c>
      <c r="AS3" s="9" t="s">
        <v>40</v>
      </c>
      <c r="AT3" s="9" t="s">
        <v>40</v>
      </c>
      <c r="AU3" s="9" t="s">
        <v>40</v>
      </c>
      <c r="AV3" s="9" t="s">
        <v>40</v>
      </c>
      <c r="AW3" s="9" t="s">
        <v>41</v>
      </c>
      <c r="AX3" s="9" t="s">
        <v>41</v>
      </c>
      <c r="AY3" s="9" t="s">
        <v>41</v>
      </c>
      <c r="AZ3" s="9" t="s">
        <v>41</v>
      </c>
      <c r="BA3" s="9" t="s">
        <v>42</v>
      </c>
      <c r="BB3" s="9" t="s">
        <v>42</v>
      </c>
      <c r="BC3" s="9" t="s">
        <v>42</v>
      </c>
      <c r="BD3" s="9" t="s">
        <v>42</v>
      </c>
      <c r="BE3" s="9" t="s">
        <v>43</v>
      </c>
      <c r="BF3" s="9" t="s">
        <v>43</v>
      </c>
      <c r="BG3" s="9" t="s">
        <v>43</v>
      </c>
      <c r="BH3" s="9" t="s">
        <v>44</v>
      </c>
      <c r="BI3" s="9" t="s">
        <v>44</v>
      </c>
      <c r="BJ3" s="9" t="s">
        <v>44</v>
      </c>
      <c r="BK3" s="9" t="s">
        <v>44</v>
      </c>
      <c r="BL3" s="9" t="s">
        <v>33</v>
      </c>
      <c r="BM3" s="9" t="s">
        <v>33</v>
      </c>
      <c r="BN3" s="9" t="s">
        <v>33</v>
      </c>
      <c r="BO3" s="9" t="s">
        <v>33</v>
      </c>
      <c r="BP3" s="9" t="s">
        <v>33</v>
      </c>
      <c r="BQ3" s="9" t="s">
        <v>33</v>
      </c>
      <c r="BR3" s="11" t="s">
        <v>45</v>
      </c>
      <c r="BS3" s="11" t="s">
        <v>45</v>
      </c>
      <c r="BT3" s="11" t="s">
        <v>45</v>
      </c>
      <c r="BU3" s="11" t="s">
        <v>45</v>
      </c>
      <c r="BV3" s="11" t="s">
        <v>40</v>
      </c>
      <c r="BW3" s="11" t="s">
        <v>40</v>
      </c>
      <c r="BX3" s="11" t="s">
        <v>40</v>
      </c>
      <c r="BY3" s="11" t="s">
        <v>44</v>
      </c>
      <c r="BZ3" s="11" t="s">
        <v>44</v>
      </c>
      <c r="CA3" s="11" t="s">
        <v>44</v>
      </c>
      <c r="CB3" s="11" t="s">
        <v>46</v>
      </c>
      <c r="CC3" s="11" t="s">
        <v>46</v>
      </c>
      <c r="CD3" s="11" t="s">
        <v>46</v>
      </c>
      <c r="CE3" s="11" t="s">
        <v>47</v>
      </c>
      <c r="CF3" s="11" t="s">
        <v>47</v>
      </c>
      <c r="CG3" s="11" t="s">
        <v>47</v>
      </c>
      <c r="CH3" s="11" t="s">
        <v>43</v>
      </c>
      <c r="CI3" s="11" t="s">
        <v>48</v>
      </c>
      <c r="CJ3" s="11" t="s">
        <v>48</v>
      </c>
      <c r="CK3" s="11" t="s">
        <v>49</v>
      </c>
      <c r="CL3" s="11" t="s">
        <v>49</v>
      </c>
      <c r="CM3" s="11" t="s">
        <v>33</v>
      </c>
      <c r="CN3" s="11" t="s">
        <v>44</v>
      </c>
      <c r="CO3" s="11" t="s">
        <v>50</v>
      </c>
      <c r="CP3" s="11" t="s">
        <v>48</v>
      </c>
      <c r="CQ3" s="11" t="s">
        <v>48</v>
      </c>
      <c r="CR3" s="11" t="s">
        <v>51</v>
      </c>
      <c r="CS3" s="11" t="s">
        <v>52</v>
      </c>
      <c r="CT3" s="11" t="s">
        <v>52</v>
      </c>
      <c r="CU3" s="11" t="s">
        <v>52</v>
      </c>
      <c r="CV3" s="11" t="s">
        <v>52</v>
      </c>
      <c r="CW3" s="163"/>
    </row>
    <row r="4" spans="1:101" s="16" customFormat="1" x14ac:dyDescent="0.3">
      <c r="A4" s="12" t="s">
        <v>53</v>
      </c>
      <c r="B4" s="12" t="s">
        <v>54</v>
      </c>
      <c r="C4" s="12" t="s">
        <v>55</v>
      </c>
      <c r="D4" s="13"/>
      <c r="E4" s="13"/>
      <c r="F4" s="13"/>
      <c r="G4" s="13">
        <v>482800001265</v>
      </c>
      <c r="H4" s="13">
        <v>482800001273</v>
      </c>
      <c r="I4" s="13">
        <v>482800002024</v>
      </c>
      <c r="J4" s="13">
        <v>482800001257</v>
      </c>
      <c r="K4" s="13" t="s">
        <v>56</v>
      </c>
      <c r="L4" s="13" t="s">
        <v>57</v>
      </c>
      <c r="M4" s="13" t="s">
        <v>58</v>
      </c>
      <c r="N4" s="13">
        <v>36203301</v>
      </c>
      <c r="O4" s="13">
        <v>36203301</v>
      </c>
      <c r="P4" s="13">
        <v>36203328</v>
      </c>
      <c r="Q4" s="13">
        <v>36203328</v>
      </c>
      <c r="R4" s="13">
        <v>36025015</v>
      </c>
      <c r="S4" s="13">
        <v>36025015</v>
      </c>
      <c r="T4" s="13"/>
      <c r="U4" s="13"/>
      <c r="V4" s="13"/>
      <c r="W4" s="13"/>
      <c r="X4" s="13"/>
      <c r="Y4" s="13"/>
      <c r="Z4" s="13">
        <v>865784010</v>
      </c>
      <c r="AA4" s="13">
        <v>865784010</v>
      </c>
      <c r="AB4" s="13">
        <v>865804010</v>
      </c>
      <c r="AC4" s="13">
        <v>865804010</v>
      </c>
      <c r="AD4" s="13">
        <v>865794010</v>
      </c>
      <c r="AE4" s="13">
        <v>865794010</v>
      </c>
      <c r="AF4" s="13" t="s">
        <v>59</v>
      </c>
      <c r="AG4" s="13" t="s">
        <v>59</v>
      </c>
      <c r="AH4" s="14" t="s">
        <v>60</v>
      </c>
      <c r="AI4" s="14" t="s">
        <v>60</v>
      </c>
      <c r="AJ4" s="14" t="s">
        <v>61</v>
      </c>
      <c r="AK4" s="14" t="s">
        <v>61</v>
      </c>
      <c r="AL4" s="13"/>
      <c r="AM4" s="13"/>
      <c r="AN4" s="13"/>
      <c r="AO4" s="13"/>
      <c r="AP4" s="13"/>
      <c r="AQ4" s="13"/>
      <c r="AR4" s="13" t="s">
        <v>62</v>
      </c>
      <c r="AS4" s="13" t="s">
        <v>63</v>
      </c>
      <c r="AT4" s="13" t="s">
        <v>64</v>
      </c>
      <c r="AU4" s="13" t="s">
        <v>65</v>
      </c>
      <c r="AV4" s="13" t="s">
        <v>66</v>
      </c>
      <c r="AW4" s="13" t="s">
        <v>67</v>
      </c>
      <c r="AX4" s="13" t="s">
        <v>68</v>
      </c>
      <c r="AY4" s="13" t="s">
        <v>69</v>
      </c>
      <c r="AZ4" s="13" t="s">
        <v>70</v>
      </c>
      <c r="BA4" s="13" t="s">
        <v>71</v>
      </c>
      <c r="BB4" s="13" t="s">
        <v>72</v>
      </c>
      <c r="BC4" s="13" t="s">
        <v>73</v>
      </c>
      <c r="BD4" s="13" t="s">
        <v>74</v>
      </c>
      <c r="BE4" s="13" t="s">
        <v>75</v>
      </c>
      <c r="BF4" s="13" t="s">
        <v>76</v>
      </c>
      <c r="BG4" s="13" t="s">
        <v>77</v>
      </c>
      <c r="BH4" s="13">
        <v>17171123071</v>
      </c>
      <c r="BI4" s="13" t="s">
        <v>78</v>
      </c>
      <c r="BJ4" s="13" t="s">
        <v>79</v>
      </c>
      <c r="BK4" s="13" t="s">
        <v>80</v>
      </c>
      <c r="BL4" s="13">
        <v>482800007882</v>
      </c>
      <c r="BM4" s="13">
        <v>482800007908</v>
      </c>
      <c r="BN4" s="13">
        <v>482800007890</v>
      </c>
      <c r="BO4" s="13">
        <v>482800010001</v>
      </c>
      <c r="BP4" s="13">
        <v>482800010019</v>
      </c>
      <c r="BQ4" s="13">
        <v>482800010027</v>
      </c>
      <c r="BR4" s="15">
        <v>36024995</v>
      </c>
      <c r="BS4" s="15">
        <v>36024995</v>
      </c>
      <c r="BT4" s="15">
        <v>36903922</v>
      </c>
      <c r="BU4" s="15">
        <v>36903922</v>
      </c>
      <c r="BV4" s="15" t="s">
        <v>81</v>
      </c>
      <c r="BW4" s="15" t="s">
        <v>82</v>
      </c>
      <c r="BX4" s="15" t="s">
        <v>83</v>
      </c>
      <c r="BY4" s="15">
        <v>5300635932</v>
      </c>
      <c r="BZ4" s="15">
        <v>5300250331</v>
      </c>
      <c r="CA4" s="15">
        <v>5300218006</v>
      </c>
      <c r="CB4" s="15" t="s">
        <v>84</v>
      </c>
      <c r="CC4" s="15" t="s">
        <v>85</v>
      </c>
      <c r="CD4" s="15" t="s">
        <v>86</v>
      </c>
      <c r="CE4" s="15" t="s">
        <v>87</v>
      </c>
      <c r="CF4" s="15" t="s">
        <v>88</v>
      </c>
      <c r="CG4" s="15" t="s">
        <v>89</v>
      </c>
      <c r="CH4" s="15">
        <v>121010607</v>
      </c>
      <c r="CI4" s="15">
        <v>221816614</v>
      </c>
      <c r="CJ4" s="15">
        <v>221816598</v>
      </c>
      <c r="CK4" s="15">
        <v>60193029</v>
      </c>
      <c r="CL4" s="15">
        <v>60193401</v>
      </c>
      <c r="CM4" s="15">
        <v>1011143807</v>
      </c>
      <c r="CN4" s="15">
        <v>4801736642</v>
      </c>
      <c r="CO4" s="15">
        <v>65005340</v>
      </c>
      <c r="CP4" s="15">
        <v>288086051</v>
      </c>
      <c r="CQ4" s="15">
        <v>288049109</v>
      </c>
      <c r="CR4" s="15">
        <v>411166042</v>
      </c>
      <c r="CS4" s="15">
        <v>865804015</v>
      </c>
      <c r="CT4" s="15">
        <v>865804015</v>
      </c>
      <c r="CU4" s="15">
        <v>865794015</v>
      </c>
      <c r="CV4" s="15">
        <v>865794015</v>
      </c>
      <c r="CW4" s="163"/>
    </row>
    <row r="5" spans="1:101" s="16" customFormat="1" x14ac:dyDescent="0.3">
      <c r="A5" s="164" t="s">
        <v>5</v>
      </c>
      <c r="B5" s="17"/>
      <c r="C5" s="17" t="s">
        <v>90</v>
      </c>
      <c r="D5" s="18">
        <f>'JUN 12'!D55</f>
        <v>415603.4928199451</v>
      </c>
      <c r="E5" s="18">
        <f>'JUN 12'!E55</f>
        <v>15490110.549331484</v>
      </c>
      <c r="F5" s="18">
        <f>'JUN 12'!F55</f>
        <v>20948776.594114397</v>
      </c>
      <c r="G5" s="18">
        <f>'JUN 12'!G55</f>
        <v>0</v>
      </c>
      <c r="H5" s="18">
        <f>'JUN 12'!H55</f>
        <v>0</v>
      </c>
      <c r="I5" s="18">
        <f>'JUN 12'!I55</f>
        <v>133584.57551457896</v>
      </c>
      <c r="J5" s="18">
        <f>'JUN 12'!J55</f>
        <v>0</v>
      </c>
      <c r="K5" s="18">
        <f>'JUN 12'!K55</f>
        <v>312476.3441021429</v>
      </c>
      <c r="L5" s="18">
        <f>'JUN 12'!L55</f>
        <v>135254.14448314632</v>
      </c>
      <c r="M5" s="18">
        <f>'JUN 12'!M55</f>
        <v>284297.9692308649</v>
      </c>
      <c r="N5" s="18">
        <f>'JUN 12'!N55</f>
        <v>177265.5199999999</v>
      </c>
      <c r="O5" s="18">
        <f>'JUN 12'!O55</f>
        <v>735425.00813439966</v>
      </c>
      <c r="P5" s="18">
        <f>'JUN 12'!P55</f>
        <v>10739880.593466865</v>
      </c>
      <c r="Q5" s="18">
        <f>'JUN 12'!Q55</f>
        <v>44574594.510021314</v>
      </c>
      <c r="R5" s="18">
        <f>'JUN 12'!R55</f>
        <v>485825.8445100002</v>
      </c>
      <c r="S5" s="18">
        <f>'JUN 12'!S55</f>
        <v>2004923.0712228275</v>
      </c>
      <c r="T5" s="18">
        <f>'JUN 12'!T55</f>
        <v>0</v>
      </c>
      <c r="U5" s="18">
        <f>'JUN 12'!U55</f>
        <v>0</v>
      </c>
      <c r="V5" s="18">
        <f>'JUN 12'!V55</f>
        <v>0</v>
      </c>
      <c r="W5" s="18">
        <f>'JUN 12'!W55</f>
        <v>0</v>
      </c>
      <c r="X5" s="18">
        <f>'JUN 12'!X55</f>
        <v>0</v>
      </c>
      <c r="Y5" s="18">
        <f>'JUN 12'!Y55</f>
        <v>0</v>
      </c>
      <c r="Z5" s="18">
        <f>'JUN 12'!Z55</f>
        <v>9662.5274983807467</v>
      </c>
      <c r="AA5" s="18">
        <f>'JUN 12'!AA55</f>
        <v>40087.12108308218</v>
      </c>
      <c r="AB5" s="18">
        <f>'JUN 12'!AB55</f>
        <v>7542.7499999967404</v>
      </c>
      <c r="AC5" s="18">
        <f>'JUN 12'!AC55</f>
        <v>31292.757779986478</v>
      </c>
      <c r="AD5" s="18">
        <f>'JUN 12'!AD55</f>
        <v>5155</v>
      </c>
      <c r="AE5" s="18">
        <f>'JUN 12'!AE55</f>
        <v>21386.651600000001</v>
      </c>
      <c r="AF5" s="18">
        <f>'JUN 12'!AF55</f>
        <v>7956.8699999451637</v>
      </c>
      <c r="AG5" s="18">
        <f>'JUN 12'!AG55</f>
        <v>33010.825706172502</v>
      </c>
      <c r="AH5" s="18">
        <f>'JUN 12'!AH55</f>
        <v>118215.98999999718</v>
      </c>
      <c r="AI5" s="18">
        <f>'JUN 12'!AI55</f>
        <v>490445.04203278833</v>
      </c>
      <c r="AJ5" s="18">
        <f>'JUN 12'!AJ55</f>
        <v>674466.83999999822</v>
      </c>
      <c r="AK5" s="18">
        <f>'JUN 12'!AK55</f>
        <v>2798174.0684447926</v>
      </c>
      <c r="AL5" s="18">
        <f>'JUN 12'!AL55</f>
        <v>21576152.436255224</v>
      </c>
      <c r="AM5" s="18">
        <f>'JUN 12'!AM55</f>
        <v>59989090.774795353</v>
      </c>
      <c r="AN5" s="18">
        <f>'JUN 12'!AN55</f>
        <v>6276507.6901499992</v>
      </c>
      <c r="AO5" s="18">
        <f>'JUN 12'!AO55</f>
        <v>1091269.40043144</v>
      </c>
      <c r="AP5" s="18">
        <f>'JUN 12'!AP55</f>
        <v>5285267.3108801506</v>
      </c>
      <c r="AQ5" s="18">
        <f>'JUN 12'!AQ55</f>
        <v>2119408.3184261639</v>
      </c>
      <c r="AR5" s="18">
        <f>'JUN 12'!AR55</f>
        <v>33846.145451993005</v>
      </c>
      <c r="AS5" s="18">
        <f>'JUN 12'!AS55</f>
        <v>6.2909079996137462</v>
      </c>
      <c r="AT5" s="18">
        <f>'JUN 12'!AT55</f>
        <v>11.244432002509914</v>
      </c>
      <c r="AU5" s="18">
        <f>'JUN 12'!AU55</f>
        <v>70745.806203997287</v>
      </c>
      <c r="AV5" s="18">
        <f>'JUN 12'!AV55</f>
        <v>525146.68653480266</v>
      </c>
      <c r="AW5" s="18">
        <f>'JUN 12'!AW55</f>
        <v>86119.091979996796</v>
      </c>
      <c r="AX5" s="18">
        <f>'JUN 12'!AX55</f>
        <v>1047.2966740010875</v>
      </c>
      <c r="AY5" s="18">
        <f>'JUN 12'!AY55</f>
        <v>61411.100279998158</v>
      </c>
      <c r="AZ5" s="18">
        <f>'JUN 12'!AZ55</f>
        <v>23389.865177323234</v>
      </c>
      <c r="BA5" s="18">
        <f>'JUN 12'!BA55</f>
        <v>203181.91672400691</v>
      </c>
      <c r="BB5" s="18">
        <f>'JUN 12'!BB55</f>
        <v>70360.731219991139</v>
      </c>
      <c r="BC5" s="18">
        <f>'JUN 12'!BC55</f>
        <v>268403.05984799867</v>
      </c>
      <c r="BD5" s="18">
        <f>'JUN 12'!BD55</f>
        <v>17149.126599989839</v>
      </c>
      <c r="BE5" s="18">
        <f>'JUN 12'!BE55</f>
        <v>256596.93928368055</v>
      </c>
      <c r="BF5" s="18">
        <f>'JUN 12'!BF55</f>
        <v>321963.21571035992</v>
      </c>
      <c r="BG5" s="18">
        <f>'JUN 12'!BG55</f>
        <v>35109.526218882762</v>
      </c>
      <c r="BH5" s="18">
        <f>'JUN 12'!BH55</f>
        <v>26531.768320002102</v>
      </c>
      <c r="BI5" s="18">
        <f>'JUN 12'!BI55</f>
        <v>526567.9691583903</v>
      </c>
      <c r="BJ5" s="18">
        <f>'JUN 12'!BJ55</f>
        <v>198192.37105456018</v>
      </c>
      <c r="BK5" s="18">
        <f>'JUN 12'!BK55</f>
        <v>13069911.437122013</v>
      </c>
      <c r="BL5" s="18">
        <f>'JUN 12'!BL55</f>
        <v>113401.48556244606</v>
      </c>
      <c r="BM5" s="18">
        <f>'JUN 12'!BM55</f>
        <v>1075088.1964071635</v>
      </c>
      <c r="BN5" s="18">
        <f>'JUN 12'!BN55</f>
        <v>1224911.7315873813</v>
      </c>
      <c r="BO5" s="18">
        <f>'JUN 12'!BO55</f>
        <v>3.4691202304202307E-3</v>
      </c>
      <c r="BP5" s="18">
        <f>'JUN 12'!BP55</f>
        <v>256.8250293290655</v>
      </c>
      <c r="BQ5" s="18">
        <f>'JUN 12'!BQ55</f>
        <v>4.0128798844989433E-3</v>
      </c>
      <c r="BR5" s="18">
        <f>'JUN 12'!BR55</f>
        <v>645484.5260000031</v>
      </c>
      <c r="BS5" s="18">
        <f>'JUN 12'!BS55</f>
        <v>2650869.4086606889</v>
      </c>
      <c r="BT5" s="18">
        <f>'JUN 12'!BT55</f>
        <v>3058402.124932019</v>
      </c>
      <c r="BU5" s="18">
        <f>'JUN 12'!BU55</f>
        <v>12639203.237636192</v>
      </c>
      <c r="BV5" s="18">
        <f>'JUN 12'!BV55</f>
        <v>8025.4488600000004</v>
      </c>
      <c r="BW5" s="18">
        <f>'JUN 12'!BW55</f>
        <v>397883.49299000081</v>
      </c>
      <c r="BX5" s="18">
        <f>'JUN 12'!BX55</f>
        <v>12663.664475599246</v>
      </c>
      <c r="BY5" s="18">
        <f>'JUN 12'!BY55</f>
        <v>-4107810.0490600001</v>
      </c>
      <c r="BZ5" s="18">
        <f>'JUN 12'!BZ55</f>
        <v>-23541538.065860011</v>
      </c>
      <c r="CA5" s="18">
        <f>'JUN 12'!CA55</f>
        <v>-14370773.494440008</v>
      </c>
      <c r="CB5" s="18">
        <f>'JUN 12'!CB55</f>
        <v>18918.56624</v>
      </c>
      <c r="CC5" s="18">
        <f>'JUN 12'!CC55</f>
        <v>905567.0501799999</v>
      </c>
      <c r="CD5" s="18">
        <f>'JUN 12'!CD55</f>
        <v>0</v>
      </c>
      <c r="CE5" s="18">
        <f>'JUN 12'!CE55</f>
        <v>28452.444999999996</v>
      </c>
      <c r="CF5" s="18">
        <f>'JUN 12'!CF55</f>
        <v>696622.45958999998</v>
      </c>
      <c r="CG5" s="18">
        <f>'JUN 12'!CG55</f>
        <v>194020.58999999994</v>
      </c>
      <c r="CH5" s="18">
        <f>'JUN 12'!CH55</f>
        <v>2.9318200000000001</v>
      </c>
      <c r="CI5" s="18">
        <f>'JUN 12'!CI55</f>
        <v>813161.95743999921</v>
      </c>
      <c r="CJ5" s="18">
        <f>'JUN 12'!CJ55</f>
        <v>201938.84803999978</v>
      </c>
      <c r="CK5" s="18">
        <f>'JUN 12'!CK55</f>
        <v>0</v>
      </c>
      <c r="CL5" s="18">
        <f>'JUN 12'!CL55</f>
        <v>0</v>
      </c>
      <c r="CM5" s="18">
        <f>'JUN 12'!CM55</f>
        <v>79545.207070000004</v>
      </c>
      <c r="CN5" s="18">
        <f>'JUN 12'!CN55</f>
        <v>662749.23605000007</v>
      </c>
      <c r="CO5" s="18">
        <f>'JUN 12'!CO55</f>
        <v>736446.43431999965</v>
      </c>
      <c r="CP5" s="18">
        <f>'JUN 12'!CP55</f>
        <v>9152723.6727600005</v>
      </c>
      <c r="CQ5" s="18">
        <f>'JUN 12'!CQ55</f>
        <v>377918.49939999997</v>
      </c>
      <c r="CR5" s="18">
        <f>'JUN 12'!CR55</f>
        <v>877844.95927000046</v>
      </c>
      <c r="CS5" s="18">
        <f>'JUN 12'!CS55</f>
        <v>5010.51</v>
      </c>
      <c r="CT5" s="18">
        <f>'JUN 12'!CT55</f>
        <v>20511.762362899997</v>
      </c>
      <c r="CU5" s="18">
        <f>'JUN 12'!CU55</f>
        <v>5010.51</v>
      </c>
      <c r="CV5" s="18">
        <f>'JUN 12'!CV55</f>
        <v>20511.762362899997</v>
      </c>
      <c r="CW5" s="18">
        <f>D5+E5+F5+G5+H5+I5+J5+K5+L5+M5+O5+Q5+S5+U5+W5+Y5+AA5+AC5+AE5+AG5+AI5+AK5+AL5+AM5+AQ5+AR5+AS5+AT5+AU5+AV5+AW5+AX5+AY5+AZ5+BA5+BB5+BC5+BD5+BE5+BF5+BG5+BH5+BI5+BJ5+BK5+BS5+BU5+BV5+BW5+BX5+BY5+BZ5+CA5+CB5+CC5+CD5+CE5+CF5+CG5+CH5+CI5+CJ5+BL5+BM5+BN5+BO5+BP5+BQ5+CK5+CL5+CM5+CN5+CO5+CP5+CQ5+AN5+AO5+AP5+CR5+CT5+CV5</f>
        <v>191471948.51669881</v>
      </c>
    </row>
    <row r="6" spans="1:101" s="20" customFormat="1" x14ac:dyDescent="0.3">
      <c r="A6" s="165"/>
      <c r="B6" s="19"/>
      <c r="C6" s="19" t="s">
        <v>91</v>
      </c>
      <c r="D6" s="19">
        <v>-46085.22</v>
      </c>
      <c r="E6" s="19">
        <v>-7108601.7599999998</v>
      </c>
      <c r="F6" s="19">
        <v>-7605826.9699999997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>
        <v>-607245.78</v>
      </c>
      <c r="BZ6" s="19">
        <v>-4665019.59</v>
      </c>
      <c r="CA6" s="19">
        <v>-4399759.22</v>
      </c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</row>
    <row r="7" spans="1:101" s="16" customFormat="1" x14ac:dyDescent="0.3">
      <c r="A7" s="165"/>
      <c r="B7" s="21"/>
      <c r="C7" s="21" t="s">
        <v>92</v>
      </c>
      <c r="D7" s="19"/>
      <c r="E7" s="19"/>
      <c r="F7" s="19"/>
      <c r="G7" s="22"/>
      <c r="H7" s="22"/>
      <c r="I7" s="22"/>
      <c r="J7" s="22"/>
      <c r="K7" s="22"/>
      <c r="L7" s="19"/>
      <c r="M7" s="1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</row>
    <row r="8" spans="1:101" s="16" customFormat="1" x14ac:dyDescent="0.3">
      <c r="A8" s="166"/>
      <c r="B8" s="17"/>
      <c r="C8" s="17" t="s">
        <v>93</v>
      </c>
      <c r="D8" s="18">
        <f t="shared" ref="D8:BS8" si="0">D5+D6+D7</f>
        <v>369518.27281994512</v>
      </c>
      <c r="E8" s="18">
        <f t="shared" si="0"/>
        <v>8381508.7893314846</v>
      </c>
      <c r="F8" s="18">
        <f t="shared" si="0"/>
        <v>13342949.624114398</v>
      </c>
      <c r="G8" s="18">
        <f t="shared" si="0"/>
        <v>0</v>
      </c>
      <c r="H8" s="18">
        <f t="shared" si="0"/>
        <v>0</v>
      </c>
      <c r="I8" s="18">
        <f t="shared" si="0"/>
        <v>133584.57551457896</v>
      </c>
      <c r="J8" s="18">
        <f t="shared" si="0"/>
        <v>0</v>
      </c>
      <c r="K8" s="18">
        <f t="shared" si="0"/>
        <v>312476.3441021429</v>
      </c>
      <c r="L8" s="18">
        <f t="shared" si="0"/>
        <v>135254.14448314632</v>
      </c>
      <c r="M8" s="18">
        <f t="shared" si="0"/>
        <v>284297.9692308649</v>
      </c>
      <c r="N8" s="18">
        <f t="shared" si="0"/>
        <v>177265.5199999999</v>
      </c>
      <c r="O8" s="18">
        <f t="shared" si="0"/>
        <v>735425.00813439966</v>
      </c>
      <c r="P8" s="18">
        <f t="shared" si="0"/>
        <v>10739880.593466865</v>
      </c>
      <c r="Q8" s="18">
        <f t="shared" si="0"/>
        <v>44574594.510021314</v>
      </c>
      <c r="R8" s="18">
        <f t="shared" si="0"/>
        <v>485825.8445100002</v>
      </c>
      <c r="S8" s="18">
        <f t="shared" si="0"/>
        <v>2004923.0712228275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9662.5274983807467</v>
      </c>
      <c r="AA8" s="18">
        <f t="shared" si="0"/>
        <v>40087.12108308218</v>
      </c>
      <c r="AB8" s="18">
        <f t="shared" si="0"/>
        <v>7542.7499999967404</v>
      </c>
      <c r="AC8" s="18">
        <f t="shared" si="0"/>
        <v>31292.757779986478</v>
      </c>
      <c r="AD8" s="18">
        <f t="shared" si="0"/>
        <v>5155</v>
      </c>
      <c r="AE8" s="18">
        <f t="shared" si="0"/>
        <v>21386.651600000001</v>
      </c>
      <c r="AF8" s="18">
        <f t="shared" si="0"/>
        <v>7956.8699999451637</v>
      </c>
      <c r="AG8" s="18">
        <f t="shared" si="0"/>
        <v>33010.825706172502</v>
      </c>
      <c r="AH8" s="18">
        <f t="shared" si="0"/>
        <v>118215.98999999718</v>
      </c>
      <c r="AI8" s="18">
        <f t="shared" si="0"/>
        <v>490445.04203278833</v>
      </c>
      <c r="AJ8" s="18">
        <f t="shared" si="0"/>
        <v>674466.83999999822</v>
      </c>
      <c r="AK8" s="18">
        <f t="shared" si="0"/>
        <v>2798174.0684447926</v>
      </c>
      <c r="AL8" s="18">
        <f t="shared" si="0"/>
        <v>21576152.436255224</v>
      </c>
      <c r="AM8" s="18">
        <f t="shared" si="0"/>
        <v>59989090.774795353</v>
      </c>
      <c r="AN8" s="18">
        <f t="shared" si="0"/>
        <v>6276507.6901499992</v>
      </c>
      <c r="AO8" s="18">
        <f t="shared" si="0"/>
        <v>1091269.40043144</v>
      </c>
      <c r="AP8" s="18">
        <f t="shared" si="0"/>
        <v>5285267.3108801506</v>
      </c>
      <c r="AQ8" s="18">
        <f t="shared" si="0"/>
        <v>2119408.3184261639</v>
      </c>
      <c r="AR8" s="18">
        <f t="shared" si="0"/>
        <v>33846.145451993005</v>
      </c>
      <c r="AS8" s="18">
        <f t="shared" si="0"/>
        <v>6.2909079996137462</v>
      </c>
      <c r="AT8" s="18">
        <f t="shared" si="0"/>
        <v>11.244432002509914</v>
      </c>
      <c r="AU8" s="18">
        <f t="shared" si="0"/>
        <v>70745.806203997287</v>
      </c>
      <c r="AV8" s="18">
        <f t="shared" si="0"/>
        <v>525146.68653480266</v>
      </c>
      <c r="AW8" s="18">
        <f t="shared" si="0"/>
        <v>86119.091979996796</v>
      </c>
      <c r="AX8" s="18">
        <f t="shared" si="0"/>
        <v>1047.2966740010875</v>
      </c>
      <c r="AY8" s="18">
        <f t="shared" si="0"/>
        <v>61411.100279998158</v>
      </c>
      <c r="AZ8" s="18">
        <f t="shared" si="0"/>
        <v>23389.865177323234</v>
      </c>
      <c r="BA8" s="18">
        <f t="shared" si="0"/>
        <v>203181.91672400691</v>
      </c>
      <c r="BB8" s="18">
        <f t="shared" si="0"/>
        <v>70360.731219991139</v>
      </c>
      <c r="BC8" s="18">
        <f t="shared" si="0"/>
        <v>268403.05984799867</v>
      </c>
      <c r="BD8" s="18">
        <f t="shared" si="0"/>
        <v>17149.126599989839</v>
      </c>
      <c r="BE8" s="18">
        <f t="shared" si="0"/>
        <v>256596.93928368055</v>
      </c>
      <c r="BF8" s="18">
        <f t="shared" si="0"/>
        <v>321963.21571035992</v>
      </c>
      <c r="BG8" s="18">
        <f t="shared" si="0"/>
        <v>35109.526218882762</v>
      </c>
      <c r="BH8" s="18">
        <f t="shared" si="0"/>
        <v>26531.768320002102</v>
      </c>
      <c r="BI8" s="18">
        <f t="shared" si="0"/>
        <v>526567.9691583903</v>
      </c>
      <c r="BJ8" s="18">
        <f t="shared" si="0"/>
        <v>198192.37105456018</v>
      </c>
      <c r="BK8" s="18">
        <f t="shared" si="0"/>
        <v>13069911.437122013</v>
      </c>
      <c r="BL8" s="18">
        <f t="shared" si="0"/>
        <v>113401.48556244606</v>
      </c>
      <c r="BM8" s="18">
        <f t="shared" si="0"/>
        <v>1075088.1964071635</v>
      </c>
      <c r="BN8" s="18">
        <f t="shared" si="0"/>
        <v>1224911.7315873813</v>
      </c>
      <c r="BO8" s="18">
        <f t="shared" si="0"/>
        <v>3.4691202304202307E-3</v>
      </c>
      <c r="BP8" s="18">
        <f t="shared" si="0"/>
        <v>256.8250293290655</v>
      </c>
      <c r="BQ8" s="18">
        <f t="shared" si="0"/>
        <v>4.0128798844989433E-3</v>
      </c>
      <c r="BR8" s="18">
        <f t="shared" si="0"/>
        <v>645484.5260000031</v>
      </c>
      <c r="BS8" s="18">
        <f t="shared" si="0"/>
        <v>2650869.4086606889</v>
      </c>
      <c r="BT8" s="18">
        <f t="shared" ref="BT8:CV8" si="1">BT5+BT6+BT7</f>
        <v>3058402.124932019</v>
      </c>
      <c r="BU8" s="18">
        <f t="shared" si="1"/>
        <v>12639203.237636192</v>
      </c>
      <c r="BV8" s="18">
        <f t="shared" si="1"/>
        <v>8025.4488600000004</v>
      </c>
      <c r="BW8" s="18">
        <f t="shared" si="1"/>
        <v>397883.49299000081</v>
      </c>
      <c r="BX8" s="18">
        <f t="shared" si="1"/>
        <v>12663.664475599246</v>
      </c>
      <c r="BY8" s="18">
        <f>+BY5+BY6+BY7:BZ7</f>
        <v>-4715055.8290600004</v>
      </c>
      <c r="BZ8" s="18">
        <f t="shared" si="1"/>
        <v>-28206557.655860011</v>
      </c>
      <c r="CA8" s="18">
        <f t="shared" si="1"/>
        <v>-18770532.714440007</v>
      </c>
      <c r="CB8" s="18">
        <f t="shared" si="1"/>
        <v>18918.56624</v>
      </c>
      <c r="CC8" s="18">
        <f t="shared" si="1"/>
        <v>905567.0501799999</v>
      </c>
      <c r="CD8" s="18">
        <f t="shared" si="1"/>
        <v>0</v>
      </c>
      <c r="CE8" s="18">
        <f t="shared" si="1"/>
        <v>28452.444999999996</v>
      </c>
      <c r="CF8" s="18">
        <f t="shared" si="1"/>
        <v>696622.45958999998</v>
      </c>
      <c r="CG8" s="18">
        <f t="shared" si="1"/>
        <v>194020.58999999994</v>
      </c>
      <c r="CH8" s="18">
        <f t="shared" si="1"/>
        <v>2.9318200000000001</v>
      </c>
      <c r="CI8" s="18">
        <f t="shared" si="1"/>
        <v>813161.95743999921</v>
      </c>
      <c r="CJ8" s="18">
        <f t="shared" si="1"/>
        <v>201938.84803999978</v>
      </c>
      <c r="CK8" s="18">
        <f t="shared" si="1"/>
        <v>0</v>
      </c>
      <c r="CL8" s="18">
        <f t="shared" si="1"/>
        <v>0</v>
      </c>
      <c r="CM8" s="18">
        <f t="shared" si="1"/>
        <v>79545.207070000004</v>
      </c>
      <c r="CN8" s="18">
        <f t="shared" si="1"/>
        <v>662749.23605000007</v>
      </c>
      <c r="CO8" s="18">
        <f t="shared" si="1"/>
        <v>736446.43431999965</v>
      </c>
      <c r="CP8" s="18">
        <f t="shared" si="1"/>
        <v>9152723.6727600005</v>
      </c>
      <c r="CQ8" s="18">
        <f t="shared" si="1"/>
        <v>377918.49939999997</v>
      </c>
      <c r="CR8" s="18">
        <f t="shared" si="1"/>
        <v>877844.95927000046</v>
      </c>
      <c r="CS8" s="18">
        <f t="shared" si="1"/>
        <v>5010.51</v>
      </c>
      <c r="CT8" s="18">
        <f t="shared" si="1"/>
        <v>20511.762362899997</v>
      </c>
      <c r="CU8" s="18">
        <f t="shared" si="1"/>
        <v>5010.51</v>
      </c>
      <c r="CV8" s="18">
        <f t="shared" si="1"/>
        <v>20511.762362899997</v>
      </c>
      <c r="CW8" s="18">
        <f>D8+E8+F8+G8+H8+I8+J8+K8+L8+M8+O8+Q8+S8+U8+W8+Y8+AA8+AC8+AE8+AG8+AI8+AK8+AL8+AM8+AQ8+AR8+AS8+AT8+AU8+AV8+AW8+AX8+AY8+AZ8+BA8+BB8+BC8+BD8+BE8+BF8+BG8+BH8+BI8+BJ8+BK8+BS8+BU8+BV8+BW8+BX8+BY8+BZ8+CA8+CB8+CC8+CD8+CE8+CF8+CG8+CH8+CI8+CJ8+BL8+BM8+BN8+BO8+BP8+BQ8+CK8+CL8+CM8+CN8+CO8+CP8+CQ8+AN8+AO8+AP8+CR8+CT8+CV8</f>
        <v>167039409.97669879</v>
      </c>
    </row>
    <row r="9" spans="1:101" ht="15" customHeight="1" x14ac:dyDescent="0.3">
      <c r="A9" s="158" t="s">
        <v>94</v>
      </c>
      <c r="B9" s="24" t="s">
        <v>95</v>
      </c>
      <c r="C9" s="25" t="s">
        <v>96</v>
      </c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>
        <f>D9+E9+F9+G9+H9+I9+J9+K9+L9+M9+O9+Q9+S9+U9+W9+Y9+AA9+AC9+AE9+AG9+AI9+AK9+AL9+AM9+AQ9+AR9+AS9+AT9+AU9+AV9+AW9+AX9+AY9+AZ9+BA9+BB9+BC9+BD9+BE9+BF9+BG9+BH9+BI9+BJ9+BK9+BS9+BU9+BV9+BW9+BX9+BY9+BZ9+CA9+CB9+CC9+CD9+CE9+CF9+CG9+CH9+CI9+CJ9+BL9+BM9+BN9+BO9+BP9+BQ9+CK9+CL9+CM9+CN9+CO9+CP9+CQ9+AN9+AO9+AP9+CR9+CT9+CV9</f>
        <v>0</v>
      </c>
    </row>
    <row r="10" spans="1:101" x14ac:dyDescent="0.3">
      <c r="A10" s="158"/>
      <c r="B10" s="24" t="s">
        <v>97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>
        <f t="shared" ref="CW10:CW55" si="2">D10+E10+F10+G10+H10+I10+J10+K10+L10+M10+O10+Q10+S10+U10+W10+Y10+AA10+AC10+AE10+AG10+AI10+AK10+AL10+AM10+AQ10+AR10+AS10+AT10+AU10+AV10+AW10+AX10+AY10+AZ10+BA10+BB10+BC10+BD10+BE10+BF10+BG10+BH10+BI10+BJ10+BK10+BS10+BU10+BV10+BW10+BX10+BY10+BZ10+CA10+CB10+CC10+CD10+CE10+CF10+CG10+CH10+CI10+CJ10+BL10+BM10+BN10+BO10+BP10+BQ10+CK10+CL10+CM10+CN10+CO10+CP10+CQ10+AN10+AO10+AP10+CR10+CT10+CV10</f>
        <v>0</v>
      </c>
    </row>
    <row r="11" spans="1:101" x14ac:dyDescent="0.3">
      <c r="A11" s="158"/>
      <c r="B11" s="24" t="s">
        <v>95</v>
      </c>
      <c r="C11" s="25" t="s">
        <v>98</v>
      </c>
      <c r="D11" s="26"/>
      <c r="E11" s="26"/>
      <c r="F11" s="26"/>
      <c r="G11" s="26"/>
      <c r="H11" s="26"/>
      <c r="I11" s="26"/>
      <c r="J11" s="27"/>
      <c r="K11" s="26"/>
      <c r="L11" s="27">
        <v>21661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>
        <f t="shared" si="2"/>
        <v>21661</v>
      </c>
    </row>
    <row r="12" spans="1:101" x14ac:dyDescent="0.3">
      <c r="A12" s="158"/>
      <c r="B12" s="24" t="s">
        <v>95</v>
      </c>
      <c r="C12" s="25" t="s">
        <v>99</v>
      </c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>
        <f>D12+E12+F12+G12+H12+I12+J12+K12+L12+M12+O12+Q12+S12+U12+W12+Y12+AA12+AC12+AE12+AG12+AI12+AK12+AL12+AM12+AQ12+AR12+AS12+AT12+AU12+AV12+AW12+AX12+AY12+AZ12+BA12+BB12+BC12+BD12+BE12+BF12+BG12+BH12+BI12+BJ12+BK12+BS12+BU12+BV12+BW12+BX12+BY12+BZ12+CA12+CB12+CC12+CD12+CE12+CF12+CG12+CH12+CI12+CJ12+BL12+BM12+BN12+BO12+BP12+BQ12+CK12+CL12+CM12+CN12+CO12+CP12+CQ12+AN12+AO12+AP12+CR12+CT12+CV12</f>
        <v>0</v>
      </c>
    </row>
    <row r="13" spans="1:101" x14ac:dyDescent="0.3">
      <c r="A13" s="158"/>
      <c r="B13" s="24" t="s">
        <v>97</v>
      </c>
      <c r="C13" s="25" t="s">
        <v>100</v>
      </c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8">
        <v>-1900000</v>
      </c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>
        <f t="shared" si="2"/>
        <v>-1900000</v>
      </c>
    </row>
    <row r="14" spans="1:101" x14ac:dyDescent="0.3">
      <c r="A14" s="158"/>
      <c r="B14" s="24" t="s">
        <v>95</v>
      </c>
      <c r="C14" s="25" t="s">
        <v>101</v>
      </c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>
        <f t="shared" si="2"/>
        <v>0</v>
      </c>
    </row>
    <row r="15" spans="1:101" x14ac:dyDescent="0.3">
      <c r="A15" s="158"/>
      <c r="B15" s="24" t="s">
        <v>95</v>
      </c>
      <c r="C15" s="25" t="s">
        <v>102</v>
      </c>
      <c r="D15" s="26"/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>
        <f t="shared" si="2"/>
        <v>0</v>
      </c>
    </row>
    <row r="16" spans="1:101" x14ac:dyDescent="0.3">
      <c r="A16" s="158"/>
      <c r="B16" s="24" t="s">
        <v>97</v>
      </c>
      <c r="C16" s="25" t="s">
        <v>103</v>
      </c>
      <c r="D16" s="26"/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8"/>
      <c r="R16" s="29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>
        <f t="shared" si="2"/>
        <v>0</v>
      </c>
    </row>
    <row r="17" spans="1:101" x14ac:dyDescent="0.3">
      <c r="A17" s="158"/>
      <c r="B17" s="24" t="s">
        <v>97</v>
      </c>
      <c r="C17" s="25" t="s">
        <v>104</v>
      </c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6"/>
      <c r="O17" s="26"/>
      <c r="P17" s="26"/>
      <c r="Q17" s="28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>
        <f t="shared" si="2"/>
        <v>0</v>
      </c>
    </row>
    <row r="18" spans="1:101" x14ac:dyDescent="0.3">
      <c r="A18" s="158"/>
      <c r="B18" s="24" t="s">
        <v>95</v>
      </c>
      <c r="C18" s="25" t="s">
        <v>105</v>
      </c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8">
        <v>1900000</v>
      </c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>
        <f t="shared" si="2"/>
        <v>1900000</v>
      </c>
    </row>
    <row r="19" spans="1:101" x14ac:dyDescent="0.3">
      <c r="A19" s="158"/>
      <c r="B19" s="24" t="s">
        <v>97</v>
      </c>
      <c r="C19" s="25" t="s">
        <v>106</v>
      </c>
      <c r="D19" s="26"/>
      <c r="E19" s="26"/>
      <c r="F19" s="26"/>
      <c r="G19" s="26"/>
      <c r="H19" s="26"/>
      <c r="I19" s="26"/>
      <c r="J19" s="26"/>
      <c r="K19" s="26"/>
      <c r="L19" s="27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>
        <f t="shared" si="2"/>
        <v>0</v>
      </c>
    </row>
    <row r="20" spans="1:101" x14ac:dyDescent="0.3">
      <c r="A20" s="158"/>
      <c r="B20" s="24" t="s">
        <v>97</v>
      </c>
      <c r="C20" s="25" t="s">
        <v>107</v>
      </c>
      <c r="D20" s="26"/>
      <c r="E20" s="26"/>
      <c r="F20" s="26"/>
      <c r="G20" s="26"/>
      <c r="H20" s="26"/>
      <c r="I20" s="26"/>
      <c r="J20" s="26"/>
      <c r="K20" s="26"/>
      <c r="L20" s="27">
        <v>-9886507.5</v>
      </c>
      <c r="M20" s="28"/>
      <c r="N20" s="26"/>
      <c r="O20" s="26"/>
      <c r="P20" s="26"/>
      <c r="Q20" s="28"/>
      <c r="R20" s="26"/>
      <c r="S20" s="28"/>
      <c r="T20" s="28"/>
      <c r="U20" s="28"/>
      <c r="V20" s="28"/>
      <c r="W20" s="28"/>
      <c r="X20" s="28"/>
      <c r="Y20" s="28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>
        <f t="shared" si="2"/>
        <v>-9886507.5</v>
      </c>
    </row>
    <row r="21" spans="1:101" x14ac:dyDescent="0.3">
      <c r="A21" s="158"/>
      <c r="B21" s="24" t="s">
        <v>97</v>
      </c>
      <c r="C21" s="25" t="s">
        <v>108</v>
      </c>
      <c r="D21" s="26"/>
      <c r="E21" s="26"/>
      <c r="F21" s="26"/>
      <c r="G21" s="26"/>
      <c r="H21" s="26"/>
      <c r="I21" s="26"/>
      <c r="J21" s="26"/>
      <c r="K21" s="26"/>
      <c r="L21" s="27">
        <v>-89287221.906000003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>
        <f t="shared" si="2"/>
        <v>-89287221.906000003</v>
      </c>
    </row>
    <row r="22" spans="1:101" x14ac:dyDescent="0.3">
      <c r="A22" s="158"/>
      <c r="B22" s="24" t="s">
        <v>95</v>
      </c>
      <c r="C22" s="25" t="s">
        <v>109</v>
      </c>
      <c r="D22" s="26"/>
      <c r="E22" s="26"/>
      <c r="F22" s="26"/>
      <c r="G22" s="26"/>
      <c r="H22" s="26"/>
      <c r="I22" s="26"/>
      <c r="J22" s="26"/>
      <c r="K22" s="28"/>
      <c r="L22" s="27">
        <v>4555061.3729900001</v>
      </c>
      <c r="M22" s="28"/>
      <c r="N22" s="26"/>
      <c r="O22" s="26"/>
      <c r="P22" s="26"/>
      <c r="Q22" s="26"/>
      <c r="R22" s="2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>
        <f t="shared" si="2"/>
        <v>4555061.3729900001</v>
      </c>
    </row>
    <row r="23" spans="1:101" x14ac:dyDescent="0.3">
      <c r="A23" s="158"/>
      <c r="B23" s="24" t="s">
        <v>95</v>
      </c>
      <c r="C23" s="25" t="s">
        <v>110</v>
      </c>
      <c r="D23" s="26"/>
      <c r="E23" s="26"/>
      <c r="F23" s="26"/>
      <c r="G23" s="26"/>
      <c r="H23" s="26"/>
      <c r="I23" s="26"/>
      <c r="J23" s="26"/>
      <c r="K23" s="26"/>
      <c r="L23" s="27">
        <v>94883221.550999999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>
        <f t="shared" si="2"/>
        <v>94883221.550999999</v>
      </c>
    </row>
    <row r="24" spans="1:101" x14ac:dyDescent="0.3">
      <c r="A24" s="158"/>
      <c r="B24" s="24" t="s">
        <v>95</v>
      </c>
      <c r="C24" s="25" t="s">
        <v>111</v>
      </c>
      <c r="D24" s="26"/>
      <c r="E24" s="26"/>
      <c r="F24" s="26"/>
      <c r="G24" s="26"/>
      <c r="H24" s="26"/>
      <c r="I24" s="26"/>
      <c r="J24" s="26"/>
      <c r="K24" s="26"/>
      <c r="L24" s="27"/>
      <c r="M24" s="2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>
        <f t="shared" si="2"/>
        <v>0</v>
      </c>
    </row>
    <row r="25" spans="1:101" x14ac:dyDescent="0.3">
      <c r="A25" s="158"/>
      <c r="B25" s="24" t="s">
        <v>95</v>
      </c>
      <c r="C25" s="25" t="s">
        <v>112</v>
      </c>
      <c r="D25" s="26"/>
      <c r="E25" s="26"/>
      <c r="F25" s="26"/>
      <c r="G25" s="26"/>
      <c r="H25" s="26"/>
      <c r="I25" s="26"/>
      <c r="J25" s="26"/>
      <c r="K25" s="26"/>
      <c r="L25" s="27"/>
      <c r="M25" s="28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>
        <f t="shared" si="2"/>
        <v>0</v>
      </c>
    </row>
    <row r="26" spans="1:101" x14ac:dyDescent="0.3">
      <c r="A26" s="158"/>
      <c r="B26" s="24" t="s">
        <v>97</v>
      </c>
      <c r="C26" s="25" t="s">
        <v>113</v>
      </c>
      <c r="D26" s="26"/>
      <c r="E26" s="30"/>
      <c r="F26" s="26"/>
      <c r="G26" s="26"/>
      <c r="H26" s="26"/>
      <c r="I26" s="26"/>
      <c r="J26" s="26"/>
      <c r="K26" s="26"/>
      <c r="L26" s="27"/>
      <c r="M26" s="2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>
        <f t="shared" si="2"/>
        <v>0</v>
      </c>
    </row>
    <row r="27" spans="1:101" x14ac:dyDescent="0.3">
      <c r="A27" s="158"/>
      <c r="B27" s="24" t="s">
        <v>95</v>
      </c>
      <c r="C27" s="25" t="s">
        <v>114</v>
      </c>
      <c r="D27" s="26">
        <v>87000</v>
      </c>
      <c r="E27" s="28">
        <v>5582000</v>
      </c>
      <c r="F27" s="28">
        <f>16200000+11677000</f>
        <v>27877000</v>
      </c>
      <c r="G27" s="26"/>
      <c r="H27" s="26"/>
      <c r="I27" s="26"/>
      <c r="J27" s="26"/>
      <c r="K27" s="26"/>
      <c r="L27" s="27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>
        <v>3800000</v>
      </c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>
        <f>D27+E27+F27+G27+H27+I27+J27+K27+L27+M27+O27+Q27+S27+U27+W27+Y27+AA27+AC27+AE27+AG27+AI27+AK27+AL27+AM27+AQ27+AR27+AS27+AT27+AU27+AV27+AW27+AX27+AY27+AZ27+BA27+BB27+BC27+BD27+BE27+BF27+BG27+BH27+BI27+BJ27+BK27+BS27+BU27+BV27+BW27+BX27+BY27+BZ27+CA27+CB27+CC27+CD27+CE27+CF27+CG27+CH27+CI27+CJ27+BL27+BM27+BN27+BO27+BP27+BQ27+CK27+CL27+CM27+CN27+CO27+CP27+CQ27+AN27+AO27+AP27+CR27+CT27+CV27</f>
        <v>37346000</v>
      </c>
    </row>
    <row r="28" spans="1:101" x14ac:dyDescent="0.3">
      <c r="A28" s="158"/>
      <c r="B28" s="24" t="s">
        <v>97</v>
      </c>
      <c r="C28" s="25" t="s">
        <v>115</v>
      </c>
      <c r="D28" s="26"/>
      <c r="E28" s="26"/>
      <c r="F28" s="28"/>
      <c r="G28" s="26"/>
      <c r="H28" s="26"/>
      <c r="I28" s="26"/>
      <c r="J28" s="26"/>
      <c r="K28" s="28"/>
      <c r="L28" s="27"/>
      <c r="M28" s="26"/>
      <c r="N28" s="28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8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>
        <f t="shared" ref="CW28" si="3">D28+E28+F28+G28+H28+I28+J28+K28+L28+M28+O28+Q28+S28+U28+W28+Y28+AA28+AC28+AE28+AG28+AI28+AK28+AL28+AM28+AQ28+AR28+AS28+AT28+AU28+AV28+AW28+AX28+AY28+AZ28+BA28+BB28+BC28+BD28+BE28+BF28+BG28+BH28+BI28+BJ28+BK28+BS28+BU28+BV28+BW28+BX28+BY28+BZ28+CA28+CB28+CC28+CD28+CE28+CF28+CG28+CH28+CI28+CJ28+BL28+BM28+BN28+BO28+BP28+BQ28+CK28+CL28+CM28+CN28+CO28+CP28+CQ28+AN28+AO28+AP28+CR28+CT28+CV28</f>
        <v>0</v>
      </c>
    </row>
    <row r="29" spans="1:101" x14ac:dyDescent="0.3">
      <c r="A29" s="158"/>
      <c r="B29" s="24"/>
      <c r="C29" s="25" t="s">
        <v>116</v>
      </c>
      <c r="D29" s="26"/>
      <c r="E29" s="28"/>
      <c r="F29" s="28"/>
      <c r="G29" s="26"/>
      <c r="H29" s="26"/>
      <c r="I29" s="28"/>
      <c r="J29" s="26"/>
      <c r="K29" s="26"/>
      <c r="L29" s="28"/>
      <c r="M29" s="28"/>
      <c r="N29" s="26"/>
      <c r="O29" s="26"/>
      <c r="P29" s="28"/>
      <c r="Q29" s="26"/>
      <c r="R29" s="26"/>
      <c r="S29" s="26"/>
      <c r="T29" s="28"/>
      <c r="U29" s="28"/>
      <c r="V29" s="28"/>
      <c r="W29" s="28"/>
      <c r="X29" s="28"/>
      <c r="Y29" s="28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8"/>
      <c r="BK29" s="26"/>
      <c r="BL29" s="26"/>
      <c r="BM29" s="28"/>
      <c r="BN29" s="28"/>
      <c r="BO29" s="26"/>
      <c r="BP29" s="26"/>
      <c r="BQ29" s="26"/>
      <c r="BR29" s="28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>
        <f t="shared" si="2"/>
        <v>0</v>
      </c>
    </row>
    <row r="30" spans="1:101" x14ac:dyDescent="0.3">
      <c r="A30" s="153" t="s">
        <v>117</v>
      </c>
      <c r="B30" s="31" t="s">
        <v>97</v>
      </c>
      <c r="C30" s="32" t="s">
        <v>118</v>
      </c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>
        <v>-180121.5</v>
      </c>
      <c r="Q30" s="33">
        <f>(P30*4169.13)/1000</f>
        <v>-750949.94929500006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26">
        <f t="shared" si="2"/>
        <v>-750949.94929500006</v>
      </c>
    </row>
    <row r="31" spans="1:101" x14ac:dyDescent="0.3">
      <c r="A31" s="153"/>
      <c r="B31" s="31" t="s">
        <v>95</v>
      </c>
      <c r="C31" s="32" t="s">
        <v>119</v>
      </c>
      <c r="D31" s="33"/>
      <c r="E31" s="33"/>
      <c r="F31" s="33"/>
      <c r="G31" s="33"/>
      <c r="H31" s="33"/>
      <c r="I31" s="33"/>
      <c r="J31" s="33"/>
      <c r="K31" s="33"/>
      <c r="L31" s="34"/>
      <c r="M31" s="34"/>
      <c r="N31" s="33"/>
      <c r="O31" s="33"/>
      <c r="P31" s="33">
        <v>167499.5</v>
      </c>
      <c r="Q31" s="33">
        <f>(P31*4169.13)/1000</f>
        <v>698327.19043500011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26">
        <f t="shared" si="2"/>
        <v>698327.19043500011</v>
      </c>
    </row>
    <row r="32" spans="1:101" x14ac:dyDescent="0.3">
      <c r="A32" s="153"/>
      <c r="B32" s="31" t="s">
        <v>95</v>
      </c>
      <c r="C32" s="32" t="s">
        <v>120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26">
        <f t="shared" si="2"/>
        <v>0</v>
      </c>
    </row>
    <row r="33" spans="1:101" x14ac:dyDescent="0.3">
      <c r="A33" s="153"/>
      <c r="B33" s="31" t="s">
        <v>97</v>
      </c>
      <c r="C33" s="32" t="s">
        <v>121</v>
      </c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26">
        <f t="shared" si="2"/>
        <v>0</v>
      </c>
    </row>
    <row r="34" spans="1:101" x14ac:dyDescent="0.3">
      <c r="A34" s="153"/>
      <c r="B34" s="31" t="s">
        <v>95</v>
      </c>
      <c r="C34" s="32" t="s">
        <v>122</v>
      </c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26">
        <f t="shared" si="2"/>
        <v>0</v>
      </c>
    </row>
    <row r="35" spans="1:101" ht="15" customHeight="1" x14ac:dyDescent="0.3">
      <c r="A35" s="154" t="s">
        <v>123</v>
      </c>
      <c r="B35" s="35"/>
      <c r="C35" s="36" t="s">
        <v>124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-380000+550000</f>
        <v>170000</v>
      </c>
      <c r="Q35" s="37">
        <f>(P35*4169.13)/1000</f>
        <v>708752.1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26">
        <f t="shared" si="2"/>
        <v>708752.1</v>
      </c>
    </row>
    <row r="36" spans="1:101" x14ac:dyDescent="0.3">
      <c r="A36" s="154"/>
      <c r="B36" s="35" t="s">
        <v>97</v>
      </c>
      <c r="C36" s="36" t="s">
        <v>125</v>
      </c>
      <c r="D36" s="37"/>
      <c r="E36" s="37"/>
      <c r="F36" s="37"/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26">
        <f t="shared" si="2"/>
        <v>0</v>
      </c>
    </row>
    <row r="37" spans="1:101" x14ac:dyDescent="0.3">
      <c r="A37" s="154"/>
      <c r="B37" s="35" t="s">
        <v>95</v>
      </c>
      <c r="C37" s="36" t="s">
        <v>125</v>
      </c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26">
        <f t="shared" si="2"/>
        <v>0</v>
      </c>
    </row>
    <row r="38" spans="1:101" x14ac:dyDescent="0.3">
      <c r="A38" s="154"/>
      <c r="B38" s="35" t="s">
        <v>97</v>
      </c>
      <c r="C38" s="36" t="s">
        <v>126</v>
      </c>
      <c r="D38" s="39"/>
      <c r="E38" s="37"/>
      <c r="F38" s="37"/>
      <c r="G38" s="37"/>
      <c r="H38" s="37"/>
      <c r="I38" s="37"/>
      <c r="J38" s="40"/>
      <c r="K38" s="37"/>
      <c r="L38" s="38">
        <f>-73250-131550</f>
        <v>-204800</v>
      </c>
      <c r="M38" s="38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26">
        <f t="shared" si="2"/>
        <v>-204800</v>
      </c>
    </row>
    <row r="39" spans="1:101" x14ac:dyDescent="0.3">
      <c r="A39" s="154"/>
      <c r="B39" s="35" t="s">
        <v>95</v>
      </c>
      <c r="C39" s="36" t="s">
        <v>126</v>
      </c>
      <c r="D39" s="37"/>
      <c r="E39" s="37"/>
      <c r="F39" s="37"/>
      <c r="G39" s="37"/>
      <c r="H39" s="37"/>
      <c r="I39" s="37"/>
      <c r="J39" s="40"/>
      <c r="K39" s="37"/>
      <c r="L39" s="38"/>
      <c r="M39" s="37"/>
      <c r="N39" s="37"/>
      <c r="O39" s="37"/>
      <c r="P39" s="38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26">
        <f t="shared" si="2"/>
        <v>0</v>
      </c>
    </row>
    <row r="40" spans="1:101" x14ac:dyDescent="0.3">
      <c r="A40" s="155" t="s">
        <v>127</v>
      </c>
      <c r="B40" s="41" t="s">
        <v>97</v>
      </c>
      <c r="C40" s="42" t="s">
        <v>128</v>
      </c>
      <c r="D40" s="43"/>
      <c r="E40" s="43">
        <f>-169571.12332-1365.54-1577.36621</f>
        <v>-172514.02953000003</v>
      </c>
      <c r="F40" s="43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3">
        <f>-1910.832-19108.32-3821.664</f>
        <v>-24840.815999999999</v>
      </c>
      <c r="AN40" s="44"/>
      <c r="AO40" s="44"/>
      <c r="AP40" s="44"/>
      <c r="AQ40" s="43">
        <v>-9650.4874400000008</v>
      </c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26">
        <f t="shared" si="2"/>
        <v>-207005.33297000002</v>
      </c>
    </row>
    <row r="41" spans="1:101" x14ac:dyDescent="0.3">
      <c r="A41" s="155"/>
      <c r="B41" s="41" t="s">
        <v>95</v>
      </c>
      <c r="C41" s="42" t="s">
        <v>129</v>
      </c>
      <c r="D41" s="43"/>
      <c r="E41" s="43"/>
      <c r="F41" s="43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26">
        <f t="shared" si="2"/>
        <v>0</v>
      </c>
    </row>
    <row r="42" spans="1:101" x14ac:dyDescent="0.3">
      <c r="A42" s="155"/>
      <c r="B42" s="41" t="s">
        <v>97</v>
      </c>
      <c r="C42" s="42" t="s">
        <v>130</v>
      </c>
      <c r="D42" s="43"/>
      <c r="E42" s="43"/>
      <c r="F42" s="43">
        <v>-17367000</v>
      </c>
      <c r="G42" s="44"/>
      <c r="H42" s="44"/>
      <c r="I42" s="44"/>
      <c r="J42" s="44"/>
      <c r="K42" s="44"/>
      <c r="L42" s="43"/>
      <c r="M42" s="44"/>
      <c r="N42" s="44"/>
      <c r="O42" s="44"/>
      <c r="P42" s="44"/>
      <c r="Q42" s="44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>
        <v>4200000</v>
      </c>
      <c r="BU42" s="43">
        <v>17367000</v>
      </c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26">
        <f t="shared" si="2"/>
        <v>0</v>
      </c>
    </row>
    <row r="43" spans="1:101" x14ac:dyDescent="0.3">
      <c r="A43" s="155"/>
      <c r="B43" s="41" t="s">
        <v>97</v>
      </c>
      <c r="C43" s="42" t="s">
        <v>131</v>
      </c>
      <c r="D43" s="43"/>
      <c r="E43" s="43"/>
      <c r="F43" s="43"/>
      <c r="G43" s="44"/>
      <c r="H43" s="44"/>
      <c r="I43" s="44"/>
      <c r="J43" s="44"/>
      <c r="K43" s="44"/>
      <c r="L43" s="43"/>
      <c r="M43" s="44"/>
      <c r="N43" s="44"/>
      <c r="O43" s="44"/>
      <c r="P43" s="44"/>
      <c r="Q43" s="43"/>
      <c r="R43" s="44"/>
      <c r="S43" s="43"/>
      <c r="T43" s="43"/>
      <c r="U43" s="43"/>
      <c r="V43" s="43"/>
      <c r="W43" s="43"/>
      <c r="X43" s="43"/>
      <c r="Y43" s="43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26">
        <f>D43+E43+F43+G43+H43+I43+J43+K43+L43+M43+O43+Q43+S43+U43+W43+Y43+AA43+AC43+AE43+AG43+AI43+AK43+AL43+AM43+AQ43+AR43+AS43+AT43+AU43+AV43+AW43+AX43+AY43+AZ43+BA43+BB43+BC43+BD43+BE43+BF43+BG43+BH43+BI43+BJ43+BK43+BS43+BU43+BV43+BW43+BX43+BY43+BZ43+CA43+CB43+CC43+CD43+CE43+CF43+CG43+CH43+CI43+CJ43+BL43+BM43+BN43+BO43+BP43+BQ43+CK43+CL43+CM43+CN43+CO43+CP43+CQ43+AN43+AO43+AP43+CR43+CT43+CV43</f>
        <v>0</v>
      </c>
    </row>
    <row r="44" spans="1:101" x14ac:dyDescent="0.3">
      <c r="A44" s="155"/>
      <c r="B44" s="41" t="s">
        <v>95</v>
      </c>
      <c r="C44" s="42" t="s">
        <v>132</v>
      </c>
      <c r="D44" s="43"/>
      <c r="E44" s="43"/>
      <c r="F44" s="43"/>
      <c r="G44" s="44"/>
      <c r="H44" s="44"/>
      <c r="I44" s="44"/>
      <c r="J44" s="44"/>
      <c r="K44" s="44"/>
      <c r="L44" s="43"/>
      <c r="M44" s="43"/>
      <c r="N44" s="44"/>
      <c r="O44" s="44"/>
      <c r="P44" s="44"/>
      <c r="Q44" s="4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26">
        <f t="shared" si="2"/>
        <v>0</v>
      </c>
    </row>
    <row r="45" spans="1:101" x14ac:dyDescent="0.3">
      <c r="A45" s="156" t="s">
        <v>133</v>
      </c>
      <c r="B45" s="45" t="s">
        <v>95</v>
      </c>
      <c r="C45" s="46" t="s">
        <v>134</v>
      </c>
      <c r="D45" s="47"/>
      <c r="E45" s="47"/>
      <c r="F45" s="47"/>
      <c r="G45" s="48"/>
      <c r="H45" s="48"/>
      <c r="I45" s="48"/>
      <c r="J45" s="48"/>
      <c r="K45" s="48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26">
        <f t="shared" si="2"/>
        <v>0</v>
      </c>
    </row>
    <row r="46" spans="1:101" x14ac:dyDescent="0.3">
      <c r="A46" s="156"/>
      <c r="B46" s="45" t="s">
        <v>97</v>
      </c>
      <c r="C46" s="46" t="s">
        <v>134</v>
      </c>
      <c r="D46" s="47"/>
      <c r="E46" s="47"/>
      <c r="F46" s="47"/>
      <c r="G46" s="48"/>
      <c r="H46" s="48"/>
      <c r="I46" s="48"/>
      <c r="J46" s="48"/>
      <c r="K46" s="48"/>
      <c r="L46" s="47"/>
      <c r="M46" s="47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26">
        <f t="shared" si="2"/>
        <v>0</v>
      </c>
    </row>
    <row r="47" spans="1:101" x14ac:dyDescent="0.3">
      <c r="A47" s="156"/>
      <c r="B47" s="45"/>
      <c r="C47" s="46" t="s">
        <v>135</v>
      </c>
      <c r="D47" s="47"/>
      <c r="E47" s="47"/>
      <c r="F47" s="47"/>
      <c r="G47" s="48"/>
      <c r="H47" s="48"/>
      <c r="I47" s="48"/>
      <c r="J47" s="48"/>
      <c r="K47" s="48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26">
        <f t="shared" si="2"/>
        <v>0</v>
      </c>
    </row>
    <row r="48" spans="1:101" x14ac:dyDescent="0.3">
      <c r="A48" s="156"/>
      <c r="B48" s="45" t="s">
        <v>95</v>
      </c>
      <c r="C48" s="46" t="s">
        <v>136</v>
      </c>
      <c r="D48" s="47"/>
      <c r="E48" s="47"/>
      <c r="F48" s="47"/>
      <c r="G48" s="48"/>
      <c r="H48" s="48"/>
      <c r="I48" s="48"/>
      <c r="J48" s="48"/>
      <c r="K48" s="48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26">
        <f t="shared" si="2"/>
        <v>0</v>
      </c>
    </row>
    <row r="49" spans="1:101" x14ac:dyDescent="0.3">
      <c r="A49" s="156"/>
      <c r="B49" s="45"/>
      <c r="C49" s="46" t="s">
        <v>133</v>
      </c>
      <c r="D49" s="47"/>
      <c r="E49" s="47"/>
      <c r="F49" s="47"/>
      <c r="G49" s="48"/>
      <c r="H49" s="48"/>
      <c r="I49" s="47"/>
      <c r="J49" s="48"/>
      <c r="K49" s="48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7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26">
        <f t="shared" si="2"/>
        <v>0</v>
      </c>
    </row>
    <row r="50" spans="1:101" x14ac:dyDescent="0.3">
      <c r="A50" s="156"/>
      <c r="B50" s="45" t="s">
        <v>97</v>
      </c>
      <c r="C50" s="46" t="s">
        <v>137</v>
      </c>
      <c r="D50" s="47"/>
      <c r="E50" s="47"/>
      <c r="F50" s="47"/>
      <c r="G50" s="48"/>
      <c r="H50" s="48"/>
      <c r="I50" s="48">
        <v>-1.73</v>
      </c>
      <c r="J50" s="48"/>
      <c r="K50" s="47"/>
      <c r="L50" s="47"/>
      <c r="M50" s="47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>
        <f>-2.51-2.509-2.509</f>
        <v>-7.5280000000000005</v>
      </c>
      <c r="BB50" s="48">
        <f>-0.869-0.869-0.869</f>
        <v>-2.6070000000000002</v>
      </c>
      <c r="BC50" s="48">
        <f>-3.315-3.315-3.314</f>
        <v>-9.9439999999999991</v>
      </c>
      <c r="BD50" s="48">
        <f>-0.212-0.212-0.212</f>
        <v>-0.63600000000000001</v>
      </c>
      <c r="BE50" s="48"/>
      <c r="BF50" s="48"/>
      <c r="BG50" s="48"/>
      <c r="BH50" s="48"/>
      <c r="BI50" s="48"/>
      <c r="BJ50" s="48"/>
      <c r="BK50" s="48"/>
      <c r="BL50" s="48">
        <v>-1.4690000000000001</v>
      </c>
      <c r="BM50" s="48">
        <v>-13.922000000000001</v>
      </c>
      <c r="BN50" s="48">
        <v>-15.863</v>
      </c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26">
        <f t="shared" si="2"/>
        <v>-53.698999999999998</v>
      </c>
    </row>
    <row r="51" spans="1:101" x14ac:dyDescent="0.3">
      <c r="A51" s="156"/>
      <c r="B51" s="45" t="s">
        <v>97</v>
      </c>
      <c r="C51" s="46" t="s">
        <v>138</v>
      </c>
      <c r="D51" s="47"/>
      <c r="E51" s="48">
        <v>-845.85</v>
      </c>
      <c r="F51" s="47">
        <v>-15.648999999999999</v>
      </c>
      <c r="G51" s="48"/>
      <c r="H51" s="48"/>
      <c r="I51" s="48"/>
      <c r="J51" s="48"/>
      <c r="K51" s="47"/>
      <c r="L51" s="47">
        <v>-24.776</v>
      </c>
      <c r="M51" s="47">
        <v>-4.1289999999999996</v>
      </c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26">
        <f t="shared" si="2"/>
        <v>-890.404</v>
      </c>
    </row>
    <row r="52" spans="1:101" x14ac:dyDescent="0.3">
      <c r="A52" s="156"/>
      <c r="B52" s="45" t="s">
        <v>95</v>
      </c>
      <c r="C52" s="46" t="s">
        <v>139</v>
      </c>
      <c r="D52" s="48"/>
      <c r="E52" s="48"/>
      <c r="F52" s="48"/>
      <c r="G52" s="48"/>
      <c r="H52" s="48"/>
      <c r="I52" s="48">
        <v>24.713139999999999</v>
      </c>
      <c r="J52" s="48"/>
      <c r="K52" s="48"/>
      <c r="L52" s="47"/>
      <c r="M52" s="47"/>
      <c r="N52" s="48"/>
      <c r="O52" s="48"/>
      <c r="P52" s="48"/>
      <c r="Q52" s="48"/>
      <c r="R52" s="48">
        <v>36.97</v>
      </c>
      <c r="S52" s="48">
        <f>(R52*4169.13)/1000</f>
        <v>154.13273610000002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>
        <f>35.854+35.848+35.842+0.01</f>
        <v>107.554</v>
      </c>
      <c r="BB52" s="48">
        <f>12.416+12.414+12.412</f>
        <v>37.241999999999997</v>
      </c>
      <c r="BC52" s="48">
        <f>47.363+47.355+47.348+0.01</f>
        <v>142.07599999999996</v>
      </c>
      <c r="BD52" s="48">
        <f>3.026+3.026+3.025</f>
        <v>9.077</v>
      </c>
      <c r="BE52" s="48"/>
      <c r="BF52" s="48"/>
      <c r="BG52" s="48"/>
      <c r="BH52" s="48"/>
      <c r="BI52" s="48"/>
      <c r="BJ52" s="48"/>
      <c r="BK52" s="48"/>
      <c r="BL52" s="48">
        <v>20.97927</v>
      </c>
      <c r="BM52" s="48">
        <v>198.89131</v>
      </c>
      <c r="BN52" s="48">
        <v>226.60866999999999</v>
      </c>
      <c r="BO52" s="48"/>
      <c r="BP52" s="48">
        <f>47.51/1000+0.01</f>
        <v>5.7509999999999999E-2</v>
      </c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26">
        <f t="shared" si="2"/>
        <v>921.33163609999997</v>
      </c>
    </row>
    <row r="53" spans="1:101" x14ac:dyDescent="0.3">
      <c r="A53" s="156"/>
      <c r="B53" s="45" t="s">
        <v>97</v>
      </c>
      <c r="C53" s="46" t="s">
        <v>140</v>
      </c>
      <c r="D53" s="48">
        <f>(D10+D13+D16+D17+D33+D38+D47+D30+D40+D51+D35+D26)*4/1000</f>
        <v>0</v>
      </c>
      <c r="E53" s="48">
        <v>-687.13005328000008</v>
      </c>
      <c r="F53" s="48">
        <f>(F10+F13+F16+F17+F33+F38+F47+F40+F35)*4/1000</f>
        <v>0</v>
      </c>
      <c r="G53" s="48">
        <f>(G10+G13+G16+G17+G33+G38+G47+G30+G40+G51+G35+G26)*4/1000</f>
        <v>0</v>
      </c>
      <c r="H53" s="48">
        <f>(H10+H13+H16+H17+H33+H38+H40+H47+H51)*4/1000</f>
        <v>0</v>
      </c>
      <c r="I53" s="48">
        <f>(I10+I13+I16+I17+I33+I38+I40+I47+I51)*4/1000</f>
        <v>0</v>
      </c>
      <c r="J53" s="48">
        <f>(J10+J13+J16+J17+J33+J38+J40+J47+J51)*4/1000</f>
        <v>0</v>
      </c>
      <c r="K53" s="47">
        <f>(K10+K13+K17+K33+K38+K40+K51+K36+K49+K29)*4/1000</f>
        <v>0</v>
      </c>
      <c r="L53" s="47">
        <f>(L10+L13+L17+L33+L38+L40+L51+L36+L49)*4/1000</f>
        <v>-819.29910400000006</v>
      </c>
      <c r="M53" s="47">
        <f>(M10+M13+M17+M33+M38+M40+M51+M36+M49+M16)*4/1000</f>
        <v>-1.6515999999999999E-2</v>
      </c>
      <c r="N53" s="48">
        <f>(N10+N13+N16+N17+N33+N47)*4/1000</f>
        <v>0</v>
      </c>
      <c r="O53" s="48">
        <f>(O10+O13+O16+O17+O33+O38+O47)*4/1000</f>
        <v>0</v>
      </c>
      <c r="P53" s="48">
        <f>(P10+P13+P33+P47)*4/1000</f>
        <v>0</v>
      </c>
      <c r="Q53" s="48">
        <f>(Q10+Q13+Q33+Q40+Q47)*4/1000</f>
        <v>0</v>
      </c>
      <c r="R53" s="48">
        <f>(R10+R13+R16+R17+R33+R47)*4/1000</f>
        <v>0</v>
      </c>
      <c r="S53" s="48">
        <f>(S10+S13+S16+S17+S33+S40+S47)*4/1000</f>
        <v>0</v>
      </c>
      <c r="T53" s="48">
        <f t="shared" ref="T53:Y53" si="4">(T10+T13+T16+T17+T33+T40+T47)*4/1000</f>
        <v>0</v>
      </c>
      <c r="U53" s="48">
        <f t="shared" si="4"/>
        <v>0</v>
      </c>
      <c r="V53" s="48">
        <f t="shared" si="4"/>
        <v>0</v>
      </c>
      <c r="W53" s="48">
        <f t="shared" si="4"/>
        <v>0</v>
      </c>
      <c r="X53" s="48">
        <f t="shared" si="4"/>
        <v>0</v>
      </c>
      <c r="Y53" s="48">
        <f t="shared" si="4"/>
        <v>0</v>
      </c>
      <c r="Z53" s="48">
        <f t="shared" ref="Z53:AI53" si="5">(Z10+Z13+Z16+Z17+Z33+Z38+Z40+Z47+Z51)*4/1000</f>
        <v>0</v>
      </c>
      <c r="AA53" s="48">
        <f t="shared" si="5"/>
        <v>0</v>
      </c>
      <c r="AB53" s="48">
        <f t="shared" si="5"/>
        <v>0</v>
      </c>
      <c r="AC53" s="48">
        <f t="shared" si="5"/>
        <v>0</v>
      </c>
      <c r="AD53" s="48">
        <f t="shared" si="5"/>
        <v>0</v>
      </c>
      <c r="AE53" s="48">
        <f t="shared" si="5"/>
        <v>0</v>
      </c>
      <c r="AF53" s="48">
        <f t="shared" si="5"/>
        <v>0</v>
      </c>
      <c r="AG53" s="48">
        <f t="shared" si="5"/>
        <v>0</v>
      </c>
      <c r="AH53" s="48">
        <f t="shared" si="5"/>
        <v>0</v>
      </c>
      <c r="AI53" s="48">
        <f t="shared" si="5"/>
        <v>0</v>
      </c>
      <c r="AJ53" s="48">
        <f>(AJ13+AJ16+AJ17+AJ33+AJ38+AJ40+AJ47+AJ51)*4/1000</f>
        <v>0</v>
      </c>
      <c r="AK53" s="48">
        <f>(AK13+AK16+AK17+AK33+AK38+AK40+AK47+AK51)*4/1000</f>
        <v>0</v>
      </c>
      <c r="AL53" s="48">
        <f>(AL16+AL17+AL38+AL40+AL47+AL51+AL49+AL10+AL13)*4/1000</f>
        <v>-7600</v>
      </c>
      <c r="AM53" s="48">
        <f>(AM10+AM17+AM38+AM40+AM47+AM51+AM50+AM16+AM13+AM30+AM33)*4/1000</f>
        <v>-99.363264000000001</v>
      </c>
      <c r="AN53" s="48">
        <f>(AN10++AN16+AN17+AN38+AN40+AN47+AN51+AN49+AN50+AN33)*4/1000</f>
        <v>0</v>
      </c>
      <c r="AO53" s="48">
        <f>(AO10++AO16+AO17+AO38+AO40+AO47+AO51+AO49+AO50+AO33)*4/1000</f>
        <v>0</v>
      </c>
      <c r="AP53" s="48">
        <f>(AP10++AP16+AP17+AP38+AP40+AP47+AP51+AP49+AP50+AP33)*4/1000</f>
        <v>0</v>
      </c>
      <c r="AQ53" s="48">
        <f>(AQ10++AQ16+AQ17+AQ38+AQ40+AQ47+AQ51+AQ49+AQ50+AQ33)*4/1000</f>
        <v>-38.601949760000004</v>
      </c>
      <c r="AR53" s="48">
        <f t="shared" ref="AR53:CR53" si="6">(AR10+AR13+AR16+AR17+AR33+AR38+AR40+AR47+AR51)*4/1000</f>
        <v>0</v>
      </c>
      <c r="AS53" s="48">
        <f t="shared" si="6"/>
        <v>0</v>
      </c>
      <c r="AT53" s="48">
        <f t="shared" si="6"/>
        <v>0</v>
      </c>
      <c r="AU53" s="48">
        <f t="shared" si="6"/>
        <v>0</v>
      </c>
      <c r="AV53" s="48">
        <f t="shared" si="6"/>
        <v>0</v>
      </c>
      <c r="AW53" s="48">
        <f t="shared" si="6"/>
        <v>0</v>
      </c>
      <c r="AX53" s="48">
        <f t="shared" si="6"/>
        <v>0</v>
      </c>
      <c r="AY53" s="48">
        <f t="shared" si="6"/>
        <v>0</v>
      </c>
      <c r="AZ53" s="48">
        <f t="shared" si="6"/>
        <v>0</v>
      </c>
      <c r="BA53" s="48">
        <f t="shared" si="6"/>
        <v>0</v>
      </c>
      <c r="BB53" s="48">
        <f t="shared" si="6"/>
        <v>0</v>
      </c>
      <c r="BC53" s="48">
        <f t="shared" si="6"/>
        <v>0</v>
      </c>
      <c r="BD53" s="48">
        <f t="shared" si="6"/>
        <v>0</v>
      </c>
      <c r="BE53" s="48">
        <f t="shared" si="6"/>
        <v>0</v>
      </c>
      <c r="BF53" s="48">
        <f t="shared" si="6"/>
        <v>0</v>
      </c>
      <c r="BG53" s="48">
        <f t="shared" si="6"/>
        <v>0</v>
      </c>
      <c r="BH53" s="48">
        <f t="shared" si="6"/>
        <v>0</v>
      </c>
      <c r="BI53" s="48">
        <f t="shared" si="6"/>
        <v>0</v>
      </c>
      <c r="BJ53" s="48">
        <f t="shared" si="6"/>
        <v>0</v>
      </c>
      <c r="BK53" s="48">
        <f t="shared" si="6"/>
        <v>0</v>
      </c>
      <c r="BL53" s="48">
        <f t="shared" si="6"/>
        <v>0</v>
      </c>
      <c r="BM53" s="48">
        <f t="shared" si="6"/>
        <v>0</v>
      </c>
      <c r="BN53" s="48">
        <f t="shared" si="6"/>
        <v>0</v>
      </c>
      <c r="BO53" s="48">
        <f t="shared" si="6"/>
        <v>0</v>
      </c>
      <c r="BP53" s="48">
        <f t="shared" si="6"/>
        <v>0</v>
      </c>
      <c r="BQ53" s="48">
        <f t="shared" si="6"/>
        <v>0</v>
      </c>
      <c r="BR53" s="48">
        <f t="shared" si="6"/>
        <v>0</v>
      </c>
      <c r="BS53" s="48">
        <f t="shared" si="6"/>
        <v>0</v>
      </c>
      <c r="BT53" s="48">
        <f t="shared" si="6"/>
        <v>0</v>
      </c>
      <c r="BU53" s="48">
        <f t="shared" si="6"/>
        <v>0</v>
      </c>
      <c r="BV53" s="48">
        <f t="shared" si="6"/>
        <v>0</v>
      </c>
      <c r="BW53" s="48">
        <f t="shared" si="6"/>
        <v>0</v>
      </c>
      <c r="BX53" s="48">
        <f t="shared" si="6"/>
        <v>0</v>
      </c>
      <c r="BY53" s="48">
        <f t="shared" si="6"/>
        <v>0</v>
      </c>
      <c r="BZ53" s="48">
        <f>(BZ10+BZ13+BZ33+BZ47+BZ51)*4/1000</f>
        <v>0</v>
      </c>
      <c r="CA53" s="48">
        <f t="shared" si="6"/>
        <v>0</v>
      </c>
      <c r="CB53" s="48">
        <f t="shared" si="6"/>
        <v>0</v>
      </c>
      <c r="CC53" s="48">
        <f t="shared" si="6"/>
        <v>0</v>
      </c>
      <c r="CD53" s="48">
        <f t="shared" si="6"/>
        <v>0</v>
      </c>
      <c r="CE53" s="48">
        <f t="shared" si="6"/>
        <v>0</v>
      </c>
      <c r="CF53" s="48">
        <f t="shared" si="6"/>
        <v>0</v>
      </c>
      <c r="CG53" s="48">
        <f t="shared" si="6"/>
        <v>0</v>
      </c>
      <c r="CH53" s="48">
        <f t="shared" si="6"/>
        <v>0</v>
      </c>
      <c r="CI53" s="48">
        <f t="shared" si="6"/>
        <v>0</v>
      </c>
      <c r="CJ53" s="48">
        <f t="shared" si="6"/>
        <v>0</v>
      </c>
      <c r="CK53" s="48">
        <f t="shared" si="6"/>
        <v>0</v>
      </c>
      <c r="CL53" s="48">
        <f t="shared" si="6"/>
        <v>0</v>
      </c>
      <c r="CM53" s="48">
        <f t="shared" si="6"/>
        <v>0</v>
      </c>
      <c r="CN53" s="48">
        <f t="shared" si="6"/>
        <v>0</v>
      </c>
      <c r="CO53" s="48">
        <f t="shared" si="6"/>
        <v>0</v>
      </c>
      <c r="CP53" s="48">
        <f t="shared" si="6"/>
        <v>0</v>
      </c>
      <c r="CQ53" s="48">
        <f t="shared" si="6"/>
        <v>0</v>
      </c>
      <c r="CR53" s="48">
        <f t="shared" si="6"/>
        <v>0</v>
      </c>
      <c r="CS53" s="48"/>
      <c r="CT53" s="48"/>
      <c r="CU53" s="48"/>
      <c r="CV53" s="48"/>
      <c r="CW53" s="26">
        <f t="shared" si="2"/>
        <v>-9244.4108870399996</v>
      </c>
    </row>
    <row r="54" spans="1:101" x14ac:dyDescent="0.3">
      <c r="C54" s="49" t="s">
        <v>141</v>
      </c>
      <c r="D54" s="50">
        <f t="shared" ref="D54:AM54" si="7">SUM(D9:D53)</f>
        <v>87000</v>
      </c>
      <c r="E54" s="50">
        <f t="shared" si="7"/>
        <v>5407952.9904167205</v>
      </c>
      <c r="F54" s="50">
        <f>SUM(F9:F53)</f>
        <v>10509984.351</v>
      </c>
      <c r="G54" s="50">
        <f t="shared" si="7"/>
        <v>0</v>
      </c>
      <c r="H54" s="50">
        <f t="shared" si="7"/>
        <v>0</v>
      </c>
      <c r="I54" s="50">
        <f t="shared" si="7"/>
        <v>22.983139999999999</v>
      </c>
      <c r="J54" s="50">
        <f t="shared" si="7"/>
        <v>0</v>
      </c>
      <c r="K54" s="50">
        <f t="shared" si="7"/>
        <v>0</v>
      </c>
      <c r="L54" s="51">
        <f t="shared" si="7"/>
        <v>80570.442885993092</v>
      </c>
      <c r="M54" s="50">
        <f t="shared" si="7"/>
        <v>-4.1455159999999998</v>
      </c>
      <c r="N54" s="50">
        <f t="shared" si="7"/>
        <v>0</v>
      </c>
      <c r="O54" s="50">
        <f t="shared" si="7"/>
        <v>0</v>
      </c>
      <c r="P54" s="50">
        <f t="shared" si="7"/>
        <v>157378</v>
      </c>
      <c r="Q54" s="50">
        <f t="shared" si="7"/>
        <v>656129.34114000003</v>
      </c>
      <c r="R54" s="50">
        <f t="shared" si="7"/>
        <v>36.97</v>
      </c>
      <c r="S54" s="50">
        <f t="shared" si="7"/>
        <v>154.13273610000002</v>
      </c>
      <c r="T54" s="50">
        <f t="shared" si="7"/>
        <v>0</v>
      </c>
      <c r="U54" s="50">
        <f t="shared" si="7"/>
        <v>0</v>
      </c>
      <c r="V54" s="50">
        <f t="shared" si="7"/>
        <v>0</v>
      </c>
      <c r="W54" s="50">
        <f t="shared" si="7"/>
        <v>0</v>
      </c>
      <c r="X54" s="50">
        <f t="shared" si="7"/>
        <v>0</v>
      </c>
      <c r="Y54" s="50">
        <f t="shared" si="7"/>
        <v>0</v>
      </c>
      <c r="Z54" s="50">
        <f t="shared" si="7"/>
        <v>0</v>
      </c>
      <c r="AA54" s="50">
        <f t="shared" si="7"/>
        <v>0</v>
      </c>
      <c r="AB54" s="50">
        <f t="shared" si="7"/>
        <v>0</v>
      </c>
      <c r="AC54" s="50">
        <f t="shared" si="7"/>
        <v>0</v>
      </c>
      <c r="AD54" s="50">
        <f t="shared" si="7"/>
        <v>0</v>
      </c>
      <c r="AE54" s="50">
        <f t="shared" si="7"/>
        <v>0</v>
      </c>
      <c r="AF54" s="50">
        <f t="shared" si="7"/>
        <v>0</v>
      </c>
      <c r="AG54" s="50">
        <f t="shared" si="7"/>
        <v>0</v>
      </c>
      <c r="AH54" s="50">
        <f t="shared" si="7"/>
        <v>0</v>
      </c>
      <c r="AI54" s="50">
        <f t="shared" si="7"/>
        <v>0</v>
      </c>
      <c r="AJ54" s="50">
        <f t="shared" si="7"/>
        <v>0</v>
      </c>
      <c r="AK54" s="50">
        <f t="shared" si="7"/>
        <v>0</v>
      </c>
      <c r="AL54" s="50">
        <f t="shared" si="7"/>
        <v>-1907600</v>
      </c>
      <c r="AM54" s="50">
        <f t="shared" si="7"/>
        <v>1875059.8207359998</v>
      </c>
      <c r="AN54" s="50">
        <f t="shared" ref="AN54:CV54" si="8">SUM(AN9:AN53)</f>
        <v>0</v>
      </c>
      <c r="AO54" s="50">
        <f t="shared" si="8"/>
        <v>0</v>
      </c>
      <c r="AP54" s="50">
        <f t="shared" si="8"/>
        <v>0</v>
      </c>
      <c r="AQ54" s="50">
        <f t="shared" si="8"/>
        <v>-9689.0893897599999</v>
      </c>
      <c r="AR54" s="50">
        <f t="shared" si="8"/>
        <v>0</v>
      </c>
      <c r="AS54" s="50">
        <f t="shared" si="8"/>
        <v>0</v>
      </c>
      <c r="AT54" s="50">
        <f t="shared" si="8"/>
        <v>0</v>
      </c>
      <c r="AU54" s="50">
        <f t="shared" si="8"/>
        <v>0</v>
      </c>
      <c r="AV54" s="50">
        <f t="shared" si="8"/>
        <v>0</v>
      </c>
      <c r="AW54" s="50">
        <f t="shared" si="8"/>
        <v>0</v>
      </c>
      <c r="AX54" s="50">
        <f t="shared" si="8"/>
        <v>0</v>
      </c>
      <c r="AY54" s="50">
        <f t="shared" si="8"/>
        <v>0</v>
      </c>
      <c r="AZ54" s="50">
        <f t="shared" si="8"/>
        <v>0</v>
      </c>
      <c r="BA54" s="50">
        <f t="shared" si="8"/>
        <v>100.026</v>
      </c>
      <c r="BB54" s="50">
        <f t="shared" si="8"/>
        <v>34.634999999999998</v>
      </c>
      <c r="BC54" s="50">
        <f t="shared" si="8"/>
        <v>132.13199999999998</v>
      </c>
      <c r="BD54" s="50">
        <f t="shared" si="8"/>
        <v>8.4410000000000007</v>
      </c>
      <c r="BE54" s="50">
        <f t="shared" si="8"/>
        <v>0</v>
      </c>
      <c r="BF54" s="50">
        <f t="shared" si="8"/>
        <v>0</v>
      </c>
      <c r="BG54" s="50">
        <f t="shared" si="8"/>
        <v>0</v>
      </c>
      <c r="BH54" s="50">
        <f t="shared" si="8"/>
        <v>0</v>
      </c>
      <c r="BI54" s="50">
        <f t="shared" si="8"/>
        <v>0</v>
      </c>
      <c r="BJ54" s="50">
        <f t="shared" si="8"/>
        <v>0</v>
      </c>
      <c r="BK54" s="50">
        <f t="shared" si="8"/>
        <v>0</v>
      </c>
      <c r="BL54" s="50">
        <f t="shared" si="8"/>
        <v>19.510269999999998</v>
      </c>
      <c r="BM54" s="50">
        <f t="shared" si="8"/>
        <v>184.96931000000001</v>
      </c>
      <c r="BN54" s="50">
        <f t="shared" si="8"/>
        <v>210.74566999999999</v>
      </c>
      <c r="BO54" s="50">
        <f t="shared" si="8"/>
        <v>0</v>
      </c>
      <c r="BP54" s="50">
        <f t="shared" si="8"/>
        <v>5.7509999999999999E-2</v>
      </c>
      <c r="BQ54" s="50">
        <f t="shared" si="8"/>
        <v>0</v>
      </c>
      <c r="BR54" s="50">
        <f t="shared" si="8"/>
        <v>0</v>
      </c>
      <c r="BS54" s="50">
        <f t="shared" si="8"/>
        <v>0</v>
      </c>
      <c r="BT54" s="50">
        <f t="shared" si="8"/>
        <v>4200000</v>
      </c>
      <c r="BU54" s="50">
        <f t="shared" si="8"/>
        <v>17367000</v>
      </c>
      <c r="BV54" s="50">
        <f t="shared" si="8"/>
        <v>0</v>
      </c>
      <c r="BW54" s="50">
        <f t="shared" si="8"/>
        <v>0</v>
      </c>
      <c r="BX54" s="50">
        <f t="shared" si="8"/>
        <v>0</v>
      </c>
      <c r="BY54" s="50">
        <f>SUM(BY9:BY53)</f>
        <v>0</v>
      </c>
      <c r="BZ54" s="50">
        <f>SUM(BZ9:BZ53)</f>
        <v>0</v>
      </c>
      <c r="CA54" s="50">
        <f t="shared" si="8"/>
        <v>3800000</v>
      </c>
      <c r="CB54" s="50">
        <f t="shared" si="8"/>
        <v>0</v>
      </c>
      <c r="CC54" s="50">
        <f t="shared" si="8"/>
        <v>0</v>
      </c>
      <c r="CD54" s="50">
        <f t="shared" si="8"/>
        <v>0</v>
      </c>
      <c r="CE54" s="50">
        <f t="shared" si="8"/>
        <v>0</v>
      </c>
      <c r="CF54" s="50">
        <f t="shared" si="8"/>
        <v>0</v>
      </c>
      <c r="CG54" s="50">
        <f t="shared" si="8"/>
        <v>0</v>
      </c>
      <c r="CH54" s="50">
        <f t="shared" si="8"/>
        <v>0</v>
      </c>
      <c r="CI54" s="50">
        <f t="shared" si="8"/>
        <v>0</v>
      </c>
      <c r="CJ54" s="50">
        <f t="shared" si="8"/>
        <v>0</v>
      </c>
      <c r="CK54" s="50">
        <f t="shared" si="8"/>
        <v>0</v>
      </c>
      <c r="CL54" s="50">
        <f t="shared" si="8"/>
        <v>0</v>
      </c>
      <c r="CM54" s="50">
        <f t="shared" si="8"/>
        <v>0</v>
      </c>
      <c r="CN54" s="50">
        <f t="shared" si="8"/>
        <v>0</v>
      </c>
      <c r="CO54" s="50">
        <f t="shared" si="8"/>
        <v>0</v>
      </c>
      <c r="CP54" s="50">
        <f t="shared" si="8"/>
        <v>0</v>
      </c>
      <c r="CQ54" s="50">
        <f t="shared" si="8"/>
        <v>0</v>
      </c>
      <c r="CR54" s="50">
        <f t="shared" si="8"/>
        <v>0</v>
      </c>
      <c r="CS54" s="50">
        <f t="shared" si="8"/>
        <v>0</v>
      </c>
      <c r="CT54" s="50">
        <f t="shared" si="8"/>
        <v>0</v>
      </c>
      <c r="CU54" s="50">
        <f t="shared" si="8"/>
        <v>0</v>
      </c>
      <c r="CV54" s="50">
        <f t="shared" si="8"/>
        <v>0</v>
      </c>
      <c r="CW54" s="50">
        <f t="shared" si="2"/>
        <v>37867271.343909055</v>
      </c>
    </row>
    <row r="55" spans="1:101" s="52" customFormat="1" x14ac:dyDescent="0.3">
      <c r="B55" s="53"/>
      <c r="C55" s="54" t="s">
        <v>142</v>
      </c>
      <c r="D55" s="55">
        <f t="shared" ref="D55:BS55" si="9">+D8+D54</f>
        <v>456518.27281994512</v>
      </c>
      <c r="E55" s="55">
        <f t="shared" si="9"/>
        <v>13789461.779748205</v>
      </c>
      <c r="F55" s="55">
        <f>+F8+F54</f>
        <v>23852933.975114398</v>
      </c>
      <c r="G55" s="55">
        <f t="shared" si="9"/>
        <v>0</v>
      </c>
      <c r="H55" s="55">
        <f t="shared" si="9"/>
        <v>0</v>
      </c>
      <c r="I55" s="55">
        <f t="shared" si="9"/>
        <v>133607.55865457896</v>
      </c>
      <c r="J55" s="55">
        <f t="shared" si="9"/>
        <v>0</v>
      </c>
      <c r="K55" s="55">
        <f t="shared" si="9"/>
        <v>312476.3441021429</v>
      </c>
      <c r="L55" s="55">
        <f t="shared" si="9"/>
        <v>215824.58736913942</v>
      </c>
      <c r="M55" s="55">
        <f t="shared" si="9"/>
        <v>284293.82371486491</v>
      </c>
      <c r="N55" s="55">
        <f t="shared" si="9"/>
        <v>177265.5199999999</v>
      </c>
      <c r="O55" s="55">
        <f t="shared" si="9"/>
        <v>735425.00813439966</v>
      </c>
      <c r="P55" s="55">
        <f t="shared" si="9"/>
        <v>10897258.593466865</v>
      </c>
      <c r="Q55" s="55">
        <f t="shared" si="9"/>
        <v>45230723.851161316</v>
      </c>
      <c r="R55" s="55">
        <f t="shared" si="9"/>
        <v>485862.81451000017</v>
      </c>
      <c r="S55" s="55">
        <f t="shared" si="9"/>
        <v>2005077.2039589274</v>
      </c>
      <c r="T55" s="55">
        <f t="shared" si="9"/>
        <v>0</v>
      </c>
      <c r="U55" s="55">
        <f t="shared" si="9"/>
        <v>0</v>
      </c>
      <c r="V55" s="55">
        <f t="shared" si="9"/>
        <v>0</v>
      </c>
      <c r="W55" s="55">
        <f t="shared" si="9"/>
        <v>0</v>
      </c>
      <c r="X55" s="55">
        <f t="shared" si="9"/>
        <v>0</v>
      </c>
      <c r="Y55" s="55">
        <f t="shared" si="9"/>
        <v>0</v>
      </c>
      <c r="Z55" s="55">
        <f t="shared" si="9"/>
        <v>9662.5274983807467</v>
      </c>
      <c r="AA55" s="55">
        <f t="shared" si="9"/>
        <v>40087.12108308218</v>
      </c>
      <c r="AB55" s="55">
        <f t="shared" si="9"/>
        <v>7542.7499999967404</v>
      </c>
      <c r="AC55" s="55">
        <f t="shared" si="9"/>
        <v>31292.757779986478</v>
      </c>
      <c r="AD55" s="55">
        <f t="shared" si="9"/>
        <v>5155</v>
      </c>
      <c r="AE55" s="55">
        <f t="shared" si="9"/>
        <v>21386.651600000001</v>
      </c>
      <c r="AF55" s="55">
        <f t="shared" si="9"/>
        <v>7956.8699999451637</v>
      </c>
      <c r="AG55" s="55">
        <f t="shared" si="9"/>
        <v>33010.825706172502</v>
      </c>
      <c r="AH55" s="55">
        <f t="shared" si="9"/>
        <v>118215.98999999718</v>
      </c>
      <c r="AI55" s="55">
        <f t="shared" si="9"/>
        <v>490445.04203278833</v>
      </c>
      <c r="AJ55" s="55">
        <f t="shared" si="9"/>
        <v>674466.83999999822</v>
      </c>
      <c r="AK55" s="55">
        <f t="shared" si="9"/>
        <v>2798174.0684447926</v>
      </c>
      <c r="AL55" s="55">
        <f t="shared" si="9"/>
        <v>19668552.436255224</v>
      </c>
      <c r="AM55" s="55">
        <f t="shared" si="9"/>
        <v>61864150.595531352</v>
      </c>
      <c r="AN55" s="55">
        <f t="shared" si="9"/>
        <v>6276507.6901499992</v>
      </c>
      <c r="AO55" s="55">
        <f t="shared" si="9"/>
        <v>1091269.40043144</v>
      </c>
      <c r="AP55" s="55">
        <f t="shared" si="9"/>
        <v>5285267.3108801506</v>
      </c>
      <c r="AQ55" s="55">
        <f t="shared" si="9"/>
        <v>2109719.2290364038</v>
      </c>
      <c r="AR55" s="55">
        <f t="shared" si="9"/>
        <v>33846.145451993005</v>
      </c>
      <c r="AS55" s="55">
        <f t="shared" si="9"/>
        <v>6.2909079996137462</v>
      </c>
      <c r="AT55" s="55">
        <f t="shared" si="9"/>
        <v>11.244432002509914</v>
      </c>
      <c r="AU55" s="55">
        <f t="shared" si="9"/>
        <v>70745.806203997287</v>
      </c>
      <c r="AV55" s="55">
        <f t="shared" si="9"/>
        <v>525146.68653480266</v>
      </c>
      <c r="AW55" s="55">
        <f t="shared" si="9"/>
        <v>86119.091979996796</v>
      </c>
      <c r="AX55" s="55">
        <f t="shared" si="9"/>
        <v>1047.2966740010875</v>
      </c>
      <c r="AY55" s="55">
        <f t="shared" si="9"/>
        <v>61411.100279998158</v>
      </c>
      <c r="AZ55" s="55">
        <f t="shared" si="9"/>
        <v>23389.865177323234</v>
      </c>
      <c r="BA55" s="55">
        <f t="shared" si="9"/>
        <v>203281.94272400692</v>
      </c>
      <c r="BB55" s="55">
        <f t="shared" si="9"/>
        <v>70395.366219991134</v>
      </c>
      <c r="BC55" s="55">
        <f t="shared" si="9"/>
        <v>268535.19184799865</v>
      </c>
      <c r="BD55" s="55">
        <f t="shared" si="9"/>
        <v>17157.567599989838</v>
      </c>
      <c r="BE55" s="55">
        <f t="shared" si="9"/>
        <v>256596.93928368055</v>
      </c>
      <c r="BF55" s="55">
        <f t="shared" si="9"/>
        <v>321963.21571035992</v>
      </c>
      <c r="BG55" s="55">
        <f t="shared" si="9"/>
        <v>35109.526218882762</v>
      </c>
      <c r="BH55" s="55">
        <f t="shared" si="9"/>
        <v>26531.768320002102</v>
      </c>
      <c r="BI55" s="55">
        <f t="shared" si="9"/>
        <v>526567.9691583903</v>
      </c>
      <c r="BJ55" s="55">
        <f t="shared" si="9"/>
        <v>198192.37105456018</v>
      </c>
      <c r="BK55" s="55">
        <f t="shared" si="9"/>
        <v>13069911.437122013</v>
      </c>
      <c r="BL55" s="55">
        <f t="shared" si="9"/>
        <v>113420.99583244606</v>
      </c>
      <c r="BM55" s="55">
        <f t="shared" si="9"/>
        <v>1075273.1657171636</v>
      </c>
      <c r="BN55" s="55">
        <f t="shared" si="9"/>
        <v>1225122.4772573814</v>
      </c>
      <c r="BO55" s="55">
        <f t="shared" si="9"/>
        <v>3.4691202304202307E-3</v>
      </c>
      <c r="BP55" s="55">
        <f t="shared" si="9"/>
        <v>256.88253932906548</v>
      </c>
      <c r="BQ55" s="55">
        <f t="shared" si="9"/>
        <v>4.0128798844989433E-3</v>
      </c>
      <c r="BR55" s="55">
        <f t="shared" si="9"/>
        <v>645484.5260000031</v>
      </c>
      <c r="BS55" s="55">
        <f t="shared" si="9"/>
        <v>2650869.4086606889</v>
      </c>
      <c r="BT55" s="55">
        <f t="shared" ref="BT55:CV55" si="10">+BT8+BT54</f>
        <v>7258402.124932019</v>
      </c>
      <c r="BU55" s="55">
        <f t="shared" si="10"/>
        <v>30006203.237636194</v>
      </c>
      <c r="BV55" s="55">
        <f t="shared" si="10"/>
        <v>8025.4488600000004</v>
      </c>
      <c r="BW55" s="55">
        <f t="shared" si="10"/>
        <v>397883.49299000081</v>
      </c>
      <c r="BX55" s="55">
        <f t="shared" si="10"/>
        <v>12663.664475599246</v>
      </c>
      <c r="BY55" s="55">
        <f t="shared" si="10"/>
        <v>-4715055.8290600004</v>
      </c>
      <c r="BZ55" s="55">
        <f t="shared" si="10"/>
        <v>-28206557.655860011</v>
      </c>
      <c r="CA55" s="55">
        <f t="shared" si="10"/>
        <v>-14970532.714440007</v>
      </c>
      <c r="CB55" s="55">
        <f t="shared" si="10"/>
        <v>18918.56624</v>
      </c>
      <c r="CC55" s="55">
        <f t="shared" si="10"/>
        <v>905567.0501799999</v>
      </c>
      <c r="CD55" s="55">
        <f t="shared" si="10"/>
        <v>0</v>
      </c>
      <c r="CE55" s="55">
        <f t="shared" si="10"/>
        <v>28452.444999999996</v>
      </c>
      <c r="CF55" s="55">
        <f t="shared" si="10"/>
        <v>696622.45958999998</v>
      </c>
      <c r="CG55" s="55">
        <f t="shared" si="10"/>
        <v>194020.58999999994</v>
      </c>
      <c r="CH55" s="55">
        <f t="shared" si="10"/>
        <v>2.9318200000000001</v>
      </c>
      <c r="CI55" s="55">
        <f t="shared" si="10"/>
        <v>813161.95743999921</v>
      </c>
      <c r="CJ55" s="55">
        <f t="shared" si="10"/>
        <v>201938.84803999978</v>
      </c>
      <c r="CK55" s="55">
        <f t="shared" si="10"/>
        <v>0</v>
      </c>
      <c r="CL55" s="55">
        <f t="shared" si="10"/>
        <v>0</v>
      </c>
      <c r="CM55" s="55">
        <f t="shared" si="10"/>
        <v>79545.207070000004</v>
      </c>
      <c r="CN55" s="55">
        <f t="shared" si="10"/>
        <v>662749.23605000007</v>
      </c>
      <c r="CO55" s="55">
        <f t="shared" si="10"/>
        <v>736446.43431999965</v>
      </c>
      <c r="CP55" s="55">
        <f t="shared" si="10"/>
        <v>9152723.6727600005</v>
      </c>
      <c r="CQ55" s="55">
        <f t="shared" si="10"/>
        <v>377918.49939999997</v>
      </c>
      <c r="CR55" s="55">
        <f t="shared" si="10"/>
        <v>877844.95927000046</v>
      </c>
      <c r="CS55" s="55">
        <f t="shared" si="10"/>
        <v>5010.51</v>
      </c>
      <c r="CT55" s="55">
        <f t="shared" si="10"/>
        <v>20511.762362899997</v>
      </c>
      <c r="CU55" s="55">
        <f t="shared" si="10"/>
        <v>5010.51</v>
      </c>
      <c r="CV55" s="55">
        <f t="shared" si="10"/>
        <v>20511.762362899997</v>
      </c>
      <c r="CW55" s="55">
        <f t="shared" si="2"/>
        <v>204906681.32060781</v>
      </c>
    </row>
    <row r="56" spans="1:101" x14ac:dyDescent="0.3">
      <c r="D56" s="56"/>
      <c r="E56" s="56"/>
      <c r="F56" s="56"/>
      <c r="G56" s="56"/>
      <c r="H56" s="57"/>
      <c r="I56" s="56"/>
      <c r="J56" s="58"/>
      <c r="K56" s="59"/>
      <c r="L56" s="59"/>
      <c r="M56" s="59"/>
      <c r="N56" s="56"/>
      <c r="O56" s="60"/>
      <c r="P56" s="56"/>
      <c r="R56" s="56"/>
      <c r="S56" s="58"/>
      <c r="T56" s="58"/>
      <c r="U56" s="58"/>
      <c r="V56" s="58"/>
      <c r="W56" s="58"/>
      <c r="X56" s="58"/>
      <c r="Y56" s="58"/>
      <c r="AM56" s="56"/>
      <c r="BA56" s="56"/>
      <c r="BB56" s="56"/>
      <c r="BC56" s="56"/>
      <c r="BD56" s="56"/>
      <c r="BL56" s="56"/>
      <c r="BM56" s="56"/>
      <c r="BN56" s="56"/>
      <c r="BO56" s="56"/>
      <c r="BP56" s="56"/>
      <c r="BQ56" s="56"/>
      <c r="BX56" s="70"/>
      <c r="BY56" s="67"/>
      <c r="BZ56" s="67"/>
      <c r="CA56" s="67"/>
      <c r="CB56" s="70"/>
      <c r="CC56" s="70"/>
      <c r="CD56" s="70"/>
      <c r="CE56" s="70"/>
      <c r="CF56" s="70"/>
      <c r="CG56" s="70"/>
      <c r="CH56" s="70"/>
      <c r="CI56" s="67"/>
      <c r="CJ56" s="67"/>
      <c r="CK56" s="56"/>
      <c r="CL56" s="56"/>
      <c r="CM56" s="56"/>
      <c r="CN56" s="56"/>
      <c r="CO56" s="56"/>
      <c r="CP56" s="56"/>
      <c r="CQ56" s="56"/>
    </row>
    <row r="57" spans="1:101" ht="18" x14ac:dyDescent="0.35">
      <c r="D57" s="61"/>
      <c r="E57" s="61"/>
      <c r="F57" s="61"/>
      <c r="G57" s="62"/>
      <c r="H57" s="63"/>
      <c r="I57" s="64"/>
      <c r="J57" s="65"/>
      <c r="N57" s="56"/>
      <c r="O57" s="56"/>
      <c r="P57" s="66"/>
      <c r="Q57" s="67"/>
      <c r="R57" s="68"/>
      <c r="S57" s="69"/>
      <c r="T57" s="69"/>
      <c r="U57" s="69"/>
      <c r="V57" s="69"/>
      <c r="W57" s="69"/>
      <c r="X57" s="69"/>
      <c r="Y57" s="69"/>
      <c r="Z57" s="70"/>
      <c r="AA57" s="62"/>
      <c r="AJ57" s="70"/>
      <c r="AK57" s="71"/>
      <c r="AL57" s="72"/>
      <c r="AM57" s="72"/>
      <c r="AN57" s="70"/>
      <c r="AO57" s="56"/>
      <c r="AP57" s="56"/>
      <c r="AQ57" s="56"/>
      <c r="BA57" s="57"/>
      <c r="BB57" s="57"/>
      <c r="BC57" s="57"/>
      <c r="BD57" s="57"/>
      <c r="BL57" s="73"/>
      <c r="BM57" s="56"/>
      <c r="BN57" s="56"/>
      <c r="BO57" s="74"/>
      <c r="BP57" s="74"/>
      <c r="BQ57" s="74"/>
      <c r="BX57" s="70"/>
      <c r="BY57" s="147"/>
      <c r="BZ57" s="147"/>
      <c r="CA57" s="147"/>
      <c r="CB57" s="70"/>
      <c r="CC57" s="70"/>
      <c r="CD57" s="70"/>
      <c r="CE57" s="70"/>
      <c r="CF57" s="70"/>
      <c r="CG57" s="70"/>
      <c r="CH57" s="70"/>
      <c r="CI57" s="67"/>
      <c r="CJ57" s="67"/>
      <c r="CK57" s="56"/>
      <c r="CL57" s="56"/>
      <c r="CM57" s="56"/>
      <c r="CN57" s="56"/>
      <c r="CO57" s="56"/>
      <c r="CP57" s="56"/>
      <c r="CQ57" s="56"/>
    </row>
    <row r="58" spans="1:101" x14ac:dyDescent="0.3">
      <c r="C58" s="3" t="s">
        <v>144</v>
      </c>
      <c r="D58" s="75" t="s">
        <v>145</v>
      </c>
      <c r="E58" s="75" t="s">
        <v>146</v>
      </c>
      <c r="F58" s="75" t="s">
        <v>147</v>
      </c>
      <c r="G58" s="61"/>
      <c r="H58" s="56"/>
      <c r="I58" s="76"/>
      <c r="J58" s="65"/>
      <c r="N58" s="67"/>
      <c r="O58" s="67"/>
      <c r="P58" s="67"/>
      <c r="Q58" s="77"/>
      <c r="R58" s="67"/>
      <c r="S58" s="67"/>
      <c r="T58" s="67"/>
      <c r="U58" s="67"/>
      <c r="V58" s="67"/>
      <c r="W58" s="67"/>
      <c r="X58" s="67"/>
      <c r="Y58" s="67"/>
      <c r="Z58" s="67"/>
      <c r="AA58" s="56"/>
      <c r="AJ58" s="70"/>
      <c r="AK58" s="78"/>
      <c r="AL58" s="77"/>
      <c r="AM58" s="67"/>
      <c r="AN58" s="70"/>
      <c r="AO58" s="67"/>
      <c r="AP58" s="67"/>
      <c r="AQ58" s="67"/>
      <c r="BL58" s="79"/>
      <c r="BM58" s="79"/>
      <c r="BN58" s="56"/>
      <c r="BO58" s="56"/>
      <c r="BP58" s="79"/>
      <c r="BQ58" s="56"/>
      <c r="BX58" s="148"/>
      <c r="BY58" s="67"/>
      <c r="BZ58" s="67"/>
      <c r="CA58" s="67"/>
      <c r="CB58" s="67"/>
      <c r="CC58" s="70"/>
      <c r="CD58" s="70"/>
      <c r="CE58" s="70"/>
      <c r="CF58" s="70"/>
      <c r="CG58" s="70"/>
      <c r="CH58" s="70"/>
      <c r="CI58" s="67"/>
      <c r="CJ58" s="67"/>
      <c r="CK58" s="56"/>
      <c r="CL58" s="56"/>
      <c r="CM58" s="56"/>
      <c r="CN58" s="56"/>
      <c r="CO58" s="56"/>
      <c r="CP58" s="56"/>
      <c r="CQ58" s="56"/>
    </row>
    <row r="59" spans="1:101" x14ac:dyDescent="0.3">
      <c r="D59" s="61"/>
      <c r="E59" s="80"/>
      <c r="F59" s="61"/>
      <c r="G59" s="61"/>
      <c r="H59" s="58"/>
      <c r="I59" s="76"/>
      <c r="J59" s="65"/>
      <c r="N59" s="67"/>
      <c r="O59" s="67"/>
      <c r="P59" s="72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56"/>
      <c r="AJ59" s="70"/>
      <c r="AK59" s="78"/>
      <c r="AL59" s="77"/>
      <c r="AM59" s="72"/>
      <c r="AN59" s="70"/>
      <c r="AO59" s="67"/>
      <c r="AP59" s="67"/>
      <c r="AQ59" s="67"/>
      <c r="BL59" s="56"/>
      <c r="BM59" s="56"/>
      <c r="BN59" s="56"/>
      <c r="BO59" s="56"/>
      <c r="BP59" s="73"/>
      <c r="BQ59" s="56"/>
      <c r="BX59" s="148"/>
      <c r="BY59" s="148"/>
      <c r="BZ59" s="67"/>
      <c r="CA59" s="67"/>
      <c r="CB59" s="70"/>
      <c r="CC59" s="70"/>
      <c r="CD59" s="67"/>
      <c r="CE59" s="70"/>
      <c r="CF59" s="70"/>
      <c r="CG59" s="70"/>
      <c r="CH59" s="70"/>
      <c r="CI59" s="70"/>
      <c r="CJ59" s="70"/>
    </row>
    <row r="60" spans="1:101" x14ac:dyDescent="0.3">
      <c r="C60" s="81" t="s">
        <v>148</v>
      </c>
      <c r="D60" s="82">
        <f>SUM(D61:D72)</f>
        <v>139404271.114425</v>
      </c>
      <c r="E60" s="70"/>
      <c r="F60" s="83"/>
      <c r="G60" s="83" t="s">
        <v>149</v>
      </c>
      <c r="H60" s="84"/>
      <c r="I60" s="85"/>
      <c r="J60" s="56"/>
      <c r="N60" s="67"/>
      <c r="O60" s="67"/>
      <c r="P60" s="72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56"/>
      <c r="AJ60" s="70"/>
      <c r="AK60" s="78"/>
      <c r="AL60" s="77"/>
      <c r="AM60" s="72"/>
      <c r="AN60" s="70"/>
      <c r="AO60" s="67"/>
      <c r="AP60" s="67"/>
      <c r="AQ60" s="67"/>
      <c r="BO60" s="58"/>
      <c r="BX60" s="148"/>
      <c r="BY60" s="149"/>
      <c r="BZ60" s="149"/>
      <c r="CA60" s="149"/>
      <c r="CB60" s="70"/>
      <c r="CC60" s="70"/>
      <c r="CD60" s="70"/>
      <c r="CE60" s="70"/>
      <c r="CF60" s="70"/>
      <c r="CG60" s="70"/>
      <c r="CH60" s="70"/>
      <c r="CI60" s="70"/>
      <c r="CJ60" s="67"/>
    </row>
    <row r="61" spans="1:101" ht="15" customHeight="1" x14ac:dyDescent="0.3">
      <c r="B61" s="157" t="s">
        <v>94</v>
      </c>
      <c r="C61" s="86" t="s">
        <v>150</v>
      </c>
      <c r="D61" s="87">
        <f>CW18+CW23</f>
        <v>96783221.550999999</v>
      </c>
      <c r="E61" s="67" t="s">
        <v>204</v>
      </c>
      <c r="F61" s="88" t="s">
        <v>151</v>
      </c>
      <c r="G61" s="89">
        <f>N55</f>
        <v>177265.5199999999</v>
      </c>
      <c r="H61" s="84"/>
      <c r="I61" s="85"/>
      <c r="J61" s="56"/>
      <c r="N61" s="67"/>
      <c r="O61" s="67"/>
      <c r="P61" s="72"/>
      <c r="Q61" s="67"/>
      <c r="R61" s="67"/>
      <c r="S61" s="67"/>
      <c r="T61" s="67"/>
      <c r="U61" s="67"/>
      <c r="V61" s="67"/>
      <c r="W61" s="67"/>
      <c r="X61" s="67"/>
      <c r="Y61" s="67"/>
      <c r="Z61" s="70"/>
      <c r="AJ61" s="70"/>
      <c r="AK61" s="78"/>
      <c r="AL61" s="77"/>
      <c r="AM61" s="72"/>
      <c r="AN61" s="70"/>
      <c r="AO61" s="67"/>
      <c r="AP61" s="67"/>
      <c r="AQ61" s="67"/>
      <c r="BX61" s="148"/>
      <c r="BY61" s="148"/>
      <c r="BZ61" s="67"/>
      <c r="CA61" s="148"/>
      <c r="CB61" s="70"/>
      <c r="CC61" s="70"/>
      <c r="CD61" s="148"/>
      <c r="CE61" s="70"/>
      <c r="CF61" s="70"/>
      <c r="CG61" s="70"/>
      <c r="CH61" s="70"/>
      <c r="CI61" s="70"/>
      <c r="CJ61" s="70"/>
    </row>
    <row r="62" spans="1:101" x14ac:dyDescent="0.3">
      <c r="B62" s="157"/>
      <c r="C62" s="86" t="s">
        <v>152</v>
      </c>
      <c r="D62" s="87">
        <f>CW11+CW15</f>
        <v>21661</v>
      </c>
      <c r="E62" s="67" t="s">
        <v>204</v>
      </c>
      <c r="F62" s="88" t="s">
        <v>153</v>
      </c>
      <c r="G62" s="90">
        <f>P55</f>
        <v>10897258.593466865</v>
      </c>
      <c r="H62" s="91"/>
      <c r="I62" s="85"/>
      <c r="J62" s="65"/>
      <c r="N62" s="67"/>
      <c r="O62" s="67"/>
      <c r="P62" s="72"/>
      <c r="Q62" s="67"/>
      <c r="R62" s="77"/>
      <c r="S62" s="67"/>
      <c r="T62" s="67"/>
      <c r="U62" s="67"/>
      <c r="V62" s="67"/>
      <c r="W62" s="67"/>
      <c r="X62" s="67"/>
      <c r="Y62" s="67"/>
      <c r="Z62" s="70"/>
      <c r="AJ62" s="70"/>
      <c r="AK62" s="78"/>
      <c r="AL62" s="77"/>
      <c r="AM62" s="67"/>
      <c r="AN62" s="70"/>
      <c r="AO62" s="67"/>
      <c r="AP62" s="67"/>
      <c r="AQ62" s="67"/>
      <c r="BX62" s="58"/>
      <c r="BY62" s="58"/>
      <c r="BZ62" s="56"/>
      <c r="CA62" s="58"/>
      <c r="CJ62" s="56"/>
    </row>
    <row r="63" spans="1:101" x14ac:dyDescent="0.3">
      <c r="B63" s="157"/>
      <c r="C63" s="86" t="s">
        <v>154</v>
      </c>
      <c r="D63" s="87">
        <f>CW27+CW25</f>
        <v>37346000</v>
      </c>
      <c r="E63" s="67" t="s">
        <v>204</v>
      </c>
      <c r="F63" s="88" t="s">
        <v>155</v>
      </c>
      <c r="G63" s="90">
        <f>R55</f>
        <v>485862.81451000017</v>
      </c>
      <c r="H63" s="92"/>
      <c r="I63" s="93"/>
      <c r="J63" s="5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70"/>
      <c r="AJ63" s="70"/>
      <c r="AK63" s="94"/>
      <c r="AL63" s="70"/>
      <c r="AM63" s="92"/>
      <c r="AN63" s="95"/>
      <c r="AO63" s="67"/>
      <c r="AP63" s="67"/>
      <c r="AQ63" s="67"/>
      <c r="AR63" s="67"/>
      <c r="BY63" s="58"/>
      <c r="BZ63" s="56"/>
      <c r="CA63" s="58"/>
      <c r="CJ63" s="58"/>
    </row>
    <row r="64" spans="1:101" x14ac:dyDescent="0.3">
      <c r="B64" s="157"/>
      <c r="C64" s="86" t="s">
        <v>156</v>
      </c>
      <c r="D64" s="87">
        <f>CW12+CW14+CW24</f>
        <v>0</v>
      </c>
      <c r="E64" s="67"/>
      <c r="H64" s="56"/>
      <c r="I64" s="76"/>
      <c r="J64" s="65"/>
      <c r="N64" s="67"/>
      <c r="O64" s="67"/>
      <c r="P64" s="77"/>
      <c r="Q64" s="67"/>
      <c r="R64" s="67"/>
      <c r="S64" s="67"/>
      <c r="T64" s="67"/>
      <c r="U64" s="67"/>
      <c r="V64" s="67"/>
      <c r="W64" s="67"/>
      <c r="X64" s="67"/>
      <c r="Y64" s="67"/>
      <c r="Z64" s="67"/>
      <c r="AJ64" s="70"/>
      <c r="AK64" s="70"/>
      <c r="AL64" s="67"/>
      <c r="AM64" s="77"/>
      <c r="AN64" s="96"/>
      <c r="AO64" s="67"/>
      <c r="AP64" s="67"/>
      <c r="AQ64" s="67"/>
      <c r="AR64" s="67"/>
      <c r="BZ64" s="56"/>
      <c r="CA64" s="58"/>
    </row>
    <row r="65" spans="2:79" x14ac:dyDescent="0.3">
      <c r="B65" s="157"/>
      <c r="C65" s="86" t="s">
        <v>157</v>
      </c>
      <c r="D65" s="87">
        <f>CW22</f>
        <v>4555061.3729900001</v>
      </c>
      <c r="E65" s="67" t="s">
        <v>204</v>
      </c>
      <c r="H65" s="56"/>
      <c r="I65" s="97"/>
      <c r="J65" s="65"/>
      <c r="N65" s="67"/>
      <c r="O65" s="67"/>
      <c r="P65" s="69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56"/>
      <c r="AJ65" s="70"/>
      <c r="AK65" s="70"/>
      <c r="AL65" s="67"/>
      <c r="AM65" s="67"/>
      <c r="AN65" s="98"/>
      <c r="AO65" s="56"/>
      <c r="AP65" s="56"/>
      <c r="AQ65" s="56"/>
      <c r="AR65" s="67"/>
      <c r="BZ65" s="56"/>
      <c r="CA65" s="58"/>
    </row>
    <row r="66" spans="2:79" ht="23.25" customHeight="1" x14ac:dyDescent="0.3">
      <c r="B66" s="157" t="s">
        <v>117</v>
      </c>
      <c r="C66" s="99" t="s">
        <v>158</v>
      </c>
      <c r="D66" s="87">
        <f>CW31</f>
        <v>698327.19043500011</v>
      </c>
      <c r="E66" s="100">
        <v>3597.8892650000998</v>
      </c>
      <c r="F66" s="101" t="s">
        <v>159</v>
      </c>
      <c r="G66" s="102" t="s">
        <v>149</v>
      </c>
      <c r="H66" s="56"/>
      <c r="I66" s="97"/>
      <c r="J66" s="56"/>
      <c r="N66" s="7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56"/>
      <c r="AJ66" s="70"/>
      <c r="AK66" s="70"/>
      <c r="AL66" s="67"/>
      <c r="AM66" s="56"/>
      <c r="AN66" s="103"/>
      <c r="AO66" s="56"/>
      <c r="AP66" s="56"/>
      <c r="AQ66" s="56"/>
      <c r="AR66" s="67"/>
      <c r="BZ66" s="56"/>
    </row>
    <row r="67" spans="2:79" ht="21.75" customHeight="1" x14ac:dyDescent="0.3">
      <c r="B67" s="157"/>
      <c r="C67" s="99" t="s">
        <v>120</v>
      </c>
      <c r="D67" s="87">
        <f>CW32</f>
        <v>0</v>
      </c>
      <c r="E67" s="100"/>
      <c r="F67" s="104" t="s">
        <v>160</v>
      </c>
      <c r="G67" s="105">
        <f>K55*1000</f>
        <v>312476344.10214293</v>
      </c>
      <c r="H67" s="56"/>
      <c r="I67" s="97"/>
      <c r="J67" s="65"/>
      <c r="N67" s="100"/>
      <c r="O67" s="67"/>
      <c r="P67" s="106"/>
      <c r="Q67" s="56"/>
      <c r="R67" s="56"/>
      <c r="S67" s="56"/>
      <c r="T67" s="56"/>
      <c r="U67" s="56"/>
      <c r="V67" s="56"/>
      <c r="W67" s="56"/>
      <c r="X67" s="56"/>
      <c r="Y67" s="56"/>
      <c r="AA67" s="58"/>
      <c r="AL67" s="56"/>
      <c r="AM67" s="56"/>
      <c r="AN67" s="56"/>
      <c r="AO67" s="56"/>
      <c r="AP67" s="56"/>
      <c r="AQ67" s="56"/>
      <c r="AR67" s="67"/>
      <c r="BZ67" s="56"/>
    </row>
    <row r="68" spans="2:79" ht="24" customHeight="1" x14ac:dyDescent="0.3">
      <c r="B68" s="157"/>
      <c r="C68" s="99" t="s">
        <v>122</v>
      </c>
      <c r="D68" s="87">
        <f>CW34</f>
        <v>0</v>
      </c>
      <c r="E68" s="100"/>
      <c r="F68" s="104" t="s">
        <v>161</v>
      </c>
      <c r="G68" s="105">
        <f>L55*1000</f>
        <v>215824587.36913943</v>
      </c>
      <c r="H68" s="56"/>
      <c r="I68" s="97"/>
      <c r="J68" s="107"/>
      <c r="M68" s="100"/>
      <c r="N68" s="100"/>
      <c r="O68" s="68"/>
      <c r="P68" s="56"/>
      <c r="Q68" s="67"/>
      <c r="R68" s="56"/>
      <c r="S68" s="56"/>
      <c r="T68" s="56"/>
      <c r="U68" s="56"/>
      <c r="V68" s="56"/>
      <c r="W68" s="56"/>
      <c r="X68" s="56"/>
      <c r="Y68" s="56"/>
      <c r="Z68" s="67"/>
      <c r="AL68" s="56"/>
      <c r="AM68" s="56"/>
      <c r="AN68" s="56"/>
      <c r="AO68" s="56"/>
      <c r="AP68" s="56"/>
      <c r="AQ68" s="56"/>
      <c r="BZ68" s="56"/>
      <c r="CA68" s="58"/>
    </row>
    <row r="69" spans="2:79" ht="34.5" customHeight="1" x14ac:dyDescent="0.3">
      <c r="B69" s="157" t="s">
        <v>123</v>
      </c>
      <c r="C69" s="99" t="s">
        <v>125</v>
      </c>
      <c r="D69" s="87">
        <f>CW37</f>
        <v>0</v>
      </c>
      <c r="E69" s="100"/>
      <c r="F69" s="104" t="s">
        <v>162</v>
      </c>
      <c r="G69" s="105">
        <f>M55*1000</f>
        <v>284293823.71486491</v>
      </c>
      <c r="H69" s="56"/>
      <c r="I69" s="97"/>
      <c r="J69" s="107"/>
      <c r="M69" s="108"/>
      <c r="N69" s="108"/>
      <c r="O69" s="70"/>
      <c r="P69" s="57"/>
      <c r="Q69" s="67"/>
      <c r="R69" s="67"/>
      <c r="S69" s="56"/>
      <c r="T69" s="56"/>
      <c r="U69" s="56"/>
      <c r="V69" s="56"/>
      <c r="W69" s="56"/>
      <c r="X69" s="56"/>
      <c r="Y69" s="56"/>
      <c r="Z69" s="67"/>
      <c r="AM69" s="56"/>
      <c r="AN69" s="56"/>
      <c r="AO69" s="56"/>
      <c r="AP69" s="56"/>
      <c r="AQ69" s="56"/>
      <c r="BZ69" s="56"/>
    </row>
    <row r="70" spans="2:79" ht="33" customHeight="1" x14ac:dyDescent="0.3">
      <c r="B70" s="157"/>
      <c r="C70" s="99" t="s">
        <v>126</v>
      </c>
      <c r="D70" s="87">
        <f>CW39</f>
        <v>0</v>
      </c>
      <c r="E70" s="70"/>
      <c r="F70" s="109"/>
      <c r="G70" s="109"/>
      <c r="I70" s="110"/>
      <c r="J70" s="107"/>
      <c r="M70" s="100"/>
      <c r="N70" s="100"/>
      <c r="O70" s="68"/>
      <c r="P70" s="57"/>
      <c r="Q70" s="67"/>
      <c r="Z70" s="67"/>
      <c r="BZ70" s="56"/>
    </row>
    <row r="71" spans="2:79" ht="33" customHeight="1" x14ac:dyDescent="0.3">
      <c r="B71" s="157" t="s">
        <v>127</v>
      </c>
      <c r="C71" s="99" t="s">
        <v>129</v>
      </c>
      <c r="D71" s="87">
        <f>CW41</f>
        <v>0</v>
      </c>
      <c r="E71" s="70"/>
      <c r="F71" s="111" t="s">
        <v>163</v>
      </c>
      <c r="G71" s="111" t="s">
        <v>164</v>
      </c>
      <c r="I71" s="110"/>
      <c r="J71" s="107"/>
      <c r="L71" s="67"/>
      <c r="M71" s="100"/>
      <c r="N71" s="100"/>
      <c r="O71" s="68"/>
      <c r="BZ71" s="56"/>
    </row>
    <row r="72" spans="2:79" ht="33" customHeight="1" x14ac:dyDescent="0.3">
      <c r="B72" s="157"/>
      <c r="C72" s="99" t="s">
        <v>132</v>
      </c>
      <c r="D72" s="87">
        <f>CW44</f>
        <v>0</v>
      </c>
      <c r="E72" s="70"/>
      <c r="F72" s="112" t="s">
        <v>160</v>
      </c>
      <c r="G72" s="113">
        <f>Z55</f>
        <v>9662.5274983807467</v>
      </c>
      <c r="I72" s="110"/>
      <c r="L72" s="72"/>
      <c r="M72" s="67"/>
      <c r="N72" s="70"/>
      <c r="O72" s="70"/>
      <c r="Q72" s="67"/>
      <c r="Z72" s="67"/>
      <c r="BZ72" s="56"/>
    </row>
    <row r="73" spans="2:79" x14ac:dyDescent="0.3">
      <c r="C73" s="114" t="s">
        <v>165</v>
      </c>
      <c r="D73" s="115">
        <f>SUM(D74:D84)</f>
        <v>-102236484.688265</v>
      </c>
      <c r="E73" s="70"/>
      <c r="F73" s="116" t="s">
        <v>161</v>
      </c>
      <c r="G73" s="117">
        <f>AB55</f>
        <v>7542.7499999967404</v>
      </c>
      <c r="I73" s="110"/>
      <c r="L73" s="70"/>
      <c r="M73" s="70"/>
      <c r="N73" s="70"/>
      <c r="O73" s="70"/>
      <c r="P73" s="118"/>
      <c r="Q73" s="67"/>
      <c r="R73" s="119"/>
      <c r="S73" s="118"/>
      <c r="T73" s="118"/>
      <c r="U73" s="118"/>
      <c r="V73" s="118"/>
      <c r="W73" s="118"/>
      <c r="X73" s="118"/>
      <c r="Y73" s="118"/>
      <c r="Z73" s="67"/>
      <c r="BZ73" s="56"/>
    </row>
    <row r="74" spans="2:79" ht="23.25" customHeight="1" x14ac:dyDescent="0.3">
      <c r="B74" s="157" t="s">
        <v>94</v>
      </c>
      <c r="C74" s="99" t="s">
        <v>166</v>
      </c>
      <c r="D74" s="87">
        <f>CW17</f>
        <v>0</v>
      </c>
      <c r="E74" s="70"/>
      <c r="F74" s="120" t="s">
        <v>162</v>
      </c>
      <c r="G74" s="117">
        <f>AD55</f>
        <v>5155</v>
      </c>
      <c r="I74" s="110"/>
      <c r="L74" s="72"/>
      <c r="M74" s="70"/>
      <c r="N74" s="70"/>
      <c r="O74" s="70"/>
      <c r="P74" s="118"/>
      <c r="Q74" s="67"/>
      <c r="S74" s="118"/>
      <c r="T74" s="118"/>
      <c r="U74" s="118"/>
      <c r="V74" s="118"/>
      <c r="W74" s="118"/>
      <c r="X74" s="118"/>
      <c r="Y74" s="118"/>
      <c r="Z74" s="67"/>
      <c r="BZ74" s="56"/>
    </row>
    <row r="75" spans="2:79" ht="19.5" customHeight="1" x14ac:dyDescent="0.3">
      <c r="B75" s="157"/>
      <c r="C75" s="99" t="s">
        <v>167</v>
      </c>
      <c r="D75" s="121">
        <f>CW13+CW19+CW20</f>
        <v>-11786507.5</v>
      </c>
      <c r="E75" s="67" t="s">
        <v>204</v>
      </c>
      <c r="F75" s="120" t="s">
        <v>168</v>
      </c>
      <c r="G75" s="117">
        <f>AF55</f>
        <v>7956.8699999451637</v>
      </c>
      <c r="I75" s="110"/>
      <c r="L75" s="58"/>
      <c r="BZ75" s="56"/>
    </row>
    <row r="76" spans="2:79" ht="22.5" customHeight="1" x14ac:dyDescent="0.3">
      <c r="B76" s="157"/>
      <c r="C76" s="99" t="s">
        <v>169</v>
      </c>
      <c r="D76" s="121">
        <f>CW16+CW21</f>
        <v>-89287221.906000003</v>
      </c>
      <c r="E76" s="56" t="s">
        <v>204</v>
      </c>
      <c r="F76" s="120" t="s">
        <v>170</v>
      </c>
      <c r="G76" s="117">
        <f>AH55</f>
        <v>118215.98999999718</v>
      </c>
      <c r="I76" s="110"/>
      <c r="L76" s="58"/>
      <c r="BZ76" s="56"/>
    </row>
    <row r="77" spans="2:79" ht="21.75" customHeight="1" x14ac:dyDescent="0.3">
      <c r="B77" s="157"/>
      <c r="C77" s="99" t="s">
        <v>171</v>
      </c>
      <c r="D77" s="121">
        <f>CW28+CW26</f>
        <v>0</v>
      </c>
      <c r="E77" s="67"/>
      <c r="F77" s="120" t="s">
        <v>172</v>
      </c>
      <c r="G77" s="117">
        <f>AJ55</f>
        <v>674466.83999999822</v>
      </c>
      <c r="I77" s="65"/>
      <c r="BZ77" s="56"/>
    </row>
    <row r="78" spans="2:79" ht="33" customHeight="1" x14ac:dyDescent="0.3">
      <c r="B78" s="157" t="s">
        <v>117</v>
      </c>
      <c r="C78" s="99" t="s">
        <v>118</v>
      </c>
      <c r="D78" s="122">
        <f>CW30</f>
        <v>-750949.94929500006</v>
      </c>
      <c r="E78" s="67"/>
      <c r="I78" s="65"/>
      <c r="J78" s="123"/>
      <c r="BZ78" s="56"/>
    </row>
    <row r="79" spans="2:79" ht="27" customHeight="1" x14ac:dyDescent="0.3">
      <c r="B79" s="157"/>
      <c r="C79" s="99" t="s">
        <v>121</v>
      </c>
      <c r="D79" s="122">
        <f>CW33</f>
        <v>0</v>
      </c>
      <c r="E79" s="70"/>
      <c r="I79" s="124"/>
      <c r="J79" s="58"/>
      <c r="BZ79" s="56"/>
    </row>
    <row r="80" spans="2:79" ht="31.5" customHeight="1" x14ac:dyDescent="0.3">
      <c r="B80" s="157" t="s">
        <v>123</v>
      </c>
      <c r="C80" s="99" t="s">
        <v>125</v>
      </c>
      <c r="D80" s="122">
        <f>CW36</f>
        <v>0</v>
      </c>
      <c r="E80" s="100"/>
      <c r="F80" s="56"/>
      <c r="I80" s="65"/>
      <c r="J80" s="125"/>
      <c r="BZ80" s="56"/>
    </row>
    <row r="81" spans="2:78" ht="33.75" customHeight="1" x14ac:dyDescent="0.3">
      <c r="B81" s="157"/>
      <c r="C81" s="99" t="s">
        <v>126</v>
      </c>
      <c r="D81" s="126">
        <f>CW38</f>
        <v>-204800</v>
      </c>
      <c r="E81" s="100" t="s">
        <v>204</v>
      </c>
      <c r="F81" s="56"/>
      <c r="I81" s="58"/>
      <c r="BZ81" s="56"/>
    </row>
    <row r="82" spans="2:78" ht="21.75" customHeight="1" x14ac:dyDescent="0.3">
      <c r="B82" s="150" t="s">
        <v>127</v>
      </c>
      <c r="C82" s="127" t="str">
        <f>C40</f>
        <v>COMPRA DIVISAS OTRAS ÁREAS</v>
      </c>
      <c r="D82" s="122">
        <f>CW40</f>
        <v>-207005.33297000002</v>
      </c>
      <c r="E82" s="70" t="s">
        <v>204</v>
      </c>
      <c r="F82" s="56"/>
    </row>
    <row r="83" spans="2:78" ht="19.5" customHeight="1" x14ac:dyDescent="0.3">
      <c r="B83" s="151"/>
      <c r="C83" s="127" t="str">
        <f>C42</f>
        <v>COMPRA DIVISAS REASEGUROS</v>
      </c>
      <c r="D83" s="122">
        <f>CW42</f>
        <v>0</v>
      </c>
      <c r="E83" s="70"/>
      <c r="F83" s="56"/>
    </row>
    <row r="84" spans="2:78" ht="20.25" customHeight="1" x14ac:dyDescent="0.3">
      <c r="B84" s="152"/>
      <c r="C84" s="127" t="str">
        <f>C43</f>
        <v>COMPRA DIVISAS COMPENSACIÓN</v>
      </c>
      <c r="D84" s="122">
        <f>CW43</f>
        <v>0</v>
      </c>
      <c r="E84" s="70"/>
    </row>
    <row r="89" spans="2:78" x14ac:dyDescent="0.3">
      <c r="C89" s="128" t="s">
        <v>173</v>
      </c>
      <c r="D89" s="129" t="s">
        <v>174</v>
      </c>
      <c r="E89" s="129" t="s">
        <v>175</v>
      </c>
      <c r="F89" s="128" t="s">
        <v>176</v>
      </c>
      <c r="G89" s="130" t="s">
        <v>90</v>
      </c>
      <c r="H89" s="131" t="s">
        <v>177</v>
      </c>
      <c r="I89" s="132" t="s">
        <v>178</v>
      </c>
      <c r="J89" s="132" t="s">
        <v>179</v>
      </c>
      <c r="K89" s="132" t="s">
        <v>139</v>
      </c>
      <c r="L89" s="132" t="s">
        <v>180</v>
      </c>
      <c r="M89" s="133" t="s">
        <v>181</v>
      </c>
    </row>
    <row r="90" spans="2:78" x14ac:dyDescent="0.3">
      <c r="C90" s="134" t="s">
        <v>182</v>
      </c>
      <c r="D90" s="135" t="s">
        <v>62</v>
      </c>
      <c r="E90" s="134" t="s">
        <v>183</v>
      </c>
      <c r="F90" s="136" t="s">
        <v>184</v>
      </c>
      <c r="G90" s="137">
        <f>AR5</f>
        <v>33846.145451993005</v>
      </c>
      <c r="H90" s="137">
        <f>AR27+AR25</f>
        <v>0</v>
      </c>
      <c r="I90" s="137">
        <f>AR28+AR26</f>
        <v>0</v>
      </c>
      <c r="J90" s="132">
        <f>AR29</f>
        <v>0</v>
      </c>
      <c r="K90" s="138">
        <f>AR52+AR48</f>
        <v>0</v>
      </c>
      <c r="L90" s="138">
        <f>AR50+AR51+AR53+AR40+AR42+AR43+AR45</f>
        <v>0</v>
      </c>
      <c r="M90" s="139">
        <f t="shared" ref="M90:M106" si="11">G90+H90+I90+J90+K90+L90</f>
        <v>33846.145451993005</v>
      </c>
    </row>
    <row r="91" spans="2:78" x14ac:dyDescent="0.3">
      <c r="C91" s="134" t="s">
        <v>182</v>
      </c>
      <c r="D91" s="135" t="s">
        <v>185</v>
      </c>
      <c r="E91" s="134" t="s">
        <v>183</v>
      </c>
      <c r="F91" s="136" t="s">
        <v>186</v>
      </c>
      <c r="G91" s="137">
        <f>BH5</f>
        <v>26531.768320002102</v>
      </c>
      <c r="H91" s="140">
        <f>BH27+BH25</f>
        <v>0</v>
      </c>
      <c r="I91" s="140">
        <f>BH28+BH26</f>
        <v>0</v>
      </c>
      <c r="J91" s="140">
        <f>BH29</f>
        <v>0</v>
      </c>
      <c r="K91" s="140">
        <f>BH52+BH48</f>
        <v>0</v>
      </c>
      <c r="L91" s="138">
        <f>BH50+BH51+BH53+BH40+BH42+BH43+BH45</f>
        <v>0</v>
      </c>
      <c r="M91" s="139">
        <f t="shared" si="11"/>
        <v>26531.768320002102</v>
      </c>
    </row>
    <row r="92" spans="2:78" x14ac:dyDescent="0.3">
      <c r="C92" s="134" t="s">
        <v>182</v>
      </c>
      <c r="D92" s="135" t="s">
        <v>71</v>
      </c>
      <c r="E92" s="134" t="s">
        <v>183</v>
      </c>
      <c r="F92" s="136" t="s">
        <v>187</v>
      </c>
      <c r="G92" s="137">
        <f>BA5</f>
        <v>203181.91672400691</v>
      </c>
      <c r="H92" s="140">
        <f>BA27+BA25</f>
        <v>0</v>
      </c>
      <c r="I92" s="140">
        <f>BA28+BA26</f>
        <v>0</v>
      </c>
      <c r="J92" s="140">
        <f>BA29</f>
        <v>0</v>
      </c>
      <c r="K92" s="140">
        <f>BA52+BA48</f>
        <v>107.554</v>
      </c>
      <c r="L92" s="138">
        <f>BA50+BA51+BA53+BA40+BA42+BA43+BA45</f>
        <v>-7.5280000000000005</v>
      </c>
      <c r="M92" s="139">
        <f t="shared" si="11"/>
        <v>203281.94272400692</v>
      </c>
    </row>
    <row r="93" spans="2:78" x14ac:dyDescent="0.3">
      <c r="C93" s="134" t="s">
        <v>182</v>
      </c>
      <c r="D93" s="135" t="s">
        <v>75</v>
      </c>
      <c r="E93" s="134" t="s">
        <v>183</v>
      </c>
      <c r="F93" s="136" t="s">
        <v>188</v>
      </c>
      <c r="G93" s="137">
        <f>BE5</f>
        <v>256596.93928368055</v>
      </c>
      <c r="H93" s="140">
        <f>BE27+BE25</f>
        <v>0</v>
      </c>
      <c r="I93" s="140">
        <f>BE28+BE26</f>
        <v>0</v>
      </c>
      <c r="J93" s="140">
        <f>BE29</f>
        <v>0</v>
      </c>
      <c r="K93" s="140">
        <f>BE52+BE48</f>
        <v>0</v>
      </c>
      <c r="L93" s="138">
        <f>BE50+BE51+BE53+BE40+BE42+BE43+BE45</f>
        <v>0</v>
      </c>
      <c r="M93" s="139">
        <f t="shared" si="11"/>
        <v>256596.93928368055</v>
      </c>
    </row>
    <row r="94" spans="2:78" x14ac:dyDescent="0.3">
      <c r="C94" s="134" t="s">
        <v>182</v>
      </c>
      <c r="D94" s="135" t="s">
        <v>67</v>
      </c>
      <c r="E94" s="134" t="s">
        <v>183</v>
      </c>
      <c r="F94" s="136" t="s">
        <v>189</v>
      </c>
      <c r="G94" s="137">
        <f>AW5</f>
        <v>86119.091979996796</v>
      </c>
      <c r="H94" s="140">
        <f>AW27+AW25</f>
        <v>0</v>
      </c>
      <c r="I94" s="140">
        <f>AW28+AW26</f>
        <v>0</v>
      </c>
      <c r="J94" s="140">
        <f>AW29</f>
        <v>0</v>
      </c>
      <c r="K94" s="140">
        <f>AW52+AW48</f>
        <v>0</v>
      </c>
      <c r="L94" s="138">
        <f>AW50+AW51+AW53+AW40+AW42+AW43+AW45</f>
        <v>0</v>
      </c>
      <c r="M94" s="139">
        <f t="shared" si="11"/>
        <v>86119.091979996796</v>
      </c>
    </row>
    <row r="95" spans="2:78" x14ac:dyDescent="0.3">
      <c r="C95" s="134" t="s">
        <v>190</v>
      </c>
      <c r="D95" s="135" t="s">
        <v>64</v>
      </c>
      <c r="E95" s="12" t="s">
        <v>191</v>
      </c>
      <c r="F95" s="136" t="s">
        <v>184</v>
      </c>
      <c r="G95" s="137">
        <f>AT5</f>
        <v>11.244432002509914</v>
      </c>
      <c r="H95" s="140">
        <f>AT27+AT25</f>
        <v>0</v>
      </c>
      <c r="I95" s="140">
        <f>AT28+AT26</f>
        <v>0</v>
      </c>
      <c r="J95" s="140">
        <f>AT29</f>
        <v>0</v>
      </c>
      <c r="K95" s="140">
        <f>AT52+AT48</f>
        <v>0</v>
      </c>
      <c r="L95" s="138">
        <f>AT50+AT51+AT53+AT40+AT42+AT43+AT45</f>
        <v>0</v>
      </c>
      <c r="M95" s="139">
        <f t="shared" si="11"/>
        <v>11.244432002509914</v>
      </c>
    </row>
    <row r="96" spans="2:78" x14ac:dyDescent="0.3">
      <c r="C96" s="134" t="s">
        <v>190</v>
      </c>
      <c r="D96" s="135" t="s">
        <v>63</v>
      </c>
      <c r="E96" s="12" t="s">
        <v>192</v>
      </c>
      <c r="F96" s="136" t="s">
        <v>184</v>
      </c>
      <c r="G96" s="137">
        <f>AS5</f>
        <v>6.2909079996137462</v>
      </c>
      <c r="H96" s="140">
        <f>AS27+AS25</f>
        <v>0</v>
      </c>
      <c r="I96" s="140">
        <f>AS28+AS26</f>
        <v>0</v>
      </c>
      <c r="J96" s="140">
        <f>AS29</f>
        <v>0</v>
      </c>
      <c r="K96" s="140">
        <f>AS52+AS48</f>
        <v>0</v>
      </c>
      <c r="L96" s="138">
        <f>AS50+AS51+AS53+AS40+AS42+AS43+AS45</f>
        <v>0</v>
      </c>
      <c r="M96" s="139">
        <f t="shared" si="11"/>
        <v>6.2909079996137462</v>
      </c>
    </row>
    <row r="97" spans="3:13" x14ac:dyDescent="0.3">
      <c r="C97" s="134" t="s">
        <v>190</v>
      </c>
      <c r="D97" s="135" t="s">
        <v>78</v>
      </c>
      <c r="E97" s="12" t="s">
        <v>193</v>
      </c>
      <c r="F97" s="140" t="s">
        <v>186</v>
      </c>
      <c r="G97" s="137">
        <f>BI5</f>
        <v>526567.9691583903</v>
      </c>
      <c r="H97" s="140">
        <f>BI27+BI25</f>
        <v>0</v>
      </c>
      <c r="I97" s="140">
        <f>BI28+BI26</f>
        <v>0</v>
      </c>
      <c r="J97" s="140">
        <f>BI29</f>
        <v>0</v>
      </c>
      <c r="K97" s="140">
        <f>BI52+BI48</f>
        <v>0</v>
      </c>
      <c r="L97" s="138">
        <f>BI50+BI51+BI53+BI40+BI42+BI43+BI45</f>
        <v>0</v>
      </c>
      <c r="M97" s="139">
        <f t="shared" si="11"/>
        <v>526567.9691583903</v>
      </c>
    </row>
    <row r="98" spans="3:13" x14ac:dyDescent="0.3">
      <c r="C98" s="134" t="s">
        <v>190</v>
      </c>
      <c r="D98" s="141" t="s">
        <v>73</v>
      </c>
      <c r="E98" s="12" t="s">
        <v>194</v>
      </c>
      <c r="F98" s="140" t="s">
        <v>187</v>
      </c>
      <c r="G98" s="137">
        <f>BC5</f>
        <v>268403.05984799867</v>
      </c>
      <c r="H98" s="140">
        <f>BC27+BC25</f>
        <v>0</v>
      </c>
      <c r="I98" s="140">
        <f>BC28+BC26</f>
        <v>0</v>
      </c>
      <c r="J98" s="140">
        <f>BC29</f>
        <v>0</v>
      </c>
      <c r="K98" s="140">
        <f>BC52+BC48</f>
        <v>142.07599999999996</v>
      </c>
      <c r="L98" s="138">
        <f>BC50+BC51+BC53+BC40+BC42+BC43+BC45</f>
        <v>-9.9439999999999991</v>
      </c>
      <c r="M98" s="139">
        <f t="shared" si="11"/>
        <v>268535.19184799865</v>
      </c>
    </row>
    <row r="99" spans="3:13" x14ac:dyDescent="0.3">
      <c r="C99" s="134" t="s">
        <v>190</v>
      </c>
      <c r="D99" s="141" t="s">
        <v>72</v>
      </c>
      <c r="E99" s="12" t="s">
        <v>195</v>
      </c>
      <c r="F99" s="140" t="s">
        <v>187</v>
      </c>
      <c r="G99" s="137">
        <f>BB5</f>
        <v>70360.731219991139</v>
      </c>
      <c r="H99" s="140">
        <f>BB27+BB25</f>
        <v>0</v>
      </c>
      <c r="I99" s="140">
        <f>BB28+BB26</f>
        <v>0</v>
      </c>
      <c r="J99" s="140">
        <f>BB29</f>
        <v>0</v>
      </c>
      <c r="K99" s="140">
        <f>BB52+BB48</f>
        <v>37.241999999999997</v>
      </c>
      <c r="L99" s="138">
        <f>BB50+BB51+BB53+BB40+BB42+BB43+BB45</f>
        <v>-2.6070000000000002</v>
      </c>
      <c r="M99" s="139">
        <f t="shared" si="11"/>
        <v>70395.366219991134</v>
      </c>
    </row>
    <row r="100" spans="3:13" x14ac:dyDescent="0.3">
      <c r="C100" s="134" t="s">
        <v>190</v>
      </c>
      <c r="D100" s="141" t="s">
        <v>76</v>
      </c>
      <c r="E100" s="12" t="s">
        <v>196</v>
      </c>
      <c r="F100" s="140" t="s">
        <v>188</v>
      </c>
      <c r="G100" s="137">
        <f>BF5</f>
        <v>321963.21571035992</v>
      </c>
      <c r="H100" s="140">
        <f>BF27+BF25</f>
        <v>0</v>
      </c>
      <c r="I100" s="140">
        <f>BF28+BF26</f>
        <v>0</v>
      </c>
      <c r="J100" s="140">
        <f>BF29</f>
        <v>0</v>
      </c>
      <c r="K100" s="140">
        <f>BF52+BF48</f>
        <v>0</v>
      </c>
      <c r="L100" s="138">
        <f>BF50+BF51+BF53+BF40+BF42+BF43+BF45</f>
        <v>0</v>
      </c>
      <c r="M100" s="139">
        <f t="shared" si="11"/>
        <v>321963.21571035992</v>
      </c>
    </row>
    <row r="101" spans="3:13" x14ac:dyDescent="0.3">
      <c r="C101" s="134" t="s">
        <v>190</v>
      </c>
      <c r="D101" s="141" t="s">
        <v>68</v>
      </c>
      <c r="E101" s="12" t="s">
        <v>197</v>
      </c>
      <c r="F101" s="136" t="s">
        <v>189</v>
      </c>
      <c r="G101" s="137">
        <f>AX5</f>
        <v>1047.2966740010875</v>
      </c>
      <c r="H101" s="140">
        <f>AX27+AX25</f>
        <v>0</v>
      </c>
      <c r="I101" s="140">
        <f>AX28+AX26</f>
        <v>0</v>
      </c>
      <c r="J101" s="140">
        <f>AX29</f>
        <v>0</v>
      </c>
      <c r="K101" s="140">
        <f>AX52+AX48</f>
        <v>0</v>
      </c>
      <c r="L101" s="138">
        <f>AY50+AY51+AY53+AY40+AY42+AY43+AY45</f>
        <v>0</v>
      </c>
      <c r="M101" s="139">
        <f t="shared" si="11"/>
        <v>1047.2966740010875</v>
      </c>
    </row>
    <row r="102" spans="3:13" x14ac:dyDescent="0.3">
      <c r="C102" s="134" t="s">
        <v>198</v>
      </c>
      <c r="D102" s="141" t="s">
        <v>65</v>
      </c>
      <c r="E102" s="12" t="s">
        <v>199</v>
      </c>
      <c r="F102" s="136" t="s">
        <v>184</v>
      </c>
      <c r="G102" s="137">
        <f>AU5</f>
        <v>70745.806203997287</v>
      </c>
      <c r="H102" s="140">
        <f>AU27+AU25</f>
        <v>0</v>
      </c>
      <c r="I102" s="140">
        <f>AU28+AU26</f>
        <v>0</v>
      </c>
      <c r="J102" s="140">
        <f>AU29</f>
        <v>0</v>
      </c>
      <c r="K102" s="140">
        <f>AU52+AU48</f>
        <v>0</v>
      </c>
      <c r="L102" s="138">
        <f>AU50+AU51+AU53+AU40+AU42+AU43+AU45</f>
        <v>0</v>
      </c>
      <c r="M102" s="139">
        <f t="shared" si="11"/>
        <v>70745.806203997287</v>
      </c>
    </row>
    <row r="103" spans="3:13" x14ac:dyDescent="0.3">
      <c r="C103" s="134" t="s">
        <v>198</v>
      </c>
      <c r="D103" s="141" t="s">
        <v>79</v>
      </c>
      <c r="E103" s="12" t="s">
        <v>200</v>
      </c>
      <c r="F103" s="136" t="s">
        <v>186</v>
      </c>
      <c r="G103" s="137">
        <f>BJ5</f>
        <v>198192.37105456018</v>
      </c>
      <c r="H103" s="140">
        <f>BJ27+BJ25</f>
        <v>0</v>
      </c>
      <c r="I103" s="140">
        <f>BJ28+BJ26</f>
        <v>0</v>
      </c>
      <c r="J103" s="140">
        <f>BJ29</f>
        <v>0</v>
      </c>
      <c r="K103" s="140">
        <f>BG52+BG48</f>
        <v>0</v>
      </c>
      <c r="L103" s="138">
        <f>BJ50+BJ51+BJ53+BJ40+BJ42+BJ43+BJ45</f>
        <v>0</v>
      </c>
      <c r="M103" s="139">
        <f t="shared" si="11"/>
        <v>198192.37105456018</v>
      </c>
    </row>
    <row r="104" spans="3:13" x14ac:dyDescent="0.3">
      <c r="C104" s="134" t="s">
        <v>198</v>
      </c>
      <c r="D104" s="141" t="s">
        <v>74</v>
      </c>
      <c r="E104" s="12" t="s">
        <v>200</v>
      </c>
      <c r="F104" s="136" t="s">
        <v>187</v>
      </c>
      <c r="G104" s="137">
        <f>BD5</f>
        <v>17149.126599989839</v>
      </c>
      <c r="H104" s="140">
        <f>BD27+BD25</f>
        <v>0</v>
      </c>
      <c r="I104" s="140">
        <f>BD28+BD26</f>
        <v>0</v>
      </c>
      <c r="J104" s="140">
        <f>BD29</f>
        <v>0</v>
      </c>
      <c r="K104" s="140">
        <f>BD52+BD48</f>
        <v>9.077</v>
      </c>
      <c r="L104" s="138">
        <f>BD50+BD51+BD53+BD40+BD42+BD43+BD45</f>
        <v>-0.63600000000000001</v>
      </c>
      <c r="M104" s="139">
        <f t="shared" si="11"/>
        <v>17157.567599989841</v>
      </c>
    </row>
    <row r="105" spans="3:13" x14ac:dyDescent="0.3">
      <c r="C105" s="134" t="s">
        <v>198</v>
      </c>
      <c r="D105" s="141" t="s">
        <v>77</v>
      </c>
      <c r="E105" s="12" t="s">
        <v>200</v>
      </c>
      <c r="F105" s="136" t="s">
        <v>188</v>
      </c>
      <c r="G105" s="137">
        <f>BG5</f>
        <v>35109.526218882762</v>
      </c>
      <c r="H105" s="140">
        <f>BG27+BG25</f>
        <v>0</v>
      </c>
      <c r="I105" s="140">
        <f>BG28+BG26</f>
        <v>0</v>
      </c>
      <c r="J105" s="140">
        <f>BG29</f>
        <v>0</v>
      </c>
      <c r="K105" s="140">
        <f>BG52+BG48</f>
        <v>0</v>
      </c>
      <c r="L105" s="138">
        <f>BG50+BG51+BG53+BG40+BG42+BG43+BG45</f>
        <v>0</v>
      </c>
      <c r="M105" s="139">
        <f t="shared" si="11"/>
        <v>35109.526218882762</v>
      </c>
    </row>
    <row r="106" spans="3:13" x14ac:dyDescent="0.3">
      <c r="C106" s="134" t="s">
        <v>198</v>
      </c>
      <c r="D106" s="141" t="s">
        <v>69</v>
      </c>
      <c r="E106" s="12" t="s">
        <v>200</v>
      </c>
      <c r="F106" s="136" t="s">
        <v>189</v>
      </c>
      <c r="G106" s="137">
        <f>AY5</f>
        <v>61411.100279998158</v>
      </c>
      <c r="H106" s="140">
        <f>AY27+AY25</f>
        <v>0</v>
      </c>
      <c r="I106" s="140">
        <f>AY28+AY26</f>
        <v>0</v>
      </c>
      <c r="J106" s="140">
        <f>AY29</f>
        <v>0</v>
      </c>
      <c r="K106" s="140">
        <f>AY52+AY48</f>
        <v>0</v>
      </c>
      <c r="L106" s="138">
        <f>AY50+AY51+AY53+AY40+AY42+AY43+AY45</f>
        <v>0</v>
      </c>
      <c r="M106" s="139">
        <f t="shared" si="11"/>
        <v>61411.100279998158</v>
      </c>
    </row>
    <row r="107" spans="3:13" x14ac:dyDescent="0.3">
      <c r="C107" s="109"/>
      <c r="D107" s="109"/>
      <c r="E107" s="97"/>
      <c r="F107" s="142"/>
      <c r="G107" s="97"/>
      <c r="H107" s="142"/>
      <c r="I107" s="142"/>
      <c r="J107" s="109"/>
      <c r="K107" s="109"/>
      <c r="L107" s="143"/>
      <c r="M107" s="142"/>
    </row>
    <row r="108" spans="3:13" x14ac:dyDescent="0.3">
      <c r="C108" s="109"/>
      <c r="D108" s="109"/>
      <c r="E108" s="109"/>
      <c r="F108" s="97" t="s">
        <v>201</v>
      </c>
      <c r="G108" s="97">
        <f t="shared" ref="G108:M108" si="12">SUM(G90:G94)</f>
        <v>606275.86175967928</v>
      </c>
      <c r="H108" s="97">
        <f t="shared" si="12"/>
        <v>0</v>
      </c>
      <c r="I108" s="97">
        <f t="shared" si="12"/>
        <v>0</v>
      </c>
      <c r="J108" s="97">
        <f t="shared" si="12"/>
        <v>0</v>
      </c>
      <c r="K108" s="97">
        <f t="shared" si="12"/>
        <v>107.554</v>
      </c>
      <c r="L108" s="97">
        <f t="shared" si="12"/>
        <v>-7.5280000000000005</v>
      </c>
      <c r="M108" s="97">
        <f t="shared" si="12"/>
        <v>606375.88775967935</v>
      </c>
    </row>
    <row r="109" spans="3:13" x14ac:dyDescent="0.3">
      <c r="C109" s="109"/>
      <c r="D109" s="109"/>
      <c r="E109" s="97"/>
      <c r="F109" s="97" t="s">
        <v>202</v>
      </c>
      <c r="G109" s="97">
        <f t="shared" ref="G109:M109" si="13">SUM(G95:G101)</f>
        <v>1188359.8079507432</v>
      </c>
      <c r="H109" s="97">
        <f t="shared" si="13"/>
        <v>0</v>
      </c>
      <c r="I109" s="97">
        <f t="shared" si="13"/>
        <v>0</v>
      </c>
      <c r="J109" s="97">
        <f t="shared" si="13"/>
        <v>0</v>
      </c>
      <c r="K109" s="97">
        <f t="shared" si="13"/>
        <v>179.31799999999996</v>
      </c>
      <c r="L109" s="97">
        <f t="shared" si="13"/>
        <v>-12.550999999999998</v>
      </c>
      <c r="M109" s="97">
        <f t="shared" si="13"/>
        <v>1188526.5749507432</v>
      </c>
    </row>
    <row r="110" spans="3:13" x14ac:dyDescent="0.3">
      <c r="C110" s="109"/>
      <c r="D110" s="109"/>
      <c r="E110" s="97"/>
      <c r="F110" s="97" t="s">
        <v>203</v>
      </c>
      <c r="G110" s="97">
        <f t="shared" ref="G110:M110" si="14">SUM(G102:G106)</f>
        <v>382607.93035742821</v>
      </c>
      <c r="H110" s="97">
        <f t="shared" si="14"/>
        <v>0</v>
      </c>
      <c r="I110" s="97">
        <f t="shared" si="14"/>
        <v>0</v>
      </c>
      <c r="J110" s="97">
        <f t="shared" si="14"/>
        <v>0</v>
      </c>
      <c r="K110" s="97">
        <f t="shared" si="14"/>
        <v>9.077</v>
      </c>
      <c r="L110" s="97">
        <f t="shared" si="14"/>
        <v>-0.63600000000000001</v>
      </c>
      <c r="M110" s="97">
        <f t="shared" si="14"/>
        <v>382616.3713574282</v>
      </c>
    </row>
    <row r="114" spans="5:9" x14ac:dyDescent="0.3">
      <c r="E114" s="56"/>
      <c r="H114" s="56"/>
      <c r="I114" s="56"/>
    </row>
    <row r="115" spans="5:9" x14ac:dyDescent="0.3">
      <c r="E115" s="56"/>
      <c r="G115" s="56"/>
      <c r="H115" s="56"/>
      <c r="I115" s="56"/>
    </row>
    <row r="116" spans="5:9" x14ac:dyDescent="0.3">
      <c r="E116" s="56"/>
      <c r="G116" s="56"/>
      <c r="H116" s="56"/>
      <c r="I116" s="56"/>
    </row>
    <row r="117" spans="5:9" x14ac:dyDescent="0.3">
      <c r="E117" s="56"/>
      <c r="F117" s="56"/>
      <c r="G117" s="56"/>
      <c r="H117" s="56"/>
      <c r="I117" s="56"/>
    </row>
    <row r="118" spans="5:9" x14ac:dyDescent="0.3">
      <c r="E118" s="56"/>
      <c r="F118" s="56"/>
      <c r="G118" s="56"/>
      <c r="H118" s="56"/>
      <c r="I118" s="56"/>
    </row>
    <row r="119" spans="5:9" x14ac:dyDescent="0.3">
      <c r="E119" s="56"/>
      <c r="F119" s="56"/>
      <c r="G119" s="56"/>
      <c r="H119" s="56"/>
      <c r="I119" s="56"/>
    </row>
    <row r="120" spans="5:9" x14ac:dyDescent="0.3">
      <c r="E120" s="56"/>
      <c r="F120" s="56"/>
      <c r="G120" s="56"/>
      <c r="H120" s="56"/>
      <c r="I120" s="56"/>
    </row>
    <row r="121" spans="5:9" x14ac:dyDescent="0.3">
      <c r="E121" s="56"/>
      <c r="F121" s="56"/>
      <c r="G121" s="56"/>
      <c r="H121" s="56"/>
      <c r="I121" s="56"/>
    </row>
    <row r="122" spans="5:9" x14ac:dyDescent="0.3">
      <c r="E122" s="56"/>
      <c r="F122" s="56"/>
      <c r="G122" s="56"/>
      <c r="H122" s="56"/>
      <c r="I122" s="56"/>
    </row>
    <row r="123" spans="5:9" x14ac:dyDescent="0.3">
      <c r="F123" s="56"/>
      <c r="G123" s="56"/>
      <c r="H123" s="56"/>
      <c r="I123" s="56"/>
    </row>
    <row r="124" spans="5:9" x14ac:dyDescent="0.3">
      <c r="F124" s="56"/>
      <c r="G124" s="56"/>
      <c r="H124" s="56"/>
      <c r="I124" s="56"/>
    </row>
    <row r="125" spans="5:9" x14ac:dyDescent="0.3">
      <c r="F125" s="56"/>
      <c r="G125" s="56"/>
      <c r="H125" s="56"/>
      <c r="I125" s="56"/>
    </row>
    <row r="126" spans="5:9" x14ac:dyDescent="0.3">
      <c r="F126" s="56"/>
      <c r="G126" s="56"/>
    </row>
    <row r="127" spans="5:9" x14ac:dyDescent="0.3">
      <c r="F127" s="56"/>
      <c r="G127" s="56"/>
    </row>
    <row r="128" spans="5:9" x14ac:dyDescent="0.3">
      <c r="F128" s="56"/>
      <c r="G128" s="56"/>
    </row>
    <row r="129" spans="6:7" x14ac:dyDescent="0.3">
      <c r="F129" s="56"/>
      <c r="G129" s="56"/>
    </row>
    <row r="130" spans="6:7" x14ac:dyDescent="0.3">
      <c r="F130" s="56"/>
    </row>
  </sheetData>
  <mergeCells count="18">
    <mergeCell ref="B82:B84"/>
    <mergeCell ref="A30:A34"/>
    <mergeCell ref="A35:A39"/>
    <mergeCell ref="A40:A44"/>
    <mergeCell ref="A45:A53"/>
    <mergeCell ref="B61:B65"/>
    <mergeCell ref="B66:B68"/>
    <mergeCell ref="B69:B70"/>
    <mergeCell ref="B71:B72"/>
    <mergeCell ref="B74:B77"/>
    <mergeCell ref="B78:B79"/>
    <mergeCell ref="B80:B81"/>
    <mergeCell ref="A9:A29"/>
    <mergeCell ref="D1:BK1"/>
    <mergeCell ref="BL1:BN1"/>
    <mergeCell ref="BR1:CJ1"/>
    <mergeCell ref="CW2:CW4"/>
    <mergeCell ref="A5:A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JUN 03</vt:lpstr>
      <vt:lpstr>JUN 04</vt:lpstr>
      <vt:lpstr>JUN 05</vt:lpstr>
      <vt:lpstr>JUN 06</vt:lpstr>
      <vt:lpstr>JUN 09</vt:lpstr>
      <vt:lpstr>JUN 10</vt:lpstr>
      <vt:lpstr>JUN 11</vt:lpstr>
      <vt:lpstr>JUN 12</vt:lpstr>
      <vt:lpstr>JUN 13</vt:lpstr>
      <vt:lpstr>JUN 16</vt:lpstr>
      <vt:lpstr>JUN 17</vt:lpstr>
      <vt:lpstr>JUN 18</vt:lpstr>
      <vt:lpstr>JUN 19</vt:lpstr>
      <vt:lpstr>JUN 20</vt:lpstr>
      <vt:lpstr>JUN 24</vt:lpstr>
      <vt:lpstr>JUN 25</vt:lpstr>
      <vt:lpstr>JUN 26</vt:lpstr>
      <vt:lpstr>JUN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Salcedo Bermudez</dc:creator>
  <cp:lastModifiedBy>Carolina Salcedo Bermudez</cp:lastModifiedBy>
  <dcterms:created xsi:type="dcterms:W3CDTF">2025-06-03T12:36:04Z</dcterms:created>
  <dcterms:modified xsi:type="dcterms:W3CDTF">2025-07-08T14:35:09Z</dcterms:modified>
</cp:coreProperties>
</file>