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66925"/>
  <mc:AlternateContent xmlns:mc="http://schemas.openxmlformats.org/markup-compatibility/2006">
    <mc:Choice Requires="x15">
      <x15ac:absPath xmlns:x15ac="http://schemas.microsoft.com/office/spreadsheetml/2010/11/ac" url="https://d.docs.live.net/3d9bc27be60b4978/Others/Full Raw material/Nano/"/>
    </mc:Choice>
  </mc:AlternateContent>
  <xr:revisionPtr revIDLastSave="1016" documentId="8_{6069DE06-9C3C-4E9C-85B0-6D02E90C1DA4}" xr6:coauthVersionLast="47" xr6:coauthVersionMax="47" xr10:uidLastSave="{C23E9071-79B1-4D5F-BFD4-E9BDED0EE1B4}"/>
  <bookViews>
    <workbookView xWindow="28680" yWindow="-120" windowWidth="29040" windowHeight="15720" tabRatio="847" xr2:uid="{00000000-000D-0000-FFFF-FFFF00000000}"/>
  </bookViews>
  <sheets>
    <sheet name="EN" sheetId="2" r:id="rId1"/>
    <sheet name="Xynargy Face" sheetId="4" r:id="rId2"/>
    <sheet name="Eye" sheetId="7" r:id="rId3"/>
    <sheet name="Acne" sheetId="13" r:id="rId4"/>
    <sheet name="Retinol" sheetId="8" r:id="rId5"/>
    <sheet name="Caviar" sheetId="18" r:id="rId6"/>
    <sheet name="HyCol" sheetId="6" r:id="rId7"/>
    <sheet name="Ascorbic" sheetId="17" r:id="rId8"/>
    <sheet name="Niacin" sheetId="5" r:id="rId9"/>
    <sheet name="Exfoliate" sheetId="16" r:id="rId10"/>
    <sheet name="FaceWash" sheetId="12" r:id="rId11"/>
    <sheet name="GrowS" sheetId="11" r:id="rId12"/>
    <sheet name="ScalpS" sheetId="10" r:id="rId13"/>
    <sheet name="Shampoo" sheetId="9" r:id="rId14"/>
    <sheet name="Deo" sheetId="14" r:id="rId15"/>
    <sheet name="PainRelief" sheetId="15" r:id="rId16"/>
  </sheets>
  <externalReferences>
    <externalReference r:id="rId17"/>
    <externalReference r:id="rId18"/>
  </externalReferences>
  <definedNames>
    <definedName name="_xlnm._FilterDatabase" localSheetId="0" hidden="1">EN!$A$1:$M$51</definedName>
    <definedName name="_xlnm._FilterDatabase" localSheetId="4" hidden="1">Retinol!$A$4:$H$4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0" i="18" l="1"/>
  <c r="M38" i="18"/>
  <c r="L38" i="18"/>
  <c r="K38" i="18"/>
  <c r="J38" i="18"/>
  <c r="M37" i="18"/>
  <c r="L37" i="18"/>
  <c r="K37" i="18"/>
  <c r="J37" i="18"/>
  <c r="L33" i="18"/>
  <c r="M33" i="18" s="1"/>
  <c r="K33" i="18"/>
  <c r="J33" i="18"/>
  <c r="L31" i="18"/>
  <c r="M31" i="18" s="1"/>
  <c r="K31" i="18"/>
  <c r="J31" i="18"/>
  <c r="L30" i="18"/>
  <c r="M30" i="18" s="1"/>
  <c r="K30" i="18"/>
  <c r="J30" i="18"/>
  <c r="L29" i="18"/>
  <c r="M29" i="18" s="1"/>
  <c r="K29" i="18"/>
  <c r="J29" i="18"/>
  <c r="L20" i="18"/>
  <c r="M20" i="18" s="1"/>
  <c r="K20" i="18"/>
  <c r="J20" i="18"/>
  <c r="L18" i="18"/>
  <c r="M18" i="18" s="1"/>
  <c r="K18" i="18"/>
  <c r="J18" i="18"/>
  <c r="L16" i="18"/>
  <c r="M16" i="18" s="1"/>
  <c r="K16" i="18"/>
  <c r="J16" i="18"/>
  <c r="L15" i="18"/>
  <c r="M15" i="18" s="1"/>
  <c r="K15" i="18"/>
  <c r="J15" i="18"/>
  <c r="L13" i="18"/>
  <c r="M13" i="18" s="1"/>
  <c r="K13" i="18"/>
  <c r="J13" i="18"/>
  <c r="L10" i="18"/>
  <c r="M10" i="18" s="1"/>
  <c r="K10" i="18"/>
  <c r="J10" i="18"/>
  <c r="L9" i="18"/>
  <c r="M9" i="18" s="1"/>
  <c r="K9" i="18"/>
  <c r="J9" i="18"/>
  <c r="L6" i="18"/>
  <c r="M6" i="18" s="1"/>
  <c r="K6" i="18"/>
  <c r="J6" i="18"/>
  <c r="L5" i="18"/>
  <c r="M5" i="18" s="1"/>
  <c r="K5" i="18"/>
  <c r="J5" i="18"/>
  <c r="E5" i="18"/>
  <c r="C5" i="18"/>
  <c r="C39" i="18" s="1"/>
  <c r="E30" i="8"/>
  <c r="L38" i="8"/>
  <c r="M38" i="8" s="1"/>
  <c r="K38" i="8"/>
  <c r="J38" i="8"/>
  <c r="M37" i="8"/>
  <c r="L37" i="8"/>
  <c r="K37" i="8"/>
  <c r="J37" i="8"/>
  <c r="L33" i="8"/>
  <c r="M33" i="8" s="1"/>
  <c r="K33" i="8"/>
  <c r="J33" i="8"/>
  <c r="L31" i="8"/>
  <c r="M31" i="8" s="1"/>
  <c r="K31" i="8"/>
  <c r="J31" i="8"/>
  <c r="L30" i="8"/>
  <c r="M30" i="8" s="1"/>
  <c r="K30" i="8"/>
  <c r="J30" i="8"/>
  <c r="L29" i="8"/>
  <c r="M29" i="8" s="1"/>
  <c r="K29" i="8"/>
  <c r="J29" i="8"/>
  <c r="L20" i="8"/>
  <c r="M20" i="8" s="1"/>
  <c r="K20" i="8"/>
  <c r="J20" i="8"/>
  <c r="L18" i="8"/>
  <c r="M18" i="8" s="1"/>
  <c r="K18" i="8"/>
  <c r="J18" i="8"/>
  <c r="L16" i="8"/>
  <c r="M16" i="8" s="1"/>
  <c r="K16" i="8"/>
  <c r="J16" i="8"/>
  <c r="M15" i="8"/>
  <c r="L15" i="8"/>
  <c r="K15" i="8"/>
  <c r="J15" i="8"/>
  <c r="M13" i="8"/>
  <c r="L13" i="8"/>
  <c r="K13" i="8"/>
  <c r="J13" i="8"/>
  <c r="L10" i="8"/>
  <c r="M10" i="8" s="1"/>
  <c r="K10" i="8"/>
  <c r="J10" i="8"/>
  <c r="M9" i="8"/>
  <c r="L9" i="8"/>
  <c r="K9" i="8"/>
  <c r="J9" i="8"/>
  <c r="L6" i="8"/>
  <c r="M6" i="8" s="1"/>
  <c r="K6" i="8"/>
  <c r="J6" i="8"/>
  <c r="K5" i="8"/>
  <c r="J5" i="8"/>
  <c r="E5" i="8"/>
  <c r="C5" i="8"/>
  <c r="C39" i="8" s="1"/>
  <c r="J5" i="13"/>
  <c r="L38" i="17"/>
  <c r="M38" i="17" s="1"/>
  <c r="K38" i="17"/>
  <c r="J38" i="17"/>
  <c r="L37" i="17"/>
  <c r="M37" i="17" s="1"/>
  <c r="K37" i="17"/>
  <c r="J37" i="17"/>
  <c r="M33" i="17"/>
  <c r="L33" i="17"/>
  <c r="K33" i="17"/>
  <c r="J33" i="17"/>
  <c r="M31" i="17"/>
  <c r="L31" i="17"/>
  <c r="K31" i="17"/>
  <c r="J31" i="17"/>
  <c r="M30" i="17"/>
  <c r="L30" i="17"/>
  <c r="K30" i="17"/>
  <c r="J30" i="17"/>
  <c r="E30" i="17"/>
  <c r="L29" i="17"/>
  <c r="M29" i="17" s="1"/>
  <c r="K29" i="17"/>
  <c r="J29" i="17"/>
  <c r="L20" i="17"/>
  <c r="M20" i="17" s="1"/>
  <c r="K20" i="17"/>
  <c r="J20" i="17"/>
  <c r="L18" i="17"/>
  <c r="M18" i="17" s="1"/>
  <c r="K18" i="17"/>
  <c r="J18" i="17"/>
  <c r="L16" i="17"/>
  <c r="M16" i="17" s="1"/>
  <c r="K16" i="17"/>
  <c r="J16" i="17"/>
  <c r="L15" i="17"/>
  <c r="M15" i="17" s="1"/>
  <c r="K15" i="17"/>
  <c r="J15" i="17"/>
  <c r="L13" i="17"/>
  <c r="M13" i="17" s="1"/>
  <c r="K13" i="17"/>
  <c r="J13" i="17"/>
  <c r="L10" i="17"/>
  <c r="M10" i="17" s="1"/>
  <c r="K10" i="17"/>
  <c r="J10" i="17"/>
  <c r="L9" i="17"/>
  <c r="M9" i="17" s="1"/>
  <c r="K9" i="17"/>
  <c r="J9" i="17"/>
  <c r="L6" i="17"/>
  <c r="M6" i="17" s="1"/>
  <c r="K6" i="17"/>
  <c r="J6" i="17"/>
  <c r="E5" i="17"/>
  <c r="C5" i="17"/>
  <c r="C39" i="17" s="1"/>
  <c r="C20" i="16"/>
  <c r="D19" i="16" s="1"/>
  <c r="F19" i="16" s="1"/>
  <c r="E13" i="16"/>
  <c r="E12" i="16"/>
  <c r="D9" i="16"/>
  <c r="F9" i="16" s="1"/>
  <c r="E5" i="16"/>
  <c r="F5" i="16" s="1"/>
  <c r="D5" i="16"/>
  <c r="C5" i="16"/>
  <c r="C5" i="12"/>
  <c r="E17" i="12"/>
  <c r="E12" i="15"/>
  <c r="E13" i="15"/>
  <c r="E5" i="15"/>
  <c r="C5" i="15"/>
  <c r="C20" i="15" s="1"/>
  <c r="E5" i="14"/>
  <c r="E12" i="14"/>
  <c r="E13" i="14"/>
  <c r="C5" i="14"/>
  <c r="C20" i="14" s="1"/>
  <c r="D30" i="18" l="1"/>
  <c r="F30" i="18" s="1"/>
  <c r="D35" i="18"/>
  <c r="F35" i="18" s="1"/>
  <c r="D33" i="18"/>
  <c r="F33" i="18" s="1"/>
  <c r="D31" i="18"/>
  <c r="F31" i="18" s="1"/>
  <c r="D27" i="18"/>
  <c r="F27" i="18" s="1"/>
  <c r="D23" i="18"/>
  <c r="F23" i="18" s="1"/>
  <c r="D15" i="18"/>
  <c r="F15" i="18" s="1"/>
  <c r="D13" i="18"/>
  <c r="F13" i="18" s="1"/>
  <c r="D9" i="18"/>
  <c r="F9" i="18" s="1"/>
  <c r="D34" i="18"/>
  <c r="F34" i="18" s="1"/>
  <c r="D32" i="18"/>
  <c r="F32" i="18" s="1"/>
  <c r="D25" i="18"/>
  <c r="F25" i="18" s="1"/>
  <c r="D17" i="18"/>
  <c r="F17" i="18" s="1"/>
  <c r="D7" i="18"/>
  <c r="F7" i="18" s="1"/>
  <c r="D38" i="18"/>
  <c r="F38" i="18" s="1"/>
  <c r="D28" i="18"/>
  <c r="F28" i="18" s="1"/>
  <c r="D24" i="18"/>
  <c r="F24" i="18" s="1"/>
  <c r="D26" i="18"/>
  <c r="F26" i="18" s="1"/>
  <c r="D22" i="18"/>
  <c r="F22" i="18" s="1"/>
  <c r="D20" i="18"/>
  <c r="F20" i="18" s="1"/>
  <c r="D18" i="18"/>
  <c r="F18" i="18" s="1"/>
  <c r="D16" i="18"/>
  <c r="F16" i="18" s="1"/>
  <c r="D14" i="18"/>
  <c r="F14" i="18" s="1"/>
  <c r="D12" i="18"/>
  <c r="F12" i="18" s="1"/>
  <c r="D10" i="18"/>
  <c r="F10" i="18" s="1"/>
  <c r="D8" i="18"/>
  <c r="F8" i="18" s="1"/>
  <c r="D6" i="18"/>
  <c r="F6" i="18" s="1"/>
  <c r="D37" i="18"/>
  <c r="F37" i="18" s="1"/>
  <c r="D29" i="18"/>
  <c r="F29" i="18" s="1"/>
  <c r="D21" i="18"/>
  <c r="F21" i="18" s="1"/>
  <c r="D19" i="18"/>
  <c r="F19" i="18" s="1"/>
  <c r="D11" i="18"/>
  <c r="F11" i="18" s="1"/>
  <c r="D36" i="18"/>
  <c r="F36" i="18" s="1"/>
  <c r="D5" i="18"/>
  <c r="F5" i="18" s="1"/>
  <c r="F30" i="8"/>
  <c r="D35" i="8"/>
  <c r="F35" i="8" s="1"/>
  <c r="D33" i="8"/>
  <c r="F33" i="8" s="1"/>
  <c r="D31" i="8"/>
  <c r="F31" i="8" s="1"/>
  <c r="D34" i="8"/>
  <c r="F34" i="8" s="1"/>
  <c r="D32" i="8"/>
  <c r="F32" i="8" s="1"/>
  <c r="D5" i="8"/>
  <c r="D27" i="8"/>
  <c r="F27" i="8" s="1"/>
  <c r="D23" i="8"/>
  <c r="F23" i="8" s="1"/>
  <c r="D15" i="8"/>
  <c r="F15" i="8" s="1"/>
  <c r="D13" i="8"/>
  <c r="F13" i="8" s="1"/>
  <c r="D9" i="8"/>
  <c r="F9" i="8" s="1"/>
  <c r="D30" i="8"/>
  <c r="D26" i="8"/>
  <c r="F26" i="8" s="1"/>
  <c r="D22" i="8"/>
  <c r="F22" i="8" s="1"/>
  <c r="D20" i="8"/>
  <c r="F20" i="8" s="1"/>
  <c r="D18" i="8"/>
  <c r="F18" i="8" s="1"/>
  <c r="D16" i="8"/>
  <c r="F16" i="8" s="1"/>
  <c r="D14" i="8"/>
  <c r="F14" i="8" s="1"/>
  <c r="D12" i="8"/>
  <c r="F12" i="8" s="1"/>
  <c r="D10" i="8"/>
  <c r="F10" i="8" s="1"/>
  <c r="D8" i="8"/>
  <c r="F8" i="8" s="1"/>
  <c r="D6" i="8"/>
  <c r="F6" i="8" s="1"/>
  <c r="D28" i="8"/>
  <c r="F28" i="8" s="1"/>
  <c r="D37" i="8"/>
  <c r="F37" i="8" s="1"/>
  <c r="D29" i="8"/>
  <c r="F29" i="8" s="1"/>
  <c r="D25" i="8"/>
  <c r="F25" i="8" s="1"/>
  <c r="D21" i="8"/>
  <c r="F21" i="8" s="1"/>
  <c r="D19" i="8"/>
  <c r="F19" i="8" s="1"/>
  <c r="D17" i="8"/>
  <c r="F17" i="8" s="1"/>
  <c r="D11" i="8"/>
  <c r="F11" i="8" s="1"/>
  <c r="D7" i="8"/>
  <c r="F7" i="8" s="1"/>
  <c r="D38" i="8"/>
  <c r="F38" i="8" s="1"/>
  <c r="D36" i="8"/>
  <c r="F36" i="8" s="1"/>
  <c r="D24" i="8"/>
  <c r="F24" i="8" s="1"/>
  <c r="F5" i="8"/>
  <c r="L5" i="8"/>
  <c r="M5" i="8" s="1"/>
  <c r="F5" i="17"/>
  <c r="F30" i="17"/>
  <c r="D30" i="17"/>
  <c r="D28" i="17"/>
  <c r="F28" i="17" s="1"/>
  <c r="D24" i="17"/>
  <c r="F24" i="17" s="1"/>
  <c r="D35" i="17"/>
  <c r="F35" i="17" s="1"/>
  <c r="D33" i="17"/>
  <c r="F33" i="17" s="1"/>
  <c r="D31" i="17"/>
  <c r="F31" i="17" s="1"/>
  <c r="D27" i="17"/>
  <c r="F27" i="17" s="1"/>
  <c r="D23" i="17"/>
  <c r="F23" i="17" s="1"/>
  <c r="D15" i="17"/>
  <c r="F15" i="17" s="1"/>
  <c r="D13" i="17"/>
  <c r="F13" i="17" s="1"/>
  <c r="D9" i="17"/>
  <c r="F9" i="17" s="1"/>
  <c r="D34" i="17"/>
  <c r="F34" i="17" s="1"/>
  <c r="D32" i="17"/>
  <c r="F32" i="17" s="1"/>
  <c r="D37" i="17"/>
  <c r="F37" i="17" s="1"/>
  <c r="D20" i="17"/>
  <c r="F20" i="17" s="1"/>
  <c r="D14" i="17"/>
  <c r="F14" i="17" s="1"/>
  <c r="D10" i="17"/>
  <c r="F10" i="17" s="1"/>
  <c r="D6" i="17"/>
  <c r="F6" i="17" s="1"/>
  <c r="D29" i="17"/>
  <c r="F29" i="17" s="1"/>
  <c r="D25" i="17"/>
  <c r="F25" i="17" s="1"/>
  <c r="D21" i="17"/>
  <c r="F21" i="17" s="1"/>
  <c r="D19" i="17"/>
  <c r="F19" i="17" s="1"/>
  <c r="D17" i="17"/>
  <c r="F17" i="17" s="1"/>
  <c r="D11" i="17"/>
  <c r="F11" i="17" s="1"/>
  <c r="D7" i="17"/>
  <c r="F7" i="17" s="1"/>
  <c r="D26" i="17"/>
  <c r="F26" i="17" s="1"/>
  <c r="D22" i="17"/>
  <c r="F22" i="17" s="1"/>
  <c r="D16" i="17"/>
  <c r="F16" i="17" s="1"/>
  <c r="D12" i="17"/>
  <c r="F12" i="17" s="1"/>
  <c r="D8" i="17"/>
  <c r="F8" i="17" s="1"/>
  <c r="D38" i="17"/>
  <c r="F38" i="17" s="1"/>
  <c r="D36" i="17"/>
  <c r="F36" i="17" s="1"/>
  <c r="D18" i="17"/>
  <c r="F18" i="17" s="1"/>
  <c r="K5" i="17"/>
  <c r="L5" i="17"/>
  <c r="M5" i="17" s="1"/>
  <c r="J5" i="17"/>
  <c r="D5" i="17"/>
  <c r="D16" i="16"/>
  <c r="F16" i="16" s="1"/>
  <c r="D13" i="16"/>
  <c r="F13" i="16" s="1"/>
  <c r="D6" i="16"/>
  <c r="F6" i="16" s="1"/>
  <c r="D10" i="16"/>
  <c r="F10" i="16" s="1"/>
  <c r="D17" i="16"/>
  <c r="F17" i="16" s="1"/>
  <c r="D7" i="16"/>
  <c r="F7" i="16" s="1"/>
  <c r="D11" i="16"/>
  <c r="F11" i="16" s="1"/>
  <c r="D14" i="16"/>
  <c r="F14" i="16" s="1"/>
  <c r="D18" i="16"/>
  <c r="F18" i="16" s="1"/>
  <c r="D8" i="16"/>
  <c r="F8" i="16" s="1"/>
  <c r="D12" i="16"/>
  <c r="F12" i="16" s="1"/>
  <c r="D15" i="16"/>
  <c r="F15" i="16" s="1"/>
  <c r="D17" i="15"/>
  <c r="F17" i="15" s="1"/>
  <c r="D10" i="15"/>
  <c r="F10" i="15" s="1"/>
  <c r="D6" i="15"/>
  <c r="F6" i="15" s="1"/>
  <c r="D13" i="15"/>
  <c r="F13" i="15" s="1"/>
  <c r="D5" i="15"/>
  <c r="F5" i="15" s="1"/>
  <c r="D16" i="15"/>
  <c r="F16" i="15" s="1"/>
  <c r="D9" i="15"/>
  <c r="F9" i="15" s="1"/>
  <c r="D19" i="15"/>
  <c r="F19" i="15" s="1"/>
  <c r="D15" i="15"/>
  <c r="F15" i="15" s="1"/>
  <c r="D12" i="15"/>
  <c r="F12" i="15" s="1"/>
  <c r="D8" i="15"/>
  <c r="F8" i="15" s="1"/>
  <c r="D18" i="15"/>
  <c r="F18" i="15" s="1"/>
  <c r="D14" i="15"/>
  <c r="F14" i="15" s="1"/>
  <c r="D11" i="15"/>
  <c r="F11" i="15" s="1"/>
  <c r="D7" i="15"/>
  <c r="F7" i="15" s="1"/>
  <c r="D17" i="14"/>
  <c r="F17" i="14" s="1"/>
  <c r="D9" i="14"/>
  <c r="F9" i="14" s="1"/>
  <c r="D13" i="14"/>
  <c r="F13" i="14" s="1"/>
  <c r="D5" i="14"/>
  <c r="F5" i="14" s="1"/>
  <c r="D6" i="14"/>
  <c r="F6" i="14" s="1"/>
  <c r="D16" i="14"/>
  <c r="F16" i="14" s="1"/>
  <c r="D11" i="14"/>
  <c r="F11" i="14" s="1"/>
  <c r="D12" i="14"/>
  <c r="F12" i="14" s="1"/>
  <c r="D8" i="14"/>
  <c r="F8" i="14" s="1"/>
  <c r="D7" i="14"/>
  <c r="F7" i="14" s="1"/>
  <c r="D18" i="14"/>
  <c r="F18" i="14" s="1"/>
  <c r="D19" i="14"/>
  <c r="F19" i="14" s="1"/>
  <c r="D15" i="14"/>
  <c r="F15" i="14" s="1"/>
  <c r="D14" i="14"/>
  <c r="F14" i="14" s="1"/>
  <c r="D10" i="14"/>
  <c r="F10" i="14" s="1"/>
  <c r="F39" i="18" l="1"/>
  <c r="F39" i="8"/>
  <c r="F39" i="17"/>
  <c r="F20" i="16"/>
  <c r="H20" i="16" s="1"/>
  <c r="F20" i="15"/>
  <c r="H20" i="15" s="1"/>
  <c r="F20" i="14"/>
  <c r="H20" i="14" s="1"/>
  <c r="L38" i="13" l="1"/>
  <c r="M38" i="13" s="1"/>
  <c r="K38" i="13"/>
  <c r="J38" i="13"/>
  <c r="L37" i="13"/>
  <c r="M37" i="13" s="1"/>
  <c r="K37" i="13"/>
  <c r="J37" i="13"/>
  <c r="L33" i="13"/>
  <c r="M33" i="13" s="1"/>
  <c r="K33" i="13"/>
  <c r="J33" i="13"/>
  <c r="L31" i="13"/>
  <c r="M31" i="13" s="1"/>
  <c r="K31" i="13"/>
  <c r="J31" i="13"/>
  <c r="L30" i="13"/>
  <c r="M30" i="13" s="1"/>
  <c r="K30" i="13"/>
  <c r="J30" i="13"/>
  <c r="E30" i="13"/>
  <c r="L29" i="13"/>
  <c r="M29" i="13" s="1"/>
  <c r="K29" i="13"/>
  <c r="J29" i="13"/>
  <c r="M20" i="13"/>
  <c r="L20" i="13"/>
  <c r="K20" i="13"/>
  <c r="J20" i="13"/>
  <c r="M18" i="13"/>
  <c r="L18" i="13"/>
  <c r="K18" i="13"/>
  <c r="J18" i="13"/>
  <c r="M16" i="13"/>
  <c r="L16" i="13"/>
  <c r="K16" i="13"/>
  <c r="J16" i="13"/>
  <c r="L15" i="13"/>
  <c r="M15" i="13" s="1"/>
  <c r="K15" i="13"/>
  <c r="J15" i="13"/>
  <c r="L13" i="13"/>
  <c r="M13" i="13" s="1"/>
  <c r="K13" i="13"/>
  <c r="J13" i="13"/>
  <c r="M10" i="13"/>
  <c r="L10" i="13"/>
  <c r="K10" i="13"/>
  <c r="J10" i="13"/>
  <c r="L9" i="13"/>
  <c r="M9" i="13" s="1"/>
  <c r="K9" i="13"/>
  <c r="J9" i="13"/>
  <c r="M6" i="13"/>
  <c r="L6" i="13"/>
  <c r="K6" i="13"/>
  <c r="J6" i="13"/>
  <c r="L5" i="13"/>
  <c r="M5" i="13" s="1"/>
  <c r="K5" i="13"/>
  <c r="E5" i="13"/>
  <c r="C5" i="13"/>
  <c r="C39" i="13" s="1"/>
  <c r="C19" i="12"/>
  <c r="D18" i="12" s="1"/>
  <c r="F18" i="12" s="1"/>
  <c r="D30" i="13" l="1"/>
  <c r="F30" i="13" s="1"/>
  <c r="D28" i="13"/>
  <c r="F28" i="13" s="1"/>
  <c r="D24" i="13"/>
  <c r="F24" i="13" s="1"/>
  <c r="D29" i="13"/>
  <c r="F29" i="13" s="1"/>
  <c r="D35" i="13"/>
  <c r="F35" i="13" s="1"/>
  <c r="D33" i="13"/>
  <c r="F33" i="13" s="1"/>
  <c r="D31" i="13"/>
  <c r="F31" i="13" s="1"/>
  <c r="D25" i="13"/>
  <c r="F25" i="13" s="1"/>
  <c r="D27" i="13"/>
  <c r="F27" i="13" s="1"/>
  <c r="D23" i="13"/>
  <c r="F23" i="13" s="1"/>
  <c r="D15" i="13"/>
  <c r="F15" i="13" s="1"/>
  <c r="D13" i="13"/>
  <c r="F13" i="13" s="1"/>
  <c r="D9" i="13"/>
  <c r="F9" i="13" s="1"/>
  <c r="D21" i="13"/>
  <c r="F21" i="13" s="1"/>
  <c r="D34" i="13"/>
  <c r="F34" i="13" s="1"/>
  <c r="D32" i="13"/>
  <c r="F32" i="13" s="1"/>
  <c r="D5" i="13"/>
  <c r="F5" i="13" s="1"/>
  <c r="F39" i="13" s="1"/>
  <c r="D19" i="13"/>
  <c r="F19" i="13" s="1"/>
  <c r="D26" i="13"/>
  <c r="F26" i="13" s="1"/>
  <c r="D22" i="13"/>
  <c r="F22" i="13" s="1"/>
  <c r="D20" i="13"/>
  <c r="F20" i="13" s="1"/>
  <c r="D18" i="13"/>
  <c r="F18" i="13" s="1"/>
  <c r="D16" i="13"/>
  <c r="F16" i="13" s="1"/>
  <c r="D14" i="13"/>
  <c r="F14" i="13" s="1"/>
  <c r="D12" i="13"/>
  <c r="F12" i="13" s="1"/>
  <c r="D10" i="13"/>
  <c r="F10" i="13" s="1"/>
  <c r="D8" i="13"/>
  <c r="F8" i="13" s="1"/>
  <c r="D6" i="13"/>
  <c r="F6" i="13" s="1"/>
  <c r="D11" i="13"/>
  <c r="F11" i="13" s="1"/>
  <c r="D37" i="13"/>
  <c r="F37" i="13" s="1"/>
  <c r="D17" i="13"/>
  <c r="F17" i="13" s="1"/>
  <c r="D7" i="13"/>
  <c r="F7" i="13" s="1"/>
  <c r="D38" i="13"/>
  <c r="F38" i="13" s="1"/>
  <c r="D36" i="13"/>
  <c r="F36" i="13" s="1"/>
  <c r="D8" i="12"/>
  <c r="F8" i="12" s="1"/>
  <c r="D12" i="12"/>
  <c r="F12" i="12" s="1"/>
  <c r="D16" i="12"/>
  <c r="F16" i="12" s="1"/>
  <c r="D7" i="12"/>
  <c r="F7" i="12" s="1"/>
  <c r="D11" i="12"/>
  <c r="F11" i="12" s="1"/>
  <c r="D15" i="12"/>
  <c r="F15" i="12" s="1"/>
  <c r="D5" i="12"/>
  <c r="F5" i="12" s="1"/>
  <c r="D9" i="12"/>
  <c r="F9" i="12" s="1"/>
  <c r="D13" i="12"/>
  <c r="F13" i="12" s="1"/>
  <c r="D17" i="12"/>
  <c r="F17" i="12" s="1"/>
  <c r="D6" i="12"/>
  <c r="F6" i="12" s="1"/>
  <c r="D10" i="12"/>
  <c r="F10" i="12" s="1"/>
  <c r="D14" i="12"/>
  <c r="F14" i="12" s="1"/>
  <c r="F19" i="12" l="1"/>
  <c r="E20" i="11" l="1"/>
  <c r="E19" i="11"/>
  <c r="E13" i="11"/>
  <c r="L23" i="11" l="1"/>
  <c r="M23" i="11" s="1"/>
  <c r="K23" i="11"/>
  <c r="J23" i="11"/>
  <c r="L22" i="11"/>
  <c r="M22" i="11" s="1"/>
  <c r="K22" i="11"/>
  <c r="J22" i="11"/>
  <c r="L21" i="11"/>
  <c r="M21" i="11" s="1"/>
  <c r="K21" i="11"/>
  <c r="J21" i="11"/>
  <c r="L20" i="11"/>
  <c r="M20" i="11" s="1"/>
  <c r="K20" i="11"/>
  <c r="J20" i="11"/>
  <c r="L19" i="11"/>
  <c r="M19" i="11" s="1"/>
  <c r="K19" i="11"/>
  <c r="J19" i="11"/>
  <c r="L18" i="11"/>
  <c r="M18" i="11" s="1"/>
  <c r="K18" i="11"/>
  <c r="J18" i="11"/>
  <c r="L17" i="11"/>
  <c r="M17" i="11" s="1"/>
  <c r="K17" i="11"/>
  <c r="J17" i="11"/>
  <c r="L16" i="11"/>
  <c r="M16" i="11" s="1"/>
  <c r="K16" i="11"/>
  <c r="J16" i="11"/>
  <c r="L15" i="11"/>
  <c r="M15" i="11" s="1"/>
  <c r="K15" i="11"/>
  <c r="J15" i="11"/>
  <c r="L14" i="11"/>
  <c r="M14" i="11" s="1"/>
  <c r="K14" i="11"/>
  <c r="J14" i="11"/>
  <c r="L13" i="11"/>
  <c r="M13" i="11" s="1"/>
  <c r="K13" i="11"/>
  <c r="J13" i="11"/>
  <c r="L12" i="11"/>
  <c r="M12" i="11" s="1"/>
  <c r="K12" i="11"/>
  <c r="J12" i="11"/>
  <c r="L11" i="11"/>
  <c r="M11" i="11" s="1"/>
  <c r="K11" i="11"/>
  <c r="J11" i="11"/>
  <c r="L10" i="11"/>
  <c r="M10" i="11" s="1"/>
  <c r="K10" i="11"/>
  <c r="J10" i="11"/>
  <c r="L9" i="11"/>
  <c r="M9" i="11" s="1"/>
  <c r="K9" i="11"/>
  <c r="J9" i="11"/>
  <c r="L8" i="11"/>
  <c r="M8" i="11" s="1"/>
  <c r="K8" i="11"/>
  <c r="J8" i="11"/>
  <c r="L7" i="11"/>
  <c r="M7" i="11" s="1"/>
  <c r="K7" i="11"/>
  <c r="J7" i="11"/>
  <c r="L6" i="11"/>
  <c r="M6" i="11" s="1"/>
  <c r="K6" i="11"/>
  <c r="J6" i="11"/>
  <c r="C5" i="11"/>
  <c r="C24" i="11" s="1"/>
  <c r="M28" i="10"/>
  <c r="L28" i="10"/>
  <c r="K28" i="10"/>
  <c r="J28" i="10"/>
  <c r="M27" i="10"/>
  <c r="L27" i="10"/>
  <c r="K27" i="10"/>
  <c r="J27" i="10"/>
  <c r="L26" i="10"/>
  <c r="M26" i="10" s="1"/>
  <c r="K26" i="10"/>
  <c r="J26" i="10"/>
  <c r="L25" i="10"/>
  <c r="M25" i="10" s="1"/>
  <c r="K25" i="10"/>
  <c r="J25" i="10"/>
  <c r="M24" i="10"/>
  <c r="L24" i="10"/>
  <c r="K24" i="10"/>
  <c r="J24" i="10"/>
  <c r="L23" i="10"/>
  <c r="M23" i="10" s="1"/>
  <c r="K23" i="10"/>
  <c r="J23" i="10"/>
  <c r="L22" i="10"/>
  <c r="M22" i="10" s="1"/>
  <c r="K22" i="10"/>
  <c r="J22" i="10"/>
  <c r="L21" i="10"/>
  <c r="M21" i="10" s="1"/>
  <c r="K21" i="10"/>
  <c r="J21" i="10"/>
  <c r="M20" i="10"/>
  <c r="L20" i="10"/>
  <c r="K20" i="10"/>
  <c r="J20" i="10"/>
  <c r="L19" i="10"/>
  <c r="M19" i="10" s="1"/>
  <c r="K19" i="10"/>
  <c r="J19" i="10"/>
  <c r="L18" i="10"/>
  <c r="M18" i="10" s="1"/>
  <c r="K18" i="10"/>
  <c r="J18" i="10"/>
  <c r="L17" i="10"/>
  <c r="M17" i="10" s="1"/>
  <c r="K17" i="10"/>
  <c r="J17" i="10"/>
  <c r="E17" i="10"/>
  <c r="L16" i="10"/>
  <c r="M16" i="10" s="1"/>
  <c r="K16" i="10"/>
  <c r="J16" i="10"/>
  <c r="L15" i="10"/>
  <c r="M15" i="10" s="1"/>
  <c r="K15" i="10"/>
  <c r="J15" i="10"/>
  <c r="L14" i="10"/>
  <c r="M14" i="10" s="1"/>
  <c r="K14" i="10"/>
  <c r="J14" i="10"/>
  <c r="M13" i="10"/>
  <c r="L13" i="10"/>
  <c r="K13" i="10"/>
  <c r="J13" i="10"/>
  <c r="L12" i="10"/>
  <c r="M12" i="10" s="1"/>
  <c r="K12" i="10"/>
  <c r="J12" i="10"/>
  <c r="L11" i="10"/>
  <c r="M11" i="10" s="1"/>
  <c r="K11" i="10"/>
  <c r="J11" i="10"/>
  <c r="L10" i="10"/>
  <c r="M10" i="10" s="1"/>
  <c r="K10" i="10"/>
  <c r="J10" i="10"/>
  <c r="M9" i="10"/>
  <c r="L9" i="10"/>
  <c r="K9" i="10"/>
  <c r="J9" i="10"/>
  <c r="L8" i="10"/>
  <c r="M8" i="10" s="1"/>
  <c r="K8" i="10"/>
  <c r="J8" i="10"/>
  <c r="L7" i="10"/>
  <c r="M7" i="10" s="1"/>
  <c r="K7" i="10"/>
  <c r="J7" i="10"/>
  <c r="L6" i="10"/>
  <c r="M6" i="10" s="1"/>
  <c r="K6" i="10"/>
  <c r="J6" i="10"/>
  <c r="K5" i="10"/>
  <c r="J5" i="10"/>
  <c r="C5" i="10"/>
  <c r="C29" i="10" s="1"/>
  <c r="J5" i="11" l="1"/>
  <c r="L5" i="11"/>
  <c r="M5" i="11" s="1"/>
  <c r="K5" i="11"/>
  <c r="D8" i="11"/>
  <c r="F8" i="11" s="1"/>
  <c r="D20" i="11"/>
  <c r="F20" i="11" s="1"/>
  <c r="D16" i="11"/>
  <c r="F16" i="11" s="1"/>
  <c r="D12" i="11"/>
  <c r="F12" i="11" s="1"/>
  <c r="D21" i="11"/>
  <c r="F21" i="11" s="1"/>
  <c r="D17" i="11"/>
  <c r="F17" i="11" s="1"/>
  <c r="D13" i="11"/>
  <c r="F13" i="11" s="1"/>
  <c r="D6" i="11"/>
  <c r="F6" i="11" s="1"/>
  <c r="D23" i="11"/>
  <c r="F23" i="11" s="1"/>
  <c r="D15" i="11"/>
  <c r="F15" i="11" s="1"/>
  <c r="D11" i="11"/>
  <c r="F11" i="11" s="1"/>
  <c r="D9" i="11"/>
  <c r="F9" i="11" s="1"/>
  <c r="D5" i="11"/>
  <c r="F5" i="11" s="1"/>
  <c r="D22" i="11"/>
  <c r="F22" i="11" s="1"/>
  <c r="D18" i="11"/>
  <c r="F18" i="11" s="1"/>
  <c r="D14" i="11"/>
  <c r="F14" i="11" s="1"/>
  <c r="D10" i="11"/>
  <c r="F10" i="11" s="1"/>
  <c r="D19" i="11"/>
  <c r="F19" i="11" s="1"/>
  <c r="D7" i="11"/>
  <c r="F7" i="11" s="1"/>
  <c r="D25" i="10"/>
  <c r="F25" i="10" s="1"/>
  <c r="D21" i="10"/>
  <c r="F21" i="10" s="1"/>
  <c r="D17" i="10"/>
  <c r="F17" i="10" s="1"/>
  <c r="D13" i="10"/>
  <c r="F13" i="10" s="1"/>
  <c r="D26" i="10"/>
  <c r="F26" i="10" s="1"/>
  <c r="D22" i="10"/>
  <c r="F22" i="10" s="1"/>
  <c r="D18" i="10"/>
  <c r="F18" i="10" s="1"/>
  <c r="D14" i="10"/>
  <c r="F14" i="10" s="1"/>
  <c r="D10" i="10"/>
  <c r="F10" i="10" s="1"/>
  <c r="D6" i="10"/>
  <c r="F6" i="10" s="1"/>
  <c r="D23" i="10"/>
  <c r="F23" i="10" s="1"/>
  <c r="D19" i="10"/>
  <c r="F19" i="10" s="1"/>
  <c r="D27" i="10"/>
  <c r="F27" i="10" s="1"/>
  <c r="D15" i="10"/>
  <c r="F15" i="10" s="1"/>
  <c r="D11" i="10"/>
  <c r="F11" i="10" s="1"/>
  <c r="D7" i="10"/>
  <c r="F7" i="10" s="1"/>
  <c r="D28" i="10"/>
  <c r="F28" i="10" s="1"/>
  <c r="D24" i="10"/>
  <c r="F24" i="10" s="1"/>
  <c r="D20" i="10"/>
  <c r="F20" i="10" s="1"/>
  <c r="D16" i="10"/>
  <c r="F16" i="10" s="1"/>
  <c r="D12" i="10"/>
  <c r="F12" i="10" s="1"/>
  <c r="D8" i="10"/>
  <c r="F8" i="10" s="1"/>
  <c r="D9" i="10"/>
  <c r="F9" i="10" s="1"/>
  <c r="D5" i="10"/>
  <c r="F5" i="10" s="1"/>
  <c r="L5" i="10"/>
  <c r="M5" i="10" s="1"/>
  <c r="F24" i="11" l="1"/>
  <c r="F29" i="10"/>
  <c r="L25" i="9" l="1"/>
  <c r="M25" i="9" s="1"/>
  <c r="K25" i="9"/>
  <c r="J25" i="9"/>
  <c r="L24" i="9"/>
  <c r="M24" i="9" s="1"/>
  <c r="K24" i="9"/>
  <c r="J24" i="9"/>
  <c r="L23" i="9"/>
  <c r="M23" i="9" s="1"/>
  <c r="K23" i="9"/>
  <c r="J23" i="9"/>
  <c r="L22" i="9"/>
  <c r="M22" i="9" s="1"/>
  <c r="K22" i="9"/>
  <c r="J22" i="9"/>
  <c r="L21" i="9"/>
  <c r="M21" i="9" s="1"/>
  <c r="K21" i="9"/>
  <c r="J21" i="9"/>
  <c r="L20" i="9"/>
  <c r="M20" i="9" s="1"/>
  <c r="K20" i="9"/>
  <c r="J20" i="9"/>
  <c r="L19" i="9"/>
  <c r="M19" i="9" s="1"/>
  <c r="K19" i="9"/>
  <c r="J19" i="9"/>
  <c r="L18" i="9"/>
  <c r="M18" i="9" s="1"/>
  <c r="K18" i="9"/>
  <c r="J18" i="9"/>
  <c r="L17" i="9"/>
  <c r="M17" i="9" s="1"/>
  <c r="K17" i="9"/>
  <c r="J17" i="9"/>
  <c r="L16" i="9"/>
  <c r="M16" i="9" s="1"/>
  <c r="K16" i="9"/>
  <c r="J16" i="9"/>
  <c r="L15" i="9"/>
  <c r="M15" i="9" s="1"/>
  <c r="K15" i="9"/>
  <c r="J15" i="9"/>
  <c r="L14" i="9"/>
  <c r="M14" i="9" s="1"/>
  <c r="K14" i="9"/>
  <c r="J14" i="9"/>
  <c r="L13" i="9"/>
  <c r="M13" i="9" s="1"/>
  <c r="K13" i="9"/>
  <c r="J13" i="9"/>
  <c r="L12" i="9"/>
  <c r="M12" i="9" s="1"/>
  <c r="K12" i="9"/>
  <c r="J12" i="9"/>
  <c r="L11" i="9"/>
  <c r="M11" i="9" s="1"/>
  <c r="K11" i="9"/>
  <c r="J11" i="9"/>
  <c r="L10" i="9"/>
  <c r="M10" i="9" s="1"/>
  <c r="K10" i="9"/>
  <c r="J10" i="9"/>
  <c r="L9" i="9"/>
  <c r="M9" i="9" s="1"/>
  <c r="K9" i="9"/>
  <c r="J9" i="9"/>
  <c r="L8" i="9"/>
  <c r="M8" i="9" s="1"/>
  <c r="K8" i="9"/>
  <c r="J8" i="9"/>
  <c r="L7" i="9"/>
  <c r="M7" i="9" s="1"/>
  <c r="K7" i="9"/>
  <c r="J7" i="9"/>
  <c r="L6" i="9"/>
  <c r="M6" i="9" s="1"/>
  <c r="K6" i="9"/>
  <c r="J6" i="9"/>
  <c r="C5" i="9"/>
  <c r="C26" i="9" s="1"/>
  <c r="J5" i="9" l="1"/>
  <c r="K5" i="9"/>
  <c r="L5" i="9"/>
  <c r="M5" i="9" s="1"/>
  <c r="D14" i="9"/>
  <c r="F14" i="9" s="1"/>
  <c r="D10" i="9"/>
  <c r="F10" i="9" s="1"/>
  <c r="D7" i="9"/>
  <c r="F7" i="9" s="1"/>
  <c r="D12" i="9"/>
  <c r="F12" i="9" s="1"/>
  <c r="D13" i="9"/>
  <c r="F13" i="9" s="1"/>
  <c r="D5" i="9"/>
  <c r="F5" i="9" s="1"/>
  <c r="D22" i="9"/>
  <c r="F22" i="9" s="1"/>
  <c r="D18" i="9"/>
  <c r="F18" i="9" s="1"/>
  <c r="D6" i="9"/>
  <c r="F6" i="9" s="1"/>
  <c r="D15" i="9"/>
  <c r="F15" i="9" s="1"/>
  <c r="D21" i="9"/>
  <c r="F21" i="9" s="1"/>
  <c r="D9" i="9"/>
  <c r="F9" i="9" s="1"/>
  <c r="D23" i="9"/>
  <c r="F23" i="9" s="1"/>
  <c r="D19" i="9"/>
  <c r="F19" i="9" s="1"/>
  <c r="D11" i="9"/>
  <c r="F11" i="9" s="1"/>
  <c r="D16" i="9"/>
  <c r="F16" i="9" s="1"/>
  <c r="D8" i="9"/>
  <c r="F8" i="9" s="1"/>
  <c r="D25" i="9"/>
  <c r="F25" i="9" s="1"/>
  <c r="D24" i="9"/>
  <c r="F24" i="9" s="1"/>
  <c r="D20" i="9"/>
  <c r="F20" i="9" s="1"/>
  <c r="D17" i="9"/>
  <c r="F17" i="9" s="1"/>
  <c r="F26" i="9" l="1"/>
  <c r="E30" i="7" l="1"/>
  <c r="E29" i="7"/>
  <c r="M38" i="7"/>
  <c r="L38" i="7"/>
  <c r="K38" i="7"/>
  <c r="J38" i="7"/>
  <c r="L37" i="7"/>
  <c r="M37" i="7" s="1"/>
  <c r="K37" i="7"/>
  <c r="J37" i="7"/>
  <c r="M33" i="7"/>
  <c r="L33" i="7"/>
  <c r="K33" i="7"/>
  <c r="J33" i="7"/>
  <c r="M31" i="7"/>
  <c r="L31" i="7"/>
  <c r="K31" i="7"/>
  <c r="J31" i="7"/>
  <c r="L30" i="7"/>
  <c r="M30" i="7" s="1"/>
  <c r="K30" i="7"/>
  <c r="J30" i="7"/>
  <c r="L29" i="7"/>
  <c r="M29" i="7" s="1"/>
  <c r="K29" i="7"/>
  <c r="J29" i="7"/>
  <c r="L20" i="7"/>
  <c r="M20" i="7" s="1"/>
  <c r="K20" i="7"/>
  <c r="J20" i="7"/>
  <c r="L18" i="7"/>
  <c r="M18" i="7" s="1"/>
  <c r="K18" i="7"/>
  <c r="J18" i="7"/>
  <c r="L16" i="7"/>
  <c r="M16" i="7" s="1"/>
  <c r="K16" i="7"/>
  <c r="J16" i="7"/>
  <c r="M15" i="7"/>
  <c r="L15" i="7"/>
  <c r="K15" i="7"/>
  <c r="J15" i="7"/>
  <c r="M13" i="7"/>
  <c r="L13" i="7"/>
  <c r="K13" i="7"/>
  <c r="J13" i="7"/>
  <c r="L10" i="7"/>
  <c r="M10" i="7" s="1"/>
  <c r="K10" i="7"/>
  <c r="J10" i="7"/>
  <c r="M9" i="7"/>
  <c r="L9" i="7"/>
  <c r="K9" i="7"/>
  <c r="J9" i="7"/>
  <c r="L6" i="7"/>
  <c r="M6" i="7" s="1"/>
  <c r="K6" i="7"/>
  <c r="J6" i="7"/>
  <c r="E5" i="7"/>
  <c r="C5" i="7"/>
  <c r="C39" i="7" s="1"/>
  <c r="L38" i="6"/>
  <c r="M38" i="6" s="1"/>
  <c r="K38" i="6"/>
  <c r="J38" i="6"/>
  <c r="L37" i="6"/>
  <c r="M37" i="6" s="1"/>
  <c r="K37" i="6"/>
  <c r="J37" i="6"/>
  <c r="L33" i="6"/>
  <c r="M33" i="6" s="1"/>
  <c r="K33" i="6"/>
  <c r="J33" i="6"/>
  <c r="L31" i="6"/>
  <c r="M31" i="6" s="1"/>
  <c r="K31" i="6"/>
  <c r="J31" i="6"/>
  <c r="L30" i="6"/>
  <c r="M30" i="6" s="1"/>
  <c r="K30" i="6"/>
  <c r="J30" i="6"/>
  <c r="E30" i="6"/>
  <c r="L29" i="6"/>
  <c r="M29" i="6" s="1"/>
  <c r="K29" i="6"/>
  <c r="J29" i="6"/>
  <c r="L20" i="6"/>
  <c r="M20" i="6" s="1"/>
  <c r="K20" i="6"/>
  <c r="J20" i="6"/>
  <c r="L18" i="6"/>
  <c r="M18" i="6" s="1"/>
  <c r="K18" i="6"/>
  <c r="J18" i="6"/>
  <c r="L16" i="6"/>
  <c r="M16" i="6" s="1"/>
  <c r="K16" i="6"/>
  <c r="J16" i="6"/>
  <c r="M15" i="6"/>
  <c r="L15" i="6"/>
  <c r="K15" i="6"/>
  <c r="J15" i="6"/>
  <c r="M13" i="6"/>
  <c r="L13" i="6"/>
  <c r="K13" i="6"/>
  <c r="J13" i="6"/>
  <c r="L10" i="6"/>
  <c r="M10" i="6" s="1"/>
  <c r="K10" i="6"/>
  <c r="J10" i="6"/>
  <c r="L9" i="6"/>
  <c r="M9" i="6" s="1"/>
  <c r="K9" i="6"/>
  <c r="J9" i="6"/>
  <c r="L6" i="6"/>
  <c r="M6" i="6" s="1"/>
  <c r="K6" i="6"/>
  <c r="J6" i="6"/>
  <c r="E5" i="6"/>
  <c r="C5" i="6"/>
  <c r="L5" i="6" s="1"/>
  <c r="M5" i="6" s="1"/>
  <c r="E5" i="5"/>
  <c r="E30" i="5"/>
  <c r="E9" i="4"/>
  <c r="C9" i="4"/>
  <c r="M38" i="5"/>
  <c r="L38" i="5"/>
  <c r="K38" i="5"/>
  <c r="J38" i="5"/>
  <c r="L37" i="5"/>
  <c r="M37" i="5" s="1"/>
  <c r="K37" i="5"/>
  <c r="J37" i="5"/>
  <c r="L33" i="5"/>
  <c r="M33" i="5" s="1"/>
  <c r="K33" i="5"/>
  <c r="J33" i="5"/>
  <c r="L31" i="5"/>
  <c r="M31" i="5" s="1"/>
  <c r="K31" i="5"/>
  <c r="J31" i="5"/>
  <c r="L30" i="5"/>
  <c r="M30" i="5" s="1"/>
  <c r="K30" i="5"/>
  <c r="J30" i="5"/>
  <c r="L29" i="5"/>
  <c r="M29" i="5" s="1"/>
  <c r="K29" i="5"/>
  <c r="J29" i="5"/>
  <c r="L20" i="5"/>
  <c r="M20" i="5" s="1"/>
  <c r="K20" i="5"/>
  <c r="J20" i="5"/>
  <c r="L18" i="5"/>
  <c r="M18" i="5" s="1"/>
  <c r="K18" i="5"/>
  <c r="J18" i="5"/>
  <c r="L16" i="5"/>
  <c r="M16" i="5" s="1"/>
  <c r="K16" i="5"/>
  <c r="J16" i="5"/>
  <c r="M15" i="5"/>
  <c r="L15" i="5"/>
  <c r="K15" i="5"/>
  <c r="J15" i="5"/>
  <c r="L13" i="5"/>
  <c r="M13" i="5" s="1"/>
  <c r="K13" i="5"/>
  <c r="J13" i="5"/>
  <c r="L10" i="5"/>
  <c r="M10" i="5" s="1"/>
  <c r="K10" i="5"/>
  <c r="J10" i="5"/>
  <c r="L9" i="5"/>
  <c r="M9" i="5" s="1"/>
  <c r="K9" i="5"/>
  <c r="J9" i="5"/>
  <c r="L6" i="5"/>
  <c r="M6" i="5" s="1"/>
  <c r="K6" i="5"/>
  <c r="J6" i="5"/>
  <c r="C5" i="5"/>
  <c r="L5" i="5" s="1"/>
  <c r="M5" i="5" s="1"/>
  <c r="D27" i="7" l="1"/>
  <c r="F27" i="7" s="1"/>
  <c r="D34" i="7"/>
  <c r="F34" i="7" s="1"/>
  <c r="D37" i="7"/>
  <c r="F37" i="7" s="1"/>
  <c r="D29" i="7"/>
  <c r="F29" i="7" s="1"/>
  <c r="D25" i="7"/>
  <c r="F25" i="7" s="1"/>
  <c r="D21" i="7"/>
  <c r="F21" i="7" s="1"/>
  <c r="D19" i="7"/>
  <c r="F19" i="7" s="1"/>
  <c r="D17" i="7"/>
  <c r="F17" i="7" s="1"/>
  <c r="D11" i="7"/>
  <c r="F11" i="7" s="1"/>
  <c r="D7" i="7"/>
  <c r="F7" i="7" s="1"/>
  <c r="D30" i="7"/>
  <c r="F30" i="7" s="1"/>
  <c r="D28" i="7"/>
  <c r="F28" i="7" s="1"/>
  <c r="D24" i="7"/>
  <c r="F24" i="7" s="1"/>
  <c r="D35" i="7"/>
  <c r="F35" i="7" s="1"/>
  <c r="D33" i="7"/>
  <c r="F33" i="7" s="1"/>
  <c r="D31" i="7"/>
  <c r="F31" i="7" s="1"/>
  <c r="D23" i="7"/>
  <c r="F23" i="7" s="1"/>
  <c r="D15" i="7"/>
  <c r="F15" i="7" s="1"/>
  <c r="D13" i="7"/>
  <c r="F13" i="7" s="1"/>
  <c r="D9" i="7"/>
  <c r="F9" i="7" s="1"/>
  <c r="D32" i="7"/>
  <c r="F32" i="7" s="1"/>
  <c r="D26" i="7"/>
  <c r="F26" i="7" s="1"/>
  <c r="D22" i="7"/>
  <c r="F22" i="7" s="1"/>
  <c r="D20" i="7"/>
  <c r="F20" i="7" s="1"/>
  <c r="D18" i="7"/>
  <c r="F18" i="7" s="1"/>
  <c r="D16" i="7"/>
  <c r="F16" i="7" s="1"/>
  <c r="D14" i="7"/>
  <c r="F14" i="7" s="1"/>
  <c r="D12" i="7"/>
  <c r="F12" i="7" s="1"/>
  <c r="D10" i="7"/>
  <c r="F10" i="7" s="1"/>
  <c r="D8" i="7"/>
  <c r="F8" i="7" s="1"/>
  <c r="D6" i="7"/>
  <c r="F6" i="7" s="1"/>
  <c r="D38" i="7"/>
  <c r="F38" i="7" s="1"/>
  <c r="D36" i="7"/>
  <c r="F36" i="7" s="1"/>
  <c r="J5" i="7"/>
  <c r="K5" i="7"/>
  <c r="L5" i="7"/>
  <c r="M5" i="7" s="1"/>
  <c r="D5" i="7"/>
  <c r="F5" i="7" s="1"/>
  <c r="C39" i="6"/>
  <c r="D5" i="6" s="1"/>
  <c r="F5" i="6" s="1"/>
  <c r="J5" i="6"/>
  <c r="K5" i="6"/>
  <c r="J5" i="5"/>
  <c r="K5" i="5"/>
  <c r="C39" i="5"/>
  <c r="D38" i="5" s="1"/>
  <c r="F38" i="5" s="1"/>
  <c r="F39" i="7" l="1"/>
  <c r="D29" i="6"/>
  <c r="F29" i="6" s="1"/>
  <c r="D25" i="6"/>
  <c r="F25" i="6" s="1"/>
  <c r="D21" i="6"/>
  <c r="F21" i="6" s="1"/>
  <c r="D19" i="6"/>
  <c r="F19" i="6" s="1"/>
  <c r="D17" i="6"/>
  <c r="F17" i="6" s="1"/>
  <c r="D11" i="6"/>
  <c r="F11" i="6" s="1"/>
  <c r="D7" i="6"/>
  <c r="F7" i="6" s="1"/>
  <c r="D30" i="6"/>
  <c r="F30" i="6" s="1"/>
  <c r="D28" i="6"/>
  <c r="F28" i="6" s="1"/>
  <c r="D24" i="6"/>
  <c r="F24" i="6" s="1"/>
  <c r="D35" i="6"/>
  <c r="F35" i="6" s="1"/>
  <c r="D33" i="6"/>
  <c r="F33" i="6" s="1"/>
  <c r="D31" i="6"/>
  <c r="F31" i="6" s="1"/>
  <c r="D27" i="6"/>
  <c r="F27" i="6" s="1"/>
  <c r="D23" i="6"/>
  <c r="F23" i="6" s="1"/>
  <c r="D15" i="6"/>
  <c r="F15" i="6" s="1"/>
  <c r="D13" i="6"/>
  <c r="F13" i="6" s="1"/>
  <c r="D9" i="6"/>
  <c r="F9" i="6" s="1"/>
  <c r="D34" i="6"/>
  <c r="F34" i="6" s="1"/>
  <c r="D32" i="6"/>
  <c r="F32" i="6" s="1"/>
  <c r="D26" i="6"/>
  <c r="F26" i="6" s="1"/>
  <c r="D22" i="6"/>
  <c r="F22" i="6" s="1"/>
  <c r="D20" i="6"/>
  <c r="F20" i="6" s="1"/>
  <c r="D18" i="6"/>
  <c r="F18" i="6" s="1"/>
  <c r="D16" i="6"/>
  <c r="F16" i="6" s="1"/>
  <c r="D14" i="6"/>
  <c r="F14" i="6" s="1"/>
  <c r="D12" i="6"/>
  <c r="F12" i="6" s="1"/>
  <c r="D10" i="6"/>
  <c r="F10" i="6" s="1"/>
  <c r="D8" i="6"/>
  <c r="F8" i="6" s="1"/>
  <c r="D6" i="6"/>
  <c r="F6" i="6" s="1"/>
  <c r="D37" i="6"/>
  <c r="F37" i="6" s="1"/>
  <c r="D38" i="6"/>
  <c r="F38" i="6" s="1"/>
  <c r="D36" i="6"/>
  <c r="F36" i="6" s="1"/>
  <c r="D34" i="5"/>
  <c r="F34" i="5" s="1"/>
  <c r="D20" i="5"/>
  <c r="F20" i="5" s="1"/>
  <c r="D21" i="5"/>
  <c r="F21" i="5" s="1"/>
  <c r="D19" i="5"/>
  <c r="F19" i="5" s="1"/>
  <c r="D17" i="5"/>
  <c r="F17" i="5" s="1"/>
  <c r="D14" i="5"/>
  <c r="F14" i="5" s="1"/>
  <c r="D36" i="5"/>
  <c r="F36" i="5" s="1"/>
  <c r="D29" i="5"/>
  <c r="F29" i="5" s="1"/>
  <c r="D30" i="5"/>
  <c r="F30" i="5" s="1"/>
  <c r="D25" i="5"/>
  <c r="F25" i="5" s="1"/>
  <c r="D18" i="5"/>
  <c r="F18" i="5" s="1"/>
  <c r="D16" i="5"/>
  <c r="F16" i="5" s="1"/>
  <c r="D12" i="5"/>
  <c r="F12" i="5" s="1"/>
  <c r="D37" i="5"/>
  <c r="F37" i="5" s="1"/>
  <c r="D24" i="5"/>
  <c r="F24" i="5" s="1"/>
  <c r="D28" i="5"/>
  <c r="F28" i="5" s="1"/>
  <c r="D35" i="5"/>
  <c r="F35" i="5" s="1"/>
  <c r="D31" i="5"/>
  <c r="F31" i="5" s="1"/>
  <c r="D15" i="5"/>
  <c r="F15" i="5" s="1"/>
  <c r="D27" i="5"/>
  <c r="F27" i="5" s="1"/>
  <c r="D9" i="5"/>
  <c r="F9" i="5" s="1"/>
  <c r="D23" i="5"/>
  <c r="F23" i="5" s="1"/>
  <c r="D33" i="5"/>
  <c r="F33" i="5" s="1"/>
  <c r="D13" i="5"/>
  <c r="F13" i="5" s="1"/>
  <c r="D32" i="5"/>
  <c r="F32" i="5" s="1"/>
  <c r="D10" i="5"/>
  <c r="F10" i="5" s="1"/>
  <c r="D26" i="5"/>
  <c r="F26" i="5" s="1"/>
  <c r="D8" i="5"/>
  <c r="F8" i="5" s="1"/>
  <c r="D11" i="5"/>
  <c r="F11" i="5" s="1"/>
  <c r="D22" i="5"/>
  <c r="F22" i="5" s="1"/>
  <c r="D6" i="5"/>
  <c r="F6" i="5" s="1"/>
  <c r="D7" i="5"/>
  <c r="F7" i="5" s="1"/>
  <c r="D5" i="5"/>
  <c r="F5" i="5" s="1"/>
  <c r="F39" i="6" l="1"/>
  <c r="F39" i="5"/>
  <c r="I9" i="2"/>
  <c r="J9" i="2"/>
  <c r="I44" i="2"/>
  <c r="J44" i="2"/>
  <c r="I8" i="2"/>
  <c r="J8" i="2" s="1"/>
  <c r="I20" i="2"/>
  <c r="J20" i="2" s="1"/>
  <c r="I16" i="2"/>
  <c r="M16" i="2" s="1"/>
  <c r="N16" i="2"/>
  <c r="I15" i="2"/>
  <c r="J15" i="2" s="1"/>
  <c r="N15" i="2"/>
  <c r="I14" i="2"/>
  <c r="J14" i="2" s="1"/>
  <c r="N14" i="2"/>
  <c r="N38" i="2"/>
  <c r="I38" i="2"/>
  <c r="M38" i="2" s="1"/>
  <c r="C8" i="4" l="1"/>
  <c r="C13" i="4" s="1"/>
  <c r="E8" i="4"/>
  <c r="E13" i="4" s="1"/>
  <c r="J16" i="2"/>
  <c r="M15" i="2"/>
  <c r="J38" i="2"/>
  <c r="M14" i="2"/>
  <c r="I37" i="2"/>
  <c r="J37" i="2" s="1"/>
  <c r="N19" i="2"/>
  <c r="N32" i="2"/>
  <c r="I32" i="2"/>
  <c r="J32" i="2" s="1"/>
  <c r="I39" i="2"/>
  <c r="J39" i="2" s="1"/>
  <c r="I40" i="2"/>
  <c r="J40" i="2" s="1"/>
  <c r="I41" i="2"/>
  <c r="J41" i="2" s="1"/>
  <c r="I42" i="2"/>
  <c r="J42" i="2" s="1"/>
  <c r="I43" i="2"/>
  <c r="J43" i="2" s="1"/>
  <c r="I45" i="2"/>
  <c r="J45" i="2"/>
  <c r="I46" i="2"/>
  <c r="J46" i="2" s="1"/>
  <c r="I47" i="2"/>
  <c r="J47" i="2" s="1"/>
  <c r="I22" i="2"/>
  <c r="J22" i="2" s="1"/>
  <c r="I23" i="2"/>
  <c r="J23" i="2" s="1"/>
  <c r="I24" i="2"/>
  <c r="J24" i="2" s="1"/>
  <c r="I25" i="2"/>
  <c r="J25" i="2" s="1"/>
  <c r="I26" i="2"/>
  <c r="J26" i="2" s="1"/>
  <c r="I27" i="2"/>
  <c r="J27" i="2" s="1"/>
  <c r="I28" i="2"/>
  <c r="J28" i="2" s="1"/>
  <c r="N3" i="2"/>
  <c r="N4" i="2"/>
  <c r="N6" i="2"/>
  <c r="N7" i="2"/>
  <c r="N12" i="2"/>
  <c r="N13" i="2"/>
  <c r="N17" i="2"/>
  <c r="N18" i="2"/>
  <c r="N29" i="2"/>
  <c r="N30" i="2"/>
  <c r="N31" i="2"/>
  <c r="N33" i="2"/>
  <c r="N34" i="2"/>
  <c r="N35" i="2"/>
  <c r="N36" i="2"/>
  <c r="N48" i="2"/>
  <c r="N49" i="2"/>
  <c r="N2" i="2"/>
  <c r="I2" i="2"/>
  <c r="M2" i="2" s="1"/>
  <c r="I3" i="2"/>
  <c r="J3" i="2" s="1"/>
  <c r="I7" i="2"/>
  <c r="J7" i="2" s="1"/>
  <c r="I29" i="2"/>
  <c r="J29" i="2" s="1"/>
  <c r="I30" i="2"/>
  <c r="J30" i="2" s="1"/>
  <c r="I31" i="2"/>
  <c r="J31" i="2" s="1"/>
  <c r="I33" i="2"/>
  <c r="J33" i="2" s="1"/>
  <c r="I36" i="2"/>
  <c r="J36" i="2" s="1"/>
  <c r="I48" i="2"/>
  <c r="J48" i="2" s="1"/>
  <c r="I18" i="2"/>
  <c r="J18" i="2" s="1"/>
  <c r="I34" i="2"/>
  <c r="J34" i="2" s="1"/>
  <c r="I35" i="2"/>
  <c r="J35" i="2" s="1"/>
  <c r="I4" i="2"/>
  <c r="J4" i="2" s="1"/>
  <c r="I6" i="2"/>
  <c r="J6" i="2" s="1"/>
  <c r="I12" i="2"/>
  <c r="J12" i="2" s="1"/>
  <c r="I13" i="2"/>
  <c r="J13" i="2" s="1"/>
  <c r="I17" i="2"/>
  <c r="J17" i="2" s="1"/>
  <c r="I19" i="2"/>
  <c r="J19" i="2" s="1"/>
  <c r="J2" i="2" l="1"/>
  <c r="M12" i="2"/>
  <c r="M6" i="2"/>
  <c r="M17" i="2"/>
  <c r="M18" i="2"/>
  <c r="M13" i="2"/>
  <c r="M48" i="2"/>
  <c r="M33" i="2"/>
  <c r="M32" i="2"/>
  <c r="M31" i="2"/>
  <c r="M4" i="2"/>
  <c r="M30" i="2"/>
  <c r="M29" i="2"/>
  <c r="M35" i="2"/>
  <c r="M7" i="2"/>
  <c r="M36" i="2"/>
  <c r="M19" i="2"/>
  <c r="M34" i="2"/>
  <c r="M50" i="2" l="1"/>
  <c r="M51" i="2" s="1"/>
  <c r="M49" i="2"/>
</calcChain>
</file>

<file path=xl/sharedStrings.xml><?xml version="1.0" encoding="utf-8"?>
<sst xmlns="http://schemas.openxmlformats.org/spreadsheetml/2006/main" count="1300" uniqueCount="391">
  <si>
    <t>Product</t>
  </si>
  <si>
    <t>Above 10L</t>
  </si>
  <si>
    <t>Above 50L</t>
  </si>
  <si>
    <t>HK$/L</t>
  </si>
  <si>
    <t>Above 5L</t>
  </si>
  <si>
    <t>Symbiocaps LA</t>
  </si>
  <si>
    <t>DMAE</t>
  </si>
  <si>
    <t>Oil Control</t>
  </si>
  <si>
    <t>T Growth</t>
  </si>
  <si>
    <t>Luminous Eyes</t>
  </si>
  <si>
    <t>Resveratrol</t>
  </si>
  <si>
    <t>3C</t>
  </si>
  <si>
    <t>Caffeine ECO</t>
  </si>
  <si>
    <t>Body Lift</t>
  </si>
  <si>
    <t>Skin Healer</t>
  </si>
  <si>
    <t>Skin Therapy</t>
  </si>
  <si>
    <t>Retinol</t>
  </si>
  <si>
    <t>Uplift</t>
  </si>
  <si>
    <t>Caviar</t>
  </si>
  <si>
    <t>Hydroxy Acids</t>
  </si>
  <si>
    <t>Ascorbic Acid</t>
  </si>
  <si>
    <t>HK$/5L</t>
  </si>
  <si>
    <t>Body Firming and Toning</t>
  </si>
  <si>
    <t>Effectiveness Testing</t>
  </si>
  <si>
    <t>Dark Circle, Slimming and Firming, Orange Peel</t>
  </si>
  <si>
    <t>Order</t>
  </si>
  <si>
    <t>Trans-resveratrol, Pomegranate Oil</t>
  </si>
  <si>
    <t>Whitening, Anti-aging, Blue-light</t>
  </si>
  <si>
    <t>Benefit</t>
  </si>
  <si>
    <t>Rose Hips</t>
  </si>
  <si>
    <t>Stretch marks, Treat scars (acne, postsurgical), Anti-aging</t>
  </si>
  <si>
    <t>Aloe Vera, Chamomile, Onoin Extract</t>
  </si>
  <si>
    <t>Curcumin, Aloe Vera, Rosehip Oil</t>
  </si>
  <si>
    <t>Recovery of Injured Skin, Psoriasis, wound healing</t>
  </si>
  <si>
    <t>Reduce Acne and Rosacea, Min Pore, Anti-aging (Probiotic)</t>
  </si>
  <si>
    <t>Hyaluronic Acid, Senegal Acacia</t>
  </si>
  <si>
    <t>Immediate Lifting effect, Anti-wrinkle</t>
  </si>
  <si>
    <t>Rosemary, Salvia, Mint essential oil, Pumpkin Seed Oil, Chamomile</t>
  </si>
  <si>
    <t>Oil Reduction in Skin and Scalp</t>
  </si>
  <si>
    <t>5% After 7 days, 35% oil reduction, 28% pimple size reduction</t>
  </si>
  <si>
    <t>Manadarin, Salvia, Palmarosa Essentilal Oils, Arnica Montana, Chamomile  Oils</t>
  </si>
  <si>
    <t>Reduce Dark Circle, Eye Bag, wrinkles and expression lines</t>
  </si>
  <si>
    <t>Glycolic, Lactic and Citric Acid, Licorice Extract, Oat Oil</t>
  </si>
  <si>
    <t>Whitening, Reduce Melasma, Reduce wrinkles and fine lines</t>
  </si>
  <si>
    <t>After 7 days, 33% Reduction in Melasma</t>
  </si>
  <si>
    <t>Dimethylaminoethanol Bitartrate</t>
  </si>
  <si>
    <t>Caffeine, Green Tea, Arnica Montana Oil and Palmarosa Ess Oil</t>
  </si>
  <si>
    <t>Orange Peel Reduction, Slimming</t>
  </si>
  <si>
    <t>After first Application, 100% of participant showed improvement in Orange Peel</t>
  </si>
  <si>
    <t>Peppermint, Palmarosa Ess Oil, Green Tea Oil, Coconut Extract and Soy Protein</t>
  </si>
  <si>
    <t>Body</t>
  </si>
  <si>
    <t>Hair</t>
  </si>
  <si>
    <t>Face</t>
  </si>
  <si>
    <t>Eye</t>
  </si>
  <si>
    <t>Type;</t>
  </si>
  <si>
    <t>Caffeine</t>
  </si>
  <si>
    <t>Safflower, Coconut and Clove Oils</t>
  </si>
  <si>
    <t>Slimming</t>
  </si>
  <si>
    <t>Ingredients</t>
  </si>
  <si>
    <t>Depigmentation, Anti Wrinkle</t>
  </si>
  <si>
    <t>Relief</t>
  </si>
  <si>
    <t>Arthritis, Muscle Pain</t>
  </si>
  <si>
    <t>Samples</t>
  </si>
  <si>
    <t>Anti-wrinkle</t>
  </si>
  <si>
    <t>Rosehip Oil (Tretinion), Vit E</t>
  </si>
  <si>
    <t>Licorice Extract, Ginseng, Black Cumin, Black Pepper, Burdock, B-Vit, Amino Acids</t>
  </si>
  <si>
    <t>10% after 56 days, 50% of participants showed hair density increase</t>
  </si>
  <si>
    <t>Whitening, Anti-Wrinkle</t>
  </si>
  <si>
    <t>Vetiver and Sweet Birch Essential Oil</t>
  </si>
  <si>
    <t>Lactobacillus Acidophillus</t>
  </si>
  <si>
    <t>10% After 30 days, 94% showed reduction in wrinkle, 100% showed dipigmented and firmer</t>
  </si>
  <si>
    <t>10% After 7 days, 67% of participants showed improved skin tension, 100% improved skin firmness and appearance</t>
  </si>
  <si>
    <t>10% After7 days, 86% volunteers showed an increase in skin firmness by 6%, 57% showed an increase in skin tensor effect by 2%</t>
  </si>
  <si>
    <t>Total (HKD)</t>
  </si>
  <si>
    <t>Protection, Repair, Shine (0.1-5)</t>
  </si>
  <si>
    <t>Batana Oil</t>
  </si>
  <si>
    <t>Cysteamine 15</t>
  </si>
  <si>
    <t>Cysteamine HCL</t>
  </si>
  <si>
    <t>Hyperpigmentation and Melasma</t>
  </si>
  <si>
    <t>Green Tea Eco</t>
  </si>
  <si>
    <t>Green Tea</t>
  </si>
  <si>
    <t>Hyalocollagreen ECO</t>
  </si>
  <si>
    <t>Anti-Aging, Filling</t>
  </si>
  <si>
    <t>Vegan Collagen, Hyaluronic Acid</t>
  </si>
  <si>
    <t>Hyaluronic Acid</t>
  </si>
  <si>
    <t>Anti-Aging, Moisturing</t>
  </si>
  <si>
    <t>Kojic Acid</t>
  </si>
  <si>
    <t>Frizz, Repair, Protect</t>
  </si>
  <si>
    <t>Onion Extract, Urea, Glycerin</t>
  </si>
  <si>
    <t>Magnesium</t>
  </si>
  <si>
    <t>Deodorant, Acne</t>
  </si>
  <si>
    <t>Melaleuca Essential Oil</t>
  </si>
  <si>
    <t>Acne, Dandruff, Oil Control (0,5 - 5)</t>
  </si>
  <si>
    <t>Niacinamide</t>
  </si>
  <si>
    <t>Redness, Renew, Oil Control, BlueLight</t>
  </si>
  <si>
    <t xml:space="preserve">Plumping </t>
  </si>
  <si>
    <t>Firming, Filling</t>
  </si>
  <si>
    <t>Sesamum Indicum Seed Extract, Hyaluronic Acid</t>
  </si>
  <si>
    <t>Green Tea, Soy Protein</t>
  </si>
  <si>
    <t>Hydrolyzed Pea Protein, Comfrey and Onion Extract</t>
  </si>
  <si>
    <t>Redensify, Frizz, Color, brightness (2-5%)</t>
  </si>
  <si>
    <t>Tamanu Ultra Regen</t>
  </si>
  <si>
    <t>Tamanu Oil, Rose Hip Oil</t>
  </si>
  <si>
    <t>Anti Hairloss (0.5-5)</t>
  </si>
  <si>
    <t>Jaborandi Extract</t>
  </si>
  <si>
    <t>Hair Growth</t>
  </si>
  <si>
    <t>N</t>
  </si>
  <si>
    <t>Hyaluronic Acid ECO</t>
  </si>
  <si>
    <t>Rosemary, Salvia, Mint essential oil, Pumpkin Seed Oil, Chamomile, and Panthenol</t>
  </si>
  <si>
    <t>Redensifier (Hair)</t>
  </si>
  <si>
    <t>Caribbean Oil (Hair)</t>
  </si>
  <si>
    <t>Melaleuca ECO (Scalp)</t>
  </si>
  <si>
    <t>Protection ECO (Hair)</t>
  </si>
  <si>
    <t>Liss (Hair)</t>
  </si>
  <si>
    <t>Oil Control ECO (Scalp)</t>
  </si>
  <si>
    <t>Anti Hairloss (2-10) 5%</t>
  </si>
  <si>
    <t>Hair Growth (1-10) 5%</t>
  </si>
  <si>
    <t>Hair Growth (1-10) 2.5%</t>
  </si>
  <si>
    <t>Oil Control, Growth, Repair Hair Structure</t>
  </si>
  <si>
    <t>European Larch</t>
  </si>
  <si>
    <t>Cellulitech (Palmarosa Complex)</t>
  </si>
  <si>
    <t>Whitening, Antiaging</t>
  </si>
  <si>
    <t>Kojic Acid, Licorice extract</t>
  </si>
  <si>
    <t>Skin Healthier ECO</t>
  </si>
  <si>
    <t>HOT</t>
  </si>
  <si>
    <t>Itching off ECO</t>
  </si>
  <si>
    <t>VitC-MAP</t>
  </si>
  <si>
    <t>Cellulitech ECO</t>
  </si>
  <si>
    <t>Age Freeze</t>
  </si>
  <si>
    <t>Sichuan Pepper</t>
  </si>
  <si>
    <t>Anti-Aging, Muscular Relax, Crows feet</t>
  </si>
  <si>
    <t>Grayless</t>
  </si>
  <si>
    <t>European Larch, N-Acetyl Tyrosine, Green Tea, Pea Protein</t>
  </si>
  <si>
    <t>Hair Growth, Grey Hair</t>
  </si>
  <si>
    <t>CelluLight</t>
  </si>
  <si>
    <t>Horsetail plant, Hera, Ginkgo Biloba, Asia Centella Extract, Rosemary</t>
  </si>
  <si>
    <t>Slim, Fir, Drain, Anti-cellulite</t>
  </si>
  <si>
    <t>Delicate Skin ECO</t>
  </si>
  <si>
    <t>Hydratech</t>
  </si>
  <si>
    <t>Ammomium Lactate, Oat Oil</t>
  </si>
  <si>
    <t>Coconut Oil, Linseed, Chamomile, Oat</t>
  </si>
  <si>
    <t>Anti-Sensitive, Cell Regen, Intense Hydration</t>
  </si>
  <si>
    <t>Intense Hydration</t>
  </si>
  <si>
    <t>Wound healing, Reduce Scar</t>
  </si>
  <si>
    <t>Bottle</t>
  </si>
  <si>
    <t>Shipping cost</t>
  </si>
  <si>
    <t>HK To US</t>
  </si>
  <si>
    <t>Product cost</t>
  </si>
  <si>
    <t>Niaci</t>
  </si>
  <si>
    <t>产 品 配 方 单</t>
  </si>
  <si>
    <t>产品名称：保湿修复精华</t>
  </si>
  <si>
    <t>产量：200克</t>
  </si>
  <si>
    <t>规    格：</t>
  </si>
  <si>
    <t>生产日期：2020-10-22</t>
  </si>
  <si>
    <t>原 料 名 称</t>
  </si>
  <si>
    <t>上限</t>
  </si>
  <si>
    <t>百分比%</t>
  </si>
  <si>
    <t>称量(g)</t>
  </si>
  <si>
    <t>单价</t>
  </si>
  <si>
    <t>金额/公斤</t>
  </si>
  <si>
    <t>序号</t>
  </si>
  <si>
    <t>备注</t>
  </si>
  <si>
    <t>水</t>
  </si>
  <si>
    <t>A</t>
  </si>
  <si>
    <t>丁二醇</t>
  </si>
  <si>
    <t>保湿、肤感调理</t>
  </si>
  <si>
    <t>水解HA</t>
  </si>
  <si>
    <t>B</t>
  </si>
  <si>
    <t>保湿抗氧化</t>
  </si>
  <si>
    <t>VSX20</t>
  </si>
  <si>
    <t>稳定体系、保湿</t>
  </si>
  <si>
    <t>200w HA</t>
  </si>
  <si>
    <t>保湿成膜</t>
  </si>
  <si>
    <t>Aristoflex Silk</t>
  </si>
  <si>
    <t>增稠乳化</t>
  </si>
  <si>
    <t>Flyer D-FACTOR水解葡糖氨基葡聚糖</t>
  </si>
  <si>
    <t>保湿、再生、载体</t>
  </si>
  <si>
    <t>海米納 Hidramina</t>
  </si>
  <si>
    <t>保湿修复抗氧化抗皱</t>
  </si>
  <si>
    <t>MG-10E</t>
  </si>
  <si>
    <t>保湿</t>
  </si>
  <si>
    <t>DSM鎖水磁石</t>
  </si>
  <si>
    <t>水通道</t>
  </si>
  <si>
    <t>深层保湿</t>
  </si>
  <si>
    <t>HA矽烷醇EPIDERMOSIL</t>
  </si>
  <si>
    <t>保湿、修复屏障</t>
  </si>
  <si>
    <t>甘露糖醛酯矽烷醇</t>
  </si>
  <si>
    <t>抗衰老</t>
  </si>
  <si>
    <t>燕麥β-葡聚糖</t>
  </si>
  <si>
    <t>保湿、修复</t>
  </si>
  <si>
    <t>酵母發酵產物濾液</t>
  </si>
  <si>
    <t>细胞增殖营养剂</t>
  </si>
  <si>
    <t>複合氨基酸</t>
  </si>
  <si>
    <t>C</t>
  </si>
  <si>
    <t>STRUCTURINE</t>
  </si>
  <si>
    <t>修复屏障</t>
  </si>
  <si>
    <t>Glyco Repair</t>
  </si>
  <si>
    <t>加速皮肤组织修复</t>
  </si>
  <si>
    <t>LB-10</t>
  </si>
  <si>
    <t>促渗透</t>
  </si>
  <si>
    <t>藥物層孔菌LARICYL® LS 8865</t>
  </si>
  <si>
    <t>收缩毛孔</t>
  </si>
  <si>
    <t>Neurobiox</t>
  </si>
  <si>
    <t>加速新陈代谢</t>
  </si>
  <si>
    <t>A00297 PATCH20</t>
  </si>
  <si>
    <t>长效保湿</t>
  </si>
  <si>
    <t>抗敏、舒敏</t>
  </si>
  <si>
    <t>蝸牛提取液</t>
  </si>
  <si>
    <t>植物舒敏劑SGS</t>
  </si>
  <si>
    <t>抗敏</t>
  </si>
  <si>
    <t>納米藍薊油</t>
  </si>
  <si>
    <t>修复、抗炎</t>
  </si>
  <si>
    <t>極美絲</t>
  </si>
  <si>
    <t>抗炎修复</t>
  </si>
  <si>
    <t>HYDRASENSE潤之保濕劑</t>
  </si>
  <si>
    <t>生物糖膠-1</t>
  </si>
  <si>
    <t>生態營養液</t>
  </si>
  <si>
    <t>抑制非益生菌</t>
  </si>
  <si>
    <t>檸檬酸</t>
  </si>
  <si>
    <t>PHL</t>
  </si>
  <si>
    <t>D</t>
  </si>
  <si>
    <t>抑菌剂</t>
  </si>
  <si>
    <t>玫瑰精油</t>
  </si>
  <si>
    <t>天然香料</t>
  </si>
  <si>
    <t>简单工艺：1、A相加热80度，搅拌20分钟</t>
  </si>
  <si>
    <t>2、B相用干燥烧杯混合均匀，45度以下加入搅拌5分钟</t>
  </si>
  <si>
    <t>3、C相45度以下逐个加入，搅拌5分钟</t>
  </si>
  <si>
    <t>4、D相45度以下加入，搅拌5分钟</t>
  </si>
  <si>
    <t>Base Cost 30ml</t>
  </si>
  <si>
    <t>Nia</t>
  </si>
  <si>
    <t>Selling Price</t>
  </si>
  <si>
    <t>Total Cost</t>
  </si>
  <si>
    <t>Import Tax</t>
  </si>
  <si>
    <t>x</t>
  </si>
  <si>
    <t>Box</t>
  </si>
  <si>
    <t>Profit before Marketing</t>
  </si>
  <si>
    <t>Tiktok</t>
  </si>
  <si>
    <t>Caf5%+EGCG</t>
  </si>
  <si>
    <t>Caviar Extract, D-Panthenol (B5), Hyaluronic Acid</t>
  </si>
  <si>
    <t>HA2%+B5</t>
  </si>
  <si>
    <t>Nia1+Zn1</t>
  </si>
  <si>
    <t>VitC+HA Cream</t>
  </si>
  <si>
    <t>Acne/Oil/Pore/Blemish</t>
  </si>
  <si>
    <t>Shipping Cost</t>
  </si>
  <si>
    <t>Pick and Pack</t>
  </si>
  <si>
    <t>Local Delivery</t>
  </si>
  <si>
    <t>Warehouse</t>
  </si>
  <si>
    <t>Nano Niacinamide</t>
  </si>
  <si>
    <t>HK To CN</t>
  </si>
  <si>
    <t>Hydracollagreen</t>
  </si>
  <si>
    <t>Nano hyalocollagreen</t>
  </si>
  <si>
    <t>Nano Luminous Eye</t>
  </si>
  <si>
    <t xml:space="preserve">Nano Caffeine </t>
  </si>
  <si>
    <t>Dark Circle</t>
  </si>
  <si>
    <t>Signs of Aging</t>
  </si>
  <si>
    <t>Retinol 0.2%</t>
  </si>
  <si>
    <t>Dryness/Dehydration</t>
  </si>
  <si>
    <t>Soothing&amp;BarrierSupport Serum</t>
  </si>
  <si>
    <t>Redness(Sensitive)</t>
  </si>
  <si>
    <t>DelicateSkin</t>
  </si>
  <si>
    <t>Pigmentation</t>
  </si>
  <si>
    <t>Absorbic Acid</t>
  </si>
  <si>
    <t>产品名称：护发氨基酸洗发水</t>
  </si>
  <si>
    <t>产量：200g</t>
  </si>
  <si>
    <t>日期：2021-04-09</t>
  </si>
  <si>
    <t>规格</t>
  </si>
  <si>
    <t>每料用量(g)</t>
  </si>
  <si>
    <t>金额</t>
  </si>
  <si>
    <t>序</t>
  </si>
  <si>
    <t>操作工艺</t>
  </si>
  <si>
    <t>产地</t>
  </si>
  <si>
    <t>GLI 21</t>
  </si>
  <si>
    <t>增殖营养剂</t>
  </si>
  <si>
    <t>进口</t>
  </si>
  <si>
    <t>十六十八醇</t>
  </si>
  <si>
    <t>保湿、增稠</t>
  </si>
  <si>
    <t>EDTA</t>
  </si>
  <si>
    <t>增稠</t>
  </si>
  <si>
    <t>CMEA</t>
  </si>
  <si>
    <t>CAB</t>
  </si>
  <si>
    <t>台湾</t>
  </si>
  <si>
    <t>泛醇</t>
  </si>
  <si>
    <t>法国</t>
  </si>
  <si>
    <t>水解角蛋白 WK-GB</t>
  </si>
  <si>
    <t>防晒护发、护色</t>
  </si>
  <si>
    <t>日本</t>
  </si>
  <si>
    <t>WKP</t>
  </si>
  <si>
    <t>护发、抗静电、定型</t>
  </si>
  <si>
    <t>美国</t>
  </si>
  <si>
    <t>聚銨鹽-7</t>
  </si>
  <si>
    <t>抗打结</t>
  </si>
  <si>
    <t>大乳化硅油</t>
  </si>
  <si>
    <t>顺滑，光亮</t>
  </si>
  <si>
    <t>小乳化硅油</t>
  </si>
  <si>
    <t>氨基硅油</t>
  </si>
  <si>
    <t>APG</t>
  </si>
  <si>
    <t>SF-1</t>
  </si>
  <si>
    <t>PhytoCellTec Malus Domestica</t>
  </si>
  <si>
    <t>葡萄柚籽提取物</t>
  </si>
  <si>
    <t>杀菌、去屑</t>
  </si>
  <si>
    <t>香精</t>
  </si>
  <si>
    <t>控油精油</t>
  </si>
  <si>
    <t>巴西</t>
  </si>
  <si>
    <t>简单工艺：1、A相80度搅拌20分钟</t>
  </si>
  <si>
    <t>2、B、C相45度搅拌20分钟</t>
  </si>
  <si>
    <t>3、D相45度搅拌20分钟</t>
  </si>
  <si>
    <t>Nano ReGrowth</t>
  </si>
  <si>
    <t>产品名称：防脱喷雾</t>
  </si>
  <si>
    <t>日期：2020-07-03</t>
  </si>
  <si>
    <t>羥乙基纖維素</t>
  </si>
  <si>
    <t>金銀花提取物</t>
  </si>
  <si>
    <t>控油杀菌</t>
  </si>
  <si>
    <t>綠酚</t>
  </si>
  <si>
    <t>抗自由基、消炎</t>
  </si>
  <si>
    <t>祛痘因數</t>
  </si>
  <si>
    <t>杀菌控油</t>
  </si>
  <si>
    <t>Agreyist</t>
  </si>
  <si>
    <t>0.5-2</t>
  </si>
  <si>
    <t>Anageline</t>
  </si>
  <si>
    <t>1-10</t>
  </si>
  <si>
    <t>羅勒毛狀根提取物</t>
  </si>
  <si>
    <t>1-3</t>
  </si>
  <si>
    <t>育发</t>
  </si>
  <si>
    <t>納米生髮劑</t>
  </si>
  <si>
    <t>藍銅勝肽</t>
  </si>
  <si>
    <t>辣木籽提取物</t>
  </si>
  <si>
    <t>抗炎杀菌</t>
  </si>
  <si>
    <t>Hydrolyzed Collagen</t>
  </si>
  <si>
    <t>水解角蛋白</t>
  </si>
  <si>
    <t>育发、黑发</t>
  </si>
  <si>
    <t>Vitacera MI 肌醇</t>
  </si>
  <si>
    <t>再生</t>
  </si>
  <si>
    <t>0.3-1</t>
  </si>
  <si>
    <t>杀菌止痒</t>
  </si>
  <si>
    <t>HPS</t>
  </si>
  <si>
    <t>金縷梅提取物</t>
  </si>
  <si>
    <t>1-5</t>
  </si>
  <si>
    <t>Anargy育發複合肽</t>
  </si>
  <si>
    <t>产品名称：生发喷雾</t>
  </si>
  <si>
    <t>日期：2020-10-08</t>
  </si>
  <si>
    <t>韩国</t>
  </si>
  <si>
    <t>0.5-5%</t>
  </si>
  <si>
    <t>瑞士</t>
  </si>
  <si>
    <t>GY</t>
  </si>
  <si>
    <t>DN-Age</t>
  </si>
  <si>
    <t>利蒙貝爾</t>
  </si>
  <si>
    <t>1-10%</t>
  </si>
  <si>
    <t>育发、防脱</t>
  </si>
  <si>
    <t>西班牙</t>
  </si>
  <si>
    <t>納米控油精油</t>
  </si>
  <si>
    <t>增溶</t>
  </si>
  <si>
    <t>R-Growth (Scalp) 5%</t>
  </si>
  <si>
    <t>Eyelashes ECO (Scalp) 5%</t>
  </si>
  <si>
    <t>Caffeine ECO (Scalp) 2.5%</t>
  </si>
  <si>
    <t>Regrowth</t>
  </si>
  <si>
    <t>EyeLashes</t>
  </si>
  <si>
    <t>2.5-5%</t>
  </si>
  <si>
    <t>2-10%</t>
  </si>
  <si>
    <t>聚銨鹽-52</t>
  </si>
  <si>
    <t>产品名称：洗面沐浴泡沫</t>
  </si>
  <si>
    <t>日期：2021-03-11</t>
  </si>
  <si>
    <t>羟乙基纤维素</t>
  </si>
  <si>
    <t>络合离子</t>
  </si>
  <si>
    <t>甘油</t>
  </si>
  <si>
    <t>K-20W</t>
  </si>
  <si>
    <t>滋润</t>
  </si>
  <si>
    <t>产品名称：祛味喷雾</t>
  </si>
  <si>
    <t>日期：2020-12-23</t>
  </si>
  <si>
    <t>HP100</t>
  </si>
  <si>
    <t>广谱杀菌</t>
  </si>
  <si>
    <t>德国</t>
  </si>
  <si>
    <t>绿酚</t>
  </si>
  <si>
    <t>杀菌</t>
  </si>
  <si>
    <t>植物舒敏剂SGS</t>
  </si>
  <si>
    <t>超级除味剂</t>
  </si>
  <si>
    <t>控油抗炎去屑</t>
  </si>
  <si>
    <t>2-20%</t>
  </si>
  <si>
    <t>COS-20</t>
  </si>
  <si>
    <t>3-5%</t>
  </si>
  <si>
    <t>PS-M</t>
  </si>
  <si>
    <t>0.3-1%</t>
  </si>
  <si>
    <t>肌醇</t>
  </si>
  <si>
    <t>T96</t>
  </si>
  <si>
    <t>澳大利亚</t>
  </si>
  <si>
    <t>100克成本</t>
  </si>
  <si>
    <t>Ex</t>
  </si>
  <si>
    <t>Salicylic</t>
  </si>
  <si>
    <t>Nano Retinol</t>
  </si>
  <si>
    <t>Nano Caviar</t>
  </si>
  <si>
    <t>Nano Melaleuca</t>
  </si>
  <si>
    <t>Acne, Oil Control, Dark Circle, Hair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</si>
</sst>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R$&quot;* #,##0.00_-;\-&quot;R$&quot;* #,##0.00_-;_-&quot;R$&quot;* &quot;-&quot;??_-;_-@_-"/>
    <numFmt numFmtId="165" formatCode="_([$$-409]* #,##0.00_);_([$$-409]* \(#,##0.00\);_([$$-409]* &quot;-&quot;??_);_(@_)"/>
    <numFmt numFmtId="166" formatCode="0.0%"/>
  </numFmts>
  <fonts count="14">
    <font>
      <sz val="11"/>
      <color theme="1"/>
      <name val="Calibri"/>
      <family val="2"/>
      <scheme val="minor"/>
    </font>
    <font>
      <sz val="11"/>
      <color theme="1"/>
      <name val="Calibri"/>
      <family val="2"/>
      <scheme val="minor"/>
    </font>
    <font>
      <sz val="8"/>
      <color theme="1"/>
      <name val="Calibri"/>
      <family val="2"/>
      <scheme val="minor"/>
    </font>
    <font>
      <sz val="8"/>
      <name val="Calibri"/>
      <family val="2"/>
    </font>
    <font>
      <sz val="8"/>
      <color theme="1"/>
      <name val="Calibri"/>
      <family val="2"/>
    </font>
    <font>
      <sz val="8"/>
      <color rgb="FF000000"/>
      <name val="Calibri"/>
      <family val="2"/>
    </font>
    <font>
      <sz val="8"/>
      <color theme="0"/>
      <name val="Calibri"/>
      <family val="2"/>
    </font>
    <font>
      <sz val="8"/>
      <color theme="7" tint="-0.249977111117893"/>
      <name val="Calibri"/>
      <family val="2"/>
    </font>
    <font>
      <sz val="12"/>
      <name val="宋体"/>
      <charset val="134"/>
    </font>
    <font>
      <b/>
      <sz val="16"/>
      <name val="宋体"/>
      <charset val="134"/>
    </font>
    <font>
      <sz val="14"/>
      <name val="宋体"/>
      <charset val="134"/>
    </font>
    <font>
      <sz val="11"/>
      <color indexed="8"/>
      <name val="宋体"/>
      <charset val="134"/>
    </font>
    <font>
      <sz val="12"/>
      <color indexed="8"/>
      <name val="宋体"/>
      <charset val="134"/>
    </font>
    <font>
      <sz val="9"/>
      <color indexed="8"/>
      <name val="宋体"/>
      <charset val="134"/>
    </font>
  </fonts>
  <fills count="11">
    <fill>
      <patternFill patternType="none"/>
    </fill>
    <fill>
      <patternFill patternType="gray125"/>
    </fill>
    <fill>
      <patternFill patternType="solid">
        <fgColor rgb="FF8EA9DB"/>
        <bgColor indexed="64"/>
      </patternFill>
    </fill>
    <fill>
      <patternFill patternType="solid">
        <fgColor rgb="FF00B0F0"/>
        <bgColor indexed="64"/>
      </patternFill>
    </fill>
    <fill>
      <patternFill patternType="solid">
        <fgColor rgb="FFB4C6E7"/>
        <bgColor indexed="64"/>
      </patternFill>
    </fill>
    <fill>
      <patternFill patternType="solid">
        <fgColor rgb="FFC6E0B4"/>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indexed="13"/>
        <bgColor indexed="64"/>
      </patternFill>
    </fill>
    <fill>
      <patternFill patternType="solid">
        <fgColor theme="4" tint="0.79998168889431442"/>
        <bgColor theme="4" tint="0.79998168889431442"/>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style="thin">
        <color theme="4" tint="0.39997558519241921"/>
      </right>
      <top style="thin">
        <color theme="4" tint="0.39997558519241921"/>
      </top>
      <bottom style="thin">
        <color theme="4" tint="0.39997558519241921"/>
      </bottom>
      <diagonal/>
    </border>
    <border>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auto="1"/>
      </right>
      <top style="thin">
        <color auto="1"/>
      </top>
      <bottom/>
      <diagonal/>
    </border>
    <border>
      <left/>
      <right/>
      <top/>
      <bottom style="thin">
        <color indexed="64"/>
      </bottom>
      <diagonal/>
    </border>
    <border>
      <left style="thin">
        <color theme="4" tint="0.39997558519241921"/>
      </left>
      <right/>
      <top style="thin">
        <color theme="4" tint="0.39997558519241921"/>
      </top>
      <bottom style="thin">
        <color theme="4" tint="0.39997558519241921"/>
      </bottom>
      <diagonal/>
    </border>
  </borders>
  <cellStyleXfs count="11">
    <xf numFmtId="0" fontId="0" fillId="0" borderId="0"/>
    <xf numFmtId="164" fontId="1" fillId="0" borderId="0" applyFont="0" applyFill="0" applyBorder="0" applyAlignment="0" applyProtection="0"/>
    <xf numFmtId="9" fontId="1" fillId="0" borderId="0" applyFont="0" applyFill="0" applyBorder="0" applyAlignment="0" applyProtection="0"/>
    <xf numFmtId="0" fontId="8" fillId="0" borderId="0"/>
    <xf numFmtId="0" fontId="11" fillId="0" borderId="0">
      <alignment vertical="center"/>
    </xf>
    <xf numFmtId="0" fontId="8" fillId="0" borderId="0">
      <alignment vertical="center"/>
    </xf>
    <xf numFmtId="0" fontId="11" fillId="0" borderId="0">
      <alignment vertical="center"/>
    </xf>
    <xf numFmtId="0" fontId="8" fillId="0" borderId="0"/>
    <xf numFmtId="0" fontId="8" fillId="0" borderId="0"/>
    <xf numFmtId="0" fontId="8" fillId="0" borderId="0">
      <alignment vertical="center"/>
    </xf>
    <xf numFmtId="0" fontId="8" fillId="0" borderId="0"/>
  </cellStyleXfs>
  <cellXfs count="139">
    <xf numFmtId="0" fontId="0" fillId="0" borderId="0" xfId="0"/>
    <xf numFmtId="0" fontId="2" fillId="0" borderId="1" xfId="0" applyFont="1" applyBorder="1" applyAlignment="1">
      <alignment horizontal="left" vertical="top"/>
    </xf>
    <xf numFmtId="2" fontId="3" fillId="2" borderId="1" xfId="0" applyNumberFormat="1" applyFont="1" applyFill="1" applyBorder="1" applyAlignment="1">
      <alignment horizontal="left" vertical="top" wrapText="1"/>
    </xf>
    <xf numFmtId="165" fontId="3" fillId="2" borderId="1" xfId="1" applyNumberFormat="1" applyFont="1" applyFill="1" applyBorder="1" applyAlignment="1">
      <alignment horizontal="left" vertical="top" wrapText="1"/>
    </xf>
    <xf numFmtId="0" fontId="2" fillId="0" borderId="0" xfId="0" applyFont="1" applyAlignment="1">
      <alignment horizontal="left" vertical="top"/>
    </xf>
    <xf numFmtId="0" fontId="3" fillId="7" borderId="1" xfId="0" applyFont="1" applyFill="1" applyBorder="1" applyAlignment="1">
      <alignment horizontal="left" vertical="top"/>
    </xf>
    <xf numFmtId="165" fontId="3" fillId="7" borderId="1" xfId="1" applyNumberFormat="1" applyFont="1" applyFill="1" applyBorder="1" applyAlignment="1">
      <alignment horizontal="left" vertical="top"/>
    </xf>
    <xf numFmtId="165" fontId="4" fillId="7" borderId="1" xfId="1" applyNumberFormat="1" applyFont="1" applyFill="1" applyBorder="1" applyAlignment="1">
      <alignment horizontal="left" vertical="top"/>
    </xf>
    <xf numFmtId="165" fontId="2" fillId="0" borderId="1" xfId="0" applyNumberFormat="1" applyFont="1" applyBorder="1" applyAlignment="1">
      <alignment horizontal="left" vertical="top"/>
    </xf>
    <xf numFmtId="0" fontId="2" fillId="0" borderId="1" xfId="0" applyFont="1" applyBorder="1" applyAlignment="1">
      <alignment horizontal="left" vertical="top" wrapText="1"/>
    </xf>
    <xf numFmtId="165" fontId="2" fillId="0" borderId="0" xfId="0" applyNumberFormat="1" applyFont="1" applyAlignment="1">
      <alignment horizontal="left" vertical="top"/>
    </xf>
    <xf numFmtId="0" fontId="3" fillId="7" borderId="1" xfId="0" applyFont="1" applyFill="1" applyBorder="1" applyAlignment="1">
      <alignment horizontal="left" vertical="top" wrapText="1"/>
    </xf>
    <xf numFmtId="9" fontId="2" fillId="0" borderId="1" xfId="0" applyNumberFormat="1" applyFont="1" applyBorder="1" applyAlignment="1">
      <alignment horizontal="left" vertical="top" wrapText="1"/>
    </xf>
    <xf numFmtId="0" fontId="4" fillId="7" borderId="1" xfId="0" applyFont="1" applyFill="1" applyBorder="1" applyAlignment="1">
      <alignment horizontal="left" vertical="top" wrapText="1"/>
    </xf>
    <xf numFmtId="0" fontId="3" fillId="3" borderId="1" xfId="0" applyFont="1" applyFill="1" applyBorder="1" applyAlignment="1">
      <alignment horizontal="left" vertical="top"/>
    </xf>
    <xf numFmtId="0" fontId="3" fillId="3" borderId="1" xfId="0" applyFont="1" applyFill="1" applyBorder="1" applyAlignment="1">
      <alignment horizontal="left" vertical="top" wrapText="1"/>
    </xf>
    <xf numFmtId="165" fontId="3" fillId="3" borderId="1" xfId="1" applyNumberFormat="1" applyFont="1" applyFill="1" applyBorder="1" applyAlignment="1">
      <alignment horizontal="left" vertical="top"/>
    </xf>
    <xf numFmtId="165" fontId="4" fillId="3" borderId="1" xfId="1" applyNumberFormat="1" applyFont="1" applyFill="1" applyBorder="1" applyAlignment="1">
      <alignment horizontal="left" vertical="top"/>
    </xf>
    <xf numFmtId="0" fontId="4" fillId="3" borderId="1" xfId="0" applyFont="1" applyFill="1" applyBorder="1" applyAlignment="1">
      <alignment horizontal="left" vertical="top" wrapText="1"/>
    </xf>
    <xf numFmtId="165" fontId="5" fillId="3" borderId="1" xfId="1" applyNumberFormat="1" applyFont="1" applyFill="1" applyBorder="1" applyAlignment="1">
      <alignment horizontal="left" vertical="top" wrapText="1"/>
    </xf>
    <xf numFmtId="0" fontId="4" fillId="4" borderId="1" xfId="0" applyFont="1" applyFill="1" applyBorder="1" applyAlignment="1">
      <alignment horizontal="left" vertical="top" wrapText="1"/>
    </xf>
    <xf numFmtId="165" fontId="5" fillId="4" borderId="1" xfId="1" applyNumberFormat="1" applyFont="1" applyFill="1" applyBorder="1" applyAlignment="1">
      <alignment horizontal="left" vertical="top" wrapText="1"/>
    </xf>
    <xf numFmtId="0" fontId="5" fillId="4" borderId="1" xfId="0" applyFont="1" applyFill="1" applyBorder="1" applyAlignment="1">
      <alignment horizontal="left" vertical="top" wrapText="1"/>
    </xf>
    <xf numFmtId="0" fontId="5" fillId="6" borderId="1" xfId="0" applyFont="1" applyFill="1" applyBorder="1" applyAlignment="1">
      <alignment horizontal="left" vertical="top" wrapText="1"/>
    </xf>
    <xf numFmtId="165" fontId="5" fillId="6" borderId="1" xfId="1" applyNumberFormat="1" applyFont="1" applyFill="1" applyBorder="1" applyAlignment="1">
      <alignment horizontal="left" vertical="top" wrapText="1"/>
    </xf>
    <xf numFmtId="0" fontId="5" fillId="5" borderId="1" xfId="0" applyFont="1" applyFill="1" applyBorder="1" applyAlignment="1">
      <alignment horizontal="left" vertical="top" wrapText="1"/>
    </xf>
    <xf numFmtId="165" fontId="5" fillId="5" borderId="1" xfId="1" applyNumberFormat="1" applyFont="1" applyFill="1" applyBorder="1" applyAlignment="1">
      <alignment horizontal="left" vertical="top" wrapText="1"/>
    </xf>
    <xf numFmtId="0" fontId="3" fillId="6" borderId="1" xfId="0" applyFont="1" applyFill="1" applyBorder="1" applyAlignment="1">
      <alignment horizontal="left" vertical="top"/>
    </xf>
    <xf numFmtId="0" fontId="3" fillId="6" borderId="1" xfId="0" applyFont="1" applyFill="1" applyBorder="1" applyAlignment="1">
      <alignment horizontal="left" vertical="top" wrapText="1"/>
    </xf>
    <xf numFmtId="165" fontId="3" fillId="6" borderId="1" xfId="1" applyNumberFormat="1" applyFont="1" applyFill="1" applyBorder="1" applyAlignment="1">
      <alignment horizontal="left" vertical="top"/>
    </xf>
    <xf numFmtId="165" fontId="4" fillId="6" borderId="1" xfId="1" applyNumberFormat="1" applyFont="1" applyFill="1" applyBorder="1" applyAlignment="1">
      <alignment horizontal="left" vertical="top"/>
    </xf>
    <xf numFmtId="0" fontId="5" fillId="0" borderId="1" xfId="0" applyFont="1" applyBorder="1" applyAlignment="1">
      <alignment horizontal="left" vertical="top" wrapText="1"/>
    </xf>
    <xf numFmtId="0" fontId="2" fillId="0" borderId="0" xfId="0" applyFont="1" applyAlignment="1">
      <alignment horizontal="left" vertical="top" wrapText="1"/>
    </xf>
    <xf numFmtId="165" fontId="2" fillId="0" borderId="0" xfId="1" applyNumberFormat="1" applyFont="1" applyAlignment="1">
      <alignment horizontal="left" vertical="top"/>
    </xf>
    <xf numFmtId="0" fontId="5" fillId="3" borderId="1" xfId="0" applyFont="1" applyFill="1" applyBorder="1" applyAlignment="1">
      <alignment horizontal="left" vertical="top" wrapText="1"/>
    </xf>
    <xf numFmtId="0" fontId="6" fillId="7" borderId="1" xfId="0" applyFont="1" applyFill="1" applyBorder="1" applyAlignment="1">
      <alignment horizontal="left" vertical="top"/>
    </xf>
    <xf numFmtId="0" fontId="6" fillId="4" borderId="1" xfId="0" applyFont="1" applyFill="1" applyBorder="1" applyAlignment="1">
      <alignment horizontal="left" vertical="top" wrapText="1"/>
    </xf>
    <xf numFmtId="0" fontId="7" fillId="7" borderId="1" xfId="0" applyFont="1" applyFill="1" applyBorder="1" applyAlignment="1">
      <alignment horizontal="left" vertical="top"/>
    </xf>
    <xf numFmtId="0" fontId="6" fillId="6"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8" fillId="0" borderId="0" xfId="3" applyAlignment="1">
      <alignment vertical="center"/>
    </xf>
    <xf numFmtId="0" fontId="9" fillId="8" borderId="0" xfId="3" applyFont="1" applyFill="1" applyAlignment="1">
      <alignment horizontal="left" vertical="center"/>
    </xf>
    <xf numFmtId="0" fontId="8" fillId="8" borderId="0" xfId="3" applyFill="1" applyAlignment="1">
      <alignment vertical="center"/>
    </xf>
    <xf numFmtId="0" fontId="8" fillId="0" borderId="0" xfId="3" applyAlignment="1">
      <alignment horizontal="center"/>
    </xf>
    <xf numFmtId="0" fontId="10" fillId="0" borderId="0" xfId="3" applyFont="1"/>
    <xf numFmtId="0" fontId="8" fillId="0" borderId="0" xfId="3" applyAlignment="1">
      <alignment horizontal="left" vertical="center"/>
    </xf>
    <xf numFmtId="0" fontId="8" fillId="0" borderId="0" xfId="3" applyAlignment="1">
      <alignment horizontal="center" vertical="center"/>
    </xf>
    <xf numFmtId="0" fontId="8" fillId="0" borderId="1" xfId="3" applyBorder="1" applyAlignment="1">
      <alignment horizontal="center" vertical="center"/>
    </xf>
    <xf numFmtId="0" fontId="8" fillId="0" borderId="1" xfId="3" applyBorder="1" applyAlignment="1">
      <alignment horizontal="center" vertical="center" shrinkToFit="1"/>
    </xf>
    <xf numFmtId="0" fontId="8" fillId="0" borderId="2" xfId="3" applyBorder="1" applyAlignment="1">
      <alignment horizontal="center" vertical="center"/>
    </xf>
    <xf numFmtId="0" fontId="11" fillId="0" borderId="1" xfId="4" applyBorder="1" applyAlignment="1">
      <alignment horizontal="left" vertical="center"/>
    </xf>
    <xf numFmtId="0" fontId="8" fillId="0" borderId="1" xfId="3" applyBorder="1"/>
    <xf numFmtId="0" fontId="8" fillId="0" borderId="3" xfId="3" applyBorder="1"/>
    <xf numFmtId="0" fontId="8" fillId="0" borderId="2" xfId="3" applyBorder="1" applyAlignment="1">
      <alignment horizontal="center"/>
    </xf>
    <xf numFmtId="0" fontId="11" fillId="0" borderId="1" xfId="0" applyFont="1" applyBorder="1" applyAlignment="1">
      <alignment horizontal="center" vertical="center"/>
    </xf>
    <xf numFmtId="0" fontId="0" fillId="9" borderId="4" xfId="0" applyFill="1" applyBorder="1" applyAlignment="1">
      <alignment vertical="center"/>
    </xf>
    <xf numFmtId="9" fontId="0" fillId="9" borderId="4" xfId="2" applyFont="1" applyFill="1" applyBorder="1" applyAlignment="1">
      <alignment horizontal="left" vertical="center"/>
    </xf>
    <xf numFmtId="2" fontId="0" fillId="9" borderId="0" xfId="2" applyNumberFormat="1" applyFont="1" applyFill="1" applyBorder="1" applyAlignment="1">
      <alignment horizontal="left" vertical="center"/>
    </xf>
    <xf numFmtId="0" fontId="11" fillId="0" borderId="5" xfId="5" applyFont="1" applyBorder="1" applyAlignment="1">
      <alignment horizontal="left" vertical="center"/>
    </xf>
    <xf numFmtId="0" fontId="12" fillId="0" borderId="1" xfId="4" applyFont="1" applyBorder="1" applyAlignment="1">
      <alignment horizontal="center" vertical="center"/>
    </xf>
    <xf numFmtId="0" fontId="11" fillId="0" borderId="1" xfId="5" applyFont="1" applyBorder="1" applyAlignment="1">
      <alignment horizontal="center" vertical="center"/>
    </xf>
    <xf numFmtId="0" fontId="11" fillId="0" borderId="6" xfId="0" applyFont="1" applyBorder="1" applyAlignment="1">
      <alignment horizontal="center" vertical="center"/>
    </xf>
    <xf numFmtId="0" fontId="8" fillId="0" borderId="6" xfId="3" applyBorder="1" applyAlignment="1">
      <alignment horizontal="center"/>
    </xf>
    <xf numFmtId="0" fontId="11" fillId="0" borderId="1" xfId="6" applyBorder="1" applyAlignment="1">
      <alignment horizontal="left" vertical="center"/>
    </xf>
    <xf numFmtId="0" fontId="8" fillId="0" borderId="1" xfId="7" applyBorder="1"/>
    <xf numFmtId="0" fontId="8" fillId="0" borderId="1" xfId="7" applyBorder="1" applyAlignment="1">
      <alignment horizontal="center" vertical="center"/>
    </xf>
    <xf numFmtId="0" fontId="11" fillId="0" borderId="1" xfId="4" applyBorder="1" applyAlignment="1">
      <alignment horizontal="center" vertical="center" shrinkToFit="1"/>
    </xf>
    <xf numFmtId="0" fontId="8" fillId="0" borderId="7" xfId="3" applyBorder="1" applyAlignment="1">
      <alignment horizontal="center"/>
    </xf>
    <xf numFmtId="0" fontId="0" fillId="0" borderId="0" xfId="0" applyAlignment="1">
      <alignment vertical="center" shrinkToFit="1"/>
    </xf>
    <xf numFmtId="0" fontId="11" fillId="0" borderId="2" xfId="0" applyFont="1" applyBorder="1" applyAlignment="1">
      <alignment horizontal="center" vertical="center"/>
    </xf>
    <xf numFmtId="0" fontId="8" fillId="0" borderId="1" xfId="8" applyBorder="1" applyAlignment="1">
      <alignment horizontal="left" vertical="center"/>
    </xf>
    <xf numFmtId="0" fontId="0" fillId="0" borderId="1" xfId="0" applyBorder="1" applyAlignment="1">
      <alignment vertical="center" shrinkToFit="1"/>
    </xf>
    <xf numFmtId="0" fontId="13" fillId="0" borderId="1" xfId="4" applyFont="1" applyBorder="1" applyAlignment="1">
      <alignment horizontal="left" vertical="center"/>
    </xf>
    <xf numFmtId="0" fontId="0" fillId="0" borderId="1" xfId="0" applyBorder="1" applyAlignment="1">
      <alignment vertical="center"/>
    </xf>
    <xf numFmtId="0" fontId="8" fillId="0" borderId="1" xfId="9" applyBorder="1" applyAlignment="1">
      <alignment horizontal="center" vertical="center"/>
    </xf>
    <xf numFmtId="0" fontId="0" fillId="0" borderId="6" xfId="0" applyBorder="1" applyAlignment="1">
      <alignment horizontal="center" vertical="center"/>
    </xf>
    <xf numFmtId="0" fontId="11" fillId="0" borderId="1" xfId="0" applyFont="1" applyBorder="1" applyAlignment="1">
      <alignment horizontal="left" vertical="center"/>
    </xf>
    <xf numFmtId="0" fontId="11" fillId="0" borderId="5" xfId="4" applyBorder="1" applyAlignment="1">
      <alignment horizontal="left" vertical="center"/>
    </xf>
    <xf numFmtId="0" fontId="8" fillId="0" borderId="7" xfId="3" applyBorder="1" applyAlignment="1">
      <alignment horizontal="center" vertical="center"/>
    </xf>
    <xf numFmtId="0" fontId="11" fillId="0" borderId="8" xfId="5" applyFont="1" applyBorder="1" applyAlignment="1">
      <alignment horizontal="left" vertical="center"/>
    </xf>
    <xf numFmtId="0" fontId="12" fillId="0" borderId="2" xfId="4" applyFont="1" applyBorder="1" applyAlignment="1">
      <alignment horizontal="center" vertical="center"/>
    </xf>
    <xf numFmtId="0" fontId="8" fillId="0" borderId="2" xfId="3" applyBorder="1"/>
    <xf numFmtId="0" fontId="8" fillId="0" borderId="1" xfId="10" applyBorder="1"/>
    <xf numFmtId="0" fontId="11" fillId="0" borderId="7" xfId="0" applyFont="1" applyBorder="1" applyAlignment="1">
      <alignment horizontal="center" vertical="center"/>
    </xf>
    <xf numFmtId="0" fontId="12" fillId="0" borderId="1" xfId="4" applyFont="1" applyBorder="1" applyAlignment="1">
      <alignment horizontal="center"/>
    </xf>
    <xf numFmtId="0" fontId="8" fillId="0" borderId="1" xfId="3" applyBorder="1" applyAlignment="1">
      <alignment horizontal="right" vertical="center"/>
    </xf>
    <xf numFmtId="0" fontId="8" fillId="0" borderId="1" xfId="3" applyBorder="1" applyAlignment="1">
      <alignment horizontal="center"/>
    </xf>
    <xf numFmtId="0" fontId="8" fillId="0" borderId="0" xfId="3"/>
    <xf numFmtId="0" fontId="8" fillId="0" borderId="0" xfId="3" applyAlignment="1">
      <alignment horizontal="right" vertical="center"/>
    </xf>
    <xf numFmtId="0" fontId="11" fillId="0" borderId="0" xfId="0" applyFont="1" applyAlignment="1">
      <alignment horizontal="left" vertical="center"/>
    </xf>
    <xf numFmtId="0" fontId="0" fillId="0" borderId="0" xfId="0" applyAlignment="1">
      <alignment vertical="center"/>
    </xf>
    <xf numFmtId="0" fontId="11" fillId="0" borderId="0" xfId="0" applyFont="1" applyAlignment="1">
      <alignment vertical="center"/>
    </xf>
    <xf numFmtId="9" fontId="0" fillId="0" borderId="0" xfId="0" applyNumberFormat="1"/>
    <xf numFmtId="2" fontId="0" fillId="0" borderId="0" xfId="0" applyNumberFormat="1"/>
    <xf numFmtId="0" fontId="11" fillId="10" borderId="1" xfId="4" applyFill="1" applyBorder="1" applyAlignment="1">
      <alignment horizontal="left" vertical="center"/>
    </xf>
    <xf numFmtId="0" fontId="11" fillId="0" borderId="9" xfId="0" applyFont="1" applyBorder="1" applyAlignment="1">
      <alignment vertical="center"/>
    </xf>
    <xf numFmtId="0" fontId="9" fillId="0" borderId="9" xfId="0" applyFont="1" applyBorder="1" applyAlignment="1">
      <alignment horizontal="left" vertical="center"/>
    </xf>
    <xf numFmtId="0" fontId="11" fillId="0" borderId="9" xfId="0" applyFont="1" applyBorder="1" applyAlignment="1">
      <alignment horizontal="center" vertical="center"/>
    </xf>
    <xf numFmtId="0" fontId="10" fillId="0" borderId="7" xfId="0" applyFont="1" applyBorder="1"/>
    <xf numFmtId="0" fontId="11" fillId="0" borderId="7" xfId="0" applyFont="1" applyBorder="1" applyAlignment="1">
      <alignment horizontal="left" vertical="center"/>
    </xf>
    <xf numFmtId="0" fontId="11" fillId="0" borderId="7" xfId="0" applyFont="1" applyBorder="1" applyAlignment="1">
      <alignment vertical="center"/>
    </xf>
    <xf numFmtId="0" fontId="10" fillId="0" borderId="1" xfId="0" applyFont="1" applyBorder="1"/>
    <xf numFmtId="0" fontId="11" fillId="0" borderId="1" xfId="0" applyFont="1" applyBorder="1" applyAlignment="1">
      <alignment vertical="center"/>
    </xf>
    <xf numFmtId="0" fontId="11" fillId="0" borderId="1" xfId="0" applyFont="1" applyBorder="1" applyAlignment="1">
      <alignment horizontal="center"/>
    </xf>
    <xf numFmtId="0" fontId="11" fillId="0" borderId="1" xfId="0" applyFont="1" applyBorder="1" applyAlignment="1">
      <alignment horizontal="center" vertical="center" shrinkToFit="1"/>
    </xf>
    <xf numFmtId="0" fontId="11" fillId="0" borderId="2" xfId="0" applyFont="1" applyBorder="1" applyAlignment="1">
      <alignment horizontal="center" vertical="center" shrinkToFit="1"/>
    </xf>
    <xf numFmtId="0" fontId="12" fillId="0" borderId="1" xfId="0" applyFont="1" applyBorder="1" applyAlignment="1">
      <alignment horizontal="center" vertical="center"/>
    </xf>
    <xf numFmtId="0" fontId="11" fillId="0" borderId="1" xfId="0" applyFont="1" applyBorder="1" applyAlignment="1">
      <alignment horizontal="right" vertical="center"/>
    </xf>
    <xf numFmtId="0" fontId="11" fillId="0" borderId="1" xfId="0" applyFont="1" applyBorder="1" applyAlignment="1">
      <alignment vertical="center" shrinkToFit="1"/>
    </xf>
    <xf numFmtId="9" fontId="12" fillId="0" borderId="1" xfId="4" applyNumberFormat="1" applyFont="1" applyBorder="1" applyAlignment="1">
      <alignment horizontal="center" vertical="center"/>
    </xf>
    <xf numFmtId="0" fontId="11" fillId="0" borderId="2" xfId="5" applyFont="1" applyBorder="1" applyAlignment="1">
      <alignment horizontal="center" vertical="center"/>
    </xf>
    <xf numFmtId="10" fontId="12" fillId="0" borderId="1" xfId="4" applyNumberFormat="1" applyFont="1" applyBorder="1" applyAlignment="1">
      <alignment horizontal="center" vertical="center"/>
    </xf>
    <xf numFmtId="166" fontId="12" fillId="0" borderId="1" xfId="4" applyNumberFormat="1" applyFont="1" applyBorder="1" applyAlignment="1">
      <alignment horizontal="center" vertical="center"/>
    </xf>
    <xf numFmtId="0" fontId="0" fillId="0" borderId="10" xfId="0" applyBorder="1" applyAlignment="1">
      <alignment horizontal="left" vertical="top" wrapText="1"/>
    </xf>
    <xf numFmtId="0" fontId="11" fillId="10" borderId="5" xfId="4" applyFill="1" applyBorder="1" applyAlignment="1">
      <alignment horizontal="left" vertical="center"/>
    </xf>
    <xf numFmtId="0" fontId="11" fillId="0" borderId="1" xfId="0" applyFont="1" applyBorder="1"/>
    <xf numFmtId="0" fontId="11" fillId="0" borderId="0" xfId="0" applyFont="1" applyAlignment="1">
      <alignment horizontal="center" vertical="center"/>
    </xf>
    <xf numFmtId="0" fontId="12" fillId="0" borderId="0" xfId="0" applyFont="1" applyAlignment="1">
      <alignment horizontal="center"/>
    </xf>
    <xf numFmtId="0" fontId="12" fillId="0" borderId="0" xfId="0" applyFont="1" applyAlignment="1">
      <alignment horizontal="right" vertical="center"/>
    </xf>
    <xf numFmtId="0" fontId="0" fillId="0" borderId="0" xfId="0" applyAlignment="1">
      <alignment horizontal="center" vertical="center"/>
    </xf>
    <xf numFmtId="9" fontId="11" fillId="0" borderId="5" xfId="5" applyNumberFormat="1" applyFont="1" applyBorder="1" applyAlignment="1">
      <alignment horizontal="center" vertical="center"/>
    </xf>
    <xf numFmtId="0" fontId="11" fillId="10" borderId="8" xfId="5" applyFont="1" applyFill="1" applyBorder="1" applyAlignment="1">
      <alignment horizontal="left" vertical="center"/>
    </xf>
    <xf numFmtId="0" fontId="11" fillId="0" borderId="1" xfId="0" quotePrefix="1" applyFont="1" applyBorder="1" applyAlignment="1">
      <alignment horizontal="left" vertical="center"/>
    </xf>
    <xf numFmtId="0" fontId="11" fillId="0" borderId="1" xfId="4" applyBorder="1" applyAlignment="1">
      <alignment horizontal="center" vertical="center"/>
    </xf>
    <xf numFmtId="16" fontId="11" fillId="0" borderId="1" xfId="0" quotePrefix="1" applyNumberFormat="1" applyFont="1" applyBorder="1" applyAlignment="1">
      <alignment horizontal="left" vertical="center"/>
    </xf>
    <xf numFmtId="0" fontId="11" fillId="10" borderId="5" xfId="5" applyFont="1" applyFill="1" applyBorder="1" applyAlignment="1">
      <alignment horizontal="left" vertical="center"/>
    </xf>
    <xf numFmtId="0" fontId="11" fillId="0" borderId="9" xfId="0" applyFont="1" applyBorder="1" applyAlignment="1">
      <alignment horizontal="right" vertical="center"/>
    </xf>
    <xf numFmtId="0" fontId="11" fillId="0" borderId="7" xfId="0" applyFont="1" applyBorder="1" applyAlignment="1">
      <alignment horizontal="right" vertical="center"/>
    </xf>
    <xf numFmtId="0" fontId="11" fillId="0" borderId="1" xfId="0" applyFont="1" applyBorder="1" applyAlignment="1">
      <alignment horizontal="right" vertical="center" shrinkToFit="1"/>
    </xf>
    <xf numFmtId="10" fontId="8" fillId="0" borderId="7" xfId="3" applyNumberFormat="1" applyBorder="1" applyAlignment="1">
      <alignment horizontal="center" vertical="center"/>
    </xf>
    <xf numFmtId="0" fontId="8" fillId="0" borderId="1" xfId="3" applyBorder="1" applyAlignment="1">
      <alignment horizontal="right"/>
    </xf>
    <xf numFmtId="10" fontId="12" fillId="0" borderId="1" xfId="0" applyNumberFormat="1" applyFont="1" applyBorder="1" applyAlignment="1">
      <alignment horizontal="center" vertical="center"/>
    </xf>
    <xf numFmtId="9" fontId="12" fillId="0" borderId="1" xfId="0" applyNumberFormat="1" applyFont="1" applyBorder="1" applyAlignment="1">
      <alignment horizontal="center" vertical="center"/>
    </xf>
    <xf numFmtId="0" fontId="11" fillId="10" borderId="1" xfId="0" applyFont="1" applyFill="1" applyBorder="1" applyAlignment="1">
      <alignment horizontal="center" vertical="center"/>
    </xf>
    <xf numFmtId="0" fontId="11" fillId="0" borderId="1" xfId="0" applyFont="1" applyBorder="1" applyAlignment="1">
      <alignment horizontal="right"/>
    </xf>
    <xf numFmtId="0" fontId="11" fillId="0" borderId="0" xfId="0" applyFont="1" applyAlignment="1">
      <alignment horizontal="right" vertical="center"/>
    </xf>
    <xf numFmtId="0" fontId="0" fillId="0" borderId="0" xfId="0" applyAlignment="1">
      <alignment horizontal="right" vertical="center"/>
    </xf>
    <xf numFmtId="0" fontId="0" fillId="0" borderId="0" xfId="0" applyAlignment="1">
      <alignment horizontal="right"/>
    </xf>
    <xf numFmtId="0" fontId="12" fillId="0" borderId="1" xfId="0" applyFont="1" applyBorder="1" applyAlignment="1">
      <alignment horizontal="right" vertical="center"/>
    </xf>
  </cellXfs>
  <cellStyles count="11">
    <cellStyle name="Currency" xfId="1" builtinId="4"/>
    <cellStyle name="Normal" xfId="0" builtinId="0"/>
    <cellStyle name="Percent" xfId="2" builtinId="5"/>
    <cellStyle name="常规 11" xfId="8" xr:uid="{E12E438C-9FD0-46CB-809D-5BC521F29D94}"/>
    <cellStyle name="常规 2 2" xfId="9" xr:uid="{CF491EE9-20A9-4D23-8649-8A56337737D4}"/>
    <cellStyle name="常规 3" xfId="3" xr:uid="{8A164B52-ACC7-486B-887F-A739EAEC4202}"/>
    <cellStyle name="常规 3 3 2" xfId="7" xr:uid="{D3BA9633-91D8-44AC-AB4C-617308419180}"/>
    <cellStyle name="常规 34" xfId="10" xr:uid="{7EF12A20-24D7-4D56-A590-4C6B2BDE2D05}"/>
    <cellStyle name="常规 5" xfId="5" xr:uid="{9F72D493-23FF-4B3B-9D30-35CD47AE83D3}"/>
    <cellStyle name="常规 9" xfId="4" xr:uid="{E30809DD-1593-4253-BA36-024771C0EED9}"/>
    <cellStyle name="常规 9 2 2" xfId="6" xr:uid="{B9657587-C655-495D-B707-561360E7691B}"/>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3d9bc27be60b4978/Others/Final%20formula%2020200103/Cust%20formulation/AriaMED%20Formulation%20-%20Purespot%2020200915.xlsx" TargetMode="External"/><Relationship Id="rId1" Type="http://schemas.openxmlformats.org/officeDocument/2006/relationships/externalLinkPath" Target="/3d9bc27be60b4978/Others/Final%20formula%2020200103/Cust%20formulation/Production/AriaMED%20Formulation%20-%20Purespot%2020200915.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d.docs.live.net/3d9bc27be60b4978/Others/Final%20formula%2020200103/Cust%20formulation/20250417%20Xynargy%20Formulation.xlsx" TargetMode="External"/><Relationship Id="rId1" Type="http://schemas.openxmlformats.org/officeDocument/2006/relationships/externalLinkPath" Target="/3d9bc27be60b4978/Others/Final%20formula%2020200103/Cust%20formulation/20250417%20Xynargy%20Formul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ist"/>
      <sheetName val="Raw"/>
      <sheetName val="Raw2"/>
      <sheetName val="RedMist"/>
      <sheetName val="AcneMist"/>
      <sheetName val="SPF50U (2)"/>
      <sheetName val="SPF50U"/>
      <sheetName val="Hand"/>
      <sheetName val="EczS"/>
      <sheetName val="BBEczLotion"/>
      <sheetName val="EczLotion 2"/>
      <sheetName val="EczLotion"/>
      <sheetName val="EczMist"/>
      <sheetName val="AcneSerum"/>
      <sheetName val="SenSerum"/>
      <sheetName val="IH Serum"/>
      <sheetName val="FirmingS"/>
      <sheetName val="OilSerum"/>
      <sheetName val="WhSerum"/>
      <sheetName val="FirmEyeCream"/>
      <sheetName val="WrinkleCream"/>
      <sheetName val="DarkSpotWH"/>
      <sheetName val="LiftCream"/>
      <sheetName val="IHRCream"/>
      <sheetName val="EyeSerum"/>
      <sheetName val="HairG"/>
      <sheetName val="ScalpM"/>
      <sheetName val="Gel Mask"/>
      <sheetName val="1+2Serum"/>
      <sheetName val="1+2PlatSerum"/>
      <sheetName val="1+2Mask"/>
      <sheetName val="1+2Maskv2"/>
      <sheetName val="Red Mask"/>
      <sheetName val="Red Maskv2"/>
      <sheetName val="Ingredient"/>
      <sheetName val="AriaMED Formulation - Purespot "/>
    </sheetNames>
    <sheetDataSet>
      <sheetData sheetId="0"/>
      <sheetData sheetId="1"/>
      <sheetData sheetId="2"/>
      <sheetData sheetId="3">
        <row r="34">
          <cell r="F34">
            <v>11.6799</v>
          </cell>
        </row>
      </sheetData>
      <sheetData sheetId="4">
        <row r="34">
          <cell r="F34">
            <v>260.59799999999996</v>
          </cell>
        </row>
      </sheetData>
      <sheetData sheetId="5"/>
      <sheetData sheetId="6">
        <row r="33">
          <cell r="F33">
            <v>4.6411320000000007</v>
          </cell>
        </row>
      </sheetData>
      <sheetData sheetId="7">
        <row r="12">
          <cell r="F12">
            <v>207.49499999999998</v>
          </cell>
        </row>
      </sheetData>
      <sheetData sheetId="8">
        <row r="32">
          <cell r="F32">
            <v>368.59500000000003</v>
          </cell>
        </row>
      </sheetData>
      <sheetData sheetId="9"/>
      <sheetData sheetId="10"/>
      <sheetData sheetId="11">
        <row r="40">
          <cell r="F40">
            <v>119.06699999999999</v>
          </cell>
        </row>
      </sheetData>
      <sheetData sheetId="12">
        <row r="42">
          <cell r="F42">
            <v>435.17199999999997</v>
          </cell>
        </row>
      </sheetData>
      <sheetData sheetId="13">
        <row r="29">
          <cell r="F29">
            <v>9.4739999999999984</v>
          </cell>
        </row>
      </sheetData>
      <sheetData sheetId="14">
        <row r="35">
          <cell r="F35">
            <v>126.91200000000002</v>
          </cell>
        </row>
      </sheetData>
      <sheetData sheetId="15">
        <row r="42">
          <cell r="F42">
            <v>7.8165000000000004</v>
          </cell>
        </row>
      </sheetData>
      <sheetData sheetId="16">
        <row r="34">
          <cell r="F34">
            <v>538.06700000000001</v>
          </cell>
        </row>
      </sheetData>
      <sheetData sheetId="17"/>
      <sheetData sheetId="18">
        <row r="49">
          <cell r="F49">
            <v>12.988499999999998</v>
          </cell>
        </row>
      </sheetData>
      <sheetData sheetId="19">
        <row r="56">
          <cell r="F56">
            <v>1369.5000000000005</v>
          </cell>
        </row>
      </sheetData>
      <sheetData sheetId="20"/>
      <sheetData sheetId="21">
        <row r="57">
          <cell r="F57">
            <v>918.71499999999992</v>
          </cell>
        </row>
      </sheetData>
      <sheetData sheetId="22">
        <row r="40">
          <cell r="F40">
            <v>21.833880000000008</v>
          </cell>
        </row>
      </sheetData>
      <sheetData sheetId="23">
        <row r="43">
          <cell r="F43">
            <v>291.07080000000002</v>
          </cell>
        </row>
      </sheetData>
      <sheetData sheetId="24">
        <row r="31">
          <cell r="F31">
            <v>14.286899999999999</v>
          </cell>
        </row>
      </sheetData>
      <sheetData sheetId="25">
        <row r="24">
          <cell r="F24">
            <v>19.296780000000002</v>
          </cell>
        </row>
      </sheetData>
      <sheetData sheetId="26">
        <row r="28">
          <cell r="F28">
            <v>26.309000000000001</v>
          </cell>
        </row>
      </sheetData>
      <sheetData sheetId="27">
        <row r="40">
          <cell r="F40">
            <v>9.7642740000000039</v>
          </cell>
        </row>
      </sheetData>
      <sheetData sheetId="28">
        <row r="46">
          <cell r="F46">
            <v>7.8954120000000021</v>
          </cell>
        </row>
      </sheetData>
      <sheetData sheetId="29">
        <row r="46">
          <cell r="F46">
            <v>10.054692000000001</v>
          </cell>
        </row>
      </sheetData>
      <sheetData sheetId="30">
        <row r="42">
          <cell r="F42">
            <v>462.25</v>
          </cell>
        </row>
      </sheetData>
      <sheetData sheetId="31"/>
      <sheetData sheetId="32"/>
      <sheetData sheetId="33">
        <row r="32">
          <cell r="F32">
            <v>2.9659000000000004</v>
          </cell>
        </row>
      </sheetData>
      <sheetData sheetId="34"/>
      <sheetData sheetId="3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
      <sheetName val="Booster"/>
      <sheetName val="Raw"/>
      <sheetName val="UVMist"/>
      <sheetName val="UVS"/>
      <sheetName val="IHS"/>
      <sheetName val="Goji S"/>
      <sheetName val="Goji S v2"/>
      <sheetName val="DSC"/>
      <sheetName val="Wrinkle C"/>
      <sheetName val="Night C"/>
      <sheetName val="Eye S"/>
      <sheetName val="EyeC"/>
      <sheetName val="G EyeS"/>
      <sheetName val="FoamWash"/>
      <sheetName val="GrowS"/>
      <sheetName val="ScalpS"/>
      <sheetName val="Loss SH"/>
      <sheetName val="20250417 Xynargy Formul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8AAC8-DB66-4EFA-B5E1-C696087AF478}">
  <dimension ref="A1:N51"/>
  <sheetViews>
    <sheetView tabSelected="1" topLeftCell="B8" zoomScale="146" zoomScaleNormal="146" workbookViewId="0">
      <selection activeCell="E23" sqref="E23"/>
    </sheetView>
  </sheetViews>
  <sheetFormatPr defaultColWidth="8.88671875" defaultRowHeight="10.199999999999999"/>
  <cols>
    <col min="1" max="1" width="4.5546875" style="4" bestFit="1" customWidth="1"/>
    <col min="2" max="2" width="7" style="4" customWidth="1"/>
    <col min="3" max="3" width="23.6640625" style="4" customWidth="1"/>
    <col min="4" max="4" width="43.77734375" style="32" customWidth="1"/>
    <col min="5" max="5" width="24.6640625" style="32" customWidth="1"/>
    <col min="6" max="6" width="8.77734375" style="33" bestFit="1" customWidth="1"/>
    <col min="7" max="8" width="8.88671875" style="33" customWidth="1"/>
    <col min="9" max="9" width="7.77734375" style="4" bestFit="1" customWidth="1"/>
    <col min="10" max="10" width="8.5546875" style="4" bestFit="1" customWidth="1"/>
    <col min="11" max="11" width="29.33203125" style="32" customWidth="1"/>
    <col min="12" max="12" width="6" style="4" customWidth="1"/>
    <col min="13" max="13" width="8.88671875" style="4" customWidth="1"/>
    <col min="14" max="16384" width="8.88671875" style="4"/>
  </cols>
  <sheetData>
    <row r="1" spans="1:14">
      <c r="A1" s="1" t="s">
        <v>54</v>
      </c>
      <c r="B1" s="1" t="s">
        <v>62</v>
      </c>
      <c r="C1" s="2" t="s">
        <v>0</v>
      </c>
      <c r="D1" s="2" t="s">
        <v>58</v>
      </c>
      <c r="E1" s="2" t="s">
        <v>28</v>
      </c>
      <c r="F1" s="3" t="s">
        <v>4</v>
      </c>
      <c r="G1" s="3" t="s">
        <v>1</v>
      </c>
      <c r="H1" s="3" t="s">
        <v>2</v>
      </c>
      <c r="I1" s="2" t="s">
        <v>3</v>
      </c>
      <c r="J1" s="2" t="s">
        <v>21</v>
      </c>
      <c r="K1" s="2" t="s">
        <v>23</v>
      </c>
      <c r="L1" s="2" t="s">
        <v>25</v>
      </c>
      <c r="M1" s="4" t="s">
        <v>73</v>
      </c>
    </row>
    <row r="2" spans="1:14" ht="20.399999999999999">
      <c r="A2" s="1" t="s">
        <v>50</v>
      </c>
      <c r="B2" s="1">
        <v>1</v>
      </c>
      <c r="C2" s="38" t="s">
        <v>29</v>
      </c>
      <c r="D2" s="23" t="s">
        <v>64</v>
      </c>
      <c r="E2" s="23" t="s">
        <v>30</v>
      </c>
      <c r="F2" s="24">
        <v>76.790000000000006</v>
      </c>
      <c r="G2" s="24"/>
      <c r="H2" s="24"/>
      <c r="I2" s="8">
        <f t="shared" ref="I2:I3" si="0">F2*7.8</f>
        <v>598.96199999999999</v>
      </c>
      <c r="J2" s="8">
        <f t="shared" ref="J2:J3" si="1">I2*5</f>
        <v>2994.81</v>
      </c>
      <c r="K2" s="9"/>
      <c r="L2" s="1">
        <v>1</v>
      </c>
      <c r="M2" s="10">
        <f>L2*I2</f>
        <v>598.96199999999999</v>
      </c>
      <c r="N2" s="10">
        <f>L2*F2</f>
        <v>76.790000000000006</v>
      </c>
    </row>
    <row r="3" spans="1:14">
      <c r="A3" s="1" t="s">
        <v>50</v>
      </c>
      <c r="B3" s="1">
        <v>1</v>
      </c>
      <c r="C3" s="23" t="s">
        <v>60</v>
      </c>
      <c r="D3" s="23" t="s">
        <v>68</v>
      </c>
      <c r="E3" s="23" t="s">
        <v>61</v>
      </c>
      <c r="F3" s="24">
        <v>95.11</v>
      </c>
      <c r="G3" s="24"/>
      <c r="H3" s="24"/>
      <c r="I3" s="8">
        <f t="shared" si="0"/>
        <v>741.85799999999995</v>
      </c>
      <c r="J3" s="8">
        <f t="shared" si="1"/>
        <v>3709.29</v>
      </c>
      <c r="K3" s="9"/>
      <c r="L3" s="1">
        <v>1</v>
      </c>
      <c r="M3" s="10"/>
      <c r="N3" s="10">
        <f t="shared" ref="N3:N49" si="2">L3*F3</f>
        <v>95.11</v>
      </c>
    </row>
    <row r="4" spans="1:14">
      <c r="A4" s="1" t="s">
        <v>50</v>
      </c>
      <c r="B4" s="1" t="s">
        <v>106</v>
      </c>
      <c r="C4" s="25" t="s">
        <v>11</v>
      </c>
      <c r="D4" s="25" t="s">
        <v>56</v>
      </c>
      <c r="E4" s="25" t="s">
        <v>57</v>
      </c>
      <c r="F4" s="26">
        <v>98.75</v>
      </c>
      <c r="G4" s="26">
        <v>89.77</v>
      </c>
      <c r="H4" s="26">
        <v>87.08</v>
      </c>
      <c r="I4" s="8">
        <f t="shared" ref="I4:I48" si="3">F4*7.8</f>
        <v>770.25</v>
      </c>
      <c r="J4" s="8">
        <f t="shared" ref="J4:J48" si="4">I4*5</f>
        <v>3851.25</v>
      </c>
      <c r="K4" s="9"/>
      <c r="L4" s="1"/>
      <c r="M4" s="10">
        <f t="shared" ref="M4:M48" si="5">L4*I4</f>
        <v>0</v>
      </c>
      <c r="N4" s="10">
        <f t="shared" si="2"/>
        <v>0</v>
      </c>
    </row>
    <row r="5" spans="1:14">
      <c r="A5" s="1" t="s">
        <v>50</v>
      </c>
      <c r="B5" s="1"/>
      <c r="C5" s="39" t="s">
        <v>89</v>
      </c>
      <c r="D5" s="25" t="s">
        <v>89</v>
      </c>
      <c r="E5" s="25" t="s">
        <v>90</v>
      </c>
      <c r="F5" s="26">
        <v>28.83</v>
      </c>
      <c r="G5" s="26"/>
      <c r="H5" s="26"/>
      <c r="I5" s="8"/>
      <c r="J5" s="8"/>
      <c r="K5" s="9"/>
      <c r="L5" s="1"/>
      <c r="M5" s="10"/>
      <c r="N5" s="10"/>
    </row>
    <row r="6" spans="1:14" ht="20.399999999999999">
      <c r="A6" s="1" t="s">
        <v>50</v>
      </c>
      <c r="B6" s="1">
        <v>1</v>
      </c>
      <c r="C6" s="25" t="s">
        <v>12</v>
      </c>
      <c r="D6" s="25" t="s">
        <v>55</v>
      </c>
      <c r="E6" s="25" t="s">
        <v>24</v>
      </c>
      <c r="F6" s="26">
        <v>113.58</v>
      </c>
      <c r="G6" s="26">
        <v>103.25</v>
      </c>
      <c r="H6" s="26">
        <v>100.15</v>
      </c>
      <c r="I6" s="8">
        <f t="shared" si="3"/>
        <v>885.92399999999998</v>
      </c>
      <c r="J6" s="8">
        <f t="shared" si="4"/>
        <v>4429.62</v>
      </c>
      <c r="K6" s="9"/>
      <c r="L6" s="1"/>
      <c r="M6" s="10">
        <f t="shared" si="5"/>
        <v>0</v>
      </c>
      <c r="N6" s="10">
        <f t="shared" si="2"/>
        <v>0</v>
      </c>
    </row>
    <row r="7" spans="1:14" ht="20.399999999999999">
      <c r="A7" s="1" t="s">
        <v>50</v>
      </c>
      <c r="B7" s="1">
        <v>1</v>
      </c>
      <c r="C7" s="27" t="s">
        <v>120</v>
      </c>
      <c r="D7" s="28" t="s">
        <v>46</v>
      </c>
      <c r="E7" s="28" t="s">
        <v>47</v>
      </c>
      <c r="F7" s="29">
        <v>113.44</v>
      </c>
      <c r="G7" s="30">
        <v>105.18045675428576</v>
      </c>
      <c r="H7" s="30">
        <v>101.9274529371429</v>
      </c>
      <c r="I7" s="8">
        <f t="shared" si="3"/>
        <v>884.83199999999999</v>
      </c>
      <c r="J7" s="8">
        <f t="shared" si="4"/>
        <v>4424.16</v>
      </c>
      <c r="K7" s="9" t="s">
        <v>48</v>
      </c>
      <c r="L7" s="1">
        <v>5</v>
      </c>
      <c r="M7" s="10">
        <f t="shared" si="5"/>
        <v>4424.16</v>
      </c>
      <c r="N7" s="10">
        <f t="shared" si="2"/>
        <v>567.20000000000005</v>
      </c>
    </row>
    <row r="8" spans="1:14">
      <c r="A8" s="1" t="s">
        <v>50</v>
      </c>
      <c r="B8" s="1"/>
      <c r="C8" s="27" t="s">
        <v>127</v>
      </c>
      <c r="D8" s="28" t="s">
        <v>46</v>
      </c>
      <c r="E8" s="28"/>
      <c r="F8" s="29">
        <v>95.16</v>
      </c>
      <c r="G8" s="30"/>
      <c r="H8" s="30"/>
      <c r="I8" s="8">
        <f t="shared" si="3"/>
        <v>742.24799999999993</v>
      </c>
      <c r="J8" s="8">
        <f t="shared" si="4"/>
        <v>3711.24</v>
      </c>
      <c r="K8" s="9"/>
      <c r="L8" s="1"/>
      <c r="M8" s="10"/>
      <c r="N8" s="10"/>
    </row>
    <row r="9" spans="1:14" ht="20.399999999999999">
      <c r="A9" s="1" t="s">
        <v>50</v>
      </c>
      <c r="B9" s="1"/>
      <c r="C9" s="27" t="s">
        <v>137</v>
      </c>
      <c r="D9" s="28" t="s">
        <v>140</v>
      </c>
      <c r="E9" s="28" t="s">
        <v>141</v>
      </c>
      <c r="F9" s="29">
        <v>49.31</v>
      </c>
      <c r="G9" s="30"/>
      <c r="H9" s="30"/>
      <c r="I9" s="8">
        <f t="shared" si="3"/>
        <v>384.61799999999999</v>
      </c>
      <c r="J9" s="8">
        <f t="shared" si="4"/>
        <v>1923.09</v>
      </c>
      <c r="K9" s="9"/>
      <c r="L9" s="1"/>
      <c r="M9" s="10"/>
      <c r="N9" s="10"/>
    </row>
    <row r="10" spans="1:14">
      <c r="A10" s="1" t="s">
        <v>50</v>
      </c>
      <c r="B10" s="1"/>
      <c r="C10" s="27" t="s">
        <v>138</v>
      </c>
      <c r="D10" s="28" t="s">
        <v>139</v>
      </c>
      <c r="E10" s="28" t="s">
        <v>142</v>
      </c>
      <c r="F10" s="29">
        <v>51.5</v>
      </c>
      <c r="G10" s="30"/>
      <c r="H10" s="30"/>
      <c r="I10" s="8"/>
      <c r="J10" s="8"/>
      <c r="K10" s="9"/>
      <c r="L10" s="1"/>
      <c r="M10" s="10"/>
      <c r="N10" s="10"/>
    </row>
    <row r="11" spans="1:14">
      <c r="A11" s="1" t="s">
        <v>50</v>
      </c>
      <c r="B11" s="1"/>
      <c r="C11" s="27" t="s">
        <v>134</v>
      </c>
      <c r="D11" s="28" t="s">
        <v>135</v>
      </c>
      <c r="E11" s="28" t="s">
        <v>136</v>
      </c>
      <c r="F11" s="29"/>
      <c r="G11" s="30"/>
      <c r="H11" s="30"/>
      <c r="I11" s="8"/>
      <c r="J11" s="8"/>
      <c r="K11" s="9"/>
      <c r="L11" s="1"/>
      <c r="M11" s="10"/>
      <c r="N11" s="10"/>
    </row>
    <row r="12" spans="1:14" ht="30.6">
      <c r="A12" s="1" t="s">
        <v>50</v>
      </c>
      <c r="B12" s="1">
        <v>1</v>
      </c>
      <c r="C12" s="25" t="s">
        <v>13</v>
      </c>
      <c r="D12" s="25" t="s">
        <v>49</v>
      </c>
      <c r="E12" s="25" t="s">
        <v>22</v>
      </c>
      <c r="F12" s="26">
        <v>81.290000000000006</v>
      </c>
      <c r="G12" s="26">
        <v>73.900000000000006</v>
      </c>
      <c r="H12" s="26">
        <v>71.69</v>
      </c>
      <c r="I12" s="8">
        <f t="shared" si="3"/>
        <v>634.06200000000001</v>
      </c>
      <c r="J12" s="8">
        <f t="shared" si="4"/>
        <v>3170.31</v>
      </c>
      <c r="K12" s="31" t="s">
        <v>72</v>
      </c>
      <c r="L12" s="1">
        <v>1</v>
      </c>
      <c r="M12" s="10">
        <f t="shared" si="5"/>
        <v>634.06200000000001</v>
      </c>
      <c r="N12" s="10">
        <f t="shared" si="2"/>
        <v>81.290000000000006</v>
      </c>
    </row>
    <row r="13" spans="1:14">
      <c r="A13" s="1" t="s">
        <v>50</v>
      </c>
      <c r="B13" s="1">
        <v>1</v>
      </c>
      <c r="C13" s="25" t="s">
        <v>14</v>
      </c>
      <c r="D13" s="25" t="s">
        <v>31</v>
      </c>
      <c r="E13" s="25" t="s">
        <v>143</v>
      </c>
      <c r="F13" s="26">
        <v>60.56</v>
      </c>
      <c r="G13" s="26">
        <v>55.05</v>
      </c>
      <c r="H13" s="26">
        <v>53.4</v>
      </c>
      <c r="I13" s="8">
        <f t="shared" si="3"/>
        <v>472.36799999999999</v>
      </c>
      <c r="J13" s="8">
        <f t="shared" si="4"/>
        <v>2361.84</v>
      </c>
      <c r="K13" s="9"/>
      <c r="L13" s="1"/>
      <c r="M13" s="10">
        <f t="shared" si="5"/>
        <v>0</v>
      </c>
      <c r="N13" s="10">
        <f t="shared" si="2"/>
        <v>0</v>
      </c>
    </row>
    <row r="14" spans="1:14">
      <c r="A14" s="1" t="s">
        <v>50</v>
      </c>
      <c r="B14" s="1"/>
      <c r="C14" s="25" t="s">
        <v>123</v>
      </c>
      <c r="D14" s="25" t="s">
        <v>31</v>
      </c>
      <c r="E14" s="25" t="s">
        <v>143</v>
      </c>
      <c r="F14" s="26">
        <v>51.27</v>
      </c>
      <c r="G14" s="26"/>
      <c r="H14" s="26"/>
      <c r="I14" s="8">
        <f t="shared" si="3"/>
        <v>399.90600000000001</v>
      </c>
      <c r="J14" s="8">
        <f t="shared" si="4"/>
        <v>1999.53</v>
      </c>
      <c r="K14" s="9"/>
      <c r="L14" s="1"/>
      <c r="M14" s="10">
        <f t="shared" si="5"/>
        <v>0</v>
      </c>
      <c r="N14" s="10">
        <f t="shared" si="2"/>
        <v>0</v>
      </c>
    </row>
    <row r="15" spans="1:14">
      <c r="A15" s="1" t="s">
        <v>50</v>
      </c>
      <c r="B15" s="1"/>
      <c r="C15" s="25" t="s">
        <v>124</v>
      </c>
      <c r="D15" s="25"/>
      <c r="E15" s="25"/>
      <c r="F15" s="26">
        <v>163.9</v>
      </c>
      <c r="G15" s="26"/>
      <c r="H15" s="26"/>
      <c r="I15" s="8">
        <f t="shared" si="3"/>
        <v>1278.42</v>
      </c>
      <c r="J15" s="8">
        <f t="shared" si="4"/>
        <v>6392.1</v>
      </c>
      <c r="K15" s="9"/>
      <c r="L15" s="1"/>
      <c r="M15" s="10">
        <f t="shared" si="5"/>
        <v>0</v>
      </c>
      <c r="N15" s="10">
        <f t="shared" si="2"/>
        <v>0</v>
      </c>
    </row>
    <row r="16" spans="1:14">
      <c r="A16" s="1"/>
      <c r="B16" s="1"/>
      <c r="C16" s="25" t="s">
        <v>125</v>
      </c>
      <c r="D16" s="25"/>
      <c r="E16" s="25"/>
      <c r="F16" s="26">
        <v>87.32</v>
      </c>
      <c r="G16" s="26"/>
      <c r="H16" s="26"/>
      <c r="I16" s="8">
        <f t="shared" si="3"/>
        <v>681.09599999999989</v>
      </c>
      <c r="J16" s="8">
        <f t="shared" si="4"/>
        <v>3405.4799999999996</v>
      </c>
      <c r="K16" s="9"/>
      <c r="L16" s="1"/>
      <c r="M16" s="10">
        <f t="shared" si="5"/>
        <v>0</v>
      </c>
      <c r="N16" s="10">
        <f t="shared" si="2"/>
        <v>0</v>
      </c>
    </row>
    <row r="17" spans="1:14" ht="20.399999999999999">
      <c r="A17" s="1" t="s">
        <v>50</v>
      </c>
      <c r="B17" s="1">
        <v>1</v>
      </c>
      <c r="C17" s="25" t="s">
        <v>15</v>
      </c>
      <c r="D17" s="25" t="s">
        <v>32</v>
      </c>
      <c r="E17" s="25" t="s">
        <v>33</v>
      </c>
      <c r="F17" s="26">
        <v>100.66</v>
      </c>
      <c r="G17" s="26">
        <v>91.51</v>
      </c>
      <c r="H17" s="26">
        <v>88.76</v>
      </c>
      <c r="I17" s="8">
        <f t="shared" si="3"/>
        <v>785.14799999999991</v>
      </c>
      <c r="J17" s="8">
        <f t="shared" si="4"/>
        <v>3925.74</v>
      </c>
      <c r="K17" s="9"/>
      <c r="L17" s="1"/>
      <c r="M17" s="10">
        <f t="shared" si="5"/>
        <v>0</v>
      </c>
      <c r="N17" s="10">
        <f t="shared" si="2"/>
        <v>0</v>
      </c>
    </row>
    <row r="18" spans="1:14" ht="20.399999999999999">
      <c r="A18" s="1" t="s">
        <v>53</v>
      </c>
      <c r="B18" s="1">
        <v>1</v>
      </c>
      <c r="C18" s="36" t="s">
        <v>9</v>
      </c>
      <c r="D18" s="20" t="s">
        <v>40</v>
      </c>
      <c r="E18" s="20" t="s">
        <v>41</v>
      </c>
      <c r="F18" s="21">
        <v>101.56</v>
      </c>
      <c r="G18" s="21">
        <v>92.33</v>
      </c>
      <c r="H18" s="21">
        <v>86.79</v>
      </c>
      <c r="I18" s="8">
        <f t="shared" si="3"/>
        <v>792.16800000000001</v>
      </c>
      <c r="J18" s="8">
        <f t="shared" si="4"/>
        <v>3960.84</v>
      </c>
      <c r="K18" s="9"/>
      <c r="L18" s="1"/>
      <c r="M18" s="10">
        <f t="shared" si="5"/>
        <v>0</v>
      </c>
      <c r="N18" s="10">
        <f t="shared" si="2"/>
        <v>0</v>
      </c>
    </row>
    <row r="19" spans="1:14" ht="10.199999999999999" customHeight="1">
      <c r="A19" s="1" t="s">
        <v>52</v>
      </c>
      <c r="B19" s="1">
        <v>1</v>
      </c>
      <c r="C19" s="35" t="s">
        <v>20</v>
      </c>
      <c r="D19" s="5" t="s">
        <v>20</v>
      </c>
      <c r="E19" s="11" t="s">
        <v>59</v>
      </c>
      <c r="F19" s="6">
        <v>158.24</v>
      </c>
      <c r="G19" s="7">
        <v>137.68</v>
      </c>
      <c r="H19" s="7">
        <v>128.30000000000001</v>
      </c>
      <c r="I19" s="8">
        <f t="shared" si="3"/>
        <v>1234.2719999999999</v>
      </c>
      <c r="J19" s="8">
        <f t="shared" si="4"/>
        <v>6171.36</v>
      </c>
      <c r="K19" s="9" t="s">
        <v>70</v>
      </c>
      <c r="L19" s="1">
        <v>5</v>
      </c>
      <c r="M19" s="10">
        <f t="shared" si="5"/>
        <v>6171.36</v>
      </c>
      <c r="N19" s="10">
        <f>L19*F19</f>
        <v>791.2</v>
      </c>
    </row>
    <row r="20" spans="1:14" ht="10.199999999999999" customHeight="1">
      <c r="A20" s="1"/>
      <c r="B20" s="1"/>
      <c r="C20" s="35" t="s">
        <v>126</v>
      </c>
      <c r="D20" s="5"/>
      <c r="E20" s="11"/>
      <c r="F20" s="6">
        <v>192.11</v>
      </c>
      <c r="G20" s="7"/>
      <c r="H20" s="7"/>
      <c r="I20" s="8">
        <f t="shared" si="3"/>
        <v>1498.4580000000001</v>
      </c>
      <c r="J20" s="8">
        <f t="shared" si="4"/>
        <v>7492.2900000000009</v>
      </c>
      <c r="K20" s="9"/>
      <c r="L20" s="1"/>
      <c r="M20" s="10"/>
      <c r="N20" s="10"/>
    </row>
    <row r="21" spans="1:14" ht="10.199999999999999" customHeight="1">
      <c r="A21" s="1" t="s">
        <v>52</v>
      </c>
      <c r="B21" s="1"/>
      <c r="C21" s="35" t="s">
        <v>128</v>
      </c>
      <c r="D21" s="5" t="s">
        <v>129</v>
      </c>
      <c r="E21" s="11" t="s">
        <v>130</v>
      </c>
      <c r="F21" s="6">
        <v>259.95999999999998</v>
      </c>
      <c r="G21" s="7"/>
      <c r="H21" s="7"/>
      <c r="I21" s="8"/>
      <c r="J21" s="8"/>
      <c r="K21" s="9"/>
      <c r="L21" s="1"/>
      <c r="M21" s="10"/>
      <c r="N21" s="10"/>
    </row>
    <row r="22" spans="1:14" ht="20.399999999999999">
      <c r="A22" s="1" t="s">
        <v>52</v>
      </c>
      <c r="B22" s="1"/>
      <c r="C22" s="37" t="s">
        <v>79</v>
      </c>
      <c r="D22" s="5" t="s">
        <v>80</v>
      </c>
      <c r="E22" s="11" t="s">
        <v>390</v>
      </c>
      <c r="F22" s="6">
        <v>87.77</v>
      </c>
      <c r="G22" s="7"/>
      <c r="H22" s="7"/>
      <c r="I22" s="8">
        <f t="shared" ref="I22:I28" si="6">F22*7.8</f>
        <v>684.60599999999999</v>
      </c>
      <c r="J22" s="8">
        <f t="shared" ref="J22:J28" si="7">I22*5</f>
        <v>3423.0299999999997</v>
      </c>
      <c r="K22" s="9"/>
      <c r="L22" s="1"/>
      <c r="M22" s="10"/>
      <c r="N22" s="10"/>
    </row>
    <row r="23" spans="1:14">
      <c r="A23" s="1" t="s">
        <v>52</v>
      </c>
      <c r="B23" s="1">
        <v>2</v>
      </c>
      <c r="C23" s="35" t="s">
        <v>76</v>
      </c>
      <c r="D23" s="5" t="s">
        <v>77</v>
      </c>
      <c r="E23" s="11" t="s">
        <v>78</v>
      </c>
      <c r="F23" s="6">
        <v>204</v>
      </c>
      <c r="G23" s="7">
        <v>185.5</v>
      </c>
      <c r="H23" s="7"/>
      <c r="I23" s="8">
        <f t="shared" si="6"/>
        <v>1591.2</v>
      </c>
      <c r="J23" s="8">
        <f t="shared" si="7"/>
        <v>7956</v>
      </c>
      <c r="K23" s="9"/>
      <c r="L23" s="1"/>
      <c r="M23" s="10"/>
      <c r="N23" s="10"/>
    </row>
    <row r="24" spans="1:14">
      <c r="A24" s="1" t="s">
        <v>52</v>
      </c>
      <c r="B24" s="1">
        <v>2</v>
      </c>
      <c r="C24" s="5" t="s">
        <v>81</v>
      </c>
      <c r="D24" s="5" t="s">
        <v>83</v>
      </c>
      <c r="E24" s="11" t="s">
        <v>82</v>
      </c>
      <c r="F24" s="6">
        <v>151.25</v>
      </c>
      <c r="G24" s="7">
        <v>137.5</v>
      </c>
      <c r="H24" s="7"/>
      <c r="I24" s="8">
        <f t="shared" si="6"/>
        <v>1179.75</v>
      </c>
      <c r="J24" s="8">
        <f t="shared" si="7"/>
        <v>5898.75</v>
      </c>
      <c r="K24" s="9"/>
      <c r="L24" s="1"/>
      <c r="M24" s="10"/>
      <c r="N24" s="10"/>
    </row>
    <row r="25" spans="1:14">
      <c r="A25" s="1" t="s">
        <v>52</v>
      </c>
      <c r="B25" s="1">
        <v>2</v>
      </c>
      <c r="C25" s="5" t="s">
        <v>107</v>
      </c>
      <c r="D25" s="5" t="s">
        <v>84</v>
      </c>
      <c r="E25" s="11" t="s">
        <v>85</v>
      </c>
      <c r="F25" s="6">
        <v>112.48</v>
      </c>
      <c r="G25" s="7">
        <v>102.25</v>
      </c>
      <c r="H25" s="7"/>
      <c r="I25" s="8">
        <f t="shared" si="6"/>
        <v>877.34400000000005</v>
      </c>
      <c r="J25" s="8">
        <f t="shared" si="7"/>
        <v>4386.72</v>
      </c>
      <c r="K25" s="9"/>
      <c r="L25" s="1"/>
      <c r="M25" s="10"/>
      <c r="N25" s="10"/>
    </row>
    <row r="26" spans="1:14">
      <c r="A26" s="1" t="s">
        <v>52</v>
      </c>
      <c r="B26" s="1">
        <v>2</v>
      </c>
      <c r="C26" s="35" t="s">
        <v>86</v>
      </c>
      <c r="D26" s="5" t="s">
        <v>122</v>
      </c>
      <c r="E26" s="11" t="s">
        <v>121</v>
      </c>
      <c r="F26" s="6">
        <v>82.44</v>
      </c>
      <c r="G26" s="7">
        <v>68.95</v>
      </c>
      <c r="H26" s="7"/>
      <c r="I26" s="8">
        <f t="shared" si="6"/>
        <v>643.03199999999993</v>
      </c>
      <c r="J26" s="8">
        <f t="shared" si="7"/>
        <v>3215.16</v>
      </c>
      <c r="K26" s="9"/>
      <c r="L26" s="1"/>
      <c r="M26" s="10"/>
      <c r="N26" s="10"/>
    </row>
    <row r="27" spans="1:14">
      <c r="A27" s="1" t="s">
        <v>52</v>
      </c>
      <c r="B27" s="1">
        <v>2</v>
      </c>
      <c r="C27" s="5" t="s">
        <v>93</v>
      </c>
      <c r="D27" s="5" t="s">
        <v>93</v>
      </c>
      <c r="E27" s="11" t="s">
        <v>94</v>
      </c>
      <c r="F27" s="6">
        <v>156.75</v>
      </c>
      <c r="G27" s="7">
        <v>142.5</v>
      </c>
      <c r="H27" s="7"/>
      <c r="I27" s="8">
        <f t="shared" si="6"/>
        <v>1222.6499999999999</v>
      </c>
      <c r="J27" s="8">
        <f t="shared" si="7"/>
        <v>6113.2499999999991</v>
      </c>
      <c r="K27" s="9"/>
      <c r="L27" s="1"/>
      <c r="M27" s="10"/>
      <c r="N27" s="10"/>
    </row>
    <row r="28" spans="1:14">
      <c r="A28" s="1" t="s">
        <v>52</v>
      </c>
      <c r="B28" s="1">
        <v>2</v>
      </c>
      <c r="C28" s="35" t="s">
        <v>95</v>
      </c>
      <c r="D28" s="5" t="s">
        <v>97</v>
      </c>
      <c r="E28" s="11" t="s">
        <v>96</v>
      </c>
      <c r="F28" s="6">
        <v>523.22</v>
      </c>
      <c r="G28" s="7">
        <v>507.33</v>
      </c>
      <c r="H28" s="7"/>
      <c r="I28" s="8">
        <f t="shared" si="6"/>
        <v>4081.116</v>
      </c>
      <c r="J28" s="8">
        <f t="shared" si="7"/>
        <v>20405.580000000002</v>
      </c>
      <c r="K28" s="9"/>
      <c r="L28" s="1"/>
      <c r="M28" s="10"/>
      <c r="N28" s="10"/>
    </row>
    <row r="29" spans="1:14" ht="20.399999999999999">
      <c r="A29" s="1" t="s">
        <v>52</v>
      </c>
      <c r="B29" s="1">
        <v>1</v>
      </c>
      <c r="C29" s="35" t="s">
        <v>19</v>
      </c>
      <c r="D29" s="11" t="s">
        <v>42</v>
      </c>
      <c r="E29" s="11" t="s">
        <v>43</v>
      </c>
      <c r="F29" s="6">
        <v>69.540000000000006</v>
      </c>
      <c r="G29" s="7">
        <v>70.711200000000019</v>
      </c>
      <c r="H29" s="7">
        <v>66.46852800000002</v>
      </c>
      <c r="I29" s="8">
        <f t="shared" si="3"/>
        <v>542.41200000000003</v>
      </c>
      <c r="J29" s="8">
        <f t="shared" si="4"/>
        <v>2712.0600000000004</v>
      </c>
      <c r="K29" s="12" t="s">
        <v>44</v>
      </c>
      <c r="L29" s="1">
        <v>5</v>
      </c>
      <c r="M29" s="10">
        <f t="shared" si="5"/>
        <v>2712.0600000000004</v>
      </c>
      <c r="N29" s="10">
        <f t="shared" si="2"/>
        <v>347.70000000000005</v>
      </c>
    </row>
    <row r="30" spans="1:14">
      <c r="A30" s="1" t="s">
        <v>52</v>
      </c>
      <c r="B30" s="1">
        <v>1</v>
      </c>
      <c r="C30" s="5" t="s">
        <v>6</v>
      </c>
      <c r="D30" s="11" t="s">
        <v>45</v>
      </c>
      <c r="E30" s="11" t="s">
        <v>36</v>
      </c>
      <c r="F30" s="6">
        <v>83.06</v>
      </c>
      <c r="G30" s="7">
        <v>69.466734004731336</v>
      </c>
      <c r="H30" s="7">
        <v>65.29872996444746</v>
      </c>
      <c r="I30" s="8">
        <f t="shared" si="3"/>
        <v>647.86800000000005</v>
      </c>
      <c r="J30" s="8">
        <f t="shared" si="4"/>
        <v>3239.34</v>
      </c>
      <c r="K30" s="9"/>
      <c r="L30" s="1">
        <v>5</v>
      </c>
      <c r="M30" s="10">
        <f t="shared" si="5"/>
        <v>3239.34</v>
      </c>
      <c r="N30" s="10">
        <f t="shared" si="2"/>
        <v>415.3</v>
      </c>
    </row>
    <row r="31" spans="1:14">
      <c r="A31" s="1" t="s">
        <v>52</v>
      </c>
      <c r="B31" s="1"/>
      <c r="C31" s="35" t="s">
        <v>16</v>
      </c>
      <c r="D31" s="11" t="s">
        <v>16</v>
      </c>
      <c r="E31" s="13" t="s">
        <v>67</v>
      </c>
      <c r="F31" s="6">
        <v>499.75</v>
      </c>
      <c r="G31" s="7">
        <v>499.75</v>
      </c>
      <c r="H31" s="7">
        <v>429.77</v>
      </c>
      <c r="I31" s="8">
        <f t="shared" si="3"/>
        <v>3898.0499999999997</v>
      </c>
      <c r="J31" s="8">
        <f t="shared" si="4"/>
        <v>19490.25</v>
      </c>
      <c r="K31" s="9"/>
      <c r="L31" s="1">
        <v>5</v>
      </c>
      <c r="M31" s="10">
        <f t="shared" si="5"/>
        <v>19490.25</v>
      </c>
      <c r="N31" s="10">
        <f t="shared" si="2"/>
        <v>2498.75</v>
      </c>
    </row>
    <row r="32" spans="1:14" ht="30.6">
      <c r="A32" s="1" t="s">
        <v>52</v>
      </c>
      <c r="B32" s="1">
        <v>1</v>
      </c>
      <c r="C32" s="5" t="s">
        <v>17</v>
      </c>
      <c r="D32" s="11" t="s">
        <v>35</v>
      </c>
      <c r="E32" s="11" t="s">
        <v>36</v>
      </c>
      <c r="F32" s="6">
        <v>106.26</v>
      </c>
      <c r="G32" s="7">
        <v>99.14</v>
      </c>
      <c r="H32" s="7">
        <v>94.19</v>
      </c>
      <c r="I32" s="8">
        <f>F32*7.8</f>
        <v>828.82799999999997</v>
      </c>
      <c r="J32" s="8">
        <f t="shared" si="4"/>
        <v>4144.1399999999994</v>
      </c>
      <c r="K32" s="9" t="s">
        <v>71</v>
      </c>
      <c r="L32" s="1">
        <v>5</v>
      </c>
      <c r="M32" s="10">
        <f t="shared" si="5"/>
        <v>4144.1399999999994</v>
      </c>
      <c r="N32" s="10">
        <f>L32*F32</f>
        <v>531.30000000000007</v>
      </c>
    </row>
    <row r="33" spans="1:14">
      <c r="A33" s="1" t="s">
        <v>52</v>
      </c>
      <c r="B33" s="1">
        <v>1</v>
      </c>
      <c r="C33" s="5" t="s">
        <v>18</v>
      </c>
      <c r="D33" s="11" t="s">
        <v>238</v>
      </c>
      <c r="E33" s="11" t="s">
        <v>63</v>
      </c>
      <c r="F33" s="6">
        <v>181.8</v>
      </c>
      <c r="G33" s="7">
        <v>173.77638171428572</v>
      </c>
      <c r="H33" s="7">
        <v>163.34979881142857</v>
      </c>
      <c r="I33" s="8">
        <f t="shared" si="3"/>
        <v>1418.04</v>
      </c>
      <c r="J33" s="8">
        <f t="shared" si="4"/>
        <v>7090.2</v>
      </c>
      <c r="K33" s="9"/>
      <c r="L33" s="1">
        <v>5</v>
      </c>
      <c r="M33" s="10">
        <f t="shared" si="5"/>
        <v>7090.2</v>
      </c>
      <c r="N33" s="10">
        <f t="shared" si="2"/>
        <v>909</v>
      </c>
    </row>
    <row r="34" spans="1:14">
      <c r="A34" s="1" t="s">
        <v>52</v>
      </c>
      <c r="B34" s="1">
        <v>1</v>
      </c>
      <c r="C34" s="36" t="s">
        <v>10</v>
      </c>
      <c r="D34" s="22" t="s">
        <v>26</v>
      </c>
      <c r="E34" s="22" t="s">
        <v>27</v>
      </c>
      <c r="F34" s="21">
        <v>125.01</v>
      </c>
      <c r="G34" s="21">
        <v>113.64</v>
      </c>
      <c r="H34" s="21">
        <v>106.82</v>
      </c>
      <c r="I34" s="8">
        <f t="shared" si="3"/>
        <v>975.07799999999997</v>
      </c>
      <c r="J34" s="8">
        <f t="shared" si="4"/>
        <v>4875.3899999999994</v>
      </c>
      <c r="K34" s="9"/>
      <c r="L34" s="1">
        <v>5</v>
      </c>
      <c r="M34" s="10">
        <f t="shared" si="5"/>
        <v>4875.3899999999994</v>
      </c>
      <c r="N34" s="10">
        <f t="shared" si="2"/>
        <v>625.05000000000007</v>
      </c>
    </row>
    <row r="35" spans="1:14" ht="20.399999999999999">
      <c r="A35" s="1" t="s">
        <v>52</v>
      </c>
      <c r="B35" s="1" t="s">
        <v>106</v>
      </c>
      <c r="C35" s="22" t="s">
        <v>5</v>
      </c>
      <c r="D35" s="22" t="s">
        <v>69</v>
      </c>
      <c r="E35" s="22" t="s">
        <v>34</v>
      </c>
      <c r="F35" s="21">
        <v>458.84</v>
      </c>
      <c r="G35" s="21">
        <v>417.13</v>
      </c>
      <c r="H35" s="21">
        <v>392.1</v>
      </c>
      <c r="I35" s="8">
        <f t="shared" si="3"/>
        <v>3578.9519999999998</v>
      </c>
      <c r="J35" s="8">
        <f t="shared" si="4"/>
        <v>17894.759999999998</v>
      </c>
      <c r="K35" s="9"/>
      <c r="L35" s="1"/>
      <c r="M35" s="10">
        <f t="shared" si="5"/>
        <v>0</v>
      </c>
      <c r="N35" s="10">
        <f t="shared" si="2"/>
        <v>0</v>
      </c>
    </row>
    <row r="36" spans="1:14" ht="20.399999999999999">
      <c r="A36" s="1" t="s">
        <v>51</v>
      </c>
      <c r="B36" s="1">
        <v>1</v>
      </c>
      <c r="C36" s="14" t="s">
        <v>7</v>
      </c>
      <c r="D36" s="15" t="s">
        <v>37</v>
      </c>
      <c r="E36" s="15" t="s">
        <v>38</v>
      </c>
      <c r="F36" s="16">
        <v>86.85</v>
      </c>
      <c r="G36" s="17">
        <v>83.02</v>
      </c>
      <c r="H36" s="17">
        <v>80.53</v>
      </c>
      <c r="I36" s="8">
        <f t="shared" si="3"/>
        <v>677.43</v>
      </c>
      <c r="J36" s="8">
        <f t="shared" si="4"/>
        <v>3387.1499999999996</v>
      </c>
      <c r="K36" s="9" t="s">
        <v>39</v>
      </c>
      <c r="L36" s="1"/>
      <c r="M36" s="10">
        <f t="shared" si="5"/>
        <v>0</v>
      </c>
      <c r="N36" s="10">
        <f t="shared" si="2"/>
        <v>0</v>
      </c>
    </row>
    <row r="37" spans="1:14" ht="20.399999999999999">
      <c r="A37" s="1" t="s">
        <v>51</v>
      </c>
      <c r="B37" s="1"/>
      <c r="C37" s="14" t="s">
        <v>114</v>
      </c>
      <c r="D37" s="15" t="s">
        <v>108</v>
      </c>
      <c r="E37" s="15" t="s">
        <v>38</v>
      </c>
      <c r="F37" s="16">
        <v>55.15</v>
      </c>
      <c r="G37" s="17"/>
      <c r="H37" s="17"/>
      <c r="I37" s="8">
        <f t="shared" si="3"/>
        <v>430.16999999999996</v>
      </c>
      <c r="J37" s="8">
        <f t="shared" si="4"/>
        <v>2150.85</v>
      </c>
      <c r="K37" s="9"/>
      <c r="L37" s="1"/>
      <c r="M37" s="10"/>
      <c r="N37" s="10"/>
    </row>
    <row r="38" spans="1:14">
      <c r="A38" s="1" t="s">
        <v>50</v>
      </c>
      <c r="B38" s="1">
        <v>1</v>
      </c>
      <c r="C38" s="34" t="s">
        <v>353</v>
      </c>
      <c r="D38" s="34" t="s">
        <v>55</v>
      </c>
      <c r="E38" s="15" t="s">
        <v>117</v>
      </c>
      <c r="F38" s="19">
        <v>113.58</v>
      </c>
      <c r="G38" s="19">
        <v>103.25</v>
      </c>
      <c r="H38" s="26">
        <v>100.15</v>
      </c>
      <c r="I38" s="8">
        <f t="shared" ref="I38" si="8">F38*7.8</f>
        <v>885.92399999999998</v>
      </c>
      <c r="J38" s="8">
        <f t="shared" ref="J38" si="9">I38*5</f>
        <v>4429.62</v>
      </c>
      <c r="K38" s="9"/>
      <c r="L38" s="1"/>
      <c r="M38" s="10">
        <f t="shared" ref="M38" si="10">L38*I38</f>
        <v>0</v>
      </c>
      <c r="N38" s="10">
        <f t="shared" ref="N38" si="11">L38*F38</f>
        <v>0</v>
      </c>
    </row>
    <row r="39" spans="1:14">
      <c r="A39" s="1" t="s">
        <v>51</v>
      </c>
      <c r="B39" s="1">
        <v>2</v>
      </c>
      <c r="C39" s="14" t="s">
        <v>352</v>
      </c>
      <c r="D39" s="15" t="s">
        <v>104</v>
      </c>
      <c r="E39" s="15" t="s">
        <v>116</v>
      </c>
      <c r="F39" s="16">
        <v>91.97</v>
      </c>
      <c r="G39" s="17"/>
      <c r="H39" s="17"/>
      <c r="I39" s="8">
        <f t="shared" ref="I39:I47" si="12">F39*7.8</f>
        <v>717.36599999999999</v>
      </c>
      <c r="J39" s="8">
        <f t="shared" ref="J39:J47" si="13">I39*5</f>
        <v>3586.83</v>
      </c>
      <c r="K39" s="9"/>
      <c r="L39" s="1"/>
      <c r="M39" s="10"/>
      <c r="N39" s="10"/>
    </row>
    <row r="40" spans="1:14">
      <c r="A40" s="1" t="s">
        <v>51</v>
      </c>
      <c r="B40" s="1">
        <v>2</v>
      </c>
      <c r="C40" s="14" t="s">
        <v>110</v>
      </c>
      <c r="D40" s="15" t="s">
        <v>75</v>
      </c>
      <c r="E40" s="15" t="s">
        <v>74</v>
      </c>
      <c r="F40" s="16">
        <v>81.12</v>
      </c>
      <c r="G40" s="17"/>
      <c r="H40" s="17"/>
      <c r="I40" s="8">
        <f t="shared" si="12"/>
        <v>632.73599999999999</v>
      </c>
      <c r="J40" s="8">
        <f t="shared" si="13"/>
        <v>3163.68</v>
      </c>
      <c r="K40" s="9"/>
      <c r="L40" s="1"/>
      <c r="M40" s="10"/>
      <c r="N40" s="10"/>
    </row>
    <row r="41" spans="1:14" ht="20.399999999999999">
      <c r="A41" s="1" t="s">
        <v>51</v>
      </c>
      <c r="B41" s="1">
        <v>2</v>
      </c>
      <c r="C41" s="14" t="s">
        <v>109</v>
      </c>
      <c r="D41" s="15" t="s">
        <v>99</v>
      </c>
      <c r="E41" s="15" t="s">
        <v>100</v>
      </c>
      <c r="F41" s="16">
        <v>126.67</v>
      </c>
      <c r="G41" s="17"/>
      <c r="H41" s="17"/>
      <c r="I41" s="8">
        <f t="shared" si="12"/>
        <v>988.02599999999995</v>
      </c>
      <c r="J41" s="8">
        <f t="shared" si="13"/>
        <v>4940.13</v>
      </c>
      <c r="K41" s="9"/>
      <c r="L41" s="1"/>
      <c r="M41" s="10"/>
      <c r="N41" s="10"/>
    </row>
    <row r="42" spans="1:14">
      <c r="A42" s="1" t="s">
        <v>51</v>
      </c>
      <c r="B42" s="1">
        <v>2</v>
      </c>
      <c r="C42" s="14" t="s">
        <v>111</v>
      </c>
      <c r="D42" s="15" t="s">
        <v>91</v>
      </c>
      <c r="E42" s="15" t="s">
        <v>92</v>
      </c>
      <c r="F42" s="16">
        <v>78.86</v>
      </c>
      <c r="G42" s="17"/>
      <c r="H42" s="17"/>
      <c r="I42" s="8">
        <f t="shared" si="12"/>
        <v>615.10799999999995</v>
      </c>
      <c r="J42" s="8">
        <f t="shared" si="13"/>
        <v>3075.54</v>
      </c>
      <c r="K42" s="9"/>
      <c r="L42" s="1"/>
      <c r="M42" s="10"/>
      <c r="N42" s="10"/>
    </row>
    <row r="43" spans="1:14" ht="20.399999999999999">
      <c r="A43" s="1" t="s">
        <v>51</v>
      </c>
      <c r="B43" s="1">
        <v>2</v>
      </c>
      <c r="C43" s="14" t="s">
        <v>112</v>
      </c>
      <c r="D43" s="15" t="s">
        <v>98</v>
      </c>
      <c r="E43" s="15" t="s">
        <v>118</v>
      </c>
      <c r="F43" s="16">
        <v>57.12</v>
      </c>
      <c r="G43" s="17"/>
      <c r="H43" s="17"/>
      <c r="I43" s="8">
        <f t="shared" si="12"/>
        <v>445.53599999999994</v>
      </c>
      <c r="J43" s="8">
        <f t="shared" si="13"/>
        <v>2227.6799999999998</v>
      </c>
      <c r="K43" s="9"/>
      <c r="L43" s="1"/>
      <c r="M43" s="10"/>
      <c r="N43" s="10"/>
    </row>
    <row r="44" spans="1:14">
      <c r="A44" s="4" t="s">
        <v>51</v>
      </c>
      <c r="B44" s="1"/>
      <c r="C44" s="14" t="s">
        <v>131</v>
      </c>
      <c r="D44" s="15" t="s">
        <v>132</v>
      </c>
      <c r="E44" s="15" t="s">
        <v>133</v>
      </c>
      <c r="F44" s="16">
        <v>229.56</v>
      </c>
      <c r="G44" s="17"/>
      <c r="H44" s="17"/>
      <c r="I44" s="8">
        <f t="shared" si="12"/>
        <v>1790.568</v>
      </c>
      <c r="J44" s="8">
        <f t="shared" si="13"/>
        <v>8952.84</v>
      </c>
      <c r="K44" s="9"/>
      <c r="L44" s="1"/>
      <c r="M44" s="10"/>
      <c r="N44" s="10"/>
    </row>
    <row r="45" spans="1:14">
      <c r="A45" s="4" t="s">
        <v>51</v>
      </c>
      <c r="B45" s="1">
        <v>2</v>
      </c>
      <c r="C45" s="14" t="s">
        <v>351</v>
      </c>
      <c r="D45" s="15" t="s">
        <v>119</v>
      </c>
      <c r="E45" s="15" t="s">
        <v>115</v>
      </c>
      <c r="F45" s="16">
        <v>153.13</v>
      </c>
      <c r="G45" s="17"/>
      <c r="H45" s="17"/>
      <c r="I45" s="8">
        <f t="shared" si="12"/>
        <v>1194.414</v>
      </c>
      <c r="J45" s="8">
        <f t="shared" si="13"/>
        <v>5972.07</v>
      </c>
      <c r="K45" s="9"/>
      <c r="L45" s="1"/>
      <c r="M45" s="10"/>
      <c r="N45" s="10"/>
    </row>
    <row r="46" spans="1:14">
      <c r="A46" s="4" t="s">
        <v>51</v>
      </c>
      <c r="B46" s="1"/>
      <c r="C46" s="14" t="s">
        <v>101</v>
      </c>
      <c r="D46" s="15" t="s">
        <v>102</v>
      </c>
      <c r="E46" s="15" t="s">
        <v>103</v>
      </c>
      <c r="F46" s="16"/>
      <c r="G46" s="17"/>
      <c r="H46" s="17"/>
      <c r="I46" s="8">
        <f t="shared" si="12"/>
        <v>0</v>
      </c>
      <c r="J46" s="8">
        <f t="shared" si="13"/>
        <v>0</v>
      </c>
      <c r="K46" s="9"/>
      <c r="L46" s="1"/>
      <c r="M46" s="10"/>
      <c r="N46" s="10"/>
    </row>
    <row r="47" spans="1:14">
      <c r="A47" s="1" t="s">
        <v>51</v>
      </c>
      <c r="B47" s="1">
        <v>2</v>
      </c>
      <c r="C47" s="14" t="s">
        <v>113</v>
      </c>
      <c r="D47" s="15" t="s">
        <v>88</v>
      </c>
      <c r="E47" s="15" t="s">
        <v>87</v>
      </c>
      <c r="F47" s="16">
        <v>30.88</v>
      </c>
      <c r="G47" s="17"/>
      <c r="H47" s="17"/>
      <c r="I47" s="8">
        <f t="shared" si="12"/>
        <v>240.86399999999998</v>
      </c>
      <c r="J47" s="8">
        <f t="shared" si="13"/>
        <v>1204.32</v>
      </c>
      <c r="K47" s="9"/>
      <c r="L47" s="1"/>
      <c r="M47" s="10"/>
      <c r="N47" s="10"/>
    </row>
    <row r="48" spans="1:14" ht="20.399999999999999">
      <c r="A48" s="1" t="s">
        <v>51</v>
      </c>
      <c r="B48" s="1">
        <v>1</v>
      </c>
      <c r="C48" s="18" t="s">
        <v>8</v>
      </c>
      <c r="D48" s="18" t="s">
        <v>65</v>
      </c>
      <c r="E48" s="18" t="s">
        <v>105</v>
      </c>
      <c r="F48" s="19">
        <v>127.92</v>
      </c>
      <c r="G48" s="19">
        <v>116.29</v>
      </c>
      <c r="H48" s="19">
        <v>112.8</v>
      </c>
      <c r="I48" s="8">
        <f t="shared" si="3"/>
        <v>997.77599999999995</v>
      </c>
      <c r="J48" s="8">
        <f t="shared" si="4"/>
        <v>4988.88</v>
      </c>
      <c r="K48" s="9" t="s">
        <v>66</v>
      </c>
      <c r="L48" s="1"/>
      <c r="M48" s="10">
        <f t="shared" si="5"/>
        <v>0</v>
      </c>
      <c r="N48" s="10">
        <f t="shared" si="2"/>
        <v>0</v>
      </c>
    </row>
    <row r="49" spans="7:14">
      <c r="M49" s="10">
        <f>SUM(M2:M48)</f>
        <v>53379.923999999999</v>
      </c>
      <c r="N49" s="10">
        <f t="shared" si="2"/>
        <v>0</v>
      </c>
    </row>
    <row r="50" spans="7:14">
      <c r="G50" s="32"/>
      <c r="M50" s="4">
        <f>SUBTOTAL(9,M7:M34)</f>
        <v>52780.962</v>
      </c>
    </row>
    <row r="51" spans="7:14">
      <c r="M51" s="4">
        <f>M50/7.8</f>
        <v>6766.79</v>
      </c>
    </row>
  </sheetData>
  <autoFilter ref="A1:M51" xr:uid="{FC58AAC8-DB66-4EFA-B5E1-C696087AF478}">
    <sortState xmlns:xlrd2="http://schemas.microsoft.com/office/spreadsheetml/2017/richdata2" ref="A2:M49">
      <sortCondition ref="A1:A49"/>
    </sortState>
  </autoFilter>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04D19-CF37-4708-A130-3B94C34701CF}">
  <sheetPr>
    <tabColor rgb="FFFFFF00"/>
  </sheetPr>
  <dimension ref="A1:J24"/>
  <sheetViews>
    <sheetView topLeftCell="A3" workbookViewId="0">
      <selection activeCell="K13" sqref="K13"/>
    </sheetView>
  </sheetViews>
  <sheetFormatPr defaultColWidth="9" defaultRowHeight="14.4"/>
  <cols>
    <col min="1" max="1" width="21.109375" style="90" customWidth="1"/>
    <col min="2" max="6" width="9" style="90"/>
    <col min="7" max="7" width="8.109375" style="90" customWidth="1"/>
    <col min="8" max="8" width="14.77734375" style="90" customWidth="1"/>
    <col min="9" max="16384" width="9" style="90"/>
  </cols>
  <sheetData>
    <row r="1" spans="1:10" ht="20.399999999999999">
      <c r="A1" s="95"/>
      <c r="B1" s="96" t="s">
        <v>149</v>
      </c>
      <c r="C1" s="91"/>
      <c r="D1" s="95"/>
      <c r="E1" s="95"/>
      <c r="F1" s="95"/>
      <c r="G1" s="97"/>
      <c r="H1" s="95"/>
      <c r="J1" s="79"/>
    </row>
    <row r="2" spans="1:10" ht="17.399999999999999">
      <c r="A2" s="98" t="s">
        <v>366</v>
      </c>
      <c r="B2" s="99"/>
      <c r="C2" s="54"/>
      <c r="D2" s="98" t="s">
        <v>263</v>
      </c>
      <c r="E2" s="100"/>
      <c r="F2" s="100"/>
      <c r="G2" s="61"/>
      <c r="H2" s="100"/>
    </row>
    <row r="3" spans="1:10" ht="17.399999999999999">
      <c r="A3" s="101" t="s">
        <v>152</v>
      </c>
      <c r="B3" s="76"/>
      <c r="C3" s="54"/>
      <c r="D3" s="101" t="s">
        <v>367</v>
      </c>
      <c r="E3" s="102"/>
      <c r="F3" s="102"/>
      <c r="G3" s="61"/>
      <c r="H3" s="102"/>
    </row>
    <row r="4" spans="1:10" ht="15.6">
      <c r="A4" s="54" t="s">
        <v>154</v>
      </c>
      <c r="B4" s="54" t="s">
        <v>265</v>
      </c>
      <c r="C4" s="103" t="s">
        <v>156</v>
      </c>
      <c r="D4" s="106"/>
      <c r="E4" s="104" t="s">
        <v>158</v>
      </c>
      <c r="F4" s="104" t="s">
        <v>267</v>
      </c>
      <c r="G4" s="54" t="s">
        <v>268</v>
      </c>
      <c r="H4" s="69" t="s">
        <v>269</v>
      </c>
      <c r="I4" s="90" t="s">
        <v>270</v>
      </c>
    </row>
    <row r="5" spans="1:10" ht="15.6">
      <c r="A5" s="50" t="s">
        <v>162</v>
      </c>
      <c r="B5" s="106"/>
      <c r="C5" s="54">
        <f>100-SUM(C6:C19)</f>
        <v>79.5</v>
      </c>
      <c r="D5" s="138">
        <f t="shared" ref="D5:D10" si="0">C5*$D$20/$C$20</f>
        <v>39.75</v>
      </c>
      <c r="E5" s="108">
        <f>18/4.5</f>
        <v>4</v>
      </c>
      <c r="F5" s="52">
        <f t="shared" ref="F5:F10" si="1">E5/1000*D5</f>
        <v>0.159</v>
      </c>
      <c r="G5" s="69"/>
      <c r="H5" s="69"/>
    </row>
    <row r="6" spans="1:10" ht="15.6">
      <c r="A6" s="77" t="s">
        <v>368</v>
      </c>
      <c r="B6" s="131"/>
      <c r="C6" s="54">
        <v>0</v>
      </c>
      <c r="D6" s="138">
        <f t="shared" si="0"/>
        <v>0</v>
      </c>
      <c r="E6" s="108">
        <v>6200</v>
      </c>
      <c r="F6" s="52">
        <f t="shared" si="1"/>
        <v>0</v>
      </c>
      <c r="G6" s="61"/>
      <c r="H6" s="61" t="s">
        <v>369</v>
      </c>
      <c r="I6" s="90" t="s">
        <v>370</v>
      </c>
    </row>
    <row r="7" spans="1:10" ht="15.6">
      <c r="A7" s="58" t="s">
        <v>164</v>
      </c>
      <c r="B7" s="59"/>
      <c r="C7" s="60">
        <v>0</v>
      </c>
      <c r="D7" s="138">
        <f t="shared" si="0"/>
        <v>0</v>
      </c>
      <c r="E7" s="108">
        <v>50</v>
      </c>
      <c r="F7" s="52">
        <f t="shared" si="1"/>
        <v>0</v>
      </c>
      <c r="G7" s="83" t="s">
        <v>163</v>
      </c>
      <c r="H7" s="61" t="s">
        <v>165</v>
      </c>
      <c r="I7" s="90" t="s">
        <v>273</v>
      </c>
    </row>
    <row r="8" spans="1:10" ht="15.6">
      <c r="A8" s="58" t="s">
        <v>371</v>
      </c>
      <c r="B8" s="120">
        <v>0.02</v>
      </c>
      <c r="C8" s="60">
        <v>0</v>
      </c>
      <c r="D8" s="138">
        <f t="shared" si="0"/>
        <v>0</v>
      </c>
      <c r="E8" s="108">
        <v>850</v>
      </c>
      <c r="F8" s="52">
        <f t="shared" si="1"/>
        <v>0</v>
      </c>
      <c r="G8" s="61" t="s">
        <v>385</v>
      </c>
      <c r="H8" s="69" t="s">
        <v>313</v>
      </c>
      <c r="I8" s="90" t="s">
        <v>280</v>
      </c>
    </row>
    <row r="9" spans="1:10" ht="15.6">
      <c r="A9" s="58" t="s">
        <v>298</v>
      </c>
      <c r="B9" s="109"/>
      <c r="C9" s="60">
        <v>0</v>
      </c>
      <c r="D9" s="138">
        <f t="shared" si="0"/>
        <v>0</v>
      </c>
      <c r="E9" s="108">
        <v>1500</v>
      </c>
      <c r="F9" s="52">
        <f t="shared" si="1"/>
        <v>0</v>
      </c>
      <c r="G9" s="61"/>
      <c r="H9" s="61" t="s">
        <v>372</v>
      </c>
      <c r="I9" s="90" t="s">
        <v>280</v>
      </c>
    </row>
    <row r="10" spans="1:10" ht="15.6">
      <c r="A10" s="79" t="s">
        <v>373</v>
      </c>
      <c r="B10" s="109"/>
      <c r="C10" s="60">
        <v>0</v>
      </c>
      <c r="D10" s="138">
        <f t="shared" si="0"/>
        <v>0</v>
      </c>
      <c r="E10" s="108">
        <v>600</v>
      </c>
      <c r="F10" s="52">
        <f t="shared" si="1"/>
        <v>0</v>
      </c>
      <c r="G10" s="61"/>
      <c r="H10" s="61" t="s">
        <v>209</v>
      </c>
      <c r="I10" s="90" t="s">
        <v>280</v>
      </c>
    </row>
    <row r="11" spans="1:10" ht="15.6">
      <c r="A11" s="50" t="s">
        <v>374</v>
      </c>
      <c r="B11" s="129">
        <v>0.01</v>
      </c>
      <c r="C11" s="78">
        <v>0</v>
      </c>
      <c r="D11" s="138">
        <f>C11*$D$20/$C$20</f>
        <v>0</v>
      </c>
      <c r="E11" s="51">
        <v>230</v>
      </c>
      <c r="F11" s="52">
        <f>E11/1000*D11</f>
        <v>0</v>
      </c>
      <c r="G11" s="61"/>
      <c r="H11" s="61" t="s">
        <v>375</v>
      </c>
      <c r="I11" s="90" t="s">
        <v>370</v>
      </c>
    </row>
    <row r="12" spans="1:10" ht="15.6">
      <c r="A12" s="94" t="s">
        <v>386</v>
      </c>
      <c r="B12" s="129" t="s">
        <v>376</v>
      </c>
      <c r="C12" s="78">
        <v>20</v>
      </c>
      <c r="D12" s="138">
        <f t="shared" ref="D12:D19" si="2">C12*$D$20/$C$20</f>
        <v>10</v>
      </c>
      <c r="E12" s="51">
        <f>EN!F5*7</f>
        <v>201.81</v>
      </c>
      <c r="F12" s="52">
        <f t="shared" ref="F12:F19" si="3">E12/1000*D12</f>
        <v>2.0181</v>
      </c>
      <c r="G12" s="61"/>
      <c r="H12" s="61" t="s">
        <v>375</v>
      </c>
      <c r="I12" s="90" t="s">
        <v>370</v>
      </c>
    </row>
    <row r="13" spans="1:10" ht="15.6">
      <c r="A13" s="50" t="s">
        <v>377</v>
      </c>
      <c r="B13" s="129" t="s">
        <v>378</v>
      </c>
      <c r="C13" s="78">
        <v>0</v>
      </c>
      <c r="D13" s="138">
        <f t="shared" si="2"/>
        <v>0</v>
      </c>
      <c r="E13" s="51">
        <f>8000*0.074</f>
        <v>592</v>
      </c>
      <c r="F13" s="52">
        <f t="shared" si="3"/>
        <v>0</v>
      </c>
      <c r="G13" s="61"/>
      <c r="H13" s="61"/>
    </row>
    <row r="14" spans="1:10" ht="15.6">
      <c r="A14" s="50" t="s">
        <v>379</v>
      </c>
      <c r="B14" s="129" t="s">
        <v>380</v>
      </c>
      <c r="C14" s="78">
        <v>0</v>
      </c>
      <c r="D14" s="138">
        <f t="shared" si="2"/>
        <v>0</v>
      </c>
      <c r="E14" s="51">
        <v>6000</v>
      </c>
      <c r="F14" s="52">
        <f t="shared" si="3"/>
        <v>0</v>
      </c>
      <c r="G14" s="61"/>
      <c r="H14" s="61" t="s">
        <v>375</v>
      </c>
      <c r="I14" s="90" t="s">
        <v>370</v>
      </c>
    </row>
    <row r="15" spans="1:10" ht="15.6">
      <c r="A15" s="50" t="s">
        <v>381</v>
      </c>
      <c r="B15" s="109"/>
      <c r="C15" s="54">
        <v>0</v>
      </c>
      <c r="D15" s="138">
        <f t="shared" si="2"/>
        <v>0</v>
      </c>
      <c r="E15" s="108">
        <v>350</v>
      </c>
      <c r="F15" s="52">
        <f t="shared" si="3"/>
        <v>0</v>
      </c>
      <c r="G15" s="61"/>
      <c r="H15" s="83" t="s">
        <v>331</v>
      </c>
      <c r="I15" s="90" t="s">
        <v>340</v>
      </c>
    </row>
    <row r="16" spans="1:10" ht="15.6">
      <c r="A16" s="77">
        <v>9010</v>
      </c>
      <c r="B16" s="84"/>
      <c r="C16" s="66">
        <v>0.5</v>
      </c>
      <c r="D16" s="138">
        <f t="shared" si="2"/>
        <v>0.25</v>
      </c>
      <c r="E16" s="108">
        <v>200</v>
      </c>
      <c r="F16" s="52">
        <f t="shared" si="3"/>
        <v>0.05</v>
      </c>
      <c r="G16" s="69" t="s">
        <v>193</v>
      </c>
      <c r="H16" s="69" t="s">
        <v>221</v>
      </c>
      <c r="I16" s="90" t="s">
        <v>288</v>
      </c>
    </row>
    <row r="17" spans="1:9" ht="15.6">
      <c r="A17" s="77" t="s">
        <v>334</v>
      </c>
      <c r="B17" s="84"/>
      <c r="C17" s="66">
        <v>0</v>
      </c>
      <c r="D17" s="138">
        <f t="shared" si="2"/>
        <v>0</v>
      </c>
      <c r="E17" s="108">
        <v>200</v>
      </c>
      <c r="F17" s="52">
        <f t="shared" si="3"/>
        <v>0</v>
      </c>
      <c r="G17" s="61"/>
      <c r="H17" s="61" t="s">
        <v>350</v>
      </c>
      <c r="I17" s="90" t="s">
        <v>280</v>
      </c>
    </row>
    <row r="18" spans="1:9" ht="15.6">
      <c r="A18" s="77" t="s">
        <v>300</v>
      </c>
      <c r="B18" s="84"/>
      <c r="C18" s="66">
        <v>0</v>
      </c>
      <c r="D18" s="138">
        <f t="shared" si="2"/>
        <v>0</v>
      </c>
      <c r="E18" s="108">
        <v>400</v>
      </c>
      <c r="F18" s="52">
        <f t="shared" si="3"/>
        <v>0</v>
      </c>
      <c r="G18" s="61"/>
      <c r="H18" s="61"/>
    </row>
    <row r="19" spans="1:9" ht="15.6">
      <c r="A19" s="77" t="s">
        <v>382</v>
      </c>
      <c r="B19" s="84"/>
      <c r="C19" s="66">
        <v>0</v>
      </c>
      <c r="D19" s="138">
        <f t="shared" si="2"/>
        <v>0</v>
      </c>
      <c r="E19" s="108">
        <v>4500</v>
      </c>
      <c r="F19" s="52">
        <f t="shared" si="3"/>
        <v>0</v>
      </c>
      <c r="G19" s="83"/>
      <c r="H19" s="83" t="s">
        <v>333</v>
      </c>
      <c r="I19" s="90" t="s">
        <v>383</v>
      </c>
    </row>
    <row r="20" spans="1:9" ht="15.6">
      <c r="A20" s="115"/>
      <c r="B20" s="115"/>
      <c r="C20" s="54">
        <f>SUM(C5:C19)</f>
        <v>100</v>
      </c>
      <c r="D20" s="54">
        <v>50</v>
      </c>
      <c r="E20" s="115"/>
      <c r="F20" s="115">
        <f>SUM(F5:F19)</f>
        <v>2.2270999999999996</v>
      </c>
      <c r="G20" s="83"/>
      <c r="H20" s="67">
        <f>F20*0.1</f>
        <v>0.22270999999999996</v>
      </c>
    </row>
    <row r="21" spans="1:9" ht="15.6">
      <c r="A21" s="91"/>
      <c r="B21" s="91"/>
      <c r="C21" s="91"/>
      <c r="D21" s="91"/>
      <c r="E21" s="91"/>
      <c r="F21" s="91"/>
      <c r="G21" s="116"/>
      <c r="H21" s="87" t="s">
        <v>384</v>
      </c>
    </row>
    <row r="22" spans="1:9" ht="15.6">
      <c r="A22" s="89" t="s">
        <v>303</v>
      </c>
      <c r="B22" s="117"/>
      <c r="C22" s="116"/>
      <c r="D22" s="118"/>
      <c r="E22" s="91"/>
      <c r="F22" s="91"/>
      <c r="G22" s="116"/>
      <c r="H22" s="91"/>
    </row>
    <row r="23" spans="1:9">
      <c r="A23" s="91" t="s">
        <v>304</v>
      </c>
      <c r="B23" s="91"/>
      <c r="C23" s="91"/>
      <c r="D23" s="91"/>
      <c r="E23" s="91"/>
      <c r="F23" s="91"/>
      <c r="G23" s="116"/>
      <c r="H23" s="91"/>
    </row>
    <row r="24" spans="1:9">
      <c r="A24" s="90" t="s">
        <v>305</v>
      </c>
      <c r="G24" s="11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DCB86-16BE-4D24-B132-7B12E0412968}">
  <sheetPr>
    <tabColor rgb="FFFFFF00"/>
  </sheetPr>
  <dimension ref="A1:I25"/>
  <sheetViews>
    <sheetView topLeftCell="A3" workbookViewId="0">
      <selection activeCell="A10" sqref="A10"/>
    </sheetView>
  </sheetViews>
  <sheetFormatPr defaultColWidth="9" defaultRowHeight="14.4"/>
  <cols>
    <col min="1" max="1" width="25.44140625" style="90" customWidth="1"/>
    <col min="2" max="6" width="9" style="90"/>
    <col min="7" max="7" width="8.109375" style="90" customWidth="1"/>
    <col min="8" max="8" width="14.77734375" style="90" customWidth="1"/>
    <col min="9" max="16384" width="9" style="90"/>
  </cols>
  <sheetData>
    <row r="1" spans="1:9" ht="20.399999999999999">
      <c r="A1" s="95"/>
      <c r="B1" s="96" t="s">
        <v>149</v>
      </c>
      <c r="C1" s="91"/>
      <c r="D1" s="95"/>
      <c r="E1" s="95"/>
      <c r="F1" s="95"/>
      <c r="G1" s="97"/>
      <c r="H1" s="95"/>
    </row>
    <row r="2" spans="1:9" ht="17.399999999999999">
      <c r="A2" s="98" t="s">
        <v>359</v>
      </c>
      <c r="B2" s="99"/>
      <c r="C2" s="54"/>
      <c r="D2" s="98" t="s">
        <v>263</v>
      </c>
      <c r="E2" s="100"/>
      <c r="F2" s="100"/>
      <c r="G2" s="61"/>
      <c r="H2" s="100"/>
    </row>
    <row r="3" spans="1:9" ht="17.399999999999999">
      <c r="A3" s="101" t="s">
        <v>152</v>
      </c>
      <c r="B3" s="76"/>
      <c r="C3" s="54"/>
      <c r="D3" s="101" t="s">
        <v>360</v>
      </c>
      <c r="E3" s="102"/>
      <c r="F3" s="102"/>
      <c r="G3" s="61"/>
      <c r="H3" s="102"/>
    </row>
    <row r="4" spans="1:9" ht="18" customHeight="1">
      <c r="A4" s="54" t="s">
        <v>154</v>
      </c>
      <c r="B4" s="54" t="s">
        <v>265</v>
      </c>
      <c r="C4" s="103" t="s">
        <v>156</v>
      </c>
      <c r="D4" s="104" t="s">
        <v>266</v>
      </c>
      <c r="E4" s="104" t="s">
        <v>158</v>
      </c>
      <c r="F4" s="104" t="s">
        <v>267</v>
      </c>
      <c r="G4" s="54" t="s">
        <v>268</v>
      </c>
      <c r="H4" s="69" t="s">
        <v>269</v>
      </c>
      <c r="I4" s="90" t="s">
        <v>270</v>
      </c>
    </row>
    <row r="5" spans="1:9" ht="15.6">
      <c r="A5" s="50" t="s">
        <v>162</v>
      </c>
      <c r="B5" s="106"/>
      <c r="C5" s="54">
        <f>100-SUM(C7:C18)</f>
        <v>75.95</v>
      </c>
      <c r="D5" s="107">
        <f t="shared" ref="D5:D15" si="0">C5*$D$19/$C$19</f>
        <v>151.9</v>
      </c>
      <c r="E5" s="108">
        <v>4</v>
      </c>
      <c r="F5" s="52">
        <f t="shared" ref="F5:F14" si="1">E5/1000*D5</f>
        <v>0.60760000000000003</v>
      </c>
      <c r="G5" s="69"/>
      <c r="H5" s="69"/>
    </row>
    <row r="6" spans="1:9" ht="15.6">
      <c r="A6" s="50" t="s">
        <v>361</v>
      </c>
      <c r="B6" s="106"/>
      <c r="C6" s="54">
        <v>0</v>
      </c>
      <c r="D6" s="107">
        <f t="shared" si="0"/>
        <v>0</v>
      </c>
      <c r="E6" s="108">
        <v>150</v>
      </c>
      <c r="F6" s="52">
        <f t="shared" si="1"/>
        <v>0</v>
      </c>
      <c r="G6" s="61"/>
      <c r="H6" s="61" t="s">
        <v>277</v>
      </c>
      <c r="I6" s="90" t="s">
        <v>273</v>
      </c>
    </row>
    <row r="7" spans="1:9" ht="15.6">
      <c r="A7" s="50" t="s">
        <v>271</v>
      </c>
      <c r="B7" s="109"/>
      <c r="C7" s="54">
        <v>6</v>
      </c>
      <c r="D7" s="107">
        <f t="shared" si="0"/>
        <v>12</v>
      </c>
      <c r="E7" s="108">
        <v>100</v>
      </c>
      <c r="F7" s="52">
        <f t="shared" si="1"/>
        <v>1.2000000000000002</v>
      </c>
      <c r="G7" s="61" t="s">
        <v>163</v>
      </c>
      <c r="H7" s="61" t="s">
        <v>272</v>
      </c>
      <c r="I7" s="90" t="s">
        <v>273</v>
      </c>
    </row>
    <row r="8" spans="1:9" ht="15.6">
      <c r="A8" s="50" t="s">
        <v>278</v>
      </c>
      <c r="B8" s="109"/>
      <c r="C8" s="54">
        <v>1</v>
      </c>
      <c r="D8" s="107">
        <f t="shared" si="0"/>
        <v>2</v>
      </c>
      <c r="E8" s="108">
        <v>40</v>
      </c>
      <c r="F8" s="52">
        <f t="shared" si="1"/>
        <v>0.08</v>
      </c>
      <c r="G8" s="61"/>
      <c r="H8" s="61" t="s">
        <v>277</v>
      </c>
      <c r="I8" s="90" t="s">
        <v>273</v>
      </c>
    </row>
    <row r="9" spans="1:9" ht="15.6">
      <c r="A9" s="77" t="s">
        <v>276</v>
      </c>
      <c r="B9" s="106"/>
      <c r="C9" s="54">
        <v>0.05</v>
      </c>
      <c r="D9" s="107">
        <f t="shared" si="0"/>
        <v>0.1</v>
      </c>
      <c r="E9" s="108">
        <v>100</v>
      </c>
      <c r="F9" s="52">
        <f t="shared" si="1"/>
        <v>1.0000000000000002E-2</v>
      </c>
      <c r="G9" s="61"/>
      <c r="H9" s="61" t="s">
        <v>362</v>
      </c>
      <c r="I9" s="90" t="s">
        <v>273</v>
      </c>
    </row>
    <row r="10" spans="1:9" ht="15.6">
      <c r="A10" s="58" t="s">
        <v>363</v>
      </c>
      <c r="B10" s="59"/>
      <c r="C10" s="60">
        <v>5</v>
      </c>
      <c r="D10" s="107">
        <f t="shared" si="0"/>
        <v>10</v>
      </c>
      <c r="E10" s="108">
        <v>10</v>
      </c>
      <c r="F10" s="52">
        <f t="shared" si="1"/>
        <v>0.1</v>
      </c>
      <c r="G10" s="83"/>
      <c r="H10" s="61" t="s">
        <v>165</v>
      </c>
      <c r="I10" s="90" t="s">
        <v>273</v>
      </c>
    </row>
    <row r="11" spans="1:9" ht="15.6">
      <c r="A11" s="79" t="s">
        <v>279</v>
      </c>
      <c r="B11" s="109"/>
      <c r="C11" s="110">
        <v>5</v>
      </c>
      <c r="D11" s="107">
        <f t="shared" si="0"/>
        <v>10</v>
      </c>
      <c r="E11" s="108">
        <v>10</v>
      </c>
      <c r="F11" s="52">
        <f t="shared" si="1"/>
        <v>0.1</v>
      </c>
      <c r="G11" s="61"/>
      <c r="H11" s="69" t="s">
        <v>209</v>
      </c>
      <c r="I11" s="90" t="s">
        <v>280</v>
      </c>
    </row>
    <row r="12" spans="1:9" ht="15.6">
      <c r="A12" s="50" t="s">
        <v>364</v>
      </c>
      <c r="B12" s="111"/>
      <c r="C12" s="54">
        <v>0.5</v>
      </c>
      <c r="D12" s="107">
        <f t="shared" si="0"/>
        <v>1</v>
      </c>
      <c r="E12" s="108">
        <v>150</v>
      </c>
      <c r="F12" s="52">
        <f t="shared" si="1"/>
        <v>0.15</v>
      </c>
      <c r="G12" s="61"/>
      <c r="H12" s="61" t="s">
        <v>365</v>
      </c>
      <c r="I12" s="90" t="s">
        <v>282</v>
      </c>
    </row>
    <row r="13" spans="1:9" ht="15.6">
      <c r="A13" s="50" t="s">
        <v>179</v>
      </c>
      <c r="B13" s="111"/>
      <c r="C13" s="54">
        <v>2</v>
      </c>
      <c r="D13" s="107">
        <f t="shared" si="0"/>
        <v>4</v>
      </c>
      <c r="E13" s="108">
        <v>150</v>
      </c>
      <c r="F13" s="52">
        <f t="shared" si="1"/>
        <v>0.6</v>
      </c>
      <c r="G13" s="61" t="s">
        <v>167</v>
      </c>
      <c r="H13" s="61" t="s">
        <v>165</v>
      </c>
      <c r="I13" s="90" t="s">
        <v>273</v>
      </c>
    </row>
    <row r="14" spans="1:9" ht="15.6">
      <c r="A14" s="50" t="s">
        <v>181</v>
      </c>
      <c r="B14" s="111"/>
      <c r="C14" s="54">
        <v>0.5</v>
      </c>
      <c r="D14" s="107">
        <f t="shared" si="0"/>
        <v>1</v>
      </c>
      <c r="E14" s="108">
        <v>850</v>
      </c>
      <c r="F14" s="52">
        <f t="shared" si="1"/>
        <v>0.85</v>
      </c>
      <c r="G14" s="61"/>
      <c r="H14" s="61" t="s">
        <v>365</v>
      </c>
      <c r="I14" s="90" t="s">
        <v>280</v>
      </c>
    </row>
    <row r="15" spans="1:9" ht="15.6">
      <c r="A15" s="50" t="s">
        <v>295</v>
      </c>
      <c r="B15" s="109"/>
      <c r="C15" s="54">
        <v>3</v>
      </c>
      <c r="D15" s="107">
        <f t="shared" si="0"/>
        <v>6</v>
      </c>
      <c r="E15" s="108">
        <v>50</v>
      </c>
      <c r="F15" s="52">
        <f>E15/1000*D15</f>
        <v>0.30000000000000004</v>
      </c>
      <c r="G15" s="61"/>
      <c r="H15" s="61" t="s">
        <v>272</v>
      </c>
      <c r="I15" s="90" t="s">
        <v>273</v>
      </c>
    </row>
    <row r="16" spans="1:9" ht="15.6">
      <c r="A16" s="77">
        <v>9010</v>
      </c>
      <c r="B16" s="84"/>
      <c r="C16" s="66">
        <v>0.5</v>
      </c>
      <c r="D16" s="107">
        <f>C16*$D$19/$C$19</f>
        <v>1</v>
      </c>
      <c r="E16" s="108">
        <v>250</v>
      </c>
      <c r="F16" s="52">
        <f t="shared" ref="F16:F18" si="2">E16/1000*D16</f>
        <v>0.25</v>
      </c>
      <c r="G16" s="69" t="s">
        <v>193</v>
      </c>
      <c r="H16" s="69" t="s">
        <v>221</v>
      </c>
      <c r="I16" s="90" t="s">
        <v>288</v>
      </c>
    </row>
    <row r="17" spans="1:9" ht="15.6">
      <c r="A17" s="114" t="s">
        <v>7</v>
      </c>
      <c r="B17" s="84"/>
      <c r="C17" s="66">
        <v>0.5</v>
      </c>
      <c r="D17" s="107">
        <f t="shared" ref="D17:D18" si="3">C17*$D$19/$C$19</f>
        <v>1</v>
      </c>
      <c r="E17" s="108">
        <f>EN!F37*7</f>
        <v>386.05</v>
      </c>
      <c r="F17" s="52">
        <f t="shared" si="2"/>
        <v>0.38605</v>
      </c>
      <c r="G17" s="61"/>
      <c r="H17" s="61" t="s">
        <v>301</v>
      </c>
      <c r="I17" s="90" t="s">
        <v>302</v>
      </c>
    </row>
    <row r="18" spans="1:9" ht="15.6">
      <c r="A18" s="77" t="s">
        <v>334</v>
      </c>
      <c r="B18" s="84"/>
      <c r="C18" s="66">
        <v>0</v>
      </c>
      <c r="D18" s="107">
        <f t="shared" si="3"/>
        <v>0</v>
      </c>
      <c r="E18" s="108">
        <v>200</v>
      </c>
      <c r="F18" s="52">
        <f t="shared" si="2"/>
        <v>0</v>
      </c>
      <c r="G18" s="83"/>
      <c r="H18" s="83" t="s">
        <v>350</v>
      </c>
      <c r="I18" s="90" t="s">
        <v>280</v>
      </c>
    </row>
    <row r="19" spans="1:9" ht="15.6">
      <c r="A19" s="115"/>
      <c r="B19" s="115"/>
      <c r="C19" s="54">
        <f>SUM(C5:C18)</f>
        <v>100</v>
      </c>
      <c r="D19" s="54">
        <v>200</v>
      </c>
      <c r="E19" s="115"/>
      <c r="F19" s="115">
        <f>SUM(F5:F18)</f>
        <v>4.6336500000000003</v>
      </c>
      <c r="G19" s="83"/>
      <c r="H19" s="67"/>
    </row>
    <row r="20" spans="1:9" ht="15.6">
      <c r="A20" s="91"/>
      <c r="B20" s="91"/>
      <c r="C20" s="91"/>
      <c r="D20" s="91"/>
      <c r="E20" s="91"/>
      <c r="F20" s="91"/>
      <c r="G20" s="116"/>
      <c r="H20" s="87"/>
    </row>
    <row r="21" spans="1:9" ht="15.6">
      <c r="A21" s="89" t="s">
        <v>303</v>
      </c>
      <c r="B21" s="117"/>
      <c r="C21" s="116"/>
      <c r="D21" s="118"/>
      <c r="E21" s="91"/>
      <c r="F21" s="91"/>
      <c r="G21" s="116"/>
      <c r="H21" s="91"/>
    </row>
    <row r="22" spans="1:9" ht="18" customHeight="1">
      <c r="A22" s="91" t="s">
        <v>304</v>
      </c>
      <c r="B22" s="91"/>
      <c r="C22" s="91"/>
      <c r="D22" s="91"/>
      <c r="E22" s="91"/>
      <c r="F22" s="91"/>
      <c r="G22" s="116"/>
      <c r="H22" s="91"/>
    </row>
    <row r="23" spans="1:9" ht="18" customHeight="1">
      <c r="A23" s="90" t="s">
        <v>305</v>
      </c>
      <c r="G23" s="119"/>
    </row>
    <row r="24" spans="1:9" ht="18" customHeight="1"/>
    <row r="25" spans="1:9">
      <c r="H25" s="7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853A1-8274-483F-8788-6545DFC74F37}">
  <sheetPr>
    <tabColor theme="5"/>
  </sheetPr>
  <dimension ref="A1:M28"/>
  <sheetViews>
    <sheetView workbookViewId="0">
      <selection activeCell="C14" sqref="C14"/>
    </sheetView>
  </sheetViews>
  <sheetFormatPr defaultRowHeight="14.4"/>
  <cols>
    <col min="1" max="1" width="31.5546875" bestFit="1" customWidth="1"/>
    <col min="5" max="5" width="8.77734375" style="137"/>
    <col min="8" max="8" width="15.109375" bestFit="1" customWidth="1"/>
    <col min="10" max="10" width="52.21875" hidden="1" customWidth="1"/>
    <col min="11" max="13" width="0" hidden="1" customWidth="1"/>
  </cols>
  <sheetData>
    <row r="1" spans="1:13" ht="20.399999999999999">
      <c r="A1" s="95"/>
      <c r="B1" s="96" t="s">
        <v>149</v>
      </c>
      <c r="C1" s="91"/>
      <c r="D1" s="95"/>
      <c r="E1" s="126"/>
      <c r="F1" s="95"/>
      <c r="G1" s="97"/>
      <c r="H1" s="95"/>
      <c r="I1" s="90"/>
    </row>
    <row r="2" spans="1:13" ht="18">
      <c r="A2" s="98" t="s">
        <v>338</v>
      </c>
      <c r="B2" s="99"/>
      <c r="C2" s="54"/>
      <c r="D2" s="98" t="s">
        <v>263</v>
      </c>
      <c r="E2" s="127"/>
      <c r="F2" s="100"/>
      <c r="G2" s="61"/>
      <c r="H2" s="100"/>
      <c r="I2" s="90"/>
    </row>
    <row r="3" spans="1:13" ht="18">
      <c r="A3" s="101" t="s">
        <v>152</v>
      </c>
      <c r="B3" s="76"/>
      <c r="C3" s="54"/>
      <c r="D3" s="101" t="s">
        <v>339</v>
      </c>
      <c r="E3" s="107"/>
      <c r="F3" s="102"/>
      <c r="G3" s="61"/>
      <c r="H3" s="102"/>
      <c r="I3" s="90"/>
    </row>
    <row r="4" spans="1:13" ht="15">
      <c r="A4" s="54" t="s">
        <v>154</v>
      </c>
      <c r="B4" s="54" t="s">
        <v>265</v>
      </c>
      <c r="C4" s="103" t="s">
        <v>156</v>
      </c>
      <c r="D4" s="104" t="s">
        <v>266</v>
      </c>
      <c r="E4" s="128" t="s">
        <v>158</v>
      </c>
      <c r="F4" s="104" t="s">
        <v>267</v>
      </c>
      <c r="G4" s="105" t="s">
        <v>268</v>
      </c>
      <c r="H4" s="69" t="s">
        <v>269</v>
      </c>
      <c r="I4" s="90" t="s">
        <v>270</v>
      </c>
    </row>
    <row r="5" spans="1:13" ht="16.2">
      <c r="A5" s="50" t="s">
        <v>162</v>
      </c>
      <c r="B5" s="106"/>
      <c r="C5" s="54">
        <f>100-SUM(C6:C23)</f>
        <v>71.3</v>
      </c>
      <c r="D5" s="107">
        <f t="shared" ref="D5:D20" si="0">C5*$D$24/$C$24</f>
        <v>21.39</v>
      </c>
      <c r="E5" s="128">
        <v>4</v>
      </c>
      <c r="F5" s="52">
        <f t="shared" ref="F5:F23" si="1">E5/1000*D5</f>
        <v>8.5559999999999997E-2</v>
      </c>
      <c r="G5" s="69"/>
      <c r="H5" s="69"/>
      <c r="I5" s="90"/>
      <c r="J5" s="55" t="str">
        <f>IF(C5=0," ",VLOOKUP(A5,[2]!Table93[#Data],12,FALSE))</f>
        <v>Water</v>
      </c>
      <c r="K5" s="55" t="str">
        <f>IF(C5=0," ",VLOOKUP(A5,[2]!Table93[#Data],13,FALSE))</f>
        <v>水</v>
      </c>
      <c r="L5" s="56">
        <f>IF(C5=0," ",VLOOKUP(A5,[2]!Table93[#Data],14,FALSE))</f>
        <v>1</v>
      </c>
      <c r="M5" s="57">
        <f>IFERROR(L5*C5," ")</f>
        <v>71.3</v>
      </c>
    </row>
    <row r="6" spans="1:13" ht="16.2">
      <c r="A6" s="50" t="s">
        <v>309</v>
      </c>
      <c r="B6" s="106"/>
      <c r="C6" s="54">
        <v>0</v>
      </c>
      <c r="D6" s="107">
        <f t="shared" si="0"/>
        <v>0</v>
      </c>
      <c r="E6" s="128">
        <v>150</v>
      </c>
      <c r="F6" s="52">
        <f t="shared" si="1"/>
        <v>0</v>
      </c>
      <c r="G6" s="61"/>
      <c r="H6" s="61" t="s">
        <v>277</v>
      </c>
      <c r="I6" s="90" t="s">
        <v>273</v>
      </c>
      <c r="J6" s="55" t="str">
        <f>IF(C6=0," ",VLOOKUP(A6,[2]!Table93[#Data],12,FALSE))</f>
        <v xml:space="preserve"> </v>
      </c>
      <c r="K6" s="55" t="str">
        <f>IF(C6=0," ",VLOOKUP(A6,[2]!Table93[#Data],13,FALSE))</f>
        <v xml:space="preserve"> </v>
      </c>
      <c r="L6" s="56" t="str">
        <f>IF(C6=0," ",VLOOKUP(A6,[2]!Table93[#Data],14,FALSE))</f>
        <v xml:space="preserve"> </v>
      </c>
      <c r="M6" s="57" t="str">
        <f t="shared" ref="M6:M23" si="2">IFERROR(L6*C6," ")</f>
        <v xml:space="preserve"> </v>
      </c>
    </row>
    <row r="7" spans="1:13" ht="16.2">
      <c r="A7" s="125" t="s">
        <v>164</v>
      </c>
      <c r="B7" s="59">
        <v>3</v>
      </c>
      <c r="C7" s="60">
        <v>3</v>
      </c>
      <c r="D7" s="107">
        <f t="shared" si="0"/>
        <v>0.9</v>
      </c>
      <c r="E7" s="128">
        <v>50</v>
      </c>
      <c r="F7" s="52">
        <f t="shared" si="1"/>
        <v>4.5000000000000005E-2</v>
      </c>
      <c r="G7" s="83" t="s">
        <v>163</v>
      </c>
      <c r="H7" s="83" t="s">
        <v>165</v>
      </c>
      <c r="I7" s="90" t="s">
        <v>273</v>
      </c>
      <c r="J7" s="55" t="str">
        <f>IF(C7=0," ",VLOOKUP(A7,[2]!Table93[#Data],12,FALSE))</f>
        <v>Butylene Glycol</v>
      </c>
      <c r="K7" s="55" t="str">
        <f>IF(C7=0," ",VLOOKUP(A7,[2]!Table93[#Data],13,FALSE))</f>
        <v>丁二醇</v>
      </c>
      <c r="L7" s="56">
        <f>IF(C7=0," ",VLOOKUP(A7,[2]!Table93[#Data],14,FALSE))</f>
        <v>1</v>
      </c>
      <c r="M7" s="57">
        <f t="shared" si="2"/>
        <v>3</v>
      </c>
    </row>
    <row r="8" spans="1:13" ht="16.2">
      <c r="A8" s="79" t="s">
        <v>208</v>
      </c>
      <c r="B8" s="80">
        <v>2</v>
      </c>
      <c r="C8" s="110">
        <v>0</v>
      </c>
      <c r="D8" s="107">
        <f t="shared" si="0"/>
        <v>0</v>
      </c>
      <c r="E8" s="128">
        <v>600</v>
      </c>
      <c r="F8" s="52">
        <f t="shared" si="1"/>
        <v>0</v>
      </c>
      <c r="G8" s="61"/>
      <c r="H8" s="61" t="s">
        <v>209</v>
      </c>
      <c r="I8" s="90" t="s">
        <v>280</v>
      </c>
      <c r="J8" s="55" t="str">
        <f>IF(C8=0," ",VLOOKUP(A8,[2]!Table93[#Data],12,FALSE))</f>
        <v xml:space="preserve"> </v>
      </c>
      <c r="K8" s="55" t="str">
        <f>IF(C8=0," ",VLOOKUP(A8,[2]!Table93[#Data],13,FALSE))</f>
        <v xml:space="preserve"> </v>
      </c>
      <c r="L8" s="56" t="str">
        <f>IF(C8=0," ",VLOOKUP(A8,[2]!Table93[#Data],14,FALSE))</f>
        <v xml:space="preserve"> </v>
      </c>
      <c r="M8" s="57" t="str">
        <f t="shared" si="2"/>
        <v xml:space="preserve"> </v>
      </c>
    </row>
    <row r="9" spans="1:13" ht="16.2">
      <c r="A9" s="94" t="s">
        <v>281</v>
      </c>
      <c r="B9" s="76">
        <v>0.5</v>
      </c>
      <c r="C9" s="54">
        <v>0.5</v>
      </c>
      <c r="D9" s="107">
        <f t="shared" si="0"/>
        <v>0.15</v>
      </c>
      <c r="E9" s="128">
        <v>130</v>
      </c>
      <c r="F9" s="52">
        <f t="shared" si="1"/>
        <v>1.95E-2</v>
      </c>
      <c r="G9" s="61" t="s">
        <v>167</v>
      </c>
      <c r="H9" s="61" t="s">
        <v>272</v>
      </c>
      <c r="I9" s="90" t="s">
        <v>282</v>
      </c>
      <c r="J9" s="55" t="str">
        <f>IF(C9=0," ",VLOOKUP(A9,[2]!Table93[#Data],12,FALSE))</f>
        <v>Panthenol</v>
      </c>
      <c r="K9" s="55" t="str">
        <f>IF(C9=0," ",VLOOKUP(A9,[2]!Table93[#Data],13,FALSE))</f>
        <v>泛醇</v>
      </c>
      <c r="L9" s="56">
        <f>IF(C9=0," ",VLOOKUP(A9,[2]!Table93[#Data],14,FALSE))</f>
        <v>1</v>
      </c>
      <c r="M9" s="57">
        <f t="shared" si="2"/>
        <v>0.5</v>
      </c>
    </row>
    <row r="10" spans="1:13" ht="16.2">
      <c r="A10" s="94" t="s">
        <v>192</v>
      </c>
      <c r="B10" s="76">
        <v>6</v>
      </c>
      <c r="C10" s="54">
        <v>6</v>
      </c>
      <c r="D10" s="107">
        <f t="shared" si="0"/>
        <v>1.8</v>
      </c>
      <c r="E10" s="128">
        <v>250</v>
      </c>
      <c r="F10" s="52">
        <f t="shared" si="1"/>
        <v>0.45</v>
      </c>
      <c r="G10" s="61"/>
      <c r="H10" s="61" t="s">
        <v>272</v>
      </c>
      <c r="I10" s="90" t="s">
        <v>340</v>
      </c>
      <c r="J10" s="55" t="str">
        <f>IF(C10=0," ",VLOOKUP(A10,[2]!Table93[#Data],12,FALSE))</f>
        <v>Lysine
Histidine
Arginine</v>
      </c>
      <c r="K10" s="55" t="str">
        <f>IF(C10=0," ",VLOOKUP(A10,[2]!Table93[#Data],13,FALSE))</f>
        <v>賴氨酸、組氨酸、精氨酸</v>
      </c>
      <c r="L10" s="56" t="str">
        <f>IF(C10=0," ",VLOOKUP(A10,[2]!Table93[#Data],14,FALSE))</f>
        <v>na</v>
      </c>
      <c r="M10" s="57" t="str">
        <f t="shared" si="2"/>
        <v xml:space="preserve"> </v>
      </c>
    </row>
    <row r="11" spans="1:13" ht="16.2">
      <c r="A11" s="94" t="s">
        <v>190</v>
      </c>
      <c r="B11" s="76">
        <v>4</v>
      </c>
      <c r="C11" s="54">
        <v>4</v>
      </c>
      <c r="D11" s="107">
        <f t="shared" si="0"/>
        <v>1.2</v>
      </c>
      <c r="E11" s="128">
        <v>150</v>
      </c>
      <c r="F11" s="52">
        <f t="shared" si="1"/>
        <v>0.18</v>
      </c>
      <c r="G11" s="61"/>
      <c r="H11" s="61" t="s">
        <v>272</v>
      </c>
      <c r="I11" s="90" t="s">
        <v>340</v>
      </c>
      <c r="J11" s="55" t="str">
        <f>IF(C11=0," ",VLOOKUP(A11,[2]!Table93[#Data],12,FALSE))</f>
        <v>Yeast Ferment Extract</v>
      </c>
      <c r="K11" s="55" t="str">
        <f>IF(C11=0," ",VLOOKUP(A11,[2]!Table93[#Data],13,FALSE))</f>
        <v>酵母發酵產物提取物</v>
      </c>
      <c r="L11" s="56" t="str">
        <f>IF(C11=0," ",VLOOKUP(A11,[2]!Table93[#Data],14,FALSE))</f>
        <v>na</v>
      </c>
      <c r="M11" s="57" t="str">
        <f t="shared" si="2"/>
        <v xml:space="preserve"> </v>
      </c>
    </row>
    <row r="12" spans="1:13" ht="16.2">
      <c r="A12" s="50" t="s">
        <v>324</v>
      </c>
      <c r="B12" s="76">
        <v>3</v>
      </c>
      <c r="C12" s="54">
        <v>0</v>
      </c>
      <c r="D12" s="107">
        <f t="shared" si="0"/>
        <v>0</v>
      </c>
      <c r="E12" s="128">
        <v>2500</v>
      </c>
      <c r="F12" s="52">
        <f t="shared" si="1"/>
        <v>0</v>
      </c>
      <c r="G12" s="61"/>
      <c r="H12" s="61" t="s">
        <v>322</v>
      </c>
      <c r="I12" s="90" t="s">
        <v>340</v>
      </c>
      <c r="J12" s="55" t="str">
        <f>IF(C12=0," ",VLOOKUP(A12,[2]!Table93[#Data],12,FALSE))</f>
        <v xml:space="preserve"> </v>
      </c>
      <c r="K12" s="55" t="str">
        <f>IF(C12=0," ",VLOOKUP(A12,[2]!Table93[#Data],13,FALSE))</f>
        <v xml:space="preserve"> </v>
      </c>
      <c r="L12" s="56" t="str">
        <f>IF(C12=0," ",VLOOKUP(A12,[2]!Table93[#Data],14,FALSE))</f>
        <v xml:space="preserve"> </v>
      </c>
      <c r="M12" s="57" t="str">
        <f t="shared" si="2"/>
        <v xml:space="preserve"> </v>
      </c>
    </row>
    <row r="13" spans="1:13" ht="16.2">
      <c r="A13" s="94" t="s">
        <v>55</v>
      </c>
      <c r="B13" s="59" t="s">
        <v>341</v>
      </c>
      <c r="C13" s="66">
        <v>2.5</v>
      </c>
      <c r="D13" s="107">
        <f t="shared" si="0"/>
        <v>0.75</v>
      </c>
      <c r="E13" s="128">
        <f>EN!F38*7</f>
        <v>795.06</v>
      </c>
      <c r="F13" s="52">
        <f>E13/1000*D13</f>
        <v>0.59629500000000002</v>
      </c>
      <c r="G13" s="61"/>
      <c r="H13" s="61" t="s">
        <v>322</v>
      </c>
      <c r="I13" s="90" t="s">
        <v>342</v>
      </c>
      <c r="J13" s="55" t="e">
        <f>IF(C13=0," ",VLOOKUP(A13,[2]!Table93[#Data],12,FALSE))</f>
        <v>#N/A</v>
      </c>
      <c r="K13" s="55" t="e">
        <f>IF(C13=0," ",VLOOKUP(A13,[2]!Table93[#Data],13,FALSE))</f>
        <v>#N/A</v>
      </c>
      <c r="L13" s="56" t="e">
        <f>IF(C13=0," ",VLOOKUP(A13,[2]!Table93[#Data],14,FALSE))</f>
        <v>#N/A</v>
      </c>
      <c r="M13" s="57" t="str">
        <f t="shared" si="2"/>
        <v xml:space="preserve"> </v>
      </c>
    </row>
    <row r="14" spans="1:13" ht="16.2">
      <c r="A14" s="50" t="s">
        <v>343</v>
      </c>
      <c r="B14" s="129">
        <v>0.01</v>
      </c>
      <c r="C14" s="78">
        <v>0</v>
      </c>
      <c r="D14" s="107">
        <f t="shared" si="0"/>
        <v>0</v>
      </c>
      <c r="E14" s="130">
        <v>2000</v>
      </c>
      <c r="F14" s="52">
        <f t="shared" si="1"/>
        <v>0</v>
      </c>
      <c r="G14" s="61"/>
      <c r="H14" s="61" t="s">
        <v>322</v>
      </c>
      <c r="I14" s="90"/>
      <c r="J14" s="55" t="str">
        <f>IF(C14=0," ",VLOOKUP(A14,[2]!Table93[#Data],12,FALSE))</f>
        <v xml:space="preserve"> </v>
      </c>
      <c r="K14" s="55" t="str">
        <f>IF(C14=0," ",VLOOKUP(A14,[2]!Table93[#Data],13,FALSE))</f>
        <v xml:space="preserve"> </v>
      </c>
      <c r="L14" s="56" t="str">
        <f>IF(C14=0," ",VLOOKUP(A14,[2]!Table93[#Data],14,FALSE))</f>
        <v xml:space="preserve"> </v>
      </c>
      <c r="M14" s="57" t="str">
        <f t="shared" si="2"/>
        <v xml:space="preserve"> </v>
      </c>
    </row>
    <row r="15" spans="1:13" ht="16.2">
      <c r="A15" s="50" t="s">
        <v>344</v>
      </c>
      <c r="B15" s="129">
        <v>0.03</v>
      </c>
      <c r="C15" s="78">
        <v>0</v>
      </c>
      <c r="D15" s="107">
        <f t="shared" si="0"/>
        <v>0</v>
      </c>
      <c r="E15" s="130">
        <v>2600</v>
      </c>
      <c r="F15" s="52">
        <f t="shared" si="1"/>
        <v>0</v>
      </c>
      <c r="G15" s="61"/>
      <c r="H15" s="61"/>
      <c r="I15" s="90"/>
      <c r="J15" s="55" t="str">
        <f>IF(C15=0," ",VLOOKUP(A15,[2]!Table93[#Data],12,FALSE))</f>
        <v xml:space="preserve"> </v>
      </c>
      <c r="K15" s="55" t="str">
        <f>IF(C15=0," ",VLOOKUP(A15,[2]!Table93[#Data],13,FALSE))</f>
        <v xml:space="preserve"> </v>
      </c>
      <c r="L15" s="56" t="str">
        <f>IF(C15=0," ",VLOOKUP(A15,[2]!Table93[#Data],14,FALSE))</f>
        <v xml:space="preserve"> </v>
      </c>
      <c r="M15" s="57" t="str">
        <f t="shared" si="2"/>
        <v xml:space="preserve"> </v>
      </c>
    </row>
    <row r="16" spans="1:13" ht="16.2">
      <c r="A16" s="94" t="s">
        <v>328</v>
      </c>
      <c r="B16" s="131">
        <v>5.0000000000000001E-3</v>
      </c>
      <c r="C16" s="54">
        <v>0.5</v>
      </c>
      <c r="D16" s="107">
        <f t="shared" si="0"/>
        <v>0.15</v>
      </c>
      <c r="E16" s="128">
        <v>3000</v>
      </c>
      <c r="F16" s="52">
        <f t="shared" si="1"/>
        <v>0.44999999999999996</v>
      </c>
      <c r="G16" s="61"/>
      <c r="H16" s="61" t="s">
        <v>329</v>
      </c>
      <c r="I16" s="90" t="s">
        <v>285</v>
      </c>
      <c r="J16" s="55" t="str">
        <f>IF(C16=0," ",VLOOKUP(A16,[2]!Table93[#Data],12,FALSE))</f>
        <v>Hydrolyzed Keratin</v>
      </c>
      <c r="K16" s="55" t="str">
        <f>IF(C16=0," ",VLOOKUP(A16,[2]!Table93[#Data],13,FALSE))</f>
        <v>水解角蛋白</v>
      </c>
      <c r="L16" s="56">
        <f>IF(C16=0," ",VLOOKUP(A16,[2]!Table93[#Data],14,FALSE))</f>
        <v>1</v>
      </c>
      <c r="M16" s="57">
        <f t="shared" si="2"/>
        <v>0.5</v>
      </c>
    </row>
    <row r="17" spans="1:13" ht="16.2">
      <c r="A17" s="50" t="s">
        <v>330</v>
      </c>
      <c r="B17" s="76">
        <v>1</v>
      </c>
      <c r="C17" s="54">
        <v>0</v>
      </c>
      <c r="D17" s="107">
        <f t="shared" si="0"/>
        <v>0</v>
      </c>
      <c r="E17" s="128">
        <v>350</v>
      </c>
      <c r="F17" s="52">
        <f t="shared" si="1"/>
        <v>0</v>
      </c>
      <c r="G17" s="61"/>
      <c r="H17" s="61" t="s">
        <v>331</v>
      </c>
      <c r="I17" s="90" t="s">
        <v>340</v>
      </c>
      <c r="J17" s="55" t="str">
        <f>IF(C17=0," ",VLOOKUP(A17,[2]!Table93[#Data],12,FALSE))</f>
        <v xml:space="preserve"> </v>
      </c>
      <c r="K17" s="55" t="str">
        <f>IF(C17=0," ",VLOOKUP(A17,[2]!Table93[#Data],13,FALSE))</f>
        <v xml:space="preserve"> </v>
      </c>
      <c r="L17" s="56" t="str">
        <f>IF(C17=0," ",VLOOKUP(A17,[2]!Table93[#Data],14,FALSE))</f>
        <v xml:space="preserve"> </v>
      </c>
      <c r="M17" s="57" t="str">
        <f t="shared" si="2"/>
        <v xml:space="preserve"> </v>
      </c>
    </row>
    <row r="18" spans="1:13" ht="16.2">
      <c r="A18" s="50" t="s">
        <v>345</v>
      </c>
      <c r="B18" s="76" t="s">
        <v>346</v>
      </c>
      <c r="C18" s="54">
        <v>0</v>
      </c>
      <c r="D18" s="107">
        <f t="shared" si="0"/>
        <v>0</v>
      </c>
      <c r="E18" s="128">
        <v>3600</v>
      </c>
      <c r="F18" s="52">
        <f t="shared" si="1"/>
        <v>0</v>
      </c>
      <c r="G18" s="61"/>
      <c r="H18" s="61" t="s">
        <v>347</v>
      </c>
      <c r="I18" s="90" t="s">
        <v>285</v>
      </c>
      <c r="J18" s="55" t="str">
        <f>IF(C18=0," ",VLOOKUP(A18,[2]!Table93[#Data],12,FALSE))</f>
        <v xml:space="preserve"> </v>
      </c>
      <c r="K18" s="55" t="str">
        <f>IF(C18=0," ",VLOOKUP(A18,[2]!Table93[#Data],13,FALSE))</f>
        <v xml:space="preserve"> </v>
      </c>
      <c r="L18" s="56" t="str">
        <f>IF(C18=0," ",VLOOKUP(A18,[2]!Table93[#Data],14,FALSE))</f>
        <v xml:space="preserve"> </v>
      </c>
      <c r="M18" s="57" t="str">
        <f t="shared" si="2"/>
        <v xml:space="preserve"> </v>
      </c>
    </row>
    <row r="19" spans="1:13" ht="16.2">
      <c r="A19" s="94" t="s">
        <v>355</v>
      </c>
      <c r="B19" s="59" t="s">
        <v>356</v>
      </c>
      <c r="C19" s="54">
        <v>5</v>
      </c>
      <c r="D19" s="107">
        <f>C19*$D$24/$C$24</f>
        <v>1.5</v>
      </c>
      <c r="E19" s="128">
        <f>EN!F39*7</f>
        <v>643.79</v>
      </c>
      <c r="F19" s="52">
        <f>E19/1000*D19</f>
        <v>0.9656849999999999</v>
      </c>
      <c r="G19" s="61"/>
      <c r="H19" s="61" t="s">
        <v>322</v>
      </c>
      <c r="I19" s="90" t="s">
        <v>342</v>
      </c>
      <c r="J19" s="55" t="e">
        <f>IF(C19=0," ",VLOOKUP(A19,[2]!Table93[#Data],12,FALSE))</f>
        <v>#N/A</v>
      </c>
      <c r="K19" s="55" t="e">
        <f>IF(C19=0," ",VLOOKUP(A19,[2]!Table93[#Data],13,FALSE))</f>
        <v>#N/A</v>
      </c>
      <c r="L19" s="56" t="e">
        <f>IF(C19=0," ",VLOOKUP(A19,[2]!Table93[#Data],14,FALSE))</f>
        <v>#N/A</v>
      </c>
      <c r="M19" s="57" t="str">
        <f t="shared" si="2"/>
        <v xml:space="preserve"> </v>
      </c>
    </row>
    <row r="20" spans="1:13" ht="16.2">
      <c r="A20" s="94" t="s">
        <v>354</v>
      </c>
      <c r="B20" s="132" t="s">
        <v>357</v>
      </c>
      <c r="C20" s="54">
        <v>5</v>
      </c>
      <c r="D20" s="107">
        <f t="shared" si="0"/>
        <v>1.5</v>
      </c>
      <c r="E20" s="128">
        <f>EN!F45*7</f>
        <v>1071.9099999999999</v>
      </c>
      <c r="F20" s="52">
        <f t="shared" si="1"/>
        <v>1.6078649999999999</v>
      </c>
      <c r="G20" s="61"/>
      <c r="H20" s="61" t="s">
        <v>322</v>
      </c>
      <c r="I20" s="90" t="s">
        <v>348</v>
      </c>
      <c r="J20" s="55" t="e">
        <f>IF(C20=0," ",VLOOKUP(A20,[2]!Table93[#Data],12,FALSE))</f>
        <v>#N/A</v>
      </c>
      <c r="K20" s="55" t="e">
        <f>IF(C20=0," ",VLOOKUP(A20,[2]!Table93[#Data],13,FALSE))</f>
        <v>#N/A</v>
      </c>
      <c r="L20" s="56" t="e">
        <f>IF(C20=0," ",VLOOKUP(A20,[2]!Table93[#Data],14,FALSE))</f>
        <v>#N/A</v>
      </c>
      <c r="M20" s="57" t="str">
        <f t="shared" si="2"/>
        <v xml:space="preserve"> </v>
      </c>
    </row>
    <row r="21" spans="1:13" ht="16.2">
      <c r="A21" s="50" t="s">
        <v>219</v>
      </c>
      <c r="B21" s="84"/>
      <c r="C21" s="66">
        <v>1.2</v>
      </c>
      <c r="D21" s="107">
        <f>C21*$D$24/$C$24</f>
        <v>0.36</v>
      </c>
      <c r="E21" s="128">
        <v>350</v>
      </c>
      <c r="F21" s="52">
        <f t="shared" si="1"/>
        <v>0.126</v>
      </c>
      <c r="G21" s="69" t="s">
        <v>193</v>
      </c>
      <c r="H21" s="69" t="s">
        <v>221</v>
      </c>
      <c r="I21" s="90" t="s">
        <v>288</v>
      </c>
      <c r="J21" s="55" t="str">
        <f>IF(C21=0," ",VLOOKUP(A21,[2]!Table93[#Data],12,FALSE))</f>
        <v>Propanediol
1,2-Hexanediol
Caprylhydroxamic Acid</v>
      </c>
      <c r="K21" s="55" t="str">
        <f>IF(C21=0," ",VLOOKUP(A21,[2]!Table93[#Data],13,FALSE))</f>
        <v>丙二醇，1,2-己二醇，辛酸異羥肟酸，</v>
      </c>
      <c r="L21" s="56">
        <f>IF(C21=0," ",VLOOKUP(A21,[2]!Table93[#Data],14,FALSE))</f>
        <v>0.65</v>
      </c>
      <c r="M21" s="57">
        <f t="shared" si="2"/>
        <v>0.78</v>
      </c>
    </row>
    <row r="22" spans="1:13" ht="16.2">
      <c r="A22" s="77" t="s">
        <v>349</v>
      </c>
      <c r="B22" s="84"/>
      <c r="C22" s="66">
        <v>0.5</v>
      </c>
      <c r="D22" s="107">
        <f>C22*$D$24/$C$24</f>
        <v>0.15</v>
      </c>
      <c r="E22" s="128">
        <v>1600</v>
      </c>
      <c r="F22" s="52">
        <f t="shared" si="1"/>
        <v>0.24</v>
      </c>
      <c r="G22" s="61"/>
      <c r="H22" s="61" t="s">
        <v>301</v>
      </c>
      <c r="I22" s="90" t="s">
        <v>302</v>
      </c>
      <c r="J22" s="55" t="str">
        <f>IF(C22=0," ",VLOOKUP(A22,[2]!Table93[#Data],12,FALSE))</f>
        <v>ROSMARINUS OFFICINALIS (ROSEMARY) EXTRACT
SALVIA SCLAREA (CLARY SAGE) OIL
Mentha Piperita (Peppermint) Oil
CUCURBITA PEPO (PUMPKIN) SEED OIL
Anthemis Nobilis Flower Oil
Panthenol</v>
      </c>
      <c r="K22" s="55" t="str">
        <f>IF(C22=0," ",VLOOKUP(A22,[2]!Table93[#Data],13,FALSE))</f>
        <v>迷迭香油，丹参油，薄荷油，西葫芦籽油，南瓜花香油，泛醇</v>
      </c>
      <c r="L22" s="56">
        <f>IF(C22=0," ",VLOOKUP(A22,[2]!Table93[#Data],14,FALSE))</f>
        <v>0</v>
      </c>
      <c r="M22" s="57">
        <f t="shared" si="2"/>
        <v>0</v>
      </c>
    </row>
    <row r="23" spans="1:13" ht="16.2">
      <c r="A23" s="77">
        <v>9111</v>
      </c>
      <c r="B23" s="84"/>
      <c r="C23" s="66">
        <v>0.5</v>
      </c>
      <c r="D23" s="107">
        <f>C23*$D$24/$C$24</f>
        <v>0.15</v>
      </c>
      <c r="E23" s="128">
        <v>200</v>
      </c>
      <c r="F23" s="52">
        <f t="shared" si="1"/>
        <v>0.03</v>
      </c>
      <c r="G23" s="83"/>
      <c r="H23" s="83" t="s">
        <v>350</v>
      </c>
      <c r="I23" s="90" t="s">
        <v>280</v>
      </c>
      <c r="J23" s="55" t="str">
        <f>IF(C23=0," ",VLOOKUP(A23,[2]!Table93[#Data],12,FALSE))</f>
        <v>Octoxynol-11
Polysorbate-20</v>
      </c>
      <c r="K23" s="55" t="str">
        <f>IF(C23=0," ",VLOOKUP(A23,[2]!Table93[#Data],13,FALSE))</f>
        <v>辛氧醇-11, 聚山梨酯-20</v>
      </c>
      <c r="L23" s="56">
        <f>IF(C23=0," ",VLOOKUP(A23,[2]!Table93[#Data],14,FALSE))</f>
        <v>1</v>
      </c>
      <c r="M23" s="57">
        <f t="shared" si="2"/>
        <v>0.5</v>
      </c>
    </row>
    <row r="24" spans="1:13" ht="16.2">
      <c r="A24" s="115"/>
      <c r="B24" s="115"/>
      <c r="C24" s="54">
        <f>SUM(C5:C23)</f>
        <v>100</v>
      </c>
      <c r="D24" s="133">
        <v>30</v>
      </c>
      <c r="E24" s="134"/>
      <c r="F24" s="115">
        <f>SUM(F5:F23)</f>
        <v>4.7959050000000012</v>
      </c>
      <c r="G24" s="83"/>
      <c r="H24" s="67"/>
      <c r="I24" s="90"/>
    </row>
    <row r="25" spans="1:13" ht="16.2">
      <c r="A25" s="91"/>
      <c r="B25" s="91"/>
      <c r="C25" s="91"/>
      <c r="D25" s="91"/>
      <c r="E25" s="135"/>
      <c r="F25" s="91"/>
      <c r="G25" s="116"/>
      <c r="H25" s="87"/>
      <c r="I25" s="90"/>
    </row>
    <row r="26" spans="1:13" ht="16.2">
      <c r="A26" s="89" t="s">
        <v>303</v>
      </c>
      <c r="B26" s="117"/>
      <c r="C26" s="116"/>
      <c r="D26" s="118"/>
      <c r="E26" s="135"/>
      <c r="F26" s="91"/>
      <c r="G26" s="116"/>
      <c r="H26" s="91"/>
      <c r="I26" s="90"/>
    </row>
    <row r="27" spans="1:13">
      <c r="A27" s="91" t="s">
        <v>304</v>
      </c>
      <c r="B27" s="91"/>
      <c r="C27" s="91"/>
      <c r="D27" s="91"/>
      <c r="E27" s="135"/>
      <c r="F27" s="91"/>
      <c r="G27" s="116"/>
      <c r="H27" s="91"/>
      <c r="I27" s="90"/>
    </row>
    <row r="28" spans="1:13">
      <c r="A28" s="90" t="s">
        <v>305</v>
      </c>
      <c r="B28" s="90"/>
      <c r="C28" s="90"/>
      <c r="D28" s="90"/>
      <c r="E28" s="136"/>
      <c r="F28" s="90"/>
      <c r="G28" s="119"/>
      <c r="H28" s="90"/>
      <c r="I28" s="9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999A3-C2BE-4F9B-AB99-E29F7628E4B1}">
  <sheetPr>
    <tabColor theme="5"/>
  </sheetPr>
  <dimension ref="A1:M33"/>
  <sheetViews>
    <sheetView topLeftCell="A4" workbookViewId="0">
      <selection activeCell="C15" sqref="C15"/>
    </sheetView>
  </sheetViews>
  <sheetFormatPr defaultRowHeight="14.4"/>
  <cols>
    <col min="1" max="1" width="26.21875" customWidth="1"/>
  </cols>
  <sheetData>
    <row r="1" spans="1:13" ht="20.399999999999999">
      <c r="A1" s="95"/>
      <c r="B1" s="96" t="s">
        <v>149</v>
      </c>
      <c r="C1" s="91"/>
      <c r="D1" s="95"/>
      <c r="E1" s="95"/>
      <c r="F1" s="95"/>
      <c r="G1" s="97"/>
      <c r="H1" s="95"/>
    </row>
    <row r="2" spans="1:13" ht="18">
      <c r="A2" s="98" t="s">
        <v>307</v>
      </c>
      <c r="B2" s="99"/>
      <c r="C2" s="54"/>
      <c r="D2" s="98" t="s">
        <v>263</v>
      </c>
      <c r="E2" s="100"/>
      <c r="F2" s="100"/>
      <c r="G2" s="61"/>
      <c r="H2" s="100"/>
    </row>
    <row r="3" spans="1:13" ht="18">
      <c r="A3" s="101" t="s">
        <v>152</v>
      </c>
      <c r="B3" s="76"/>
      <c r="C3" s="54"/>
      <c r="D3" s="101" t="s">
        <v>308</v>
      </c>
      <c r="E3" s="102"/>
      <c r="F3" s="102"/>
      <c r="G3" s="61"/>
      <c r="H3" s="102"/>
    </row>
    <row r="4" spans="1:13" ht="15">
      <c r="A4" s="54" t="s">
        <v>154</v>
      </c>
      <c r="B4" s="54" t="s">
        <v>265</v>
      </c>
      <c r="C4" s="103" t="s">
        <v>156</v>
      </c>
      <c r="D4" s="104" t="s">
        <v>266</v>
      </c>
      <c r="E4" s="104" t="s">
        <v>158</v>
      </c>
      <c r="F4" s="104" t="s">
        <v>267</v>
      </c>
      <c r="G4" s="105" t="s">
        <v>268</v>
      </c>
      <c r="H4" s="69" t="s">
        <v>269</v>
      </c>
    </row>
    <row r="5" spans="1:13" ht="16.2">
      <c r="A5" s="50" t="s">
        <v>162</v>
      </c>
      <c r="B5" s="106"/>
      <c r="C5" s="54">
        <f>100-SUM(C6:C28)</f>
        <v>79.900000000000006</v>
      </c>
      <c r="D5" s="54">
        <f t="shared" ref="D5:D28" si="0">C5*$D$29/$C$29</f>
        <v>39.950000000000003</v>
      </c>
      <c r="E5" s="104">
        <v>4</v>
      </c>
      <c r="F5" s="52">
        <f>E5/1000*D5</f>
        <v>0.15980000000000003</v>
      </c>
      <c r="G5" s="69"/>
      <c r="H5" s="69"/>
      <c r="J5" s="55" t="str">
        <f>IF(C5=0," ",VLOOKUP(A5,[2]!Table93[#Data],12,FALSE))</f>
        <v>Water</v>
      </c>
      <c r="K5" s="55" t="str">
        <f>IF(C5=0," ",VLOOKUP(A5,[2]!Table93[#Data],13,FALSE))</f>
        <v>水</v>
      </c>
      <c r="L5" s="56">
        <f>IF(C5=0," ",VLOOKUP(A5,[2]!Table93[#Data],14,FALSE))</f>
        <v>1</v>
      </c>
      <c r="M5" s="57">
        <f>IFERROR(L5*C5," ")</f>
        <v>79.900000000000006</v>
      </c>
    </row>
    <row r="6" spans="1:13" ht="16.2">
      <c r="A6" s="50" t="s">
        <v>309</v>
      </c>
      <c r="B6" s="106"/>
      <c r="C6" s="54">
        <v>0</v>
      </c>
      <c r="D6" s="54">
        <f t="shared" si="0"/>
        <v>0</v>
      </c>
      <c r="E6" s="104">
        <v>150</v>
      </c>
      <c r="F6" s="52">
        <f>E6/1000*D6</f>
        <v>0</v>
      </c>
      <c r="G6" s="61"/>
      <c r="H6" s="61" t="s">
        <v>277</v>
      </c>
      <c r="J6" s="55" t="str">
        <f>IF(C6=0," ",VLOOKUP(A6,[2]!Table93[#Data],12,FALSE))</f>
        <v xml:space="preserve"> </v>
      </c>
      <c r="K6" s="55" t="str">
        <f>IF(C6=0," ",VLOOKUP(A6,[2]!Table93[#Data],13,FALSE))</f>
        <v xml:space="preserve"> </v>
      </c>
      <c r="L6" s="56" t="str">
        <f>IF(C6=0," ",VLOOKUP(A6,[2]!Table93[#Data],14,FALSE))</f>
        <v xml:space="preserve"> </v>
      </c>
      <c r="M6" s="57" t="str">
        <f t="shared" ref="M6:M28" si="1">IFERROR(L6*C6," ")</f>
        <v xml:space="preserve"> </v>
      </c>
    </row>
    <row r="7" spans="1:13" ht="16.2">
      <c r="A7" s="125" t="s">
        <v>164</v>
      </c>
      <c r="B7" s="59"/>
      <c r="C7" s="60">
        <v>3</v>
      </c>
      <c r="D7" s="54">
        <f t="shared" si="0"/>
        <v>1.5</v>
      </c>
      <c r="E7" s="104">
        <v>50</v>
      </c>
      <c r="F7" s="52">
        <f t="shared" ref="F7:F28" si="2">E7/1000*D7</f>
        <v>7.5000000000000011E-2</v>
      </c>
      <c r="G7" s="83" t="s">
        <v>163</v>
      </c>
      <c r="H7" s="61" t="s">
        <v>165</v>
      </c>
      <c r="J7" s="55" t="str">
        <f>IF(C7=0," ",VLOOKUP(A7,[2]!Table93[#Data],12,FALSE))</f>
        <v>Butylene Glycol</v>
      </c>
      <c r="K7" s="55" t="str">
        <f>IF(C7=0," ",VLOOKUP(A7,[2]!Table93[#Data],13,FALSE))</f>
        <v>丁二醇</v>
      </c>
      <c r="L7" s="56">
        <f>IF(C7=0," ",VLOOKUP(A7,[2]!Table93[#Data],14,FALSE))</f>
        <v>1</v>
      </c>
      <c r="M7" s="57">
        <f t="shared" si="1"/>
        <v>3</v>
      </c>
    </row>
    <row r="8" spans="1:13" ht="16.2">
      <c r="A8" s="58" t="s">
        <v>310</v>
      </c>
      <c r="B8" s="59"/>
      <c r="C8" s="60">
        <v>0</v>
      </c>
      <c r="D8" s="54">
        <f t="shared" si="0"/>
        <v>0</v>
      </c>
      <c r="E8" s="104">
        <v>400</v>
      </c>
      <c r="F8" s="52">
        <f t="shared" si="2"/>
        <v>0</v>
      </c>
      <c r="G8" s="61"/>
      <c r="H8" s="61" t="s">
        <v>311</v>
      </c>
      <c r="J8" s="55" t="str">
        <f>IF(C8=0," ",VLOOKUP(A8,[2]!Table93[#Data],12,FALSE))</f>
        <v xml:space="preserve"> </v>
      </c>
      <c r="K8" s="55" t="str">
        <f>IF(C8=0," ",VLOOKUP(A8,[2]!Table93[#Data],13,FALSE))</f>
        <v xml:space="preserve"> </v>
      </c>
      <c r="L8" s="56" t="str">
        <f>IF(C8=0," ",VLOOKUP(A8,[2]!Table93[#Data],14,FALSE))</f>
        <v xml:space="preserve"> </v>
      </c>
      <c r="M8" s="57" t="str">
        <f t="shared" si="1"/>
        <v xml:space="preserve"> </v>
      </c>
    </row>
    <row r="9" spans="1:13" ht="16.2">
      <c r="A9" s="58" t="s">
        <v>312</v>
      </c>
      <c r="B9" s="120">
        <v>0.06</v>
      </c>
      <c r="C9" s="60">
        <v>0</v>
      </c>
      <c r="D9" s="54">
        <f t="shared" si="0"/>
        <v>0</v>
      </c>
      <c r="E9" s="104">
        <v>850</v>
      </c>
      <c r="F9" s="52">
        <f t="shared" si="2"/>
        <v>0</v>
      </c>
      <c r="G9" s="61"/>
      <c r="H9" s="61" t="s">
        <v>313</v>
      </c>
      <c r="J9" s="55" t="str">
        <f>IF(C9=0," ",VLOOKUP(A9,[2]!Table93[#Data],12,FALSE))</f>
        <v xml:space="preserve"> </v>
      </c>
      <c r="K9" s="55" t="str">
        <f>IF(C9=0," ",VLOOKUP(A9,[2]!Table93[#Data],13,FALSE))</f>
        <v xml:space="preserve"> </v>
      </c>
      <c r="L9" s="56" t="str">
        <f>IF(C9=0," ",VLOOKUP(A9,[2]!Table93[#Data],14,FALSE))</f>
        <v xml:space="preserve"> </v>
      </c>
      <c r="M9" s="57" t="str">
        <f t="shared" si="1"/>
        <v xml:space="preserve"> </v>
      </c>
    </row>
    <row r="10" spans="1:13" ht="16.2">
      <c r="A10" s="58" t="s">
        <v>314</v>
      </c>
      <c r="B10" s="109">
        <v>0.08</v>
      </c>
      <c r="C10" s="60">
        <v>0</v>
      </c>
      <c r="D10" s="54">
        <f t="shared" si="0"/>
        <v>0</v>
      </c>
      <c r="E10" s="104">
        <v>850</v>
      </c>
      <c r="F10" s="52">
        <f t="shared" si="2"/>
        <v>0</v>
      </c>
      <c r="G10" s="61"/>
      <c r="H10" s="61" t="s">
        <v>315</v>
      </c>
      <c r="J10" s="55" t="str">
        <f>IF(C10=0," ",VLOOKUP(A10,[2]!Table93[#Data],12,FALSE))</f>
        <v xml:space="preserve"> </v>
      </c>
      <c r="K10" s="55" t="str">
        <f>IF(C10=0," ",VLOOKUP(A10,[2]!Table93[#Data],13,FALSE))</f>
        <v xml:space="preserve"> </v>
      </c>
      <c r="L10" s="56" t="str">
        <f>IF(C10=0," ",VLOOKUP(A10,[2]!Table93[#Data],14,FALSE))</f>
        <v xml:space="preserve"> </v>
      </c>
      <c r="M10" s="57" t="str">
        <f t="shared" si="1"/>
        <v xml:space="preserve"> </v>
      </c>
    </row>
    <row r="11" spans="1:13" ht="16.2">
      <c r="A11" s="121" t="s">
        <v>208</v>
      </c>
      <c r="B11" s="80"/>
      <c r="C11" s="110">
        <v>2</v>
      </c>
      <c r="D11" s="54">
        <f t="shared" si="0"/>
        <v>1</v>
      </c>
      <c r="E11" s="104">
        <v>600</v>
      </c>
      <c r="F11" s="52">
        <f t="shared" si="2"/>
        <v>0.6</v>
      </c>
      <c r="G11" s="61"/>
      <c r="H11" s="61" t="s">
        <v>209</v>
      </c>
      <c r="J11" s="55" t="str">
        <f>IF(C11=0," ",VLOOKUP(A11,[2]!Table93[#Data],12,FALSE))</f>
        <v>GLYCYRRHIZA URALENSIS (CHINESE LICORICE) EXTRACT
GENTIANA SCABRA (SCABROUS GENTIAN) ROOT EXTRACT
Sophora Angustifolia Root Extract
Cnidium Monnieri Fruit Extract
ARTEMISIA ANNUA (SWEET WORMWOOD) EXTRACT
Propylene Glycol</v>
      </c>
      <c r="K11" s="55" t="str">
        <f>IF(C11=0," ",VLOOKUP(A11,[2]!Table93[#Data],13,FALSE))</f>
        <v>甘草（GLYCYRRHIZA URALENSIS）根提取物、龍膽（GENTIANA SCABRA）根提取物 、苦參（SOPHORA ANGUSTIFOLIA）根提取物、蛇床（CNIDIUM MONNIERI）果提取物、青蒿（ARTEMISIA ANNUA）提取物, 丙二醇</v>
      </c>
      <c r="L11" s="56">
        <f>IF(C11=0," ",VLOOKUP(A11,[2]!Table93[#Data],14,FALSE))</f>
        <v>7.6499999999999999E-2</v>
      </c>
      <c r="M11" s="57">
        <f t="shared" si="1"/>
        <v>0.153</v>
      </c>
    </row>
    <row r="12" spans="1:13" ht="16.2">
      <c r="A12" s="94" t="s">
        <v>281</v>
      </c>
      <c r="B12" s="76"/>
      <c r="C12" s="54">
        <v>0.5</v>
      </c>
      <c r="D12" s="54">
        <f t="shared" si="0"/>
        <v>0.25</v>
      </c>
      <c r="E12" s="104">
        <v>130</v>
      </c>
      <c r="F12" s="52">
        <f t="shared" si="2"/>
        <v>3.2500000000000001E-2</v>
      </c>
      <c r="G12" s="61" t="s">
        <v>167</v>
      </c>
      <c r="H12" s="61" t="s">
        <v>272</v>
      </c>
      <c r="J12" s="55" t="str">
        <f>IF(C12=0," ",VLOOKUP(A12,[2]!Table93[#Data],12,FALSE))</f>
        <v>Panthenol</v>
      </c>
      <c r="K12" s="55" t="str">
        <f>IF(C12=0," ",VLOOKUP(A12,[2]!Table93[#Data],13,FALSE))</f>
        <v>泛醇</v>
      </c>
      <c r="L12" s="56">
        <f>IF(C12=0," ",VLOOKUP(A12,[2]!Table93[#Data],14,FALSE))</f>
        <v>1</v>
      </c>
      <c r="M12" s="57">
        <f t="shared" si="1"/>
        <v>0.5</v>
      </c>
    </row>
    <row r="13" spans="1:13" ht="16.2">
      <c r="A13" s="94" t="s">
        <v>192</v>
      </c>
      <c r="B13" s="76"/>
      <c r="C13" s="54">
        <v>2</v>
      </c>
      <c r="D13" s="54">
        <f t="shared" si="0"/>
        <v>1</v>
      </c>
      <c r="E13" s="104">
        <v>250</v>
      </c>
      <c r="F13" s="52">
        <f t="shared" si="2"/>
        <v>0.25</v>
      </c>
      <c r="G13" s="61"/>
      <c r="H13" s="61" t="s">
        <v>272</v>
      </c>
      <c r="J13" s="55" t="str">
        <f>IF(C13=0," ",VLOOKUP(A13,[2]!Table93[#Data],12,FALSE))</f>
        <v>Lysine
Histidine
Arginine</v>
      </c>
      <c r="K13" s="55" t="str">
        <f>IF(C13=0," ",VLOOKUP(A13,[2]!Table93[#Data],13,FALSE))</f>
        <v>賴氨酸、組氨酸、精氨酸</v>
      </c>
      <c r="L13" s="56" t="str">
        <f>IF(C13=0," ",VLOOKUP(A13,[2]!Table93[#Data],14,FALSE))</f>
        <v>na</v>
      </c>
      <c r="M13" s="57" t="str">
        <f t="shared" si="1"/>
        <v xml:space="preserve"> </v>
      </c>
    </row>
    <row r="14" spans="1:13" ht="16.2">
      <c r="A14" s="50" t="s">
        <v>316</v>
      </c>
      <c r="B14" s="122" t="s">
        <v>317</v>
      </c>
      <c r="C14" s="54">
        <v>0</v>
      </c>
      <c r="D14" s="54">
        <f t="shared" si="0"/>
        <v>0</v>
      </c>
      <c r="E14" s="104">
        <v>7800</v>
      </c>
      <c r="F14" s="52">
        <f t="shared" si="2"/>
        <v>0</v>
      </c>
      <c r="G14" s="61"/>
      <c r="H14" s="61"/>
      <c r="J14" s="55" t="str">
        <f>IF(C14=0," ",VLOOKUP(A14,[2]!Table93[#Data],12,FALSE))</f>
        <v xml:space="preserve"> </v>
      </c>
      <c r="K14" s="55" t="str">
        <f>IF(C14=0," ",VLOOKUP(A14,[2]!Table93[#Data],13,FALSE))</f>
        <v xml:space="preserve"> </v>
      </c>
      <c r="L14" s="56" t="str">
        <f>IF(C14=0," ",VLOOKUP(A14,[2]!Table93[#Data],14,FALSE))</f>
        <v xml:space="preserve"> </v>
      </c>
      <c r="M14" s="57" t="str">
        <f t="shared" si="1"/>
        <v xml:space="preserve"> </v>
      </c>
    </row>
    <row r="15" spans="1:13" ht="16.2">
      <c r="A15" s="50" t="s">
        <v>318</v>
      </c>
      <c r="B15" s="122" t="s">
        <v>319</v>
      </c>
      <c r="C15" s="54">
        <v>0</v>
      </c>
      <c r="D15" s="54">
        <f t="shared" si="0"/>
        <v>0</v>
      </c>
      <c r="E15" s="104">
        <v>900</v>
      </c>
      <c r="F15" s="52">
        <f t="shared" si="2"/>
        <v>0</v>
      </c>
      <c r="G15" s="61"/>
      <c r="H15" s="61"/>
      <c r="J15" s="55" t="str">
        <f>IF(C15=0," ",VLOOKUP(A15,[2]!Table93[#Data],12,FALSE))</f>
        <v xml:space="preserve"> </v>
      </c>
      <c r="K15" s="55" t="str">
        <f>IF(C15=0," ",VLOOKUP(A15,[2]!Table93[#Data],13,FALSE))</f>
        <v xml:space="preserve"> </v>
      </c>
      <c r="L15" s="56" t="str">
        <f>IF(C15=0," ",VLOOKUP(A15,[2]!Table93[#Data],14,FALSE))</f>
        <v xml:space="preserve"> </v>
      </c>
      <c r="M15" s="57" t="str">
        <f t="shared" si="1"/>
        <v xml:space="preserve"> </v>
      </c>
    </row>
    <row r="16" spans="1:13" ht="16.2">
      <c r="A16" s="50" t="s">
        <v>320</v>
      </c>
      <c r="B16" s="122" t="s">
        <v>321</v>
      </c>
      <c r="C16" s="54">
        <v>0</v>
      </c>
      <c r="D16" s="54">
        <f t="shared" si="0"/>
        <v>0</v>
      </c>
      <c r="E16" s="104">
        <v>2600</v>
      </c>
      <c r="F16" s="52">
        <f t="shared" si="2"/>
        <v>0</v>
      </c>
      <c r="G16" s="61"/>
      <c r="H16" s="61" t="s">
        <v>322</v>
      </c>
      <c r="J16" s="55" t="str">
        <f>IF(C16=0," ",VLOOKUP(A16,[2]!Table93[#Data],12,FALSE))</f>
        <v xml:space="preserve"> </v>
      </c>
      <c r="K16" s="55" t="str">
        <f>IF(C16=0," ",VLOOKUP(A16,[2]!Table93[#Data],13,FALSE))</f>
        <v xml:space="preserve"> </v>
      </c>
      <c r="L16" s="56" t="str">
        <f>IF(C16=0," ",VLOOKUP(A16,[2]!Table93[#Data],14,FALSE))</f>
        <v xml:space="preserve"> </v>
      </c>
      <c r="M16" s="57" t="str">
        <f t="shared" si="1"/>
        <v xml:space="preserve"> </v>
      </c>
    </row>
    <row r="17" spans="1:13" ht="16.2">
      <c r="A17" s="94" t="s">
        <v>323</v>
      </c>
      <c r="B17" s="76"/>
      <c r="C17" s="54">
        <v>5</v>
      </c>
      <c r="D17" s="54">
        <f t="shared" si="0"/>
        <v>2.5</v>
      </c>
      <c r="E17" s="104">
        <f>145*6.5</f>
        <v>942.5</v>
      </c>
      <c r="F17" s="52">
        <f>E17/1000*D17</f>
        <v>2.3562500000000002</v>
      </c>
      <c r="G17" s="61"/>
      <c r="H17" s="83"/>
      <c r="J17" s="55" t="str">
        <f>IF(C17=0," ",VLOOKUP(A17,[2]!Table93[#Data],12,FALSE))</f>
        <v>GLYCYRRHIZA GLABRA (LICORICE) ROOT EXTRACT
Nigella Sativa seed Extract
PIPER NIGRUM (PEPPER) SEED EXTRACT
PANAX GINSENG (ASIAN GINSENG) BERRY EXTRACT
Arctium Majus Root Extract
Hydrolyzed Soy Protein
Polysorbate 80
Phenoxyethanol
Calcium Pantothenate
Niacinamide
Zinc Gluconate
Biotin
Ornithine HCL
 Glucosamine HCL
Hydroxypropyl Guar
Arginine
Acetyl Tyrosine
Caprylyl Glycol</v>
      </c>
      <c r="K17" s="55" t="str">
        <f>IF(C17=0," ",VLOOKUP(A17,[2]!Table93[#Data],13,FALSE))</f>
        <v>甘草根提取物，茄子提取物，黑胡椒种子提取物，人参，浆果提取物，牛t根提取物，水解大豆蛋白，聚山梨酯80，苯氧乙醇，泛酸钙，烟酰胺，葡萄糖酸锌，生物素，鸟氨酸盐酸盐， 羟丙基瓜尔胶，精氨酸，乙酰基酪氨酸，辛二醇</v>
      </c>
      <c r="L17" s="56">
        <f>IF(C17=0," ",VLOOKUP(A17,[2]!Table93[#Data],14,FALSE))</f>
        <v>0</v>
      </c>
      <c r="M17" s="57">
        <f t="shared" si="1"/>
        <v>0</v>
      </c>
    </row>
    <row r="18" spans="1:13" ht="16.2">
      <c r="A18" s="94" t="s">
        <v>190</v>
      </c>
      <c r="B18" s="76">
        <v>2</v>
      </c>
      <c r="C18" s="54">
        <v>2</v>
      </c>
      <c r="D18" s="54">
        <f t="shared" si="0"/>
        <v>1</v>
      </c>
      <c r="E18" s="104">
        <v>150</v>
      </c>
      <c r="F18" s="52">
        <f t="shared" si="2"/>
        <v>0.15</v>
      </c>
      <c r="G18" s="61"/>
      <c r="H18" s="61" t="s">
        <v>272</v>
      </c>
      <c r="J18" s="55" t="str">
        <f>IF(C18=0," ",VLOOKUP(A18,[2]!Table93[#Data],12,FALSE))</f>
        <v>Yeast Ferment Extract</v>
      </c>
      <c r="K18" s="55" t="str">
        <f>IF(C18=0," ",VLOOKUP(A18,[2]!Table93[#Data],13,FALSE))</f>
        <v>酵母發酵產物提取物</v>
      </c>
      <c r="L18" s="56" t="str">
        <f>IF(C18=0," ",VLOOKUP(A18,[2]!Table93[#Data],14,FALSE))</f>
        <v>na</v>
      </c>
      <c r="M18" s="57" t="str">
        <f t="shared" si="1"/>
        <v xml:space="preserve"> </v>
      </c>
    </row>
    <row r="19" spans="1:13" ht="16.2">
      <c r="A19" s="50" t="s">
        <v>324</v>
      </c>
      <c r="B19" s="76"/>
      <c r="C19" s="54">
        <v>0</v>
      </c>
      <c r="D19" s="54">
        <f t="shared" si="0"/>
        <v>0</v>
      </c>
      <c r="E19" s="104">
        <v>2500</v>
      </c>
      <c r="F19" s="52">
        <f t="shared" si="2"/>
        <v>0</v>
      </c>
      <c r="G19" s="61"/>
      <c r="H19" s="61" t="s">
        <v>322</v>
      </c>
      <c r="J19" s="55" t="str">
        <f>IF(C19=0," ",VLOOKUP(A19,[2]!Table93[#Data],12,FALSE))</f>
        <v xml:space="preserve"> </v>
      </c>
      <c r="K19" s="55" t="str">
        <f>IF(C19=0," ",VLOOKUP(A19,[2]!Table93[#Data],13,FALSE))</f>
        <v xml:space="preserve"> </v>
      </c>
      <c r="L19" s="56" t="str">
        <f>IF(C19=0," ",VLOOKUP(A19,[2]!Table93[#Data],14,FALSE))</f>
        <v xml:space="preserve"> </v>
      </c>
      <c r="M19" s="57" t="str">
        <f t="shared" si="1"/>
        <v xml:space="preserve"> </v>
      </c>
    </row>
    <row r="20" spans="1:13" ht="16.2">
      <c r="A20" s="71" t="s">
        <v>325</v>
      </c>
      <c r="B20" s="59"/>
      <c r="C20" s="66">
        <v>0</v>
      </c>
      <c r="D20" s="54">
        <f t="shared" si="0"/>
        <v>0</v>
      </c>
      <c r="E20" s="104">
        <v>4</v>
      </c>
      <c r="F20" s="52">
        <f t="shared" si="2"/>
        <v>0</v>
      </c>
      <c r="G20" s="61"/>
      <c r="H20" s="61" t="s">
        <v>326</v>
      </c>
      <c r="J20" s="55" t="str">
        <f>IF(C20=0," ",VLOOKUP(A20,[2]!Table93[#Data],12,FALSE))</f>
        <v xml:space="preserve"> </v>
      </c>
      <c r="K20" s="55" t="str">
        <f>IF(C20=0," ",VLOOKUP(A20,[2]!Table93[#Data],13,FALSE))</f>
        <v xml:space="preserve"> </v>
      </c>
      <c r="L20" s="56" t="str">
        <f>IF(C20=0," ",VLOOKUP(A20,[2]!Table93[#Data],14,FALSE))</f>
        <v xml:space="preserve"> </v>
      </c>
      <c r="M20" s="57" t="str">
        <f t="shared" si="1"/>
        <v xml:space="preserve"> </v>
      </c>
    </row>
    <row r="21" spans="1:13" ht="16.2">
      <c r="A21" s="50" t="s">
        <v>327</v>
      </c>
      <c r="B21" s="59"/>
      <c r="C21" s="123">
        <v>0</v>
      </c>
      <c r="D21" s="54">
        <f t="shared" si="0"/>
        <v>0</v>
      </c>
      <c r="E21" s="104">
        <v>300</v>
      </c>
      <c r="F21" s="52">
        <f>E21/1000*D21</f>
        <v>0</v>
      </c>
      <c r="G21" s="61"/>
      <c r="H21" s="83"/>
      <c r="J21" s="55" t="str">
        <f>IF(C21=0," ",VLOOKUP(A21,[2]!Table93[#Data],12,FALSE))</f>
        <v xml:space="preserve"> </v>
      </c>
      <c r="K21" s="55" t="str">
        <f>IF(C21=0," ",VLOOKUP(A21,[2]!Table93[#Data],13,FALSE))</f>
        <v xml:space="preserve"> </v>
      </c>
      <c r="L21" s="56" t="str">
        <f>IF(C21=0," ",VLOOKUP(A21,[2]!Table93[#Data],14,FALSE))</f>
        <v xml:space="preserve"> </v>
      </c>
      <c r="M21" s="57" t="str">
        <f t="shared" si="1"/>
        <v xml:space="preserve"> </v>
      </c>
    </row>
    <row r="22" spans="1:13" ht="16.2">
      <c r="A22" s="94" t="s">
        <v>328</v>
      </c>
      <c r="B22" s="106"/>
      <c r="C22" s="54">
        <v>0.5</v>
      </c>
      <c r="D22" s="54">
        <f t="shared" si="0"/>
        <v>0.25</v>
      </c>
      <c r="E22" s="104">
        <v>3000</v>
      </c>
      <c r="F22" s="52">
        <f t="shared" si="2"/>
        <v>0.75</v>
      </c>
      <c r="G22" s="61"/>
      <c r="H22" s="61" t="s">
        <v>329</v>
      </c>
      <c r="J22" s="55" t="str">
        <f>IF(C22=0," ",VLOOKUP(A22,[2]!Table93[#Data],12,FALSE))</f>
        <v>Hydrolyzed Keratin</v>
      </c>
      <c r="K22" s="55" t="str">
        <f>IF(C22=0," ",VLOOKUP(A22,[2]!Table93[#Data],13,FALSE))</f>
        <v>水解角蛋白</v>
      </c>
      <c r="L22" s="56">
        <f>IF(C22=0," ",VLOOKUP(A22,[2]!Table93[#Data],14,FALSE))</f>
        <v>1</v>
      </c>
      <c r="M22" s="57">
        <f t="shared" si="1"/>
        <v>0.5</v>
      </c>
    </row>
    <row r="23" spans="1:13" ht="16.2">
      <c r="A23" s="94" t="s">
        <v>330</v>
      </c>
      <c r="B23" s="76"/>
      <c r="C23" s="54">
        <v>1</v>
      </c>
      <c r="D23" s="54">
        <f t="shared" si="0"/>
        <v>0.5</v>
      </c>
      <c r="E23" s="104">
        <v>350</v>
      </c>
      <c r="F23" s="52">
        <f t="shared" si="2"/>
        <v>0.17499999999999999</v>
      </c>
      <c r="G23" s="61"/>
      <c r="H23" s="61" t="s">
        <v>331</v>
      </c>
      <c r="J23" s="55" t="str">
        <f>IF(C23=0," ",VLOOKUP(A23,[2]!Table93[#Data],12,FALSE))</f>
        <v>Inositol</v>
      </c>
      <c r="K23" s="55" t="str">
        <f>IF(C23=0," ",VLOOKUP(A23,[2]!Table93[#Data],13,FALSE))</f>
        <v>肌醇</v>
      </c>
      <c r="L23" s="56">
        <f>IF(C23=0," ",VLOOKUP(A23,[2]!Table93[#Data],14,FALSE))</f>
        <v>1</v>
      </c>
      <c r="M23" s="57">
        <f t="shared" si="1"/>
        <v>1</v>
      </c>
    </row>
    <row r="24" spans="1:13" ht="16.2">
      <c r="A24" s="94" t="s">
        <v>298</v>
      </c>
      <c r="B24" s="122" t="s">
        <v>332</v>
      </c>
      <c r="C24" s="54">
        <v>0.3</v>
      </c>
      <c r="D24" s="54">
        <f t="shared" si="0"/>
        <v>0.15</v>
      </c>
      <c r="E24" s="104">
        <v>1200</v>
      </c>
      <c r="F24" s="52">
        <f>E24/1000*D24</f>
        <v>0.18</v>
      </c>
      <c r="G24" s="61"/>
      <c r="H24" s="61" t="s">
        <v>333</v>
      </c>
      <c r="J24" s="55" t="str">
        <f>IF(C24=0," ",VLOOKUP(A24,[2]!Table93[#Data],12,FALSE))</f>
        <v>Citrus Paradisi Seed Extract</v>
      </c>
      <c r="K24" s="55" t="str">
        <f>IF(C24=0," ",VLOOKUP(A24,[2]!Table93[#Data],13,FALSE))</f>
        <v>葡萄柚籽提取物</v>
      </c>
      <c r="L24" s="56">
        <f>IF(C24=0," ",VLOOKUP(A24,[2]!Table93[#Data],14,FALSE))</f>
        <v>0</v>
      </c>
      <c r="M24" s="57">
        <f t="shared" si="1"/>
        <v>0</v>
      </c>
    </row>
    <row r="25" spans="1:13" ht="16.2">
      <c r="A25" s="50" t="s">
        <v>334</v>
      </c>
      <c r="B25" s="76"/>
      <c r="C25" s="54">
        <v>0.6</v>
      </c>
      <c r="D25" s="54">
        <f t="shared" si="0"/>
        <v>0.3</v>
      </c>
      <c r="E25" s="104">
        <v>150</v>
      </c>
      <c r="F25" s="52">
        <f>E25/1000*D25</f>
        <v>4.4999999999999998E-2</v>
      </c>
      <c r="G25" s="61"/>
      <c r="H25" s="83"/>
      <c r="J25" s="55" t="str">
        <f>IF(C25=0," ",VLOOKUP(A25,[2]!Table93[#Data],12,FALSE))</f>
        <v>Coceth-7
PPG-1-PEG-9 Lauryl Glycol Ether
PEG-40 Hydrogenated Castor Oil</v>
      </c>
      <c r="K25" s="55" t="str">
        <f>IF(C25=0," ",VLOOKUP(A25,[2]!Table93[#Data],13,FALSE))</f>
        <v>椰油醇醚-7, PPG-1-PEG-9 月桂基乙二醇醚, PEG-40 氫化蓖麻油</v>
      </c>
      <c r="L25" s="56">
        <f>IF(C25=0," ",VLOOKUP(A25,[2]!Table93[#Data],14,FALSE))</f>
        <v>0</v>
      </c>
      <c r="M25" s="57">
        <f t="shared" si="1"/>
        <v>0</v>
      </c>
    </row>
    <row r="26" spans="1:13" ht="16.2">
      <c r="A26" s="94" t="s">
        <v>335</v>
      </c>
      <c r="B26" s="124" t="s">
        <v>336</v>
      </c>
      <c r="C26" s="54">
        <v>2</v>
      </c>
      <c r="D26" s="54">
        <f t="shared" si="0"/>
        <v>1</v>
      </c>
      <c r="E26" s="104">
        <v>150</v>
      </c>
      <c r="F26" s="52">
        <f t="shared" si="2"/>
        <v>0.15</v>
      </c>
      <c r="G26" s="61"/>
      <c r="H26" s="61" t="s">
        <v>333</v>
      </c>
      <c r="J26" s="55" t="str">
        <f>IF(C26=0," ",VLOOKUP(A26,[2]!Table93[#Data],12,FALSE))</f>
        <v>HAMAMELIS VIRGINIANA (WITCH HAZEL) EXTRACT
Propylene Glycol</v>
      </c>
      <c r="K26" s="55" t="str">
        <f>IF(C26=0," ",VLOOKUP(A26,[2]!Table93[#Data],13,FALSE))</f>
        <v>北美金縷梅（HAMAMELIS VIRGINIANA）提取，丙二醇</v>
      </c>
      <c r="L26" s="56">
        <f>IF(C26=0," ",VLOOKUP(A26,[2]!Table93[#Data],14,FALSE))</f>
        <v>0.05</v>
      </c>
      <c r="M26" s="57">
        <f t="shared" si="1"/>
        <v>0.1</v>
      </c>
    </row>
    <row r="27" spans="1:13" ht="16.2">
      <c r="A27" s="50" t="s">
        <v>337</v>
      </c>
      <c r="B27" s="106">
        <v>2</v>
      </c>
      <c r="C27" s="54">
        <v>0</v>
      </c>
      <c r="D27" s="54">
        <f t="shared" si="0"/>
        <v>0</v>
      </c>
      <c r="E27" s="104">
        <v>22000</v>
      </c>
      <c r="F27" s="52">
        <f t="shared" si="2"/>
        <v>0</v>
      </c>
      <c r="G27" s="61"/>
      <c r="H27" s="83" t="s">
        <v>322</v>
      </c>
      <c r="J27" s="55" t="str">
        <f>IF(C27=0," ",VLOOKUP(A27,[2]!Table93[#Data],12,FALSE))</f>
        <v xml:space="preserve"> </v>
      </c>
      <c r="K27" s="55" t="str">
        <f>IF(C27=0," ",VLOOKUP(A27,[2]!Table93[#Data],13,FALSE))</f>
        <v xml:space="preserve"> </v>
      </c>
      <c r="L27" s="56" t="str">
        <f>IF(C27=0," ",VLOOKUP(A27,[2]!Table93[#Data],14,FALSE))</f>
        <v xml:space="preserve"> </v>
      </c>
      <c r="M27" s="57" t="str">
        <f t="shared" si="1"/>
        <v xml:space="preserve"> </v>
      </c>
    </row>
    <row r="28" spans="1:13" ht="16.2">
      <c r="A28" s="50" t="s">
        <v>219</v>
      </c>
      <c r="B28" s="84"/>
      <c r="C28" s="66">
        <v>1.2</v>
      </c>
      <c r="D28" s="54">
        <f t="shared" si="0"/>
        <v>0.6</v>
      </c>
      <c r="E28" s="104">
        <v>350</v>
      </c>
      <c r="F28" s="52">
        <f t="shared" si="2"/>
        <v>0.21</v>
      </c>
      <c r="G28" s="54" t="s">
        <v>193</v>
      </c>
      <c r="H28" s="83" t="s">
        <v>221</v>
      </c>
      <c r="J28" s="55" t="str">
        <f>IF(C28=0," ",VLOOKUP(A28,[2]!Table93[#Data],12,FALSE))</f>
        <v>Propanediol
1,2-Hexanediol
Caprylhydroxamic Acid</v>
      </c>
      <c r="K28" s="55" t="str">
        <f>IF(C28=0," ",VLOOKUP(A28,[2]!Table93[#Data],13,FALSE))</f>
        <v>丙二醇，1,2-己二醇，辛酸異羥肟酸，</v>
      </c>
      <c r="L28" s="56">
        <f>IF(C28=0," ",VLOOKUP(A28,[2]!Table93[#Data],14,FALSE))</f>
        <v>0.65</v>
      </c>
      <c r="M28" s="57">
        <f t="shared" si="1"/>
        <v>0.78</v>
      </c>
    </row>
    <row r="29" spans="1:13" ht="16.2">
      <c r="A29" s="115"/>
      <c r="B29" s="115"/>
      <c r="C29" s="54">
        <f>SUM(C5:C28)</f>
        <v>100</v>
      </c>
      <c r="D29" s="54">
        <v>50</v>
      </c>
      <c r="E29" s="115"/>
      <c r="F29" s="115">
        <f>SUM(F5:F28)</f>
        <v>5.1335499999999996</v>
      </c>
      <c r="G29" s="83"/>
      <c r="H29" s="86"/>
    </row>
    <row r="30" spans="1:13" ht="16.2">
      <c r="A30" s="91"/>
      <c r="B30" s="91"/>
      <c r="C30" s="91"/>
      <c r="D30" s="91"/>
      <c r="E30" s="91"/>
      <c r="F30" s="91"/>
      <c r="G30" s="116"/>
      <c r="H30" s="87"/>
    </row>
    <row r="31" spans="1:13" ht="16.2">
      <c r="A31" s="89" t="s">
        <v>303</v>
      </c>
      <c r="B31" s="117"/>
      <c r="C31" s="116"/>
      <c r="D31" s="118"/>
      <c r="E31" s="91"/>
      <c r="F31" s="91"/>
      <c r="G31" s="116"/>
      <c r="H31" s="91"/>
    </row>
    <row r="32" spans="1:13">
      <c r="A32" s="91" t="s">
        <v>304</v>
      </c>
      <c r="B32" s="91"/>
      <c r="C32" s="91"/>
      <c r="D32" s="91"/>
      <c r="E32" s="91"/>
      <c r="F32" s="91"/>
      <c r="G32" s="116"/>
      <c r="H32" s="91"/>
    </row>
    <row r="33" spans="1:8">
      <c r="A33" s="90" t="s">
        <v>305</v>
      </c>
      <c r="B33" s="90"/>
      <c r="C33" s="90"/>
      <c r="D33" s="90"/>
      <c r="E33" s="90"/>
      <c r="F33" s="90"/>
      <c r="G33" s="119"/>
      <c r="H33" s="9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3036D-AE32-4282-917D-C0977947D87A}">
  <sheetPr>
    <tabColor theme="5"/>
  </sheetPr>
  <dimension ref="A1:M30"/>
  <sheetViews>
    <sheetView workbookViewId="0">
      <selection activeCell="F6" sqref="F6"/>
    </sheetView>
  </sheetViews>
  <sheetFormatPr defaultColWidth="9" defaultRowHeight="14.4"/>
  <cols>
    <col min="1" max="1" width="25.44140625" style="90" customWidth="1"/>
    <col min="2" max="6" width="9" style="90"/>
    <col min="7" max="7" width="8.109375" style="90" customWidth="1"/>
    <col min="8" max="8" width="17.33203125" style="90" customWidth="1"/>
    <col min="9" max="9" width="9" style="90"/>
    <col min="10" max="10" width="69.21875" style="90" customWidth="1"/>
    <col min="11" max="16384" width="9" style="90"/>
  </cols>
  <sheetData>
    <row r="1" spans="1:13" ht="20.399999999999999">
      <c r="A1" s="95"/>
      <c r="B1" s="96" t="s">
        <v>149</v>
      </c>
      <c r="C1" s="91"/>
      <c r="D1" s="95"/>
      <c r="E1" s="95"/>
      <c r="F1" s="95"/>
      <c r="G1" s="97"/>
      <c r="H1" s="95"/>
    </row>
    <row r="2" spans="1:13" ht="17.399999999999999">
      <c r="A2" s="98" t="s">
        <v>262</v>
      </c>
      <c r="B2" s="99"/>
      <c r="C2" s="54"/>
      <c r="D2" s="98" t="s">
        <v>263</v>
      </c>
      <c r="E2" s="100"/>
      <c r="F2" s="100"/>
      <c r="G2" s="61"/>
      <c r="H2" s="100"/>
    </row>
    <row r="3" spans="1:13" ht="17.399999999999999">
      <c r="A3" s="101" t="s">
        <v>152</v>
      </c>
      <c r="B3" s="76"/>
      <c r="C3" s="54"/>
      <c r="D3" s="101" t="s">
        <v>264</v>
      </c>
      <c r="E3" s="102"/>
      <c r="F3" s="102"/>
      <c r="G3" s="61"/>
      <c r="H3" s="102"/>
    </row>
    <row r="4" spans="1:13">
      <c r="A4" s="54" t="s">
        <v>154</v>
      </c>
      <c r="B4" s="54" t="s">
        <v>265</v>
      </c>
      <c r="C4" s="103" t="s">
        <v>156</v>
      </c>
      <c r="D4" s="104" t="s">
        <v>266</v>
      </c>
      <c r="E4" s="104" t="s">
        <v>158</v>
      </c>
      <c r="F4" s="104" t="s">
        <v>267</v>
      </c>
      <c r="G4" s="105" t="s">
        <v>268</v>
      </c>
      <c r="H4" s="69" t="s">
        <v>269</v>
      </c>
      <c r="I4" s="90" t="s">
        <v>270</v>
      </c>
    </row>
    <row r="5" spans="1:13" ht="15.6">
      <c r="A5" s="50" t="s">
        <v>162</v>
      </c>
      <c r="B5" s="106"/>
      <c r="C5" s="54">
        <f>100-SUM(C6:C25)</f>
        <v>66.949999999999989</v>
      </c>
      <c r="D5" s="107">
        <f t="shared" ref="D5:D14" si="0">C5*$D$26/$C$26</f>
        <v>133.9</v>
      </c>
      <c r="E5" s="108">
        <v>4</v>
      </c>
      <c r="F5" s="52">
        <f t="shared" ref="F5:F8" si="1">E5/1000*D5</f>
        <v>0.53560000000000008</v>
      </c>
      <c r="G5" s="69"/>
      <c r="H5" s="69"/>
      <c r="J5" s="55" t="str">
        <f>IF(C5=0," ",VLOOKUP(A5,[2]!Table93[#Data],12,FALSE))</f>
        <v>Water</v>
      </c>
      <c r="K5" s="55" t="str">
        <f>IF(C5=0," ",VLOOKUP(A5,[2]!Table93[#Data],13,FALSE))</f>
        <v>水</v>
      </c>
      <c r="L5" s="56">
        <f>IF(C5=0," ",VLOOKUP(A5,[2]!Table93[#Data],14,FALSE))</f>
        <v>1</v>
      </c>
      <c r="M5" s="57">
        <f>IFERROR(L5*C5," ")</f>
        <v>66.949999999999989</v>
      </c>
    </row>
    <row r="6" spans="1:13" ht="15.6">
      <c r="A6" s="50" t="s">
        <v>271</v>
      </c>
      <c r="B6" s="109"/>
      <c r="C6" s="54">
        <v>6</v>
      </c>
      <c r="D6" s="107">
        <f t="shared" si="0"/>
        <v>12.000000000000004</v>
      </c>
      <c r="E6" s="108">
        <v>100</v>
      </c>
      <c r="F6" s="52">
        <f t="shared" si="1"/>
        <v>1.2000000000000004</v>
      </c>
      <c r="G6" s="61"/>
      <c r="H6" s="61" t="s">
        <v>272</v>
      </c>
      <c r="I6" s="90" t="s">
        <v>273</v>
      </c>
      <c r="J6" s="55" t="str">
        <f>IF(C6=0," ",VLOOKUP(A6,[2]!Table93[#Data],12,FALSE))</f>
        <v>Sodium Cocoyl Isethionate
Disodium Cocoyl Glutamate</v>
      </c>
      <c r="K6" s="55" t="str">
        <f>IF(C6=0," ",VLOOKUP(A6,[2]!Table93[#Data],13,FALSE))</f>
        <v>椰油酰基羥乙磺酸酯鈉，椰油基谷氨酸二鈉</v>
      </c>
      <c r="L6" s="56">
        <f>IF(C6=0," ",VLOOKUP(A6,[2]!Table93[#Data],14,FALSE))</f>
        <v>1</v>
      </c>
      <c r="M6" s="57">
        <f t="shared" ref="M6:M25" si="2">IFERROR(L6*C6," ")</f>
        <v>6</v>
      </c>
    </row>
    <row r="7" spans="1:13" ht="15.6">
      <c r="A7" s="77" t="s">
        <v>274</v>
      </c>
      <c r="B7" s="109"/>
      <c r="C7" s="54">
        <v>0.5</v>
      </c>
      <c r="D7" s="107">
        <f t="shared" si="0"/>
        <v>1.0000000000000002</v>
      </c>
      <c r="E7" s="108">
        <v>15</v>
      </c>
      <c r="F7" s="52">
        <f t="shared" si="1"/>
        <v>1.5000000000000003E-2</v>
      </c>
      <c r="G7" s="61"/>
      <c r="H7" s="61" t="s">
        <v>275</v>
      </c>
      <c r="I7" s="90" t="s">
        <v>273</v>
      </c>
      <c r="J7" s="55" t="str">
        <f>IF(C7=0," ",VLOOKUP(A7,[2]!Table93[#Data],12,FALSE))</f>
        <v>Cetearyl Alcohol</v>
      </c>
      <c r="K7" s="55" t="str">
        <f>IF(C7=0," ",VLOOKUP(A7,[2]!Table93[#Data],13,FALSE))</f>
        <v>十六十八醇</v>
      </c>
      <c r="L7" s="56">
        <f>IF(C7=0," ",VLOOKUP(A7,[2]!Table93[#Data],14,FALSE))</f>
        <v>1</v>
      </c>
      <c r="M7" s="57">
        <f t="shared" si="2"/>
        <v>0.5</v>
      </c>
    </row>
    <row r="8" spans="1:13" ht="15.6">
      <c r="A8" s="77" t="s">
        <v>276</v>
      </c>
      <c r="B8" s="106"/>
      <c r="C8" s="54">
        <v>0.05</v>
      </c>
      <c r="D8" s="107">
        <f t="shared" si="0"/>
        <v>0.10000000000000003</v>
      </c>
      <c r="E8" s="108">
        <v>100</v>
      </c>
      <c r="F8" s="52">
        <f t="shared" si="1"/>
        <v>1.0000000000000004E-2</v>
      </c>
      <c r="G8" s="61"/>
      <c r="H8" s="61" t="s">
        <v>277</v>
      </c>
      <c r="I8" s="90" t="s">
        <v>273</v>
      </c>
      <c r="J8" s="55" t="str">
        <f>IF(C8=0," ",VLOOKUP(A8,[2]!Table93[#Data],12,FALSE))</f>
        <v>EDTA</v>
      </c>
      <c r="K8" s="55" t="str">
        <f>IF(C8=0," ",VLOOKUP(A8,[2]!Table93[#Data],13,FALSE))</f>
        <v>乙二胺四乙酸</v>
      </c>
      <c r="L8" s="56">
        <f>IF(C8=0," ",VLOOKUP(A8,[2]!Table93[#Data],14,FALSE))</f>
        <v>1</v>
      </c>
      <c r="M8" s="57">
        <f t="shared" si="2"/>
        <v>0.05</v>
      </c>
    </row>
    <row r="9" spans="1:13" ht="15.6">
      <c r="A9" s="50" t="s">
        <v>278</v>
      </c>
      <c r="B9" s="109"/>
      <c r="C9" s="54">
        <v>1.5</v>
      </c>
      <c r="D9" s="107">
        <f t="shared" si="0"/>
        <v>3.0000000000000009</v>
      </c>
      <c r="E9" s="108">
        <v>40</v>
      </c>
      <c r="F9" s="52">
        <f>E9/1000*D9</f>
        <v>0.12000000000000004</v>
      </c>
      <c r="G9" s="83" t="s">
        <v>163</v>
      </c>
      <c r="H9" s="61" t="s">
        <v>277</v>
      </c>
      <c r="I9" s="90" t="s">
        <v>273</v>
      </c>
      <c r="J9" s="55" t="str">
        <f>IF(C9=0," ",VLOOKUP(A9,[2]!Table93[#Data],12,FALSE))</f>
        <v>Cocamide MEA</v>
      </c>
      <c r="K9" s="55" t="str">
        <f>IF(C9=0," ",VLOOKUP(A9,[2]!Table93[#Data],13,FALSE))</f>
        <v>椰油酰胺 MEA</v>
      </c>
      <c r="L9" s="56">
        <f>IF(C9=0," ",VLOOKUP(A9,[2]!Table93[#Data],14,FALSE))</f>
        <v>1</v>
      </c>
      <c r="M9" s="57">
        <f t="shared" si="2"/>
        <v>1.5</v>
      </c>
    </row>
    <row r="10" spans="1:13" ht="15.6">
      <c r="A10" s="79" t="s">
        <v>279</v>
      </c>
      <c r="B10" s="109"/>
      <c r="C10" s="110">
        <v>5</v>
      </c>
      <c r="D10" s="107">
        <f t="shared" si="0"/>
        <v>10.000000000000004</v>
      </c>
      <c r="E10" s="108">
        <v>10</v>
      </c>
      <c r="F10" s="52">
        <f t="shared" ref="F10:F25" si="3">E10/1000*D10</f>
        <v>0.10000000000000003</v>
      </c>
      <c r="G10" s="61"/>
      <c r="H10" s="83" t="s">
        <v>209</v>
      </c>
      <c r="I10" s="90" t="s">
        <v>280</v>
      </c>
      <c r="J10" s="55" t="str">
        <f>IF(C10=0," ",VLOOKUP(A10,[2]!Table93[#Data],12,FALSE))</f>
        <v>Cocamidopropyl Betaine</v>
      </c>
      <c r="K10" s="55" t="str">
        <f>IF(C10=0," ",VLOOKUP(A10,[2]!Table93[#Data],13,FALSE))</f>
        <v>椰油酰胺基丙基甜菜鹼</v>
      </c>
      <c r="L10" s="56">
        <f>IF(C10=0," ",VLOOKUP(A10,[2]!Table93[#Data],14,FALSE))</f>
        <v>1</v>
      </c>
      <c r="M10" s="57">
        <f t="shared" si="2"/>
        <v>5</v>
      </c>
    </row>
    <row r="11" spans="1:13" ht="15.6">
      <c r="A11" s="50" t="s">
        <v>281</v>
      </c>
      <c r="B11" s="111"/>
      <c r="C11" s="54">
        <v>0.3</v>
      </c>
      <c r="D11" s="107">
        <f t="shared" si="0"/>
        <v>0.6000000000000002</v>
      </c>
      <c r="E11" s="108">
        <v>150</v>
      </c>
      <c r="F11" s="52">
        <f t="shared" si="3"/>
        <v>9.0000000000000024E-2</v>
      </c>
      <c r="G11" s="61" t="s">
        <v>167</v>
      </c>
      <c r="H11" s="61" t="s">
        <v>272</v>
      </c>
      <c r="I11" s="90" t="s">
        <v>282</v>
      </c>
      <c r="J11" s="55" t="str">
        <f>IF(C11=0," ",VLOOKUP(A11,[2]!Table93[#Data],12,FALSE))</f>
        <v>Panthenol</v>
      </c>
      <c r="K11" s="55" t="str">
        <f>IF(C11=0," ",VLOOKUP(A11,[2]!Table93[#Data],13,FALSE))</f>
        <v>泛醇</v>
      </c>
      <c r="L11" s="56">
        <f>IF(C11=0," ",VLOOKUP(A11,[2]!Table93[#Data],14,FALSE))</f>
        <v>1</v>
      </c>
      <c r="M11" s="57">
        <f t="shared" si="2"/>
        <v>0.3</v>
      </c>
    </row>
    <row r="12" spans="1:13" ht="15.6">
      <c r="A12" s="50" t="s">
        <v>283</v>
      </c>
      <c r="B12" s="109"/>
      <c r="C12" s="54">
        <v>0.1</v>
      </c>
      <c r="D12" s="107">
        <f t="shared" si="0"/>
        <v>0.20000000000000007</v>
      </c>
      <c r="E12" s="108">
        <v>430</v>
      </c>
      <c r="F12" s="52">
        <f t="shared" si="3"/>
        <v>8.6000000000000021E-2</v>
      </c>
      <c r="G12" s="61"/>
      <c r="H12" s="61" t="s">
        <v>284</v>
      </c>
      <c r="I12" s="90" t="s">
        <v>285</v>
      </c>
      <c r="J12" s="55" t="str">
        <f>IF(C12=0," ",VLOOKUP(A12,[2]!Table93[#Data],12,FALSE))</f>
        <v>Hydrolyzed Keratin</v>
      </c>
      <c r="K12" s="55" t="str">
        <f>IF(C12=0," ",VLOOKUP(A12,[2]!Table93[#Data],13,FALSE))</f>
        <v>水解角蛋白</v>
      </c>
      <c r="L12" s="56">
        <f>IF(C12=0," ",VLOOKUP(A12,[2]!Table93[#Data],14,FALSE))</f>
        <v>1</v>
      </c>
      <c r="M12" s="57">
        <f t="shared" si="2"/>
        <v>0.1</v>
      </c>
    </row>
    <row r="13" spans="1:13" ht="15.6">
      <c r="A13" s="94" t="s">
        <v>286</v>
      </c>
      <c r="B13" s="112">
        <v>2.5000000000000001E-2</v>
      </c>
      <c r="C13" s="54">
        <v>0</v>
      </c>
      <c r="D13" s="107">
        <f t="shared" si="0"/>
        <v>0</v>
      </c>
      <c r="E13" s="108">
        <v>350</v>
      </c>
      <c r="F13" s="52">
        <f t="shared" si="3"/>
        <v>0</v>
      </c>
      <c r="G13" s="61"/>
      <c r="H13" s="61" t="s">
        <v>287</v>
      </c>
      <c r="I13" s="90" t="s">
        <v>288</v>
      </c>
      <c r="J13" s="55" t="str">
        <f>IF(C13=0," ",VLOOKUP(A13,[2]!Table93[#Data],12,FALSE))</f>
        <v xml:space="preserve"> </v>
      </c>
      <c r="K13" s="55" t="str">
        <f>IF(C13=0," ",VLOOKUP(A13,[2]!Table93[#Data],13,FALSE))</f>
        <v xml:space="preserve"> </v>
      </c>
      <c r="L13" s="56" t="str">
        <f>IF(C13=0," ",VLOOKUP(A13,[2]!Table93[#Data],14,FALSE))</f>
        <v xml:space="preserve"> </v>
      </c>
      <c r="M13" s="57" t="str">
        <f t="shared" si="2"/>
        <v xml:space="preserve"> </v>
      </c>
    </row>
    <row r="14" spans="1:13" ht="15.6">
      <c r="A14" s="50" t="s">
        <v>289</v>
      </c>
      <c r="B14" s="111">
        <v>5.0000000000000001E-3</v>
      </c>
      <c r="C14" s="54">
        <v>0.5</v>
      </c>
      <c r="D14" s="107">
        <f t="shared" si="0"/>
        <v>1.0000000000000002</v>
      </c>
      <c r="E14" s="108">
        <v>50</v>
      </c>
      <c r="F14" s="52">
        <f t="shared" si="3"/>
        <v>5.0000000000000017E-2</v>
      </c>
      <c r="G14" s="61"/>
      <c r="H14" s="61" t="s">
        <v>290</v>
      </c>
      <c r="I14" s="90" t="s">
        <v>273</v>
      </c>
      <c r="J14" s="55" t="str">
        <f>IF(C14=0," ",VLOOKUP(A14,[2]!Table93[#Data],12,FALSE))</f>
        <v>Polyquarterium-7</v>
      </c>
      <c r="K14" s="55" t="str">
        <f>IF(C14=0," ",VLOOKUP(A14,[2]!Table93[#Data],13,FALSE))</f>
        <v>聚季銨鹽-7</v>
      </c>
      <c r="L14" s="56">
        <f>IF(C14=0," ",VLOOKUP(A14,[2]!Table93[#Data],14,FALSE))</f>
        <v>1</v>
      </c>
      <c r="M14" s="57">
        <f t="shared" si="2"/>
        <v>0.5</v>
      </c>
    </row>
    <row r="15" spans="1:13" ht="15.6">
      <c r="A15" s="50" t="s">
        <v>358</v>
      </c>
      <c r="B15" s="111">
        <v>5.0000000000000001E-3</v>
      </c>
      <c r="C15" s="54">
        <v>0.5</v>
      </c>
      <c r="D15" s="107">
        <f>C15*$D$26/$C$26</f>
        <v>1.0000000000000002</v>
      </c>
      <c r="E15" s="108">
        <v>100</v>
      </c>
      <c r="F15" s="52">
        <f t="shared" si="3"/>
        <v>0.10000000000000003</v>
      </c>
      <c r="G15" s="61"/>
      <c r="H15" s="61" t="s">
        <v>290</v>
      </c>
      <c r="I15" s="90" t="s">
        <v>273</v>
      </c>
      <c r="J15" s="55" t="e">
        <f>IF(C15=0," ",VLOOKUP(A15,[2]!Table93[#Data],12,FALSE))</f>
        <v>#N/A</v>
      </c>
      <c r="K15" s="55" t="e">
        <f>IF(C15=0," ",VLOOKUP(A15,[2]!Table93[#Data],13,FALSE))</f>
        <v>#N/A</v>
      </c>
      <c r="L15" s="56" t="e">
        <f>IF(C15=0," ",VLOOKUP(A15,[2]!Table93[#Data],14,FALSE))</f>
        <v>#N/A</v>
      </c>
      <c r="M15" s="57" t="str">
        <f t="shared" si="2"/>
        <v xml:space="preserve"> </v>
      </c>
    </row>
    <row r="16" spans="1:13" ht="15.6">
      <c r="A16" s="113" t="s">
        <v>291</v>
      </c>
      <c r="B16" s="111"/>
      <c r="C16" s="54">
        <v>1.5</v>
      </c>
      <c r="D16" s="107">
        <f t="shared" ref="D16:D25" si="4">C16*$D$26/$C$26</f>
        <v>3.0000000000000009</v>
      </c>
      <c r="E16" s="108">
        <v>100</v>
      </c>
      <c r="F16" s="52">
        <f t="shared" si="3"/>
        <v>0.3000000000000001</v>
      </c>
      <c r="G16" s="61"/>
      <c r="H16" s="61" t="s">
        <v>292</v>
      </c>
      <c r="I16" s="90" t="s">
        <v>273</v>
      </c>
      <c r="J16" s="55" t="str">
        <f>IF(C16=0," ",VLOOKUP(A16,[2]!Table93[#Data],12,FALSE))</f>
        <v>Dimethicone
Cocamidopropyl Betaine
C12-15 Pareth-3
Guar Hydroxypropyltrimonium Chloride</v>
      </c>
      <c r="K16" s="55" t="str">
        <f>IF(C16=0," ",VLOOKUP(A16,[2]!Table93[#Data],13,FALSE))</f>
        <v>二甲矽油，椰油酰胺丙基甜菜鹼，C12-15 Pareth-3，瓜爾膠羥丙基三氯化銨</v>
      </c>
      <c r="L16" s="56">
        <f>IF(C16=0," ",VLOOKUP(A16,[2]!Table93[#Data],14,FALSE))</f>
        <v>1</v>
      </c>
      <c r="M16" s="57">
        <f t="shared" si="2"/>
        <v>1.5</v>
      </c>
    </row>
    <row r="17" spans="1:13" ht="15.6">
      <c r="A17" s="50" t="s">
        <v>293</v>
      </c>
      <c r="B17" s="111"/>
      <c r="C17" s="54">
        <v>1.5</v>
      </c>
      <c r="D17" s="107">
        <f t="shared" si="4"/>
        <v>3.0000000000000009</v>
      </c>
      <c r="E17" s="108">
        <v>100</v>
      </c>
      <c r="F17" s="52">
        <f t="shared" si="3"/>
        <v>0.3000000000000001</v>
      </c>
      <c r="G17" s="61"/>
      <c r="H17" s="61" t="s">
        <v>292</v>
      </c>
      <c r="I17" s="90" t="s">
        <v>273</v>
      </c>
      <c r="J17" s="55" t="str">
        <f>IF(C17=0," ",VLOOKUP(A17,[2]!Table93[#Data],12,FALSE))</f>
        <v>Dimethiconol
TEA-Dodecylbenzenesulfonate</v>
      </c>
      <c r="K17" s="55" t="str">
        <f>IF(C17=0," ",VLOOKUP(A17,[2]!Table93[#Data],13,FALSE))</f>
        <v>聚二甲基矽氧烷醇，TEA-十二烷基苯磺酸鹽</v>
      </c>
      <c r="L17" s="56">
        <f>IF(C17=0," ",VLOOKUP(A17,[2]!Table93[#Data],14,FALSE))</f>
        <v>1</v>
      </c>
      <c r="M17" s="57">
        <f t="shared" si="2"/>
        <v>1.5</v>
      </c>
    </row>
    <row r="18" spans="1:13" ht="15.6">
      <c r="A18" s="50" t="s">
        <v>294</v>
      </c>
      <c r="B18" s="111"/>
      <c r="C18" s="54">
        <v>1</v>
      </c>
      <c r="D18" s="107">
        <f t="shared" si="4"/>
        <v>2.0000000000000004</v>
      </c>
      <c r="E18" s="108">
        <v>200</v>
      </c>
      <c r="F18" s="52">
        <f t="shared" si="3"/>
        <v>0.40000000000000013</v>
      </c>
      <c r="G18" s="61"/>
      <c r="H18" s="61" t="s">
        <v>292</v>
      </c>
      <c r="I18" s="90" t="s">
        <v>273</v>
      </c>
      <c r="J18" s="55" t="str">
        <f>IF(C18=0," ",VLOOKUP(A18,[2]!Table93[#Data],12,FALSE))</f>
        <v>Amodimethicone
Trideceth-6
Trideceth-12
Glycerin</v>
      </c>
      <c r="K18" s="55" t="str">
        <f>IF(C18=0," ",VLOOKUP(A18,[2]!Table93[#Data],13,FALSE))</f>
        <v>氨端聚二甲基硅氧烷、十三烷醇聚醚-6、十三烷醇聚醚-12、甘油</v>
      </c>
      <c r="L18" s="56">
        <f>IF(C18=0," ",VLOOKUP(A18,[2]!Table93[#Data],14,FALSE))</f>
        <v>1</v>
      </c>
      <c r="M18" s="57">
        <f t="shared" si="2"/>
        <v>1</v>
      </c>
    </row>
    <row r="19" spans="1:13" ht="15.6">
      <c r="A19" s="50" t="s">
        <v>295</v>
      </c>
      <c r="B19" s="109"/>
      <c r="C19" s="54">
        <v>7</v>
      </c>
      <c r="D19" s="107">
        <f t="shared" si="4"/>
        <v>14.000000000000004</v>
      </c>
      <c r="E19" s="108">
        <v>100</v>
      </c>
      <c r="F19" s="52">
        <f t="shared" si="3"/>
        <v>1.4000000000000004</v>
      </c>
      <c r="G19" s="61"/>
      <c r="H19" s="61" t="s">
        <v>272</v>
      </c>
      <c r="I19" s="90" t="s">
        <v>273</v>
      </c>
      <c r="J19" s="55" t="str">
        <f>IF(C19=0," ",VLOOKUP(A19,[2]!Table93[#Data],12,FALSE))</f>
        <v>Decyl Glucoside</v>
      </c>
      <c r="K19" s="55" t="str">
        <f>IF(C19=0," ",VLOOKUP(A19,[2]!Table93[#Data],13,FALSE))</f>
        <v>癸基糖苷</v>
      </c>
      <c r="L19" s="56">
        <f>IF(C19=0," ",VLOOKUP(A19,[2]!Table93[#Data],14,FALSE))</f>
        <v>1</v>
      </c>
      <c r="M19" s="57">
        <f t="shared" si="2"/>
        <v>7</v>
      </c>
    </row>
    <row r="20" spans="1:13" ht="15.6">
      <c r="A20" s="50" t="s">
        <v>296</v>
      </c>
      <c r="B20" s="109"/>
      <c r="C20" s="54">
        <v>5.5</v>
      </c>
      <c r="D20" s="107">
        <f t="shared" si="4"/>
        <v>11.000000000000004</v>
      </c>
      <c r="E20" s="108">
        <v>100</v>
      </c>
      <c r="F20" s="52">
        <f t="shared" si="3"/>
        <v>1.1000000000000003</v>
      </c>
      <c r="G20" s="61"/>
      <c r="H20" s="61" t="s">
        <v>277</v>
      </c>
      <c r="I20" s="90" t="s">
        <v>273</v>
      </c>
      <c r="J20" s="55" t="str">
        <f>IF(C20=0," ",VLOOKUP(A20,[2]!Table93[#Data],12,FALSE))</f>
        <v>Acrylates Copolymer</v>
      </c>
      <c r="K20" s="55" t="str">
        <f>IF(C20=0," ",VLOOKUP(A20,[2]!Table93[#Data],13,FALSE))</f>
        <v>丙烯酸酯共聚物</v>
      </c>
      <c r="L20" s="56">
        <f>IF(C20=0," ",VLOOKUP(A20,[2]!Table93[#Data],14,FALSE))</f>
        <v>1</v>
      </c>
      <c r="M20" s="57">
        <f t="shared" si="2"/>
        <v>5.5</v>
      </c>
    </row>
    <row r="21" spans="1:13" ht="15.6">
      <c r="A21" s="77">
        <v>9010</v>
      </c>
      <c r="B21" s="84"/>
      <c r="C21" s="66">
        <v>0.5</v>
      </c>
      <c r="D21" s="107">
        <f t="shared" si="4"/>
        <v>1.0000000000000002</v>
      </c>
      <c r="E21" s="108">
        <v>350</v>
      </c>
      <c r="F21" s="52">
        <f t="shared" si="3"/>
        <v>0.35000000000000003</v>
      </c>
      <c r="G21" s="69" t="s">
        <v>193</v>
      </c>
      <c r="H21" s="69" t="s">
        <v>221</v>
      </c>
      <c r="I21" s="90" t="s">
        <v>288</v>
      </c>
      <c r="J21" s="55" t="str">
        <f>IF(C21=0," ",VLOOKUP(A21,[2]!Table93[#Data],12,FALSE))</f>
        <v>Phenoxyethanol, Ethylhexylglycerin</v>
      </c>
      <c r="K21" s="55" t="str">
        <f>IF(C21=0," ",VLOOKUP(A21,[2]!Table93[#Data],13,FALSE))</f>
        <v>苯氧乙醇，乙基己基甘油</v>
      </c>
      <c r="L21" s="56">
        <f>IF(C21=0," ",VLOOKUP(A21,[2]!Table93[#Data],14,FALSE))</f>
        <v>0.9</v>
      </c>
      <c r="M21" s="57">
        <f t="shared" si="2"/>
        <v>0.45</v>
      </c>
    </row>
    <row r="22" spans="1:13" ht="15.6">
      <c r="A22" s="114" t="s">
        <v>297</v>
      </c>
      <c r="B22" s="77">
        <v>0.1</v>
      </c>
      <c r="C22" s="54">
        <v>0</v>
      </c>
      <c r="D22" s="107">
        <f t="shared" si="4"/>
        <v>0</v>
      </c>
      <c r="E22" s="108">
        <v>5000</v>
      </c>
      <c r="F22" s="52">
        <f>E22/1000*D22</f>
        <v>0</v>
      </c>
      <c r="G22" s="61"/>
      <c r="H22" s="61"/>
      <c r="J22" s="55" t="str">
        <f>IF(C22=0," ",VLOOKUP(A22,[2]!Table93[#Data],12,FALSE))</f>
        <v xml:space="preserve"> </v>
      </c>
      <c r="K22" s="55" t="str">
        <f>IF(C22=0," ",VLOOKUP(A22,[2]!Table93[#Data],13,FALSE))</f>
        <v xml:space="preserve"> </v>
      </c>
      <c r="L22" s="56" t="str">
        <f>IF(C22=0," ",VLOOKUP(A22,[2]!Table93[#Data],14,FALSE))</f>
        <v xml:space="preserve"> </v>
      </c>
      <c r="M22" s="57" t="str">
        <f t="shared" si="2"/>
        <v xml:space="preserve"> </v>
      </c>
    </row>
    <row r="23" spans="1:13" ht="15.6">
      <c r="A23" s="114" t="s">
        <v>298</v>
      </c>
      <c r="B23" s="77">
        <v>0.5</v>
      </c>
      <c r="C23" s="54">
        <v>0</v>
      </c>
      <c r="D23" s="107">
        <f t="shared" si="4"/>
        <v>0</v>
      </c>
      <c r="E23" s="108">
        <v>1200</v>
      </c>
      <c r="F23" s="52">
        <f>E23/1000*D23</f>
        <v>0</v>
      </c>
      <c r="G23" s="61"/>
      <c r="H23" s="61" t="s">
        <v>299</v>
      </c>
      <c r="J23" s="55" t="str">
        <f>IF(C23=0," ",VLOOKUP(A23,[2]!Table93[#Data],12,FALSE))</f>
        <v xml:space="preserve"> </v>
      </c>
      <c r="K23" s="55" t="str">
        <f>IF(C23=0," ",VLOOKUP(A23,[2]!Table93[#Data],13,FALSE))</f>
        <v xml:space="preserve"> </v>
      </c>
      <c r="L23" s="56" t="str">
        <f>IF(C23=0," ",VLOOKUP(A23,[2]!Table93[#Data],14,FALSE))</f>
        <v xml:space="preserve"> </v>
      </c>
      <c r="M23" s="57" t="str">
        <f t="shared" si="2"/>
        <v xml:space="preserve"> </v>
      </c>
    </row>
    <row r="24" spans="1:13" ht="15.6">
      <c r="A24" s="114" t="s">
        <v>306</v>
      </c>
      <c r="B24" s="84"/>
      <c r="C24" s="66">
        <v>1</v>
      </c>
      <c r="D24" s="107">
        <f t="shared" si="4"/>
        <v>2.0000000000000004</v>
      </c>
      <c r="E24" s="108">
        <v>1200</v>
      </c>
      <c r="F24" s="52">
        <f t="shared" si="3"/>
        <v>2.4000000000000004</v>
      </c>
      <c r="G24" s="61"/>
      <c r="H24" s="61" t="s">
        <v>299</v>
      </c>
      <c r="I24" s="90" t="s">
        <v>288</v>
      </c>
      <c r="J24" s="55" t="e">
        <f>IF(C24=0," ",VLOOKUP(A24,[2]!Table93[#Data],12,FALSE))</f>
        <v>#N/A</v>
      </c>
      <c r="K24" s="55" t="e">
        <f>IF(C24=0," ",VLOOKUP(A24,[2]!Table93[#Data],13,FALSE))</f>
        <v>#N/A</v>
      </c>
      <c r="L24" s="56" t="e">
        <f>IF(C24=0," ",VLOOKUP(A24,[2]!Table93[#Data],14,FALSE))</f>
        <v>#N/A</v>
      </c>
      <c r="M24" s="57" t="str">
        <f t="shared" si="2"/>
        <v xml:space="preserve"> </v>
      </c>
    </row>
    <row r="25" spans="1:13" ht="15.6">
      <c r="A25" s="77" t="s">
        <v>300</v>
      </c>
      <c r="B25" s="84"/>
      <c r="C25" s="66">
        <v>0.6</v>
      </c>
      <c r="D25" s="107">
        <f t="shared" si="4"/>
        <v>1.2000000000000004</v>
      </c>
      <c r="E25" s="108">
        <v>200</v>
      </c>
      <c r="F25" s="52">
        <f t="shared" si="3"/>
        <v>0.2400000000000001</v>
      </c>
      <c r="G25" s="83"/>
      <c r="H25" s="83" t="s">
        <v>301</v>
      </c>
      <c r="I25" s="90" t="s">
        <v>302</v>
      </c>
      <c r="J25" s="55" t="str">
        <f>IF(C25=0," ",VLOOKUP(A25,[2]!Table93[#Data],12,FALSE))</f>
        <v>Fragrance</v>
      </c>
      <c r="K25" s="55" t="str">
        <f>IF(C25=0," ",VLOOKUP(A25,[2]!Table93[#Data],13,FALSE))</f>
        <v>香精</v>
      </c>
      <c r="L25" s="56">
        <f>IF(C25=0," ",VLOOKUP(A25,[2]!Table93[#Data],14,FALSE))</f>
        <v>1</v>
      </c>
      <c r="M25" s="57">
        <f t="shared" si="2"/>
        <v>0.6</v>
      </c>
    </row>
    <row r="26" spans="1:13" ht="15.6">
      <c r="A26" s="115"/>
      <c r="B26" s="115"/>
      <c r="C26" s="54">
        <f>SUM(C5:C25)</f>
        <v>99.999999999999972</v>
      </c>
      <c r="D26" s="54">
        <v>200</v>
      </c>
      <c r="E26" s="115"/>
      <c r="F26" s="115">
        <f>SUM(F5:F25)</f>
        <v>8.7966000000000033</v>
      </c>
      <c r="G26" s="83"/>
      <c r="H26" s="67"/>
    </row>
    <row r="27" spans="1:13" ht="15.6">
      <c r="A27" s="91"/>
      <c r="B27" s="91"/>
      <c r="C27" s="91"/>
      <c r="D27" s="91"/>
      <c r="E27" s="91"/>
      <c r="F27" s="91"/>
      <c r="G27" s="116"/>
      <c r="H27" s="87"/>
    </row>
    <row r="28" spans="1:13" ht="15.6">
      <c r="A28" s="89" t="s">
        <v>303</v>
      </c>
      <c r="B28" s="117"/>
      <c r="C28" s="116"/>
      <c r="D28" s="118"/>
      <c r="E28" s="91"/>
      <c r="F28" s="91"/>
      <c r="G28" s="116"/>
      <c r="H28" s="91"/>
    </row>
    <row r="29" spans="1:13">
      <c r="A29" s="91" t="s">
        <v>304</v>
      </c>
      <c r="B29" s="91"/>
      <c r="C29" s="91"/>
      <c r="D29" s="91"/>
      <c r="E29" s="91"/>
      <c r="F29" s="91"/>
      <c r="G29" s="116"/>
      <c r="H29" s="91"/>
    </row>
    <row r="30" spans="1:13">
      <c r="A30" s="90" t="s">
        <v>305</v>
      </c>
      <c r="G30" s="11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3D515-78C8-4DE0-A85A-79464D453146}">
  <sheetPr>
    <tabColor rgb="FF0070C0"/>
  </sheetPr>
  <dimension ref="A1:J24"/>
  <sheetViews>
    <sheetView topLeftCell="A3" workbookViewId="0">
      <selection activeCell="H18" sqref="H18"/>
    </sheetView>
  </sheetViews>
  <sheetFormatPr defaultColWidth="9" defaultRowHeight="14.4"/>
  <cols>
    <col min="1" max="1" width="21.109375" style="90" customWidth="1"/>
    <col min="2" max="6" width="9" style="90"/>
    <col min="7" max="7" width="8.109375" style="90" customWidth="1"/>
    <col min="8" max="8" width="14.77734375" style="90" customWidth="1"/>
    <col min="9" max="16384" width="9" style="90"/>
  </cols>
  <sheetData>
    <row r="1" spans="1:10" ht="20.399999999999999">
      <c r="A1" s="95"/>
      <c r="B1" s="96" t="s">
        <v>149</v>
      </c>
      <c r="C1" s="91"/>
      <c r="D1" s="95"/>
      <c r="E1" s="95"/>
      <c r="F1" s="95"/>
      <c r="G1" s="97"/>
      <c r="H1" s="95"/>
      <c r="J1" s="79"/>
    </row>
    <row r="2" spans="1:10" ht="17.399999999999999">
      <c r="A2" s="98" t="s">
        <v>366</v>
      </c>
      <c r="B2" s="99"/>
      <c r="C2" s="54"/>
      <c r="D2" s="98" t="s">
        <v>263</v>
      </c>
      <c r="E2" s="100"/>
      <c r="F2" s="100"/>
      <c r="G2" s="61"/>
      <c r="H2" s="100"/>
    </row>
    <row r="3" spans="1:10" ht="17.399999999999999">
      <c r="A3" s="101" t="s">
        <v>152</v>
      </c>
      <c r="B3" s="76"/>
      <c r="C3" s="54"/>
      <c r="D3" s="101" t="s">
        <v>367</v>
      </c>
      <c r="E3" s="102"/>
      <c r="F3" s="102"/>
      <c r="G3" s="61"/>
      <c r="H3" s="102"/>
    </row>
    <row r="4" spans="1:10" ht="15.6">
      <c r="A4" s="54" t="s">
        <v>154</v>
      </c>
      <c r="B4" s="54" t="s">
        <v>265</v>
      </c>
      <c r="C4" s="103" t="s">
        <v>156</v>
      </c>
      <c r="D4" s="106"/>
      <c r="E4" s="104" t="s">
        <v>158</v>
      </c>
      <c r="F4" s="104" t="s">
        <v>267</v>
      </c>
      <c r="G4" s="54" t="s">
        <v>268</v>
      </c>
      <c r="H4" s="69" t="s">
        <v>269</v>
      </c>
      <c r="I4" s="90" t="s">
        <v>270</v>
      </c>
    </row>
    <row r="5" spans="1:10" ht="15.6">
      <c r="A5" s="50" t="s">
        <v>162</v>
      </c>
      <c r="B5" s="106"/>
      <c r="C5" s="54">
        <f>100-SUM(C6:C19)</f>
        <v>79.5</v>
      </c>
      <c r="D5" s="138">
        <f t="shared" ref="D5:D10" si="0">C5*$D$20/$C$20</f>
        <v>39.75</v>
      </c>
      <c r="E5" s="108">
        <f>18/4.5</f>
        <v>4</v>
      </c>
      <c r="F5" s="52">
        <f t="shared" ref="F5:F10" si="1">E5/1000*D5</f>
        <v>0.159</v>
      </c>
      <c r="G5" s="69"/>
      <c r="H5" s="69"/>
    </row>
    <row r="6" spans="1:10" ht="15.6">
      <c r="A6" s="77" t="s">
        <v>368</v>
      </c>
      <c r="B6" s="131"/>
      <c r="C6" s="54">
        <v>0</v>
      </c>
      <c r="D6" s="138">
        <f t="shared" si="0"/>
        <v>0</v>
      </c>
      <c r="E6" s="108">
        <v>6200</v>
      </c>
      <c r="F6" s="52">
        <f t="shared" si="1"/>
        <v>0</v>
      </c>
      <c r="G6" s="61"/>
      <c r="H6" s="61" t="s">
        <v>369</v>
      </c>
      <c r="I6" s="90" t="s">
        <v>370</v>
      </c>
    </row>
    <row r="7" spans="1:10" ht="15.6">
      <c r="A7" s="58" t="s">
        <v>164</v>
      </c>
      <c r="B7" s="59"/>
      <c r="C7" s="60">
        <v>0</v>
      </c>
      <c r="D7" s="138">
        <f t="shared" si="0"/>
        <v>0</v>
      </c>
      <c r="E7" s="108">
        <v>50</v>
      </c>
      <c r="F7" s="52">
        <f t="shared" si="1"/>
        <v>0</v>
      </c>
      <c r="G7" s="83" t="s">
        <v>163</v>
      </c>
      <c r="H7" s="61" t="s">
        <v>165</v>
      </c>
      <c r="I7" s="90" t="s">
        <v>273</v>
      </c>
    </row>
    <row r="8" spans="1:10" ht="15.6">
      <c r="A8" s="58" t="s">
        <v>371</v>
      </c>
      <c r="B8" s="120">
        <v>0.02</v>
      </c>
      <c r="C8" s="60">
        <v>0</v>
      </c>
      <c r="D8" s="138">
        <f t="shared" si="0"/>
        <v>0</v>
      </c>
      <c r="E8" s="108">
        <v>850</v>
      </c>
      <c r="F8" s="52">
        <f t="shared" si="1"/>
        <v>0</v>
      </c>
      <c r="G8" s="61"/>
      <c r="H8" s="69" t="s">
        <v>313</v>
      </c>
      <c r="I8" s="90" t="s">
        <v>280</v>
      </c>
    </row>
    <row r="9" spans="1:10" ht="15.6">
      <c r="A9" s="58" t="s">
        <v>298</v>
      </c>
      <c r="B9" s="109"/>
      <c r="C9" s="60">
        <v>0</v>
      </c>
      <c r="D9" s="138">
        <f t="shared" si="0"/>
        <v>0</v>
      </c>
      <c r="E9" s="108">
        <v>1500</v>
      </c>
      <c r="F9" s="52">
        <f t="shared" si="1"/>
        <v>0</v>
      </c>
      <c r="G9" s="61"/>
      <c r="H9" s="61" t="s">
        <v>372</v>
      </c>
      <c r="I9" s="90" t="s">
        <v>280</v>
      </c>
    </row>
    <row r="10" spans="1:10" ht="15.6">
      <c r="A10" s="79" t="s">
        <v>373</v>
      </c>
      <c r="B10" s="109"/>
      <c r="C10" s="60">
        <v>0</v>
      </c>
      <c r="D10" s="138">
        <f t="shared" si="0"/>
        <v>0</v>
      </c>
      <c r="E10" s="108">
        <v>600</v>
      </c>
      <c r="F10" s="52">
        <f t="shared" si="1"/>
        <v>0</v>
      </c>
      <c r="G10" s="61"/>
      <c r="H10" s="61" t="s">
        <v>209</v>
      </c>
      <c r="I10" s="90" t="s">
        <v>280</v>
      </c>
    </row>
    <row r="11" spans="1:10" ht="15.6">
      <c r="A11" s="50" t="s">
        <v>374</v>
      </c>
      <c r="B11" s="129">
        <v>0.01</v>
      </c>
      <c r="C11" s="78">
        <v>0</v>
      </c>
      <c r="D11" s="138">
        <f>C11*$D$20/$C$20</f>
        <v>0</v>
      </c>
      <c r="E11" s="51">
        <v>230</v>
      </c>
      <c r="F11" s="52">
        <f>E11/1000*D11</f>
        <v>0</v>
      </c>
      <c r="G11" s="61"/>
      <c r="H11" s="61" t="s">
        <v>375</v>
      </c>
      <c r="I11" s="90" t="s">
        <v>370</v>
      </c>
    </row>
    <row r="12" spans="1:10" ht="15.6">
      <c r="A12" s="94" t="s">
        <v>89</v>
      </c>
      <c r="B12" s="129" t="s">
        <v>376</v>
      </c>
      <c r="C12" s="78">
        <v>20</v>
      </c>
      <c r="D12" s="138">
        <f t="shared" ref="D12:D19" si="2">C12*$D$20/$C$20</f>
        <v>10</v>
      </c>
      <c r="E12" s="51">
        <f>EN!F5*7</f>
        <v>201.81</v>
      </c>
      <c r="F12" s="52">
        <f t="shared" ref="F12:F19" si="3">E12/1000*D12</f>
        <v>2.0181</v>
      </c>
      <c r="G12" s="61"/>
      <c r="H12" s="61" t="s">
        <v>375</v>
      </c>
      <c r="I12" s="90" t="s">
        <v>370</v>
      </c>
    </row>
    <row r="13" spans="1:10" ht="15.6">
      <c r="A13" s="50" t="s">
        <v>377</v>
      </c>
      <c r="B13" s="129" t="s">
        <v>378</v>
      </c>
      <c r="C13" s="78">
        <v>0</v>
      </c>
      <c r="D13" s="138">
        <f t="shared" si="2"/>
        <v>0</v>
      </c>
      <c r="E13" s="51">
        <f>8000*0.074</f>
        <v>592</v>
      </c>
      <c r="F13" s="52">
        <f t="shared" si="3"/>
        <v>0</v>
      </c>
      <c r="G13" s="61"/>
      <c r="H13" s="61"/>
    </row>
    <row r="14" spans="1:10" ht="15.6">
      <c r="A14" s="50" t="s">
        <v>379</v>
      </c>
      <c r="B14" s="129" t="s">
        <v>380</v>
      </c>
      <c r="C14" s="78">
        <v>0</v>
      </c>
      <c r="D14" s="138">
        <f t="shared" si="2"/>
        <v>0</v>
      </c>
      <c r="E14" s="51">
        <v>6000</v>
      </c>
      <c r="F14" s="52">
        <f t="shared" si="3"/>
        <v>0</v>
      </c>
      <c r="G14" s="61"/>
      <c r="H14" s="61" t="s">
        <v>375</v>
      </c>
      <c r="I14" s="90" t="s">
        <v>370</v>
      </c>
    </row>
    <row r="15" spans="1:10" ht="15.6">
      <c r="A15" s="50" t="s">
        <v>381</v>
      </c>
      <c r="B15" s="109"/>
      <c r="C15" s="54">
        <v>0</v>
      </c>
      <c r="D15" s="138">
        <f t="shared" si="2"/>
        <v>0</v>
      </c>
      <c r="E15" s="108">
        <v>350</v>
      </c>
      <c r="F15" s="52">
        <f t="shared" si="3"/>
        <v>0</v>
      </c>
      <c r="G15" s="61"/>
      <c r="H15" s="83" t="s">
        <v>331</v>
      </c>
      <c r="I15" s="90" t="s">
        <v>340</v>
      </c>
    </row>
    <row r="16" spans="1:10" ht="15.6">
      <c r="A16" s="77">
        <v>9010</v>
      </c>
      <c r="B16" s="84"/>
      <c r="C16" s="66">
        <v>0.5</v>
      </c>
      <c r="D16" s="138">
        <f t="shared" si="2"/>
        <v>0.25</v>
      </c>
      <c r="E16" s="108">
        <v>200</v>
      </c>
      <c r="F16" s="52">
        <f t="shared" si="3"/>
        <v>0.05</v>
      </c>
      <c r="G16" s="69" t="s">
        <v>193</v>
      </c>
      <c r="H16" s="69" t="s">
        <v>221</v>
      </c>
      <c r="I16" s="90" t="s">
        <v>288</v>
      </c>
    </row>
    <row r="17" spans="1:9" ht="15.6">
      <c r="A17" s="77" t="s">
        <v>334</v>
      </c>
      <c r="B17" s="84"/>
      <c r="C17" s="66">
        <v>0</v>
      </c>
      <c r="D17" s="138">
        <f t="shared" si="2"/>
        <v>0</v>
      </c>
      <c r="E17" s="108">
        <v>200</v>
      </c>
      <c r="F17" s="52">
        <f t="shared" si="3"/>
        <v>0</v>
      </c>
      <c r="G17" s="61"/>
      <c r="H17" s="61" t="s">
        <v>350</v>
      </c>
      <c r="I17" s="90" t="s">
        <v>280</v>
      </c>
    </row>
    <row r="18" spans="1:9" ht="15.6">
      <c r="A18" s="77" t="s">
        <v>300</v>
      </c>
      <c r="B18" s="84"/>
      <c r="C18" s="66">
        <v>0</v>
      </c>
      <c r="D18" s="138">
        <f t="shared" si="2"/>
        <v>0</v>
      </c>
      <c r="E18" s="108">
        <v>400</v>
      </c>
      <c r="F18" s="52">
        <f t="shared" si="3"/>
        <v>0</v>
      </c>
      <c r="G18" s="61"/>
      <c r="H18" s="61"/>
    </row>
    <row r="19" spans="1:9" ht="15.6">
      <c r="A19" s="77" t="s">
        <v>382</v>
      </c>
      <c r="B19" s="84"/>
      <c r="C19" s="66">
        <v>0</v>
      </c>
      <c r="D19" s="138">
        <f t="shared" si="2"/>
        <v>0</v>
      </c>
      <c r="E19" s="108">
        <v>4500</v>
      </c>
      <c r="F19" s="52">
        <f t="shared" si="3"/>
        <v>0</v>
      </c>
      <c r="G19" s="83"/>
      <c r="H19" s="83" t="s">
        <v>333</v>
      </c>
      <c r="I19" s="90" t="s">
        <v>383</v>
      </c>
    </row>
    <row r="20" spans="1:9" ht="15.6">
      <c r="A20" s="115"/>
      <c r="B20" s="115"/>
      <c r="C20" s="54">
        <f>SUM(C5:C19)</f>
        <v>100</v>
      </c>
      <c r="D20" s="54">
        <v>50</v>
      </c>
      <c r="E20" s="115"/>
      <c r="F20" s="115">
        <f>SUM(F5:F19)</f>
        <v>2.2270999999999996</v>
      </c>
      <c r="G20" s="83"/>
      <c r="H20" s="67">
        <f>F20*0.1</f>
        <v>0.22270999999999996</v>
      </c>
    </row>
    <row r="21" spans="1:9" ht="15.6">
      <c r="A21" s="91"/>
      <c r="B21" s="91"/>
      <c r="C21" s="91"/>
      <c r="D21" s="91"/>
      <c r="E21" s="91"/>
      <c r="F21" s="91"/>
      <c r="G21" s="116"/>
      <c r="H21" s="87" t="s">
        <v>384</v>
      </c>
    </row>
    <row r="22" spans="1:9" ht="15.6">
      <c r="A22" s="89" t="s">
        <v>303</v>
      </c>
      <c r="B22" s="117"/>
      <c r="C22" s="116"/>
      <c r="D22" s="118"/>
      <c r="E22" s="91"/>
      <c r="F22" s="91"/>
      <c r="G22" s="116"/>
      <c r="H22" s="91"/>
    </row>
    <row r="23" spans="1:9">
      <c r="A23" s="91" t="s">
        <v>304</v>
      </c>
      <c r="B23" s="91"/>
      <c r="C23" s="91"/>
      <c r="D23" s="91"/>
      <c r="E23" s="91"/>
      <c r="F23" s="91"/>
      <c r="G23" s="116"/>
      <c r="H23" s="91"/>
    </row>
    <row r="24" spans="1:9">
      <c r="A24" s="90" t="s">
        <v>305</v>
      </c>
      <c r="G24" s="11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D2DE2-1521-43A9-8DC6-C682F945CC70}">
  <sheetPr>
    <tabColor rgb="FF0070C0"/>
  </sheetPr>
  <dimension ref="A1:J24"/>
  <sheetViews>
    <sheetView topLeftCell="A3" workbookViewId="0">
      <selection activeCell="D20" sqref="D20"/>
    </sheetView>
  </sheetViews>
  <sheetFormatPr defaultColWidth="9" defaultRowHeight="14.4"/>
  <cols>
    <col min="1" max="1" width="21.109375" style="90" customWidth="1"/>
    <col min="2" max="6" width="9" style="90"/>
    <col min="7" max="7" width="8.109375" style="90" customWidth="1"/>
    <col min="8" max="8" width="14.77734375" style="90" customWidth="1"/>
    <col min="9" max="16384" width="9" style="90"/>
  </cols>
  <sheetData>
    <row r="1" spans="1:10" ht="20.399999999999999">
      <c r="A1" s="95"/>
      <c r="B1" s="96" t="s">
        <v>149</v>
      </c>
      <c r="C1" s="91"/>
      <c r="D1" s="95"/>
      <c r="E1" s="95"/>
      <c r="F1" s="95"/>
      <c r="G1" s="97"/>
      <c r="H1" s="95"/>
      <c r="J1" s="79"/>
    </row>
    <row r="2" spans="1:10" ht="17.399999999999999">
      <c r="A2" s="98" t="s">
        <v>366</v>
      </c>
      <c r="B2" s="99"/>
      <c r="C2" s="54"/>
      <c r="D2" s="98" t="s">
        <v>263</v>
      </c>
      <c r="E2" s="100"/>
      <c r="F2" s="100"/>
      <c r="G2" s="61"/>
      <c r="H2" s="100"/>
    </row>
    <row r="3" spans="1:10" ht="17.399999999999999">
      <c r="A3" s="101" t="s">
        <v>152</v>
      </c>
      <c r="B3" s="76"/>
      <c r="C3" s="54"/>
      <c r="D3" s="101" t="s">
        <v>367</v>
      </c>
      <c r="E3" s="102"/>
      <c r="F3" s="102"/>
      <c r="G3" s="61"/>
      <c r="H3" s="102"/>
    </row>
    <row r="4" spans="1:10" ht="15.6">
      <c r="A4" s="54" t="s">
        <v>154</v>
      </c>
      <c r="B4" s="54" t="s">
        <v>265</v>
      </c>
      <c r="C4" s="103" t="s">
        <v>156</v>
      </c>
      <c r="D4" s="106"/>
      <c r="E4" s="104" t="s">
        <v>158</v>
      </c>
      <c r="F4" s="104" t="s">
        <v>267</v>
      </c>
      <c r="G4" s="54" t="s">
        <v>268</v>
      </c>
      <c r="H4" s="69" t="s">
        <v>269</v>
      </c>
      <c r="I4" s="90" t="s">
        <v>270</v>
      </c>
    </row>
    <row r="5" spans="1:10" ht="15.6">
      <c r="A5" s="50" t="s">
        <v>162</v>
      </c>
      <c r="B5" s="106"/>
      <c r="C5" s="54">
        <f>100-SUM(C6:C19)</f>
        <v>89.5</v>
      </c>
      <c r="D5" s="138">
        <f t="shared" ref="D5:D10" si="0">C5*$D$20/$C$20</f>
        <v>44.75</v>
      </c>
      <c r="E5" s="108">
        <f>18/4.5</f>
        <v>4</v>
      </c>
      <c r="F5" s="52">
        <f t="shared" ref="F5:F10" si="1">E5/1000*D5</f>
        <v>0.17899999999999999</v>
      </c>
      <c r="G5" s="69"/>
      <c r="H5" s="69"/>
    </row>
    <row r="6" spans="1:10" ht="15.6">
      <c r="A6" s="77" t="s">
        <v>368</v>
      </c>
      <c r="B6" s="131"/>
      <c r="C6" s="54">
        <v>0</v>
      </c>
      <c r="D6" s="138">
        <f t="shared" si="0"/>
        <v>0</v>
      </c>
      <c r="E6" s="108">
        <v>6200</v>
      </c>
      <c r="F6" s="52">
        <f t="shared" si="1"/>
        <v>0</v>
      </c>
      <c r="G6" s="61"/>
      <c r="H6" s="61" t="s">
        <v>369</v>
      </c>
      <c r="I6" s="90" t="s">
        <v>370</v>
      </c>
    </row>
    <row r="7" spans="1:10" ht="15.6">
      <c r="A7" s="58" t="s">
        <v>164</v>
      </c>
      <c r="B7" s="59"/>
      <c r="C7" s="60">
        <v>0</v>
      </c>
      <c r="D7" s="138">
        <f t="shared" si="0"/>
        <v>0</v>
      </c>
      <c r="E7" s="108">
        <v>50</v>
      </c>
      <c r="F7" s="52">
        <f t="shared" si="1"/>
        <v>0</v>
      </c>
      <c r="G7" s="83" t="s">
        <v>163</v>
      </c>
      <c r="H7" s="61" t="s">
        <v>165</v>
      </c>
      <c r="I7" s="90" t="s">
        <v>273</v>
      </c>
    </row>
    <row r="8" spans="1:10" ht="15.6">
      <c r="A8" s="58" t="s">
        <v>371</v>
      </c>
      <c r="B8" s="120">
        <v>0.02</v>
      </c>
      <c r="C8" s="60">
        <v>0</v>
      </c>
      <c r="D8" s="138">
        <f t="shared" si="0"/>
        <v>0</v>
      </c>
      <c r="E8" s="108">
        <v>850</v>
      </c>
      <c r="F8" s="52">
        <f t="shared" si="1"/>
        <v>0</v>
      </c>
      <c r="G8" s="61"/>
      <c r="H8" s="69" t="s">
        <v>313</v>
      </c>
      <c r="I8" s="90" t="s">
        <v>280</v>
      </c>
    </row>
    <row r="9" spans="1:10" ht="15.6">
      <c r="A9" s="58" t="s">
        <v>298</v>
      </c>
      <c r="B9" s="109"/>
      <c r="C9" s="60">
        <v>0</v>
      </c>
      <c r="D9" s="138">
        <f t="shared" si="0"/>
        <v>0</v>
      </c>
      <c r="E9" s="108">
        <v>1500</v>
      </c>
      <c r="F9" s="52">
        <f t="shared" si="1"/>
        <v>0</v>
      </c>
      <c r="G9" s="61"/>
      <c r="H9" s="61" t="s">
        <v>372</v>
      </c>
      <c r="I9" s="90" t="s">
        <v>280</v>
      </c>
    </row>
    <row r="10" spans="1:10" ht="15.6">
      <c r="A10" s="79" t="s">
        <v>373</v>
      </c>
      <c r="B10" s="109"/>
      <c r="C10" s="60">
        <v>0</v>
      </c>
      <c r="D10" s="138">
        <f t="shared" si="0"/>
        <v>0</v>
      </c>
      <c r="E10" s="108">
        <v>600</v>
      </c>
      <c r="F10" s="52">
        <f t="shared" si="1"/>
        <v>0</v>
      </c>
      <c r="G10" s="61"/>
      <c r="H10" s="61" t="s">
        <v>209</v>
      </c>
      <c r="I10" s="90" t="s">
        <v>280</v>
      </c>
    </row>
    <row r="11" spans="1:10" ht="15.6">
      <c r="A11" s="50" t="s">
        <v>374</v>
      </c>
      <c r="B11" s="129">
        <v>0.01</v>
      </c>
      <c r="C11" s="78">
        <v>0</v>
      </c>
      <c r="D11" s="138">
        <f>C11*$D$20/$C$20</f>
        <v>0</v>
      </c>
      <c r="E11" s="51">
        <v>230</v>
      </c>
      <c r="F11" s="52">
        <f>E11/1000*D11</f>
        <v>0</v>
      </c>
      <c r="G11" s="61"/>
      <c r="H11" s="61" t="s">
        <v>375</v>
      </c>
      <c r="I11" s="90" t="s">
        <v>370</v>
      </c>
    </row>
    <row r="12" spans="1:10" ht="15.6">
      <c r="A12" s="94" t="s">
        <v>60</v>
      </c>
      <c r="B12" s="129" t="s">
        <v>376</v>
      </c>
      <c r="C12" s="78">
        <v>10</v>
      </c>
      <c r="D12" s="138">
        <f t="shared" ref="D12:D19" si="2">C12*$D$20/$C$20</f>
        <v>5</v>
      </c>
      <c r="E12" s="51">
        <f>EN!F3*7</f>
        <v>665.77</v>
      </c>
      <c r="F12" s="52">
        <f t="shared" ref="F12:F19" si="3">E12/1000*D12</f>
        <v>3.3288500000000001</v>
      </c>
      <c r="G12" s="61"/>
      <c r="H12" s="61" t="s">
        <v>375</v>
      </c>
      <c r="I12" s="90" t="s">
        <v>370</v>
      </c>
    </row>
    <row r="13" spans="1:10" ht="15.6">
      <c r="A13" s="50" t="s">
        <v>377</v>
      </c>
      <c r="B13" s="129" t="s">
        <v>378</v>
      </c>
      <c r="C13" s="78">
        <v>0</v>
      </c>
      <c r="D13" s="138">
        <f t="shared" si="2"/>
        <v>0</v>
      </c>
      <c r="E13" s="51">
        <f>8000*0.074</f>
        <v>592</v>
      </c>
      <c r="F13" s="52">
        <f t="shared" si="3"/>
        <v>0</v>
      </c>
      <c r="G13" s="61"/>
      <c r="H13" s="61"/>
    </row>
    <row r="14" spans="1:10" ht="15.6">
      <c r="A14" s="50" t="s">
        <v>379</v>
      </c>
      <c r="B14" s="129" t="s">
        <v>380</v>
      </c>
      <c r="C14" s="78">
        <v>0</v>
      </c>
      <c r="D14" s="138">
        <f t="shared" si="2"/>
        <v>0</v>
      </c>
      <c r="E14" s="51">
        <v>6000</v>
      </c>
      <c r="F14" s="52">
        <f t="shared" si="3"/>
        <v>0</v>
      </c>
      <c r="G14" s="61"/>
      <c r="H14" s="61" t="s">
        <v>375</v>
      </c>
      <c r="I14" s="90" t="s">
        <v>370</v>
      </c>
    </row>
    <row r="15" spans="1:10" ht="15.6">
      <c r="A15" s="50" t="s">
        <v>381</v>
      </c>
      <c r="B15" s="109"/>
      <c r="C15" s="54">
        <v>0</v>
      </c>
      <c r="D15" s="138">
        <f t="shared" si="2"/>
        <v>0</v>
      </c>
      <c r="E15" s="108">
        <v>350</v>
      </c>
      <c r="F15" s="52">
        <f t="shared" si="3"/>
        <v>0</v>
      </c>
      <c r="G15" s="61"/>
      <c r="H15" s="83" t="s">
        <v>331</v>
      </c>
      <c r="I15" s="90" t="s">
        <v>340</v>
      </c>
    </row>
    <row r="16" spans="1:10" ht="15.6">
      <c r="A16" s="77">
        <v>9010</v>
      </c>
      <c r="B16" s="84"/>
      <c r="C16" s="66">
        <v>0.5</v>
      </c>
      <c r="D16" s="138">
        <f t="shared" si="2"/>
        <v>0.25</v>
      </c>
      <c r="E16" s="108">
        <v>200</v>
      </c>
      <c r="F16" s="52">
        <f t="shared" si="3"/>
        <v>0.05</v>
      </c>
      <c r="G16" s="69" t="s">
        <v>193</v>
      </c>
      <c r="H16" s="69" t="s">
        <v>221</v>
      </c>
      <c r="I16" s="90" t="s">
        <v>288</v>
      </c>
    </row>
    <row r="17" spans="1:9" ht="15.6">
      <c r="A17" s="77" t="s">
        <v>334</v>
      </c>
      <c r="B17" s="84"/>
      <c r="C17" s="66">
        <v>0</v>
      </c>
      <c r="D17" s="138">
        <f t="shared" si="2"/>
        <v>0</v>
      </c>
      <c r="E17" s="108">
        <v>200</v>
      </c>
      <c r="F17" s="52">
        <f t="shared" si="3"/>
        <v>0</v>
      </c>
      <c r="G17" s="61"/>
      <c r="H17" s="61" t="s">
        <v>350</v>
      </c>
      <c r="I17" s="90" t="s">
        <v>280</v>
      </c>
    </row>
    <row r="18" spans="1:9" ht="15.6">
      <c r="A18" s="77" t="s">
        <v>300</v>
      </c>
      <c r="B18" s="84"/>
      <c r="C18" s="66">
        <v>0</v>
      </c>
      <c r="D18" s="138">
        <f t="shared" si="2"/>
        <v>0</v>
      </c>
      <c r="E18" s="108">
        <v>400</v>
      </c>
      <c r="F18" s="52">
        <f t="shared" si="3"/>
        <v>0</v>
      </c>
      <c r="G18" s="61"/>
      <c r="H18" s="61"/>
    </row>
    <row r="19" spans="1:9" ht="15.6">
      <c r="A19" s="77" t="s">
        <v>382</v>
      </c>
      <c r="B19" s="84"/>
      <c r="C19" s="66">
        <v>0</v>
      </c>
      <c r="D19" s="138">
        <f t="shared" si="2"/>
        <v>0</v>
      </c>
      <c r="E19" s="108">
        <v>4500</v>
      </c>
      <c r="F19" s="52">
        <f t="shared" si="3"/>
        <v>0</v>
      </c>
      <c r="G19" s="83"/>
      <c r="H19" s="83" t="s">
        <v>333</v>
      </c>
      <c r="I19" s="90" t="s">
        <v>383</v>
      </c>
    </row>
    <row r="20" spans="1:9" ht="15.6">
      <c r="A20" s="115"/>
      <c r="B20" s="115"/>
      <c r="C20" s="54">
        <f>SUM(C5:C19)</f>
        <v>100</v>
      </c>
      <c r="D20" s="54">
        <v>50</v>
      </c>
      <c r="E20" s="115"/>
      <c r="F20" s="115">
        <f>SUM(F5:F19)</f>
        <v>3.5578499999999997</v>
      </c>
      <c r="G20" s="83"/>
      <c r="H20" s="67">
        <f>F20*0.1</f>
        <v>0.35578500000000002</v>
      </c>
    </row>
    <row r="21" spans="1:9" ht="15.6">
      <c r="A21" s="91"/>
      <c r="B21" s="91"/>
      <c r="C21" s="91"/>
      <c r="D21" s="91"/>
      <c r="E21" s="91"/>
      <c r="F21" s="91"/>
      <c r="G21" s="116"/>
      <c r="H21" s="87" t="s">
        <v>384</v>
      </c>
    </row>
    <row r="22" spans="1:9" ht="15.6">
      <c r="A22" s="89" t="s">
        <v>303</v>
      </c>
      <c r="B22" s="117"/>
      <c r="C22" s="116"/>
      <c r="D22" s="118"/>
      <c r="E22" s="91"/>
      <c r="F22" s="91"/>
      <c r="G22" s="116"/>
      <c r="H22" s="91"/>
    </row>
    <row r="23" spans="1:9">
      <c r="A23" s="91" t="s">
        <v>304</v>
      </c>
      <c r="B23" s="91"/>
      <c r="C23" s="91"/>
      <c r="D23" s="91"/>
      <c r="E23" s="91"/>
      <c r="F23" s="91"/>
      <c r="G23" s="116"/>
      <c r="H23" s="91"/>
    </row>
    <row r="24" spans="1:9">
      <c r="A24" s="90" t="s">
        <v>305</v>
      </c>
      <c r="G24" s="1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ECC0D-A2B9-40B7-A177-FAFE8D61C8B2}">
  <dimension ref="A1:P20"/>
  <sheetViews>
    <sheetView workbookViewId="0">
      <selection activeCell="E17" sqref="E17"/>
    </sheetView>
  </sheetViews>
  <sheetFormatPr defaultRowHeight="14.4"/>
  <cols>
    <col min="1" max="1" width="17.21875" bestFit="1" customWidth="1"/>
    <col min="3" max="3" width="21.21875" bestFit="1" customWidth="1"/>
    <col min="5" max="5" width="20.21875" bestFit="1" customWidth="1"/>
    <col min="6" max="6" width="22.77734375" customWidth="1"/>
    <col min="7" max="7" width="17.109375" bestFit="1" customWidth="1"/>
    <col min="8" max="8" width="15.21875" customWidth="1"/>
    <col min="9" max="9" width="20.21875" customWidth="1"/>
  </cols>
  <sheetData>
    <row r="1" spans="1:10">
      <c r="C1" t="s">
        <v>242</v>
      </c>
      <c r="E1" t="s">
        <v>242</v>
      </c>
      <c r="F1" t="s">
        <v>256</v>
      </c>
      <c r="G1" t="s">
        <v>253</v>
      </c>
      <c r="H1" t="s">
        <v>254</v>
      </c>
      <c r="I1" t="s">
        <v>258</v>
      </c>
      <c r="J1" t="s">
        <v>260</v>
      </c>
    </row>
    <row r="2" spans="1:10">
      <c r="C2" t="s">
        <v>148</v>
      </c>
      <c r="E2" t="s">
        <v>148</v>
      </c>
      <c r="F2" t="s">
        <v>249</v>
      </c>
      <c r="I2" t="s">
        <v>259</v>
      </c>
      <c r="J2" t="s">
        <v>261</v>
      </c>
    </row>
    <row r="3" spans="1:10">
      <c r="C3" t="s">
        <v>240</v>
      </c>
      <c r="E3" t="s">
        <v>240</v>
      </c>
      <c r="F3" t="s">
        <v>239</v>
      </c>
      <c r="G3" t="s">
        <v>237</v>
      </c>
      <c r="H3" t="s">
        <v>255</v>
      </c>
      <c r="I3" t="s">
        <v>257</v>
      </c>
      <c r="J3" t="s">
        <v>241</v>
      </c>
    </row>
    <row r="4" spans="1:10">
      <c r="A4" t="s">
        <v>230</v>
      </c>
      <c r="C4">
        <v>8</v>
      </c>
      <c r="E4">
        <v>90</v>
      </c>
      <c r="F4">
        <v>9</v>
      </c>
    </row>
    <row r="5" spans="1:10">
      <c r="A5" t="s">
        <v>145</v>
      </c>
      <c r="B5" t="s">
        <v>146</v>
      </c>
      <c r="C5">
        <v>0.26</v>
      </c>
      <c r="D5" t="s">
        <v>248</v>
      </c>
      <c r="E5">
        <v>0.26</v>
      </c>
    </row>
    <row r="6" spans="1:10">
      <c r="A6" t="s">
        <v>236</v>
      </c>
      <c r="C6">
        <v>0</v>
      </c>
      <c r="E6">
        <v>0</v>
      </c>
    </row>
    <row r="7" spans="1:10">
      <c r="A7" t="s">
        <v>147</v>
      </c>
      <c r="C7">
        <v>0.7</v>
      </c>
      <c r="E7">
        <v>1.5</v>
      </c>
    </row>
    <row r="8" spans="1:10">
      <c r="A8" t="s">
        <v>228</v>
      </c>
      <c r="C8" s="93">
        <f>Niacin!F39/7.8</f>
        <v>0.5250700854700856</v>
      </c>
      <c r="E8" s="93">
        <f>Niacin!F39</f>
        <v>4.0955466666666673</v>
      </c>
    </row>
    <row r="9" spans="1:10">
      <c r="A9" t="s">
        <v>229</v>
      </c>
      <c r="C9">
        <f>EN!F27*3/1000</f>
        <v>0.47025</v>
      </c>
      <c r="E9">
        <f>EN!F27*3/1000*7</f>
        <v>3.29175</v>
      </c>
    </row>
    <row r="10" spans="1:10">
      <c r="A10" t="s">
        <v>144</v>
      </c>
      <c r="C10">
        <v>0.3</v>
      </c>
      <c r="E10">
        <v>0.3</v>
      </c>
    </row>
    <row r="11" spans="1:10">
      <c r="A11" t="s">
        <v>234</v>
      </c>
      <c r="C11">
        <v>0.2</v>
      </c>
      <c r="E11">
        <v>0.2</v>
      </c>
    </row>
    <row r="12" spans="1:10">
      <c r="A12" t="s">
        <v>232</v>
      </c>
      <c r="B12" s="92">
        <v>0.5</v>
      </c>
      <c r="C12">
        <v>0.5</v>
      </c>
      <c r="D12" s="92"/>
      <c r="E12">
        <v>0.5</v>
      </c>
    </row>
    <row r="13" spans="1:10">
      <c r="A13" t="s">
        <v>231</v>
      </c>
      <c r="C13">
        <f>SUM(C5:C12)</f>
        <v>2.9553200854700856</v>
      </c>
      <c r="E13">
        <f>SUM(E5:E12)</f>
        <v>10.147296666666668</v>
      </c>
    </row>
    <row r="14" spans="1:10">
      <c r="A14" t="s">
        <v>235</v>
      </c>
    </row>
    <row r="16" spans="1:10">
      <c r="A16" t="s">
        <v>243</v>
      </c>
    </row>
    <row r="17" spans="1:16">
      <c r="A17" t="s">
        <v>244</v>
      </c>
      <c r="C17">
        <v>1</v>
      </c>
      <c r="E17">
        <v>1</v>
      </c>
    </row>
    <row r="18" spans="1:16">
      <c r="A18" t="s">
        <v>245</v>
      </c>
      <c r="C18">
        <v>2</v>
      </c>
      <c r="E18">
        <v>2</v>
      </c>
    </row>
    <row r="19" spans="1:16">
      <c r="A19" t="s">
        <v>246</v>
      </c>
    </row>
    <row r="20" spans="1:16">
      <c r="C20" t="s">
        <v>233</v>
      </c>
      <c r="E20" t="s">
        <v>233</v>
      </c>
      <c r="P20" t="s">
        <v>193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CD7F4-88D1-4428-B415-49286E9A236B}">
  <sheetPr>
    <tabColor theme="9"/>
  </sheetPr>
  <dimension ref="A1:M44"/>
  <sheetViews>
    <sheetView workbookViewId="0">
      <selection activeCell="O25" sqref="O25"/>
    </sheetView>
  </sheetViews>
  <sheetFormatPr defaultRowHeight="14.4"/>
  <cols>
    <col min="1" max="1" width="33.77734375" customWidth="1"/>
    <col min="8" max="8" width="21.33203125" customWidth="1"/>
    <col min="10" max="13" width="0" hidden="1" customWidth="1"/>
  </cols>
  <sheetData>
    <row r="1" spans="1:13" ht="20.399999999999999">
      <c r="A1" s="40"/>
      <c r="B1" s="41" t="s">
        <v>149</v>
      </c>
      <c r="C1" s="42"/>
      <c r="D1" s="40"/>
      <c r="E1" s="40"/>
      <c r="F1" s="40"/>
      <c r="G1" s="43"/>
      <c r="H1" s="40"/>
    </row>
    <row r="2" spans="1:13" ht="18">
      <c r="A2" s="44" t="s">
        <v>150</v>
      </c>
      <c r="B2" s="44"/>
      <c r="C2" s="44"/>
      <c r="D2" s="44" t="s">
        <v>151</v>
      </c>
      <c r="E2" s="40"/>
      <c r="F2" s="40"/>
      <c r="G2" s="43"/>
      <c r="H2" s="40"/>
    </row>
    <row r="3" spans="1:13" ht="18">
      <c r="A3" s="44" t="s">
        <v>152</v>
      </c>
      <c r="B3" s="45"/>
      <c r="C3" s="46"/>
      <c r="D3" s="44" t="s">
        <v>153</v>
      </c>
      <c r="E3" s="40"/>
      <c r="F3" s="40"/>
      <c r="G3" s="43"/>
      <c r="H3" s="40"/>
    </row>
    <row r="4" spans="1:13" ht="15.6">
      <c r="A4" s="47" t="s">
        <v>154</v>
      </c>
      <c r="B4" s="47" t="s">
        <v>155</v>
      </c>
      <c r="C4" s="48" t="s">
        <v>156</v>
      </c>
      <c r="D4" s="48" t="s">
        <v>157</v>
      </c>
      <c r="E4" s="48" t="s">
        <v>158</v>
      </c>
      <c r="F4" s="48" t="s">
        <v>159</v>
      </c>
      <c r="G4" s="48" t="s">
        <v>160</v>
      </c>
      <c r="H4" s="49" t="s">
        <v>161</v>
      </c>
    </row>
    <row r="5" spans="1:13" ht="16.2">
      <c r="A5" s="50" t="s">
        <v>162</v>
      </c>
      <c r="B5" s="51"/>
      <c r="C5" s="47">
        <f>100-SUM(C6:C38)</f>
        <v>81.55</v>
      </c>
      <c r="D5" s="51">
        <f>C5*$D$39/$C$39</f>
        <v>24.465</v>
      </c>
      <c r="E5" s="51">
        <f>19/4.5</f>
        <v>4.2222222222222223</v>
      </c>
      <c r="F5" s="52">
        <f>E5/1000*D5</f>
        <v>0.10329666666666668</v>
      </c>
      <c r="G5" s="53" t="s">
        <v>163</v>
      </c>
      <c r="H5" s="54"/>
      <c r="J5" s="55" t="e">
        <f>IF(C5=0," ",VLOOKUP(A5,'[1]AriaMED Formulation - Purespot '!#REF!,12,FALSE))</f>
        <v>#REF!</v>
      </c>
      <c r="K5" s="55" t="e">
        <f>IF(C5=0," ",VLOOKUP(A5,'[1]AriaMED Formulation - Purespot '!#REF!,13,FALSE))</f>
        <v>#REF!</v>
      </c>
      <c r="L5" s="56" t="e">
        <f>IF(C5=0," ",VLOOKUP(A5,'[1]AriaMED Formulation - Purespot '!#REF!,14,FALSE))</f>
        <v>#REF!</v>
      </c>
      <c r="M5" s="57" t="str">
        <f>IFERROR(L5*C5," ")</f>
        <v xml:space="preserve"> </v>
      </c>
    </row>
    <row r="6" spans="1:13" ht="16.2">
      <c r="A6" s="58" t="s">
        <v>164</v>
      </c>
      <c r="B6" s="59"/>
      <c r="C6" s="60">
        <v>4</v>
      </c>
      <c r="D6" s="51">
        <f>C6*$D$39/$C$39</f>
        <v>1.2</v>
      </c>
      <c r="E6" s="51">
        <v>90</v>
      </c>
      <c r="F6" s="52">
        <f>E6/1000*D6</f>
        <v>0.108</v>
      </c>
      <c r="G6" s="53"/>
      <c r="H6" s="61" t="s">
        <v>165</v>
      </c>
      <c r="J6" s="55" t="e">
        <f>IF(C6=0," ",VLOOKUP(A6,'[1]AriaMED Formulation - Purespot '!#REF!,12,FALSE))</f>
        <v>#REF!</v>
      </c>
      <c r="K6" s="55" t="e">
        <f>IF(C6=0," ",VLOOKUP(A6,'[1]AriaMED Formulation - Purespot '!#REF!,13,FALSE))</f>
        <v>#REF!</v>
      </c>
      <c r="L6" s="56" t="e">
        <f>IF(C6=0," ",VLOOKUP(A6,'[1]AriaMED Formulation - Purespot '!#REF!,14,FALSE))</f>
        <v>#REF!</v>
      </c>
      <c r="M6" s="57" t="str">
        <f>IFERROR(L6*C6," ")</f>
        <v xml:space="preserve"> </v>
      </c>
    </row>
    <row r="7" spans="1:13" ht="16.2">
      <c r="A7" s="58" t="s">
        <v>166</v>
      </c>
      <c r="B7" s="59"/>
      <c r="C7" s="60">
        <v>0</v>
      </c>
      <c r="D7" s="51">
        <f t="shared" ref="D7:D38" si="0">C7*$D$39/$C$39</f>
        <v>0</v>
      </c>
      <c r="E7" s="51">
        <v>13000</v>
      </c>
      <c r="F7" s="52">
        <f t="shared" ref="F7:F38" si="1">E7/1000*D7</f>
        <v>0</v>
      </c>
      <c r="G7" s="62" t="s">
        <v>167</v>
      </c>
      <c r="H7" s="61" t="s">
        <v>168</v>
      </c>
    </row>
    <row r="8" spans="1:13" ht="16.2">
      <c r="A8" s="63" t="s">
        <v>169</v>
      </c>
      <c r="B8" s="64"/>
      <c r="C8" s="65">
        <v>0</v>
      </c>
      <c r="D8" s="51">
        <f t="shared" si="0"/>
        <v>0</v>
      </c>
      <c r="E8" s="64">
        <v>700</v>
      </c>
      <c r="F8" s="52">
        <f t="shared" si="1"/>
        <v>0</v>
      </c>
      <c r="G8" s="62"/>
      <c r="H8" s="61" t="s">
        <v>170</v>
      </c>
    </row>
    <row r="9" spans="1:13" ht="16.2">
      <c r="A9" s="63" t="s">
        <v>171</v>
      </c>
      <c r="B9" s="64"/>
      <c r="C9" s="65">
        <v>0.05</v>
      </c>
      <c r="D9" s="51">
        <f t="shared" si="0"/>
        <v>1.4999999999999999E-2</v>
      </c>
      <c r="E9" s="64">
        <v>4500</v>
      </c>
      <c r="F9" s="52">
        <f t="shared" si="1"/>
        <v>6.7500000000000004E-2</v>
      </c>
      <c r="G9" s="62"/>
      <c r="H9" s="61" t="s">
        <v>172</v>
      </c>
      <c r="J9" s="55" t="e">
        <f>IF(C9=0," ",VLOOKUP(A9,'[1]AriaMED Formulation - Purespot '!#REF!,12,FALSE))</f>
        <v>#REF!</v>
      </c>
      <c r="K9" s="55" t="e">
        <f>IF(C9=0," ",VLOOKUP(A9,'[1]AriaMED Formulation - Purespot '!#REF!,13,FALSE))</f>
        <v>#REF!</v>
      </c>
      <c r="L9" s="56" t="e">
        <f>IF(C9=0," ",VLOOKUP(A9,'[1]AriaMED Formulation - Purespot '!#REF!,14,FALSE))</f>
        <v>#REF!</v>
      </c>
      <c r="M9" s="57" t="str">
        <f t="shared" ref="M9:M10" si="2">IFERROR(L9*C9," ")</f>
        <v xml:space="preserve"> </v>
      </c>
    </row>
    <row r="10" spans="1:13" ht="16.2">
      <c r="A10" s="50" t="s">
        <v>173</v>
      </c>
      <c r="B10" s="66"/>
      <c r="C10" s="66">
        <v>0.2</v>
      </c>
      <c r="D10" s="51">
        <f t="shared" si="0"/>
        <v>0.06</v>
      </c>
      <c r="E10" s="51">
        <v>750</v>
      </c>
      <c r="F10" s="52">
        <f t="shared" si="1"/>
        <v>4.4999999999999998E-2</v>
      </c>
      <c r="G10" s="67"/>
      <c r="H10" s="61" t="s">
        <v>174</v>
      </c>
      <c r="J10" s="55" t="e">
        <f>IF(C10=0," ",VLOOKUP(A10,'[1]AriaMED Formulation - Purespot '!#REF!,12,FALSE))</f>
        <v>#REF!</v>
      </c>
      <c r="K10" s="55" t="e">
        <f>IF(C10=0," ",VLOOKUP(A10,'[1]AriaMED Formulation - Purespot '!#REF!,13,FALSE))</f>
        <v>#REF!</v>
      </c>
      <c r="L10" s="56" t="e">
        <f>IF(C10=0," ",VLOOKUP(A10,'[1]AriaMED Formulation - Purespot '!#REF!,14,FALSE))</f>
        <v>#REF!</v>
      </c>
      <c r="M10" s="57" t="str">
        <f t="shared" si="2"/>
        <v xml:space="preserve"> </v>
      </c>
    </row>
    <row r="11" spans="1:13" ht="16.2">
      <c r="A11" s="68" t="s">
        <v>175</v>
      </c>
      <c r="B11" s="59"/>
      <c r="C11" s="66">
        <v>0</v>
      </c>
      <c r="D11" s="51">
        <f t="shared" si="0"/>
        <v>0</v>
      </c>
      <c r="E11" s="51">
        <v>8000</v>
      </c>
      <c r="F11" s="52">
        <f t="shared" si="1"/>
        <v>0</v>
      </c>
      <c r="G11" s="62"/>
      <c r="H11" s="69" t="s">
        <v>176</v>
      </c>
    </row>
    <row r="12" spans="1:13" ht="16.2">
      <c r="A12" s="50" t="s">
        <v>177</v>
      </c>
      <c r="B12" s="59"/>
      <c r="C12" s="47">
        <v>0</v>
      </c>
      <c r="D12" s="51">
        <f t="shared" si="0"/>
        <v>0</v>
      </c>
      <c r="E12" s="51">
        <v>1800</v>
      </c>
      <c r="F12" s="52">
        <f t="shared" si="1"/>
        <v>0</v>
      </c>
      <c r="G12" s="62"/>
      <c r="H12" s="61" t="s">
        <v>178</v>
      </c>
    </row>
    <row r="13" spans="1:13" ht="16.2">
      <c r="A13" s="50" t="s">
        <v>179</v>
      </c>
      <c r="B13" s="59">
        <v>10</v>
      </c>
      <c r="C13" s="66">
        <v>1</v>
      </c>
      <c r="D13" s="51">
        <f t="shared" si="0"/>
        <v>0.3</v>
      </c>
      <c r="E13" s="51">
        <v>230</v>
      </c>
      <c r="F13" s="52">
        <f t="shared" si="1"/>
        <v>6.9000000000000006E-2</v>
      </c>
      <c r="G13" s="62"/>
      <c r="H13" s="61" t="s">
        <v>180</v>
      </c>
      <c r="J13" s="55" t="e">
        <f>IF(C13=0," ",VLOOKUP(A13,'[1]AriaMED Formulation - Purespot '!#REF!,12,FALSE))</f>
        <v>#REF!</v>
      </c>
      <c r="K13" s="55" t="e">
        <f>IF(C13=0," ",VLOOKUP(A13,'[1]AriaMED Formulation - Purespot '!#REF!,13,FALSE))</f>
        <v>#REF!</v>
      </c>
      <c r="L13" s="56" t="e">
        <f>IF(C13=0," ",VLOOKUP(A13,'[1]AriaMED Formulation - Purespot '!#REF!,14,FALSE))</f>
        <v>#REF!</v>
      </c>
      <c r="M13" s="57" t="str">
        <f>IFERROR(L13*C13," ")</f>
        <v xml:space="preserve"> </v>
      </c>
    </row>
    <row r="14" spans="1:13" ht="16.2">
      <c r="A14" s="70" t="s">
        <v>181</v>
      </c>
      <c r="B14" s="59"/>
      <c r="C14" s="66">
        <v>1</v>
      </c>
      <c r="D14" s="51">
        <f t="shared" si="0"/>
        <v>0.3</v>
      </c>
      <c r="E14" s="51">
        <v>850</v>
      </c>
      <c r="F14" s="52">
        <f t="shared" si="1"/>
        <v>0.255</v>
      </c>
      <c r="G14" s="62"/>
      <c r="H14" s="61" t="s">
        <v>165</v>
      </c>
    </row>
    <row r="15" spans="1:13" ht="16.2">
      <c r="A15" s="50" t="s">
        <v>182</v>
      </c>
      <c r="B15" s="59"/>
      <c r="C15" s="66">
        <v>0</v>
      </c>
      <c r="D15" s="51">
        <f t="shared" si="0"/>
        <v>0</v>
      </c>
      <c r="E15" s="51">
        <v>1500</v>
      </c>
      <c r="F15" s="52">
        <f t="shared" si="1"/>
        <v>0</v>
      </c>
      <c r="G15" s="62"/>
      <c r="H15" s="61" t="s">
        <v>183</v>
      </c>
      <c r="J15" s="55" t="str">
        <f>IF(C15=0," ",VLOOKUP(A15,'[1]AriaMED Formulation - Purespot '!#REF!,12,FALSE))</f>
        <v xml:space="preserve"> </v>
      </c>
      <c r="K15" s="55" t="str">
        <f>IF(C15=0," ",VLOOKUP(A15,'[1]AriaMED Formulation - Purespot '!#REF!,13,FALSE))</f>
        <v xml:space="preserve"> </v>
      </c>
      <c r="L15" s="56" t="str">
        <f>IF(C15=0," ",VLOOKUP(A15,'[1]AriaMED Formulation - Purespot '!#REF!,14,FALSE))</f>
        <v xml:space="preserve"> </v>
      </c>
      <c r="M15" s="57" t="str">
        <f t="shared" ref="M15:M16" si="3">IFERROR(L15*C15," ")</f>
        <v xml:space="preserve"> </v>
      </c>
    </row>
    <row r="16" spans="1:13" ht="16.2">
      <c r="A16" s="50" t="s">
        <v>184</v>
      </c>
      <c r="B16" s="59"/>
      <c r="C16" s="66">
        <v>0</v>
      </c>
      <c r="D16" s="51">
        <f t="shared" si="0"/>
        <v>0</v>
      </c>
      <c r="E16" s="51">
        <v>1400</v>
      </c>
      <c r="F16" s="52">
        <f t="shared" si="1"/>
        <v>0</v>
      </c>
      <c r="G16" s="62"/>
      <c r="H16" s="61" t="s">
        <v>185</v>
      </c>
      <c r="J16" s="55" t="str">
        <f>IF(C16=0," ",VLOOKUP(A16,'[1]AriaMED Formulation - Purespot '!#REF!,12,FALSE))</f>
        <v xml:space="preserve"> </v>
      </c>
      <c r="K16" s="55" t="str">
        <f>IF(C16=0," ",VLOOKUP(A16,'[1]AriaMED Formulation - Purespot '!#REF!,13,FALSE))</f>
        <v xml:space="preserve"> </v>
      </c>
      <c r="L16" s="56" t="str">
        <f>IF(C16=0," ",VLOOKUP(A16,'[1]AriaMED Formulation - Purespot '!#REF!,14,FALSE))</f>
        <v xml:space="preserve"> </v>
      </c>
      <c r="M16" s="57" t="str">
        <f t="shared" si="3"/>
        <v xml:space="preserve"> </v>
      </c>
    </row>
    <row r="17" spans="1:13" ht="16.2">
      <c r="A17" s="50" t="s">
        <v>186</v>
      </c>
      <c r="B17" s="51"/>
      <c r="C17" s="47">
        <v>0</v>
      </c>
      <c r="D17" s="51">
        <f t="shared" si="0"/>
        <v>0</v>
      </c>
      <c r="E17" s="51">
        <v>650</v>
      </c>
      <c r="F17" s="52">
        <f t="shared" si="1"/>
        <v>0</v>
      </c>
      <c r="G17" s="62"/>
      <c r="H17" s="61" t="s">
        <v>187</v>
      </c>
    </row>
    <row r="18" spans="1:13" ht="16.2">
      <c r="A18" s="50" t="s">
        <v>188</v>
      </c>
      <c r="B18" s="51"/>
      <c r="C18" s="47">
        <v>0</v>
      </c>
      <c r="D18" s="51">
        <f t="shared" si="0"/>
        <v>0</v>
      </c>
      <c r="E18" s="51">
        <v>400</v>
      </c>
      <c r="F18" s="52">
        <f t="shared" si="1"/>
        <v>0</v>
      </c>
      <c r="G18" s="62"/>
      <c r="H18" s="61" t="s">
        <v>189</v>
      </c>
      <c r="J18" s="55" t="str">
        <f>IF(C18=0," ",VLOOKUP(A18,'[1]AriaMED Formulation - Purespot '!#REF!,12,FALSE))</f>
        <v xml:space="preserve"> </v>
      </c>
      <c r="K18" s="55" t="str">
        <f>IF(C18=0," ",VLOOKUP(A18,'[1]AriaMED Formulation - Purespot '!#REF!,13,FALSE))</f>
        <v xml:space="preserve"> </v>
      </c>
      <c r="L18" s="56" t="str">
        <f>IF(C18=0," ",VLOOKUP(A18,'[1]AriaMED Formulation - Purespot '!#REF!,14,FALSE))</f>
        <v xml:space="preserve"> </v>
      </c>
      <c r="M18" s="57" t="str">
        <f>IFERROR(L18*C18," ")</f>
        <v xml:space="preserve"> </v>
      </c>
    </row>
    <row r="19" spans="1:13" ht="16.2">
      <c r="A19" s="50" t="s">
        <v>190</v>
      </c>
      <c r="B19" s="51"/>
      <c r="C19" s="47">
        <v>1</v>
      </c>
      <c r="D19" s="51">
        <f t="shared" si="0"/>
        <v>0.3</v>
      </c>
      <c r="E19" s="51">
        <v>100</v>
      </c>
      <c r="F19" s="52">
        <f t="shared" si="1"/>
        <v>0.03</v>
      </c>
      <c r="G19" s="62"/>
      <c r="H19" s="61" t="s">
        <v>191</v>
      </c>
    </row>
    <row r="20" spans="1:13" ht="16.2">
      <c r="A20" s="50" t="s">
        <v>192</v>
      </c>
      <c r="B20" s="59"/>
      <c r="C20" s="66">
        <v>0</v>
      </c>
      <c r="D20" s="51">
        <f t="shared" si="0"/>
        <v>0</v>
      </c>
      <c r="E20" s="51">
        <v>250</v>
      </c>
      <c r="F20" s="52">
        <f t="shared" si="1"/>
        <v>0</v>
      </c>
      <c r="G20" s="62" t="s">
        <v>193</v>
      </c>
      <c r="H20" s="61" t="s">
        <v>191</v>
      </c>
      <c r="J20" s="55" t="str">
        <f>IF(C20=0," ",VLOOKUP(A20,'[1]AriaMED Formulation - Purespot '!#REF!,12,FALSE))</f>
        <v xml:space="preserve"> </v>
      </c>
      <c r="K20" s="55" t="str">
        <f>IF(C20=0," ",VLOOKUP(A20,'[1]AriaMED Formulation - Purespot '!#REF!,13,FALSE))</f>
        <v xml:space="preserve"> </v>
      </c>
      <c r="L20" s="56" t="str">
        <f>IF(C20=0," ",VLOOKUP(A20,'[1]AriaMED Formulation - Purespot '!#REF!,14,FALSE))</f>
        <v xml:space="preserve"> </v>
      </c>
      <c r="M20" s="57" t="str">
        <f>IFERROR(L20*C20," ")</f>
        <v xml:space="preserve"> </v>
      </c>
    </row>
    <row r="21" spans="1:13" ht="16.2">
      <c r="A21" s="50" t="s">
        <v>194</v>
      </c>
      <c r="B21" s="59"/>
      <c r="C21" s="66">
        <v>0</v>
      </c>
      <c r="D21" s="51">
        <f t="shared" si="0"/>
        <v>0</v>
      </c>
      <c r="E21" s="51">
        <v>1100</v>
      </c>
      <c r="F21" s="52">
        <f t="shared" si="1"/>
        <v>0</v>
      </c>
      <c r="G21" s="62"/>
      <c r="H21" s="61" t="s">
        <v>195</v>
      </c>
    </row>
    <row r="22" spans="1:13" ht="16.2">
      <c r="A22" s="71" t="s">
        <v>196</v>
      </c>
      <c r="B22" s="72"/>
      <c r="C22" s="66">
        <v>0</v>
      </c>
      <c r="D22" s="51">
        <f t="shared" si="0"/>
        <v>0</v>
      </c>
      <c r="E22" s="51">
        <v>1400</v>
      </c>
      <c r="F22" s="52">
        <f t="shared" si="1"/>
        <v>0</v>
      </c>
      <c r="G22" s="62"/>
      <c r="H22" s="61" t="s">
        <v>197</v>
      </c>
    </row>
    <row r="23" spans="1:13" ht="16.2">
      <c r="A23" s="58" t="s">
        <v>198</v>
      </c>
      <c r="B23" s="73"/>
      <c r="C23" s="74">
        <v>0</v>
      </c>
      <c r="D23" s="51">
        <f t="shared" si="0"/>
        <v>0</v>
      </c>
      <c r="E23" s="73">
        <v>1200</v>
      </c>
      <c r="F23" s="52">
        <f t="shared" si="1"/>
        <v>0</v>
      </c>
      <c r="G23" s="43"/>
      <c r="H23" s="75" t="s">
        <v>199</v>
      </c>
    </row>
    <row r="24" spans="1:13" ht="16.2">
      <c r="A24" s="68" t="s">
        <v>200</v>
      </c>
      <c r="B24" s="76"/>
      <c r="C24" s="54">
        <v>0</v>
      </c>
      <c r="D24" s="51">
        <f t="shared" si="0"/>
        <v>0</v>
      </c>
      <c r="E24" s="51">
        <v>680</v>
      </c>
      <c r="F24" s="52">
        <f t="shared" si="1"/>
        <v>0</v>
      </c>
      <c r="G24" s="43"/>
      <c r="H24" s="61" t="s">
        <v>201</v>
      </c>
    </row>
    <row r="25" spans="1:13" ht="16.2">
      <c r="A25" s="58" t="s">
        <v>202</v>
      </c>
      <c r="B25" s="73"/>
      <c r="C25" s="74">
        <v>0</v>
      </c>
      <c r="D25" s="51">
        <f t="shared" si="0"/>
        <v>0</v>
      </c>
      <c r="E25" s="73">
        <v>3000</v>
      </c>
      <c r="F25" s="52">
        <f t="shared" si="1"/>
        <v>0</v>
      </c>
      <c r="G25" s="43"/>
      <c r="H25" s="75" t="s">
        <v>203</v>
      </c>
    </row>
    <row r="26" spans="1:13" ht="16.2">
      <c r="A26" s="58" t="s">
        <v>204</v>
      </c>
      <c r="B26" s="76"/>
      <c r="C26" s="54">
        <v>0</v>
      </c>
      <c r="D26" s="51">
        <f t="shared" si="0"/>
        <v>0</v>
      </c>
      <c r="E26" s="51">
        <v>1500</v>
      </c>
      <c r="F26" s="52">
        <f t="shared" si="1"/>
        <v>0</v>
      </c>
      <c r="G26" s="43"/>
      <c r="H26" s="61" t="s">
        <v>205</v>
      </c>
    </row>
    <row r="27" spans="1:13" ht="16.2">
      <c r="A27" s="58">
        <v>9832</v>
      </c>
      <c r="B27" s="51"/>
      <c r="C27" s="47">
        <v>0</v>
      </c>
      <c r="D27" s="51">
        <f t="shared" si="0"/>
        <v>0</v>
      </c>
      <c r="E27" s="51">
        <v>2300</v>
      </c>
      <c r="F27" s="52">
        <f t="shared" si="1"/>
        <v>0</v>
      </c>
      <c r="G27" s="43"/>
      <c r="H27" s="61" t="s">
        <v>206</v>
      </c>
    </row>
    <row r="28" spans="1:13" ht="16.2">
      <c r="A28" s="77" t="s">
        <v>207</v>
      </c>
      <c r="B28" s="76"/>
      <c r="C28" s="78">
        <v>0</v>
      </c>
      <c r="D28" s="51">
        <f t="shared" si="0"/>
        <v>0</v>
      </c>
      <c r="E28" s="51">
        <v>700</v>
      </c>
      <c r="F28" s="52">
        <f t="shared" si="1"/>
        <v>0</v>
      </c>
      <c r="G28" s="43"/>
      <c r="H28" s="61" t="s">
        <v>180</v>
      </c>
    </row>
    <row r="29" spans="1:13" ht="16.2">
      <c r="A29" s="79" t="s">
        <v>252</v>
      </c>
      <c r="B29" s="80"/>
      <c r="C29" s="60">
        <v>5</v>
      </c>
      <c r="D29" s="51">
        <f t="shared" si="0"/>
        <v>1.5</v>
      </c>
      <c r="E29" s="51">
        <f>EN!F6*7</f>
        <v>795.06</v>
      </c>
      <c r="F29" s="52">
        <f t="shared" si="1"/>
        <v>1.19259</v>
      </c>
      <c r="G29" s="43"/>
      <c r="H29" s="61" t="s">
        <v>209</v>
      </c>
      <c r="J29" s="55" t="e">
        <f>IF(C29=0," ",VLOOKUP(A29,'[1]AriaMED Formulation - Purespot '!#REF!,12,FALSE))</f>
        <v>#REF!</v>
      </c>
      <c r="K29" s="55" t="e">
        <f>IF(C29=0," ",VLOOKUP(A29,'[1]AriaMED Formulation - Purespot '!#REF!,13,FALSE))</f>
        <v>#REF!</v>
      </c>
      <c r="L29" s="56" t="e">
        <f>IF(C29=0," ",VLOOKUP(A29,'[1]AriaMED Formulation - Purespot '!#REF!,14,FALSE))</f>
        <v>#REF!</v>
      </c>
      <c r="M29" s="57" t="str">
        <f t="shared" ref="M29:M31" si="4">IFERROR(L29*C29," ")</f>
        <v xml:space="preserve"> </v>
      </c>
    </row>
    <row r="30" spans="1:13" ht="16.2">
      <c r="A30" s="50" t="s">
        <v>251</v>
      </c>
      <c r="B30" s="66"/>
      <c r="C30" s="78">
        <v>5</v>
      </c>
      <c r="D30" s="51">
        <f t="shared" si="0"/>
        <v>1.5</v>
      </c>
      <c r="E30" s="51">
        <f>EN!F18*7</f>
        <v>710.92000000000007</v>
      </c>
      <c r="F30" s="52">
        <f t="shared" si="1"/>
        <v>1.0663800000000001</v>
      </c>
      <c r="G30" s="43"/>
      <c r="H30" s="61" t="s">
        <v>189</v>
      </c>
      <c r="J30" s="55" t="e">
        <f>IF(C30=0," ",VLOOKUP(A30,'[1]AriaMED Formulation - Purespot '!#REF!,12,FALSE))</f>
        <v>#REF!</v>
      </c>
      <c r="K30" s="55" t="e">
        <f>IF(C30=0," ",VLOOKUP(A30,'[1]AriaMED Formulation - Purespot '!#REF!,13,FALSE))</f>
        <v>#REF!</v>
      </c>
      <c r="L30" s="56" t="e">
        <f>IF(C30=0," ",VLOOKUP(A30,'[1]AriaMED Formulation - Purespot '!#REF!,14,FALSE))</f>
        <v>#REF!</v>
      </c>
      <c r="M30" s="57" t="str">
        <f t="shared" si="4"/>
        <v xml:space="preserve"> </v>
      </c>
    </row>
    <row r="31" spans="1:13" ht="16.2">
      <c r="A31" s="50" t="s">
        <v>210</v>
      </c>
      <c r="B31" s="66">
        <v>0.9</v>
      </c>
      <c r="C31" s="78">
        <v>0</v>
      </c>
      <c r="D31" s="51">
        <f t="shared" si="0"/>
        <v>0</v>
      </c>
      <c r="E31" s="51">
        <v>2800</v>
      </c>
      <c r="F31" s="52">
        <f t="shared" si="1"/>
        <v>0</v>
      </c>
      <c r="G31" s="43"/>
      <c r="H31" s="61" t="s">
        <v>211</v>
      </c>
      <c r="J31" s="55" t="str">
        <f>IF(C31=0," ",VLOOKUP(A31,'[1]AriaMED Formulation - Purespot '!#REF!,12,FALSE))</f>
        <v xml:space="preserve"> </v>
      </c>
      <c r="K31" s="55" t="str">
        <f>IF(C31=0," ",VLOOKUP(A31,'[1]AriaMED Formulation - Purespot '!#REF!,13,FALSE))</f>
        <v xml:space="preserve"> </v>
      </c>
      <c r="L31" s="56" t="str">
        <f>IF(C31=0," ",VLOOKUP(A31,'[1]AriaMED Formulation - Purespot '!#REF!,14,FALSE))</f>
        <v xml:space="preserve"> </v>
      </c>
      <c r="M31" s="57" t="str">
        <f t="shared" si="4"/>
        <v xml:space="preserve"> </v>
      </c>
    </row>
    <row r="32" spans="1:13" ht="16.2">
      <c r="A32" s="50" t="s">
        <v>212</v>
      </c>
      <c r="B32" s="59"/>
      <c r="C32" s="66">
        <v>0</v>
      </c>
      <c r="D32" s="51">
        <f t="shared" si="0"/>
        <v>0</v>
      </c>
      <c r="E32" s="51">
        <v>900</v>
      </c>
      <c r="F32" s="52">
        <f t="shared" si="1"/>
        <v>0</v>
      </c>
      <c r="G32" s="43"/>
      <c r="H32" s="61" t="s">
        <v>213</v>
      </c>
    </row>
    <row r="33" spans="1:13" ht="16.2">
      <c r="A33" s="58" t="s">
        <v>214</v>
      </c>
      <c r="B33" s="73"/>
      <c r="C33" s="74">
        <v>0</v>
      </c>
      <c r="D33" s="51">
        <f t="shared" si="0"/>
        <v>0</v>
      </c>
      <c r="E33" s="73">
        <v>800</v>
      </c>
      <c r="F33" s="52">
        <f t="shared" si="1"/>
        <v>0</v>
      </c>
      <c r="G33" s="43"/>
      <c r="H33" s="61" t="s">
        <v>183</v>
      </c>
      <c r="J33" s="55" t="str">
        <f>IF(C33=0," ",VLOOKUP(A33,'[1]AriaMED Formulation - Purespot '!#REF!,12,FALSE))</f>
        <v xml:space="preserve"> </v>
      </c>
      <c r="K33" s="55" t="str">
        <f>IF(C33=0," ",VLOOKUP(A33,'[1]AriaMED Formulation - Purespot '!#REF!,13,FALSE))</f>
        <v xml:space="preserve"> </v>
      </c>
      <c r="L33" s="56" t="str">
        <f>IF(C33=0," ",VLOOKUP(A33,'[1]AriaMED Formulation - Purespot '!#REF!,14,FALSE))</f>
        <v xml:space="preserve"> </v>
      </c>
      <c r="M33" s="57" t="str">
        <f>IFERROR(L33*C33," ")</f>
        <v xml:space="preserve"> </v>
      </c>
    </row>
    <row r="34" spans="1:13" ht="16.2">
      <c r="A34" s="50" t="s">
        <v>215</v>
      </c>
      <c r="B34" s="82"/>
      <c r="C34" s="66">
        <v>0</v>
      </c>
      <c r="D34" s="51">
        <f t="shared" si="0"/>
        <v>0</v>
      </c>
      <c r="E34" s="51">
        <v>310</v>
      </c>
      <c r="F34" s="52">
        <f t="shared" si="1"/>
        <v>0</v>
      </c>
      <c r="G34" s="43"/>
      <c r="H34" s="61" t="s">
        <v>191</v>
      </c>
    </row>
    <row r="35" spans="1:13" ht="16.2">
      <c r="A35" s="58" t="s">
        <v>216</v>
      </c>
      <c r="B35" s="76"/>
      <c r="C35" s="54">
        <v>0</v>
      </c>
      <c r="D35" s="51">
        <f t="shared" si="0"/>
        <v>0</v>
      </c>
      <c r="E35" s="51">
        <v>650</v>
      </c>
      <c r="F35" s="52">
        <f t="shared" si="1"/>
        <v>0</v>
      </c>
      <c r="G35" s="62"/>
      <c r="H35" s="83" t="s">
        <v>217</v>
      </c>
    </row>
    <row r="36" spans="1:13" ht="16.2">
      <c r="A36" s="58" t="s">
        <v>218</v>
      </c>
      <c r="B36" s="76"/>
      <c r="C36" s="54">
        <v>0</v>
      </c>
      <c r="D36" s="51">
        <f t="shared" si="0"/>
        <v>0</v>
      </c>
      <c r="E36" s="51">
        <v>100</v>
      </c>
      <c r="F36" s="52">
        <f t="shared" si="1"/>
        <v>0</v>
      </c>
      <c r="G36" s="62"/>
      <c r="H36" s="61"/>
    </row>
    <row r="37" spans="1:13" ht="16.2">
      <c r="A37" s="50" t="s">
        <v>219</v>
      </c>
      <c r="B37" s="84"/>
      <c r="C37" s="66">
        <v>1.2</v>
      </c>
      <c r="D37" s="51">
        <f t="shared" si="0"/>
        <v>0.36</v>
      </c>
      <c r="E37" s="51">
        <v>350</v>
      </c>
      <c r="F37" s="52">
        <f t="shared" si="1"/>
        <v>0.126</v>
      </c>
      <c r="G37" s="53" t="s">
        <v>220</v>
      </c>
      <c r="H37" s="61" t="s">
        <v>221</v>
      </c>
      <c r="J37" s="55" t="e">
        <f>IF(C37=0," ",VLOOKUP(A37,'[1]AriaMED Formulation - Purespot '!#REF!,12,FALSE))</f>
        <v>#REF!</v>
      </c>
      <c r="K37" s="55" t="e">
        <f>IF(C37=0," ",VLOOKUP(A37,'[1]AriaMED Formulation - Purespot '!#REF!,13,FALSE))</f>
        <v>#REF!</v>
      </c>
      <c r="L37" s="56" t="e">
        <f>IF(C37=0," ",VLOOKUP(A37,'[1]AriaMED Formulation - Purespot '!#REF!,14,FALSE))</f>
        <v>#REF!</v>
      </c>
      <c r="M37" s="57" t="str">
        <f t="shared" ref="M37:M38" si="5">IFERROR(L37*C37," ")</f>
        <v xml:space="preserve"> </v>
      </c>
    </row>
    <row r="38" spans="1:13" ht="16.2">
      <c r="A38" s="50" t="s">
        <v>222</v>
      </c>
      <c r="B38" s="66"/>
      <c r="C38" s="66">
        <v>0</v>
      </c>
      <c r="D38" s="51">
        <f t="shared" si="0"/>
        <v>0</v>
      </c>
      <c r="E38" s="51">
        <v>12000</v>
      </c>
      <c r="F38" s="52">
        <f t="shared" si="1"/>
        <v>0</v>
      </c>
      <c r="G38" s="67"/>
      <c r="H38" s="61" t="s">
        <v>223</v>
      </c>
      <c r="J38" s="55" t="str">
        <f>IF(C38=0," ",VLOOKUP(A38,'[1]AriaMED Formulation - Purespot '!#REF!,12,FALSE))</f>
        <v xml:space="preserve"> </v>
      </c>
      <c r="K38" s="55" t="str">
        <f>IF(C38=0," ",VLOOKUP(A38,'[1]AriaMED Formulation - Purespot '!#REF!,13,FALSE))</f>
        <v xml:space="preserve"> </v>
      </c>
      <c r="L38" s="56" t="str">
        <f>IF(C38=0," ",VLOOKUP(A38,'[1]AriaMED Formulation - Purespot '!#REF!,14,FALSE))</f>
        <v xml:space="preserve"> </v>
      </c>
      <c r="M38" s="57" t="str">
        <f t="shared" si="5"/>
        <v xml:space="preserve"> </v>
      </c>
    </row>
    <row r="39" spans="1:13" ht="16.2">
      <c r="A39" s="51"/>
      <c r="B39" s="51"/>
      <c r="C39" s="47">
        <f>SUM(C5:C38)</f>
        <v>100</v>
      </c>
      <c r="D39" s="65">
        <v>30</v>
      </c>
      <c r="E39" s="51"/>
      <c r="F39" s="85">
        <f>SUM(F5:F38)</f>
        <v>3.0627666666666666</v>
      </c>
      <c r="G39" s="67"/>
      <c r="H39" s="86"/>
    </row>
    <row r="40" spans="1:13" ht="16.2">
      <c r="A40" s="87"/>
      <c r="B40" s="87"/>
      <c r="C40" s="46"/>
      <c r="D40" s="87"/>
      <c r="E40" s="87"/>
      <c r="F40" s="88"/>
      <c r="G40" s="43"/>
      <c r="H40" s="87"/>
    </row>
    <row r="41" spans="1:13" ht="16.2">
      <c r="A41" s="89" t="s">
        <v>224</v>
      </c>
      <c r="B41" s="90"/>
      <c r="C41" s="90"/>
      <c r="D41" s="90"/>
      <c r="E41" s="90"/>
      <c r="F41" s="91"/>
      <c r="G41" s="87"/>
      <c r="H41" s="90"/>
    </row>
    <row r="42" spans="1:13">
      <c r="A42" s="91" t="s">
        <v>225</v>
      </c>
      <c r="B42" s="90"/>
      <c r="C42" s="90"/>
      <c r="D42" s="90"/>
      <c r="E42" s="90"/>
      <c r="F42" s="90"/>
      <c r="G42" s="90"/>
      <c r="H42" s="90"/>
    </row>
    <row r="43" spans="1:13">
      <c r="A43" s="90" t="s">
        <v>226</v>
      </c>
      <c r="B43" s="90"/>
      <c r="C43" s="90"/>
      <c r="D43" s="90"/>
      <c r="E43" s="90"/>
      <c r="F43" s="90"/>
      <c r="G43" s="90"/>
      <c r="H43" s="90"/>
    </row>
    <row r="44" spans="1:13">
      <c r="A44" s="90" t="s">
        <v>227</v>
      </c>
      <c r="B44" s="90"/>
      <c r="C44" s="90"/>
      <c r="D44" s="90"/>
      <c r="E44" s="90"/>
      <c r="F44" s="90"/>
      <c r="G44" s="90"/>
      <c r="H44" s="9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2D86F-BBD2-4418-932A-8EA72850ED7E}">
  <sheetPr>
    <tabColor rgb="FFFFFF00"/>
  </sheetPr>
  <dimension ref="A1:M44"/>
  <sheetViews>
    <sheetView topLeftCell="A19" workbookViewId="0">
      <selection activeCell="E30" sqref="E30"/>
    </sheetView>
  </sheetViews>
  <sheetFormatPr defaultRowHeight="14.4"/>
  <cols>
    <col min="1" max="1" width="33.77734375" customWidth="1"/>
    <col min="8" max="8" width="21.33203125" customWidth="1"/>
  </cols>
  <sheetData>
    <row r="1" spans="1:13" ht="20.399999999999999">
      <c r="A1" s="40"/>
      <c r="B1" s="41" t="s">
        <v>149</v>
      </c>
      <c r="C1" s="42"/>
      <c r="D1" s="40"/>
      <c r="E1" s="40"/>
      <c r="F1" s="40"/>
      <c r="G1" s="43"/>
      <c r="H1" s="40"/>
    </row>
    <row r="2" spans="1:13" ht="18">
      <c r="A2" s="44" t="s">
        <v>150</v>
      </c>
      <c r="B2" s="44"/>
      <c r="C2" s="44"/>
      <c r="D2" s="44" t="s">
        <v>151</v>
      </c>
      <c r="E2" s="40"/>
      <c r="F2" s="40"/>
      <c r="G2" s="43"/>
      <c r="H2" s="40"/>
    </row>
    <row r="3" spans="1:13" ht="18">
      <c r="A3" s="44" t="s">
        <v>152</v>
      </c>
      <c r="B3" s="45"/>
      <c r="C3" s="46"/>
      <c r="D3" s="44" t="s">
        <v>153</v>
      </c>
      <c r="E3" s="40"/>
      <c r="F3" s="40"/>
      <c r="G3" s="43"/>
      <c r="H3" s="40"/>
    </row>
    <row r="4" spans="1:13" ht="15.6">
      <c r="A4" s="47" t="s">
        <v>154</v>
      </c>
      <c r="B4" s="47" t="s">
        <v>155</v>
      </c>
      <c r="C4" s="48" t="s">
        <v>156</v>
      </c>
      <c r="D4" s="48" t="s">
        <v>157</v>
      </c>
      <c r="E4" s="48" t="s">
        <v>158</v>
      </c>
      <c r="F4" s="48" t="s">
        <v>159</v>
      </c>
      <c r="G4" s="48" t="s">
        <v>160</v>
      </c>
      <c r="H4" s="49" t="s">
        <v>161</v>
      </c>
    </row>
    <row r="5" spans="1:13" ht="16.2">
      <c r="A5" s="50" t="s">
        <v>162</v>
      </c>
      <c r="B5" s="51"/>
      <c r="C5" s="47">
        <f>100-SUM(C6:C38)</f>
        <v>81.55</v>
      </c>
      <c r="D5" s="51">
        <f>C5*$D$39/$C$39</f>
        <v>24.465</v>
      </c>
      <c r="E5" s="51">
        <f>19/4.5</f>
        <v>4.2222222222222223</v>
      </c>
      <c r="F5" s="52">
        <f>E5/1000*D5</f>
        <v>0.10329666666666668</v>
      </c>
      <c r="G5" s="53" t="s">
        <v>163</v>
      </c>
      <c r="H5" s="54"/>
      <c r="J5" s="55" t="e">
        <f>IF(C5=0," ",VLOOKUP(A5,table93,12,FALSE))</f>
        <v>#NAME?</v>
      </c>
      <c r="K5" s="55" t="e">
        <f>IF(C5=0," ",VLOOKUP(A5,'[1]AriaMED Formulation - Purespot '!#REF!,13,FALSE))</f>
        <v>#REF!</v>
      </c>
      <c r="L5" s="56" t="e">
        <f>IF(C5=0," ",VLOOKUP(A5,'[1]AriaMED Formulation - Purespot '!#REF!,14,FALSE))</f>
        <v>#REF!</v>
      </c>
      <c r="M5" s="57" t="str">
        <f>IFERROR(L5*C5," ")</f>
        <v xml:space="preserve"> </v>
      </c>
    </row>
    <row r="6" spans="1:13" ht="16.2">
      <c r="A6" s="58" t="s">
        <v>164</v>
      </c>
      <c r="B6" s="59"/>
      <c r="C6" s="60">
        <v>4</v>
      </c>
      <c r="D6" s="51">
        <f>C6*$D$39/$C$39</f>
        <v>1.2</v>
      </c>
      <c r="E6" s="51">
        <v>90</v>
      </c>
      <c r="F6" s="52">
        <f>E6/1000*D6</f>
        <v>0.108</v>
      </c>
      <c r="G6" s="53"/>
      <c r="H6" s="61" t="s">
        <v>165</v>
      </c>
      <c r="J6" s="55" t="e">
        <f>IF(C6=0," ",VLOOKUP(A6,'[1]AriaMED Formulation - Purespot '!#REF!,12,FALSE))</f>
        <v>#REF!</v>
      </c>
      <c r="K6" s="55" t="e">
        <f>IF(C6=0," ",VLOOKUP(A6,'[1]AriaMED Formulation - Purespot '!#REF!,13,FALSE))</f>
        <v>#REF!</v>
      </c>
      <c r="L6" s="56" t="e">
        <f>IF(C6=0," ",VLOOKUP(A6,'[1]AriaMED Formulation - Purespot '!#REF!,14,FALSE))</f>
        <v>#REF!</v>
      </c>
      <c r="M6" s="57" t="str">
        <f>IFERROR(L6*C6," ")</f>
        <v xml:space="preserve"> </v>
      </c>
    </row>
    <row r="7" spans="1:13" ht="16.2">
      <c r="A7" s="58" t="s">
        <v>166</v>
      </c>
      <c r="B7" s="59"/>
      <c r="C7" s="60">
        <v>0</v>
      </c>
      <c r="D7" s="51">
        <f t="shared" ref="D7:D38" si="0">C7*$D$39/$C$39</f>
        <v>0</v>
      </c>
      <c r="E7" s="51">
        <v>13000</v>
      </c>
      <c r="F7" s="52">
        <f t="shared" ref="F7:F38" si="1">E7/1000*D7</f>
        <v>0</v>
      </c>
      <c r="G7" s="62" t="s">
        <v>167</v>
      </c>
      <c r="H7" s="61" t="s">
        <v>168</v>
      </c>
    </row>
    <row r="8" spans="1:13" ht="16.2">
      <c r="A8" s="63" t="s">
        <v>169</v>
      </c>
      <c r="B8" s="64"/>
      <c r="C8" s="65">
        <v>0</v>
      </c>
      <c r="D8" s="51">
        <f t="shared" si="0"/>
        <v>0</v>
      </c>
      <c r="E8" s="64">
        <v>700</v>
      </c>
      <c r="F8" s="52">
        <f t="shared" si="1"/>
        <v>0</v>
      </c>
      <c r="G8" s="62"/>
      <c r="H8" s="61" t="s">
        <v>170</v>
      </c>
    </row>
    <row r="9" spans="1:13" ht="16.2">
      <c r="A9" s="63" t="s">
        <v>171</v>
      </c>
      <c r="B9" s="64"/>
      <c r="C9" s="65">
        <v>0.05</v>
      </c>
      <c r="D9" s="51">
        <f t="shared" si="0"/>
        <v>1.4999999999999999E-2</v>
      </c>
      <c r="E9" s="64">
        <v>4500</v>
      </c>
      <c r="F9" s="52">
        <f t="shared" si="1"/>
        <v>6.7500000000000004E-2</v>
      </c>
      <c r="G9" s="62"/>
      <c r="H9" s="61" t="s">
        <v>172</v>
      </c>
      <c r="J9" s="55" t="e">
        <f>IF(C9=0," ",VLOOKUP(A9,'[1]AriaMED Formulation - Purespot '!#REF!,12,FALSE))</f>
        <v>#REF!</v>
      </c>
      <c r="K9" s="55" t="e">
        <f>IF(C9=0," ",VLOOKUP(A9,'[1]AriaMED Formulation - Purespot '!#REF!,13,FALSE))</f>
        <v>#REF!</v>
      </c>
      <c r="L9" s="56" t="e">
        <f>IF(C9=0," ",VLOOKUP(A9,'[1]AriaMED Formulation - Purespot '!#REF!,14,FALSE))</f>
        <v>#REF!</v>
      </c>
      <c r="M9" s="57" t="str">
        <f t="shared" ref="M9:M10" si="2">IFERROR(L9*C9," ")</f>
        <v xml:space="preserve"> </v>
      </c>
    </row>
    <row r="10" spans="1:13" ht="16.2">
      <c r="A10" s="50" t="s">
        <v>173</v>
      </c>
      <c r="B10" s="66"/>
      <c r="C10" s="66">
        <v>0.2</v>
      </c>
      <c r="D10" s="51">
        <f t="shared" si="0"/>
        <v>0.06</v>
      </c>
      <c r="E10" s="51">
        <v>750</v>
      </c>
      <c r="F10" s="52">
        <f t="shared" si="1"/>
        <v>4.4999999999999998E-2</v>
      </c>
      <c r="G10" s="67"/>
      <c r="H10" s="61" t="s">
        <v>174</v>
      </c>
      <c r="J10" s="55" t="e">
        <f>IF(C10=0," ",VLOOKUP(A10,'[1]AriaMED Formulation - Purespot '!#REF!,12,FALSE))</f>
        <v>#REF!</v>
      </c>
      <c r="K10" s="55" t="e">
        <f>IF(C10=0," ",VLOOKUP(A10,'[1]AriaMED Formulation - Purespot '!#REF!,13,FALSE))</f>
        <v>#REF!</v>
      </c>
      <c r="L10" s="56" t="e">
        <f>IF(C10=0," ",VLOOKUP(A10,'[1]AriaMED Formulation - Purespot '!#REF!,14,FALSE))</f>
        <v>#REF!</v>
      </c>
      <c r="M10" s="57" t="str">
        <f t="shared" si="2"/>
        <v xml:space="preserve"> </v>
      </c>
    </row>
    <row r="11" spans="1:13" ht="16.2">
      <c r="A11" s="68" t="s">
        <v>175</v>
      </c>
      <c r="B11" s="59"/>
      <c r="C11" s="66">
        <v>0</v>
      </c>
      <c r="D11" s="51">
        <f t="shared" si="0"/>
        <v>0</v>
      </c>
      <c r="E11" s="51">
        <v>8000</v>
      </c>
      <c r="F11" s="52">
        <f t="shared" si="1"/>
        <v>0</v>
      </c>
      <c r="G11" s="62"/>
      <c r="H11" s="69" t="s">
        <v>176</v>
      </c>
    </row>
    <row r="12" spans="1:13" ht="16.2">
      <c r="A12" s="50" t="s">
        <v>177</v>
      </c>
      <c r="B12" s="59"/>
      <c r="C12" s="47">
        <v>0</v>
      </c>
      <c r="D12" s="51">
        <f t="shared" si="0"/>
        <v>0</v>
      </c>
      <c r="E12" s="51">
        <v>1800</v>
      </c>
      <c r="F12" s="52">
        <f t="shared" si="1"/>
        <v>0</v>
      </c>
      <c r="G12" s="62"/>
      <c r="H12" s="61" t="s">
        <v>178</v>
      </c>
    </row>
    <row r="13" spans="1:13" ht="16.2">
      <c r="A13" s="50" t="s">
        <v>179</v>
      </c>
      <c r="B13" s="59">
        <v>10</v>
      </c>
      <c r="C13" s="66">
        <v>1</v>
      </c>
      <c r="D13" s="51">
        <f t="shared" si="0"/>
        <v>0.3</v>
      </c>
      <c r="E13" s="51">
        <v>230</v>
      </c>
      <c r="F13" s="52">
        <f t="shared" si="1"/>
        <v>6.9000000000000006E-2</v>
      </c>
      <c r="G13" s="62"/>
      <c r="H13" s="61" t="s">
        <v>180</v>
      </c>
      <c r="J13" s="55" t="e">
        <f>IF(C13=0," ",VLOOKUP(A13,'[1]AriaMED Formulation - Purespot '!#REF!,12,FALSE))</f>
        <v>#REF!</v>
      </c>
      <c r="K13" s="55" t="e">
        <f>IF(C13=0," ",VLOOKUP(A13,'[1]AriaMED Formulation - Purespot '!#REF!,13,FALSE))</f>
        <v>#REF!</v>
      </c>
      <c r="L13" s="56" t="e">
        <f>IF(C13=0," ",VLOOKUP(A13,'[1]AriaMED Formulation - Purespot '!#REF!,14,FALSE))</f>
        <v>#REF!</v>
      </c>
      <c r="M13" s="57" t="str">
        <f>IFERROR(L13*C13," ")</f>
        <v xml:space="preserve"> </v>
      </c>
    </row>
    <row r="14" spans="1:13" ht="16.2">
      <c r="A14" s="70" t="s">
        <v>181</v>
      </c>
      <c r="B14" s="59"/>
      <c r="C14" s="66">
        <v>1</v>
      </c>
      <c r="D14" s="51">
        <f t="shared" si="0"/>
        <v>0.3</v>
      </c>
      <c r="E14" s="51">
        <v>850</v>
      </c>
      <c r="F14" s="52">
        <f t="shared" si="1"/>
        <v>0.255</v>
      </c>
      <c r="G14" s="62"/>
      <c r="H14" s="61" t="s">
        <v>165</v>
      </c>
    </row>
    <row r="15" spans="1:13" ht="16.2">
      <c r="A15" s="50" t="s">
        <v>182</v>
      </c>
      <c r="B15" s="59"/>
      <c r="C15" s="66">
        <v>0</v>
      </c>
      <c r="D15" s="51">
        <f t="shared" si="0"/>
        <v>0</v>
      </c>
      <c r="E15" s="51">
        <v>1500</v>
      </c>
      <c r="F15" s="52">
        <f t="shared" si="1"/>
        <v>0</v>
      </c>
      <c r="G15" s="62"/>
      <c r="H15" s="61" t="s">
        <v>183</v>
      </c>
      <c r="J15" s="55" t="str">
        <f>IF(C15=0," ",VLOOKUP(A15,'[1]AriaMED Formulation - Purespot '!#REF!,12,FALSE))</f>
        <v xml:space="preserve"> </v>
      </c>
      <c r="K15" s="55" t="str">
        <f>IF(C15=0," ",VLOOKUP(A15,'[1]AriaMED Formulation - Purespot '!#REF!,13,FALSE))</f>
        <v xml:space="preserve"> </v>
      </c>
      <c r="L15" s="56" t="str">
        <f>IF(C15=0," ",VLOOKUP(A15,'[1]AriaMED Formulation - Purespot '!#REF!,14,FALSE))</f>
        <v xml:space="preserve"> </v>
      </c>
      <c r="M15" s="57" t="str">
        <f t="shared" ref="M15:M16" si="3">IFERROR(L15*C15," ")</f>
        <v xml:space="preserve"> </v>
      </c>
    </row>
    <row r="16" spans="1:13" ht="16.2">
      <c r="A16" s="50" t="s">
        <v>184</v>
      </c>
      <c r="B16" s="59"/>
      <c r="C16" s="66">
        <v>0</v>
      </c>
      <c r="D16" s="51">
        <f t="shared" si="0"/>
        <v>0</v>
      </c>
      <c r="E16" s="51">
        <v>1400</v>
      </c>
      <c r="F16" s="52">
        <f t="shared" si="1"/>
        <v>0</v>
      </c>
      <c r="G16" s="62"/>
      <c r="H16" s="61" t="s">
        <v>185</v>
      </c>
      <c r="J16" s="55" t="str">
        <f>IF(C16=0," ",VLOOKUP(A16,'[1]AriaMED Formulation - Purespot '!#REF!,12,FALSE))</f>
        <v xml:space="preserve"> </v>
      </c>
      <c r="K16" s="55" t="str">
        <f>IF(C16=0," ",VLOOKUP(A16,'[1]AriaMED Formulation - Purespot '!#REF!,13,FALSE))</f>
        <v xml:space="preserve"> </v>
      </c>
      <c r="L16" s="56" t="str">
        <f>IF(C16=0," ",VLOOKUP(A16,'[1]AriaMED Formulation - Purespot '!#REF!,14,FALSE))</f>
        <v xml:space="preserve"> </v>
      </c>
      <c r="M16" s="57" t="str">
        <f t="shared" si="3"/>
        <v xml:space="preserve"> </v>
      </c>
    </row>
    <row r="17" spans="1:13" ht="16.2">
      <c r="A17" s="50" t="s">
        <v>186</v>
      </c>
      <c r="B17" s="51"/>
      <c r="C17" s="47">
        <v>0</v>
      </c>
      <c r="D17" s="51">
        <f t="shared" si="0"/>
        <v>0</v>
      </c>
      <c r="E17" s="51">
        <v>650</v>
      </c>
      <c r="F17" s="52">
        <f t="shared" si="1"/>
        <v>0</v>
      </c>
      <c r="G17" s="62"/>
      <c r="H17" s="61" t="s">
        <v>187</v>
      </c>
    </row>
    <row r="18" spans="1:13" ht="16.2">
      <c r="A18" s="50" t="s">
        <v>188</v>
      </c>
      <c r="B18" s="51"/>
      <c r="C18" s="47">
        <v>0</v>
      </c>
      <c r="D18" s="51">
        <f t="shared" si="0"/>
        <v>0</v>
      </c>
      <c r="E18" s="51">
        <v>400</v>
      </c>
      <c r="F18" s="52">
        <f t="shared" si="1"/>
        <v>0</v>
      </c>
      <c r="G18" s="62"/>
      <c r="H18" s="61" t="s">
        <v>189</v>
      </c>
      <c r="J18" s="55" t="str">
        <f>IF(C18=0," ",VLOOKUP(A18,'[1]AriaMED Formulation - Purespot '!#REF!,12,FALSE))</f>
        <v xml:space="preserve"> </v>
      </c>
      <c r="K18" s="55" t="str">
        <f>IF(C18=0," ",VLOOKUP(A18,'[1]AriaMED Formulation - Purespot '!#REF!,13,FALSE))</f>
        <v xml:space="preserve"> </v>
      </c>
      <c r="L18" s="56" t="str">
        <f>IF(C18=0," ",VLOOKUP(A18,'[1]AriaMED Formulation - Purespot '!#REF!,14,FALSE))</f>
        <v xml:space="preserve"> </v>
      </c>
      <c r="M18" s="57" t="str">
        <f>IFERROR(L18*C18," ")</f>
        <v xml:space="preserve"> </v>
      </c>
    </row>
    <row r="19" spans="1:13" ht="16.2">
      <c r="A19" s="50" t="s">
        <v>190</v>
      </c>
      <c r="B19" s="51"/>
      <c r="C19" s="47">
        <v>1</v>
      </c>
      <c r="D19" s="51">
        <f t="shared" si="0"/>
        <v>0.3</v>
      </c>
      <c r="E19" s="51">
        <v>100</v>
      </c>
      <c r="F19" s="52">
        <f t="shared" si="1"/>
        <v>0.03</v>
      </c>
      <c r="G19" s="62"/>
      <c r="H19" s="61" t="s">
        <v>191</v>
      </c>
    </row>
    <row r="20" spans="1:13" ht="16.2">
      <c r="A20" s="50" t="s">
        <v>192</v>
      </c>
      <c r="B20" s="59"/>
      <c r="C20" s="66">
        <v>0</v>
      </c>
      <c r="D20" s="51">
        <f t="shared" si="0"/>
        <v>0</v>
      </c>
      <c r="E20" s="51">
        <v>250</v>
      </c>
      <c r="F20" s="52">
        <f t="shared" si="1"/>
        <v>0</v>
      </c>
      <c r="G20" s="62" t="s">
        <v>193</v>
      </c>
      <c r="H20" s="61" t="s">
        <v>191</v>
      </c>
      <c r="J20" s="55" t="str">
        <f>IF(C20=0," ",VLOOKUP(A20,'[1]AriaMED Formulation - Purespot '!#REF!,12,FALSE))</f>
        <v xml:space="preserve"> </v>
      </c>
      <c r="K20" s="55" t="str">
        <f>IF(C20=0," ",VLOOKUP(A20,'[1]AriaMED Formulation - Purespot '!#REF!,13,FALSE))</f>
        <v xml:space="preserve"> </v>
      </c>
      <c r="L20" s="56" t="str">
        <f>IF(C20=0," ",VLOOKUP(A20,'[1]AriaMED Formulation - Purespot '!#REF!,14,FALSE))</f>
        <v xml:space="preserve"> </v>
      </c>
      <c r="M20" s="57" t="str">
        <f>IFERROR(L20*C20," ")</f>
        <v xml:space="preserve"> </v>
      </c>
    </row>
    <row r="21" spans="1:13" ht="16.2">
      <c r="A21" s="50" t="s">
        <v>194</v>
      </c>
      <c r="B21" s="59"/>
      <c r="C21" s="66">
        <v>0</v>
      </c>
      <c r="D21" s="51">
        <f t="shared" si="0"/>
        <v>0</v>
      </c>
      <c r="E21" s="51">
        <v>1100</v>
      </c>
      <c r="F21" s="52">
        <f t="shared" si="1"/>
        <v>0</v>
      </c>
      <c r="G21" s="62"/>
      <c r="H21" s="61" t="s">
        <v>195</v>
      </c>
    </row>
    <row r="22" spans="1:13" ht="16.2">
      <c r="A22" s="71" t="s">
        <v>196</v>
      </c>
      <c r="B22" s="72"/>
      <c r="C22" s="66">
        <v>0</v>
      </c>
      <c r="D22" s="51">
        <f t="shared" si="0"/>
        <v>0</v>
      </c>
      <c r="E22" s="51">
        <v>1400</v>
      </c>
      <c r="F22" s="52">
        <f t="shared" si="1"/>
        <v>0</v>
      </c>
      <c r="G22" s="62"/>
      <c r="H22" s="61" t="s">
        <v>197</v>
      </c>
    </row>
    <row r="23" spans="1:13" ht="16.2">
      <c r="A23" s="58" t="s">
        <v>198</v>
      </c>
      <c r="B23" s="73"/>
      <c r="C23" s="74">
        <v>0</v>
      </c>
      <c r="D23" s="51">
        <f t="shared" si="0"/>
        <v>0</v>
      </c>
      <c r="E23" s="73">
        <v>1200</v>
      </c>
      <c r="F23" s="52">
        <f t="shared" si="1"/>
        <v>0</v>
      </c>
      <c r="G23" s="43"/>
      <c r="H23" s="75" t="s">
        <v>199</v>
      </c>
    </row>
    <row r="24" spans="1:13" ht="16.2">
      <c r="A24" s="68" t="s">
        <v>200</v>
      </c>
      <c r="B24" s="76"/>
      <c r="C24" s="54">
        <v>0</v>
      </c>
      <c r="D24" s="51">
        <f t="shared" si="0"/>
        <v>0</v>
      </c>
      <c r="E24" s="51">
        <v>680</v>
      </c>
      <c r="F24" s="52">
        <f t="shared" si="1"/>
        <v>0</v>
      </c>
      <c r="G24" s="43"/>
      <c r="H24" s="61" t="s">
        <v>201</v>
      </c>
    </row>
    <row r="25" spans="1:13" ht="16.2">
      <c r="A25" s="58" t="s">
        <v>202</v>
      </c>
      <c r="B25" s="73"/>
      <c r="C25" s="74">
        <v>0</v>
      </c>
      <c r="D25" s="51">
        <f t="shared" si="0"/>
        <v>0</v>
      </c>
      <c r="E25" s="73">
        <v>3000</v>
      </c>
      <c r="F25" s="52">
        <f t="shared" si="1"/>
        <v>0</v>
      </c>
      <c r="G25" s="43"/>
      <c r="H25" s="75" t="s">
        <v>203</v>
      </c>
    </row>
    <row r="26" spans="1:13" ht="16.2">
      <c r="A26" s="58" t="s">
        <v>204</v>
      </c>
      <c r="B26" s="76"/>
      <c r="C26" s="54">
        <v>0</v>
      </c>
      <c r="D26" s="51">
        <f t="shared" si="0"/>
        <v>0</v>
      </c>
      <c r="E26" s="51">
        <v>1500</v>
      </c>
      <c r="F26" s="52">
        <f t="shared" si="1"/>
        <v>0</v>
      </c>
      <c r="G26" s="43"/>
      <c r="H26" s="61" t="s">
        <v>205</v>
      </c>
    </row>
    <row r="27" spans="1:13" ht="16.2">
      <c r="A27" s="58">
        <v>9832</v>
      </c>
      <c r="B27" s="51"/>
      <c r="C27" s="47">
        <v>0</v>
      </c>
      <c r="D27" s="51">
        <f t="shared" si="0"/>
        <v>0</v>
      </c>
      <c r="E27" s="51">
        <v>2300</v>
      </c>
      <c r="F27" s="52">
        <f t="shared" si="1"/>
        <v>0</v>
      </c>
      <c r="G27" s="43"/>
      <c r="H27" s="61" t="s">
        <v>206</v>
      </c>
    </row>
    <row r="28" spans="1:13" ht="16.2">
      <c r="A28" s="77" t="s">
        <v>207</v>
      </c>
      <c r="B28" s="76"/>
      <c r="C28" s="78">
        <v>0</v>
      </c>
      <c r="D28" s="51">
        <f t="shared" si="0"/>
        <v>0</v>
      </c>
      <c r="E28" s="51">
        <v>700</v>
      </c>
      <c r="F28" s="52">
        <f t="shared" si="1"/>
        <v>0</v>
      </c>
      <c r="G28" s="43"/>
      <c r="H28" s="61" t="s">
        <v>180</v>
      </c>
    </row>
    <row r="29" spans="1:13" ht="16.2">
      <c r="A29" s="79" t="s">
        <v>208</v>
      </c>
      <c r="B29" s="80"/>
      <c r="C29" s="60">
        <v>0</v>
      </c>
      <c r="D29" s="51">
        <f t="shared" si="0"/>
        <v>0</v>
      </c>
      <c r="E29" s="81">
        <v>600</v>
      </c>
      <c r="F29" s="52">
        <f t="shared" si="1"/>
        <v>0</v>
      </c>
      <c r="G29" s="43"/>
      <c r="H29" s="61" t="s">
        <v>209</v>
      </c>
      <c r="J29" s="55" t="str">
        <f>IF(C29=0," ",VLOOKUP(A29,'[1]AriaMED Formulation - Purespot '!#REF!,12,FALSE))</f>
        <v xml:space="preserve"> </v>
      </c>
      <c r="K29" s="55" t="str">
        <f>IF(C29=0," ",VLOOKUP(A29,'[1]AriaMED Formulation - Purespot '!#REF!,13,FALSE))</f>
        <v xml:space="preserve"> </v>
      </c>
      <c r="L29" s="56" t="str">
        <f>IF(C29=0," ",VLOOKUP(A29,'[1]AriaMED Formulation - Purespot '!#REF!,14,FALSE))</f>
        <v xml:space="preserve"> </v>
      </c>
      <c r="M29" s="57" t="str">
        <f t="shared" ref="M29:M31" si="4">IFERROR(L29*C29," ")</f>
        <v xml:space="preserve"> </v>
      </c>
    </row>
    <row r="30" spans="1:13" ht="16.2">
      <c r="A30" s="94" t="s">
        <v>389</v>
      </c>
      <c r="B30" s="66"/>
      <c r="C30" s="78">
        <v>10</v>
      </c>
      <c r="D30" s="51">
        <f t="shared" si="0"/>
        <v>3</v>
      </c>
      <c r="E30" s="51">
        <f>EN!F27*7</f>
        <v>1097.25</v>
      </c>
      <c r="F30" s="52">
        <f t="shared" si="1"/>
        <v>3.2917500000000004</v>
      </c>
      <c r="G30" s="43"/>
      <c r="H30" s="61" t="s">
        <v>189</v>
      </c>
      <c r="J30" s="55" t="e">
        <f>IF(C30=0," ",VLOOKUP(A30,'[1]AriaMED Formulation - Purespot '!#REF!,12,FALSE))</f>
        <v>#REF!</v>
      </c>
      <c r="K30" s="55" t="e">
        <f>IF(C30=0," ",VLOOKUP(A30,'[1]AriaMED Formulation - Purespot '!#REF!,13,FALSE))</f>
        <v>#REF!</v>
      </c>
      <c r="L30" s="56" t="e">
        <f>IF(C30=0," ",VLOOKUP(A30,'[1]AriaMED Formulation - Purespot '!#REF!,14,FALSE))</f>
        <v>#REF!</v>
      </c>
      <c r="M30" s="57" t="str">
        <f t="shared" si="4"/>
        <v xml:space="preserve"> </v>
      </c>
    </row>
    <row r="31" spans="1:13" ht="16.2">
      <c r="A31" s="50" t="s">
        <v>210</v>
      </c>
      <c r="B31" s="66">
        <v>0.9</v>
      </c>
      <c r="C31" s="78">
        <v>0</v>
      </c>
      <c r="D31" s="51">
        <f t="shared" si="0"/>
        <v>0</v>
      </c>
      <c r="E31" s="51">
        <v>2800</v>
      </c>
      <c r="F31" s="52">
        <f t="shared" si="1"/>
        <v>0</v>
      </c>
      <c r="G31" s="43"/>
      <c r="H31" s="61" t="s">
        <v>211</v>
      </c>
      <c r="J31" s="55" t="str">
        <f>IF(C31=0," ",VLOOKUP(A31,'[1]AriaMED Formulation - Purespot '!#REF!,12,FALSE))</f>
        <v xml:space="preserve"> </v>
      </c>
      <c r="K31" s="55" t="str">
        <f>IF(C31=0," ",VLOOKUP(A31,'[1]AriaMED Formulation - Purespot '!#REF!,13,FALSE))</f>
        <v xml:space="preserve"> </v>
      </c>
      <c r="L31" s="56" t="str">
        <f>IF(C31=0," ",VLOOKUP(A31,'[1]AriaMED Formulation - Purespot '!#REF!,14,FALSE))</f>
        <v xml:space="preserve"> </v>
      </c>
      <c r="M31" s="57" t="str">
        <f t="shared" si="4"/>
        <v xml:space="preserve"> </v>
      </c>
    </row>
    <row r="32" spans="1:13" ht="16.2">
      <c r="A32" s="50" t="s">
        <v>212</v>
      </c>
      <c r="B32" s="59"/>
      <c r="C32" s="66">
        <v>0</v>
      </c>
      <c r="D32" s="51">
        <f t="shared" si="0"/>
        <v>0</v>
      </c>
      <c r="E32" s="51">
        <v>900</v>
      </c>
      <c r="F32" s="52">
        <f t="shared" si="1"/>
        <v>0</v>
      </c>
      <c r="G32" s="43"/>
      <c r="H32" s="61" t="s">
        <v>213</v>
      </c>
    </row>
    <row r="33" spans="1:13" ht="16.2">
      <c r="A33" s="58" t="s">
        <v>214</v>
      </c>
      <c r="B33" s="73"/>
      <c r="C33" s="74">
        <v>0</v>
      </c>
      <c r="D33" s="51">
        <f t="shared" si="0"/>
        <v>0</v>
      </c>
      <c r="E33" s="73">
        <v>800</v>
      </c>
      <c r="F33" s="52">
        <f t="shared" si="1"/>
        <v>0</v>
      </c>
      <c r="G33" s="43"/>
      <c r="H33" s="61" t="s">
        <v>183</v>
      </c>
      <c r="J33" s="55" t="str">
        <f>IF(C33=0," ",VLOOKUP(A33,'[1]AriaMED Formulation - Purespot '!#REF!,12,FALSE))</f>
        <v xml:space="preserve"> </v>
      </c>
      <c r="K33" s="55" t="str">
        <f>IF(C33=0," ",VLOOKUP(A33,'[1]AriaMED Formulation - Purespot '!#REF!,13,FALSE))</f>
        <v xml:space="preserve"> </v>
      </c>
      <c r="L33" s="56" t="str">
        <f>IF(C33=0," ",VLOOKUP(A33,'[1]AriaMED Formulation - Purespot '!#REF!,14,FALSE))</f>
        <v xml:space="preserve"> </v>
      </c>
      <c r="M33" s="57" t="str">
        <f>IFERROR(L33*C33," ")</f>
        <v xml:space="preserve"> </v>
      </c>
    </row>
    <row r="34" spans="1:13" ht="16.2">
      <c r="A34" s="50" t="s">
        <v>215</v>
      </c>
      <c r="B34" s="82"/>
      <c r="C34" s="66">
        <v>0</v>
      </c>
      <c r="D34" s="51">
        <f t="shared" si="0"/>
        <v>0</v>
      </c>
      <c r="E34" s="51">
        <v>310</v>
      </c>
      <c r="F34" s="52">
        <f t="shared" si="1"/>
        <v>0</v>
      </c>
      <c r="G34" s="43"/>
      <c r="H34" s="61" t="s">
        <v>191</v>
      </c>
    </row>
    <row r="35" spans="1:13" ht="16.2">
      <c r="A35" s="58" t="s">
        <v>216</v>
      </c>
      <c r="B35" s="76"/>
      <c r="C35" s="54">
        <v>0</v>
      </c>
      <c r="D35" s="51">
        <f t="shared" si="0"/>
        <v>0</v>
      </c>
      <c r="E35" s="51">
        <v>650</v>
      </c>
      <c r="F35" s="52">
        <f t="shared" si="1"/>
        <v>0</v>
      </c>
      <c r="G35" s="62"/>
      <c r="H35" s="83" t="s">
        <v>217</v>
      </c>
    </row>
    <row r="36" spans="1:13" ht="16.2">
      <c r="A36" s="58" t="s">
        <v>218</v>
      </c>
      <c r="B36" s="76"/>
      <c r="C36" s="54">
        <v>0</v>
      </c>
      <c r="D36" s="51">
        <f t="shared" si="0"/>
        <v>0</v>
      </c>
      <c r="E36" s="51">
        <v>100</v>
      </c>
      <c r="F36" s="52">
        <f t="shared" si="1"/>
        <v>0</v>
      </c>
      <c r="G36" s="62"/>
      <c r="H36" s="61"/>
    </row>
    <row r="37" spans="1:13" ht="16.2">
      <c r="A37" s="50" t="s">
        <v>219</v>
      </c>
      <c r="B37" s="84"/>
      <c r="C37" s="66">
        <v>1.2</v>
      </c>
      <c r="D37" s="51">
        <f t="shared" si="0"/>
        <v>0.36</v>
      </c>
      <c r="E37" s="51">
        <v>350</v>
      </c>
      <c r="F37" s="52">
        <f t="shared" si="1"/>
        <v>0.126</v>
      </c>
      <c r="G37" s="53" t="s">
        <v>220</v>
      </c>
      <c r="H37" s="61" t="s">
        <v>221</v>
      </c>
      <c r="J37" s="55" t="e">
        <f>IF(C37=0," ",VLOOKUP(A37,'[1]AriaMED Formulation - Purespot '!#REF!,12,FALSE))</f>
        <v>#REF!</v>
      </c>
      <c r="K37" s="55" t="e">
        <f>IF(C37=0," ",VLOOKUP(A37,'[1]AriaMED Formulation - Purespot '!#REF!,13,FALSE))</f>
        <v>#REF!</v>
      </c>
      <c r="L37" s="56" t="e">
        <f>IF(C37=0," ",VLOOKUP(A37,'[1]AriaMED Formulation - Purespot '!#REF!,14,FALSE))</f>
        <v>#REF!</v>
      </c>
      <c r="M37" s="57" t="str">
        <f t="shared" ref="M37:M38" si="5">IFERROR(L37*C37," ")</f>
        <v xml:space="preserve"> </v>
      </c>
    </row>
    <row r="38" spans="1:13" ht="16.2">
      <c r="A38" s="50" t="s">
        <v>222</v>
      </c>
      <c r="B38" s="66"/>
      <c r="C38" s="66">
        <v>0</v>
      </c>
      <c r="D38" s="51">
        <f t="shared" si="0"/>
        <v>0</v>
      </c>
      <c r="E38" s="51">
        <v>12000</v>
      </c>
      <c r="F38" s="52">
        <f t="shared" si="1"/>
        <v>0</v>
      </c>
      <c r="G38" s="67"/>
      <c r="H38" s="61" t="s">
        <v>223</v>
      </c>
      <c r="J38" s="55" t="str">
        <f>IF(C38=0," ",VLOOKUP(A38,'[1]AriaMED Formulation - Purespot '!#REF!,12,FALSE))</f>
        <v xml:space="preserve"> </v>
      </c>
      <c r="K38" s="55" t="str">
        <f>IF(C38=0," ",VLOOKUP(A38,'[1]AriaMED Formulation - Purespot '!#REF!,13,FALSE))</f>
        <v xml:space="preserve"> </v>
      </c>
      <c r="L38" s="56" t="str">
        <f>IF(C38=0," ",VLOOKUP(A38,'[1]AriaMED Formulation - Purespot '!#REF!,14,FALSE))</f>
        <v xml:space="preserve"> </v>
      </c>
      <c r="M38" s="57" t="str">
        <f t="shared" si="5"/>
        <v xml:space="preserve"> </v>
      </c>
    </row>
    <row r="39" spans="1:13" ht="16.2">
      <c r="A39" s="51"/>
      <c r="B39" s="51"/>
      <c r="C39" s="47">
        <f>SUM(C5:C38)</f>
        <v>100</v>
      </c>
      <c r="D39" s="65">
        <v>30</v>
      </c>
      <c r="E39" s="51"/>
      <c r="F39" s="85">
        <f>SUM(F5:F38)</f>
        <v>4.0955466666666673</v>
      </c>
      <c r="G39" s="67"/>
      <c r="H39" s="86"/>
    </row>
    <row r="40" spans="1:13" ht="16.2">
      <c r="A40" s="87"/>
      <c r="B40" s="87"/>
      <c r="C40" s="46"/>
      <c r="D40" s="87"/>
      <c r="E40" s="87"/>
      <c r="F40" s="88"/>
      <c r="G40" s="43"/>
      <c r="H40" s="87"/>
    </row>
    <row r="41" spans="1:13" ht="16.2">
      <c r="A41" s="89" t="s">
        <v>224</v>
      </c>
      <c r="B41" s="90"/>
      <c r="C41" s="90"/>
      <c r="D41" s="90"/>
      <c r="E41" s="90"/>
      <c r="F41" s="91"/>
      <c r="G41" s="87"/>
      <c r="H41" s="90"/>
    </row>
    <row r="42" spans="1:13">
      <c r="A42" s="91" t="s">
        <v>225</v>
      </c>
      <c r="B42" s="90"/>
      <c r="C42" s="90"/>
      <c r="D42" s="90"/>
      <c r="E42" s="90"/>
      <c r="F42" s="90"/>
      <c r="G42" s="90"/>
      <c r="H42" s="90"/>
    </row>
    <row r="43" spans="1:13">
      <c r="A43" s="90" t="s">
        <v>226</v>
      </c>
      <c r="B43" s="90"/>
      <c r="C43" s="90"/>
      <c r="D43" s="90"/>
      <c r="E43" s="90"/>
      <c r="F43" s="90"/>
      <c r="G43" s="90"/>
      <c r="H43" s="90"/>
    </row>
    <row r="44" spans="1:13">
      <c r="A44" s="90" t="s">
        <v>227</v>
      </c>
      <c r="B44" s="90"/>
      <c r="C44" s="90"/>
      <c r="D44" s="90"/>
      <c r="E44" s="90"/>
      <c r="F44" s="90"/>
      <c r="G44" s="90"/>
      <c r="H44"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7987C-F47D-4C68-A6B3-E5FD8AF96F64}">
  <sheetPr>
    <tabColor rgb="FFFFFF00"/>
  </sheetPr>
  <dimension ref="A1:M44"/>
  <sheetViews>
    <sheetView workbookViewId="0">
      <selection activeCell="F14" sqref="F14"/>
    </sheetView>
  </sheetViews>
  <sheetFormatPr defaultRowHeight="14.4"/>
  <cols>
    <col min="1" max="1" width="33.77734375" customWidth="1"/>
    <col min="8" max="8" width="21.33203125" customWidth="1"/>
    <col min="10" max="13" width="0" hidden="1" customWidth="1"/>
  </cols>
  <sheetData>
    <row r="1" spans="1:13" ht="20.399999999999999">
      <c r="A1" s="40"/>
      <c r="B1" s="41" t="s">
        <v>149</v>
      </c>
      <c r="C1" s="42"/>
      <c r="D1" s="40"/>
      <c r="E1" s="40"/>
      <c r="F1" s="40"/>
      <c r="G1" s="43"/>
      <c r="H1" s="40"/>
    </row>
    <row r="2" spans="1:13" ht="18">
      <c r="A2" s="44" t="s">
        <v>150</v>
      </c>
      <c r="B2" s="44"/>
      <c r="C2" s="44"/>
      <c r="D2" s="44" t="s">
        <v>151</v>
      </c>
      <c r="E2" s="40"/>
      <c r="F2" s="40"/>
      <c r="G2" s="43"/>
      <c r="H2" s="40"/>
    </row>
    <row r="3" spans="1:13" ht="18">
      <c r="A3" s="44" t="s">
        <v>152</v>
      </c>
      <c r="B3" s="45"/>
      <c r="C3" s="46"/>
      <c r="D3" s="44" t="s">
        <v>153</v>
      </c>
      <c r="E3" s="40"/>
      <c r="F3" s="40"/>
      <c r="G3" s="43"/>
      <c r="H3" s="40"/>
    </row>
    <row r="4" spans="1:13" ht="15.6">
      <c r="A4" s="47" t="s">
        <v>154</v>
      </c>
      <c r="B4" s="47" t="s">
        <v>155</v>
      </c>
      <c r="C4" s="48" t="s">
        <v>156</v>
      </c>
      <c r="D4" s="48" t="s">
        <v>157</v>
      </c>
      <c r="E4" s="48" t="s">
        <v>158</v>
      </c>
      <c r="F4" s="48" t="s">
        <v>159</v>
      </c>
      <c r="G4" s="48" t="s">
        <v>160</v>
      </c>
      <c r="H4" s="49" t="s">
        <v>161</v>
      </c>
    </row>
    <row r="5" spans="1:13" ht="16.2">
      <c r="A5" s="50" t="s">
        <v>162</v>
      </c>
      <c r="B5" s="51"/>
      <c r="C5" s="47">
        <f>100-SUM(C6:C38)</f>
        <v>86.4</v>
      </c>
      <c r="D5" s="51">
        <f>C5*$D$39/$C$39</f>
        <v>25.92</v>
      </c>
      <c r="E5" s="51">
        <f>19/4.5</f>
        <v>4.2222222222222223</v>
      </c>
      <c r="F5" s="52">
        <f>E5/1000*D5</f>
        <v>0.10944000000000002</v>
      </c>
      <c r="G5" s="53" t="s">
        <v>163</v>
      </c>
      <c r="H5" s="54"/>
      <c r="J5" s="55" t="e">
        <f>IF(C5=0," ",VLOOKUP(A5,'[1]AriaMED Formulation - Purespot '!#REF!,12,FALSE))</f>
        <v>#REF!</v>
      </c>
      <c r="K5" s="55" t="e">
        <f>IF(C5=0," ",VLOOKUP(A5,'[1]AriaMED Formulation - Purespot '!#REF!,13,FALSE))</f>
        <v>#REF!</v>
      </c>
      <c r="L5" s="56" t="e">
        <f>IF(C5=0," ",VLOOKUP(A5,'[1]AriaMED Formulation - Purespot '!#REF!,14,FALSE))</f>
        <v>#REF!</v>
      </c>
      <c r="M5" s="57" t="str">
        <f>IFERROR(L5*C5," ")</f>
        <v xml:space="preserve"> </v>
      </c>
    </row>
    <row r="6" spans="1:13" ht="16.2">
      <c r="A6" s="58" t="s">
        <v>164</v>
      </c>
      <c r="B6" s="59"/>
      <c r="C6" s="60">
        <v>4</v>
      </c>
      <c r="D6" s="51">
        <f>C6*$D$39/$C$39</f>
        <v>1.2</v>
      </c>
      <c r="E6" s="51">
        <v>90</v>
      </c>
      <c r="F6" s="52">
        <f>E6/1000*D6</f>
        <v>0.108</v>
      </c>
      <c r="G6" s="53"/>
      <c r="H6" s="61" t="s">
        <v>165</v>
      </c>
      <c r="J6" s="55" t="e">
        <f>IF(C6=0," ",VLOOKUP(A6,'[1]AriaMED Formulation - Purespot '!#REF!,12,FALSE))</f>
        <v>#REF!</v>
      </c>
      <c r="K6" s="55" t="e">
        <f>IF(C6=0," ",VLOOKUP(A6,'[1]AriaMED Formulation - Purespot '!#REF!,13,FALSE))</f>
        <v>#REF!</v>
      </c>
      <c r="L6" s="56" t="e">
        <f>IF(C6=0," ",VLOOKUP(A6,'[1]AriaMED Formulation - Purespot '!#REF!,14,FALSE))</f>
        <v>#REF!</v>
      </c>
      <c r="M6" s="57" t="str">
        <f>IFERROR(L6*C6," ")</f>
        <v xml:space="preserve"> </v>
      </c>
    </row>
    <row r="7" spans="1:13" ht="16.2">
      <c r="A7" s="58" t="s">
        <v>166</v>
      </c>
      <c r="B7" s="59"/>
      <c r="C7" s="60">
        <v>0.1</v>
      </c>
      <c r="D7" s="51">
        <f t="shared" ref="D7:D38" si="0">C7*$D$39/$C$39</f>
        <v>0.03</v>
      </c>
      <c r="E7" s="51">
        <v>13000</v>
      </c>
      <c r="F7" s="52">
        <f t="shared" ref="F7:F38" si="1">E7/1000*D7</f>
        <v>0.39</v>
      </c>
      <c r="G7" s="62" t="s">
        <v>167</v>
      </c>
      <c r="H7" s="61" t="s">
        <v>168</v>
      </c>
    </row>
    <row r="8" spans="1:13" ht="16.2">
      <c r="A8" s="63" t="s">
        <v>169</v>
      </c>
      <c r="B8" s="64"/>
      <c r="C8" s="65">
        <v>0</v>
      </c>
      <c r="D8" s="51">
        <f t="shared" si="0"/>
        <v>0</v>
      </c>
      <c r="E8" s="64">
        <v>700</v>
      </c>
      <c r="F8" s="52">
        <f t="shared" si="1"/>
        <v>0</v>
      </c>
      <c r="G8" s="62"/>
      <c r="H8" s="61" t="s">
        <v>170</v>
      </c>
    </row>
    <row r="9" spans="1:13" ht="16.2">
      <c r="A9" s="63" t="s">
        <v>171</v>
      </c>
      <c r="B9" s="64"/>
      <c r="C9" s="65">
        <v>0.1</v>
      </c>
      <c r="D9" s="51">
        <f t="shared" si="0"/>
        <v>0.03</v>
      </c>
      <c r="E9" s="64">
        <v>4500</v>
      </c>
      <c r="F9" s="52">
        <f t="shared" si="1"/>
        <v>0.13500000000000001</v>
      </c>
      <c r="G9" s="62"/>
      <c r="H9" s="61" t="s">
        <v>172</v>
      </c>
      <c r="J9" s="55" t="e">
        <f>IF(C9=0," ",VLOOKUP(A9,'[1]AriaMED Formulation - Purespot '!#REF!,12,FALSE))</f>
        <v>#REF!</v>
      </c>
      <c r="K9" s="55" t="e">
        <f>IF(C9=0," ",VLOOKUP(A9,'[1]AriaMED Formulation - Purespot '!#REF!,13,FALSE))</f>
        <v>#REF!</v>
      </c>
      <c r="L9" s="56" t="e">
        <f>IF(C9=0," ",VLOOKUP(A9,'[1]AriaMED Formulation - Purespot '!#REF!,14,FALSE))</f>
        <v>#REF!</v>
      </c>
      <c r="M9" s="57" t="str">
        <f t="shared" ref="M9:M10" si="2">IFERROR(L9*C9," ")</f>
        <v xml:space="preserve"> </v>
      </c>
    </row>
    <row r="10" spans="1:13" ht="16.2">
      <c r="A10" s="50" t="s">
        <v>173</v>
      </c>
      <c r="B10" s="66"/>
      <c r="C10" s="66">
        <v>0.2</v>
      </c>
      <c r="D10" s="51">
        <f t="shared" si="0"/>
        <v>0.06</v>
      </c>
      <c r="E10" s="51">
        <v>750</v>
      </c>
      <c r="F10" s="52">
        <f t="shared" si="1"/>
        <v>4.4999999999999998E-2</v>
      </c>
      <c r="G10" s="67"/>
      <c r="H10" s="61" t="s">
        <v>174</v>
      </c>
      <c r="J10" s="55" t="e">
        <f>IF(C10=0," ",VLOOKUP(A10,'[1]AriaMED Formulation - Purespot '!#REF!,12,FALSE))</f>
        <v>#REF!</v>
      </c>
      <c r="K10" s="55" t="e">
        <f>IF(C10=0," ",VLOOKUP(A10,'[1]AriaMED Formulation - Purespot '!#REF!,13,FALSE))</f>
        <v>#REF!</v>
      </c>
      <c r="L10" s="56" t="e">
        <f>IF(C10=0," ",VLOOKUP(A10,'[1]AriaMED Formulation - Purespot '!#REF!,14,FALSE))</f>
        <v>#REF!</v>
      </c>
      <c r="M10" s="57" t="str">
        <f t="shared" si="2"/>
        <v xml:space="preserve"> </v>
      </c>
    </row>
    <row r="11" spans="1:13" ht="16.2">
      <c r="A11" s="68" t="s">
        <v>175</v>
      </c>
      <c r="B11" s="59"/>
      <c r="C11" s="66">
        <v>0</v>
      </c>
      <c r="D11" s="51">
        <f t="shared" si="0"/>
        <v>0</v>
      </c>
      <c r="E11" s="51">
        <v>8000</v>
      </c>
      <c r="F11" s="52">
        <f t="shared" si="1"/>
        <v>0</v>
      </c>
      <c r="G11" s="62"/>
      <c r="H11" s="69" t="s">
        <v>176</v>
      </c>
    </row>
    <row r="12" spans="1:13" ht="16.2">
      <c r="A12" s="50" t="s">
        <v>177</v>
      </c>
      <c r="B12" s="59"/>
      <c r="C12" s="47">
        <v>0</v>
      </c>
      <c r="D12" s="51">
        <f t="shared" si="0"/>
        <v>0</v>
      </c>
      <c r="E12" s="51">
        <v>1800</v>
      </c>
      <c r="F12" s="52">
        <f t="shared" si="1"/>
        <v>0</v>
      </c>
      <c r="G12" s="62"/>
      <c r="H12" s="61" t="s">
        <v>178</v>
      </c>
    </row>
    <row r="13" spans="1:13" ht="16.2">
      <c r="A13" s="50" t="s">
        <v>179</v>
      </c>
      <c r="B13" s="59">
        <v>10</v>
      </c>
      <c r="C13" s="66">
        <v>1</v>
      </c>
      <c r="D13" s="51">
        <f t="shared" si="0"/>
        <v>0.3</v>
      </c>
      <c r="E13" s="51">
        <v>230</v>
      </c>
      <c r="F13" s="52">
        <f t="shared" si="1"/>
        <v>6.9000000000000006E-2</v>
      </c>
      <c r="G13" s="62"/>
      <c r="H13" s="61" t="s">
        <v>180</v>
      </c>
      <c r="J13" s="55" t="e">
        <f>IF(C13=0," ",VLOOKUP(A13,'[1]AriaMED Formulation - Purespot '!#REF!,12,FALSE))</f>
        <v>#REF!</v>
      </c>
      <c r="K13" s="55" t="e">
        <f>IF(C13=0," ",VLOOKUP(A13,'[1]AriaMED Formulation - Purespot '!#REF!,13,FALSE))</f>
        <v>#REF!</v>
      </c>
      <c r="L13" s="56" t="e">
        <f>IF(C13=0," ",VLOOKUP(A13,'[1]AriaMED Formulation - Purespot '!#REF!,14,FALSE))</f>
        <v>#REF!</v>
      </c>
      <c r="M13" s="57" t="str">
        <f>IFERROR(L13*C13," ")</f>
        <v xml:space="preserve"> </v>
      </c>
    </row>
    <row r="14" spans="1:13" ht="16.2">
      <c r="A14" s="70" t="s">
        <v>181</v>
      </c>
      <c r="B14" s="59"/>
      <c r="C14" s="66">
        <v>1</v>
      </c>
      <c r="D14" s="51">
        <f t="shared" si="0"/>
        <v>0.3</v>
      </c>
      <c r="E14" s="51">
        <v>850</v>
      </c>
      <c r="F14" s="52">
        <f t="shared" si="1"/>
        <v>0.255</v>
      </c>
      <c r="G14" s="62"/>
      <c r="H14" s="61" t="s">
        <v>165</v>
      </c>
    </row>
    <row r="15" spans="1:13" ht="16.2">
      <c r="A15" s="50" t="s">
        <v>182</v>
      </c>
      <c r="B15" s="59"/>
      <c r="C15" s="66">
        <v>0</v>
      </c>
      <c r="D15" s="51">
        <f t="shared" si="0"/>
        <v>0</v>
      </c>
      <c r="E15" s="51">
        <v>1500</v>
      </c>
      <c r="F15" s="52">
        <f t="shared" si="1"/>
        <v>0</v>
      </c>
      <c r="G15" s="62"/>
      <c r="H15" s="61" t="s">
        <v>183</v>
      </c>
      <c r="J15" s="55" t="str">
        <f>IF(C15=0," ",VLOOKUP(A15,'[1]AriaMED Formulation - Purespot '!#REF!,12,FALSE))</f>
        <v xml:space="preserve"> </v>
      </c>
      <c r="K15" s="55" t="str">
        <f>IF(C15=0," ",VLOOKUP(A15,'[1]AriaMED Formulation - Purespot '!#REF!,13,FALSE))</f>
        <v xml:space="preserve"> </v>
      </c>
      <c r="L15" s="56" t="str">
        <f>IF(C15=0," ",VLOOKUP(A15,'[1]AriaMED Formulation - Purespot '!#REF!,14,FALSE))</f>
        <v xml:space="preserve"> </v>
      </c>
      <c r="M15" s="57" t="str">
        <f t="shared" ref="M15:M16" si="3">IFERROR(L15*C15," ")</f>
        <v xml:space="preserve"> </v>
      </c>
    </row>
    <row r="16" spans="1:13" ht="16.2">
      <c r="A16" s="50" t="s">
        <v>184</v>
      </c>
      <c r="B16" s="59"/>
      <c r="C16" s="66">
        <v>0</v>
      </c>
      <c r="D16" s="51">
        <f t="shared" si="0"/>
        <v>0</v>
      </c>
      <c r="E16" s="51">
        <v>1400</v>
      </c>
      <c r="F16" s="52">
        <f t="shared" si="1"/>
        <v>0</v>
      </c>
      <c r="G16" s="62"/>
      <c r="H16" s="61" t="s">
        <v>185</v>
      </c>
      <c r="J16" s="55" t="str">
        <f>IF(C16=0," ",VLOOKUP(A16,'[1]AriaMED Formulation - Purespot '!#REF!,12,FALSE))</f>
        <v xml:space="preserve"> </v>
      </c>
      <c r="K16" s="55" t="str">
        <f>IF(C16=0," ",VLOOKUP(A16,'[1]AriaMED Formulation - Purespot '!#REF!,13,FALSE))</f>
        <v xml:space="preserve"> </v>
      </c>
      <c r="L16" s="56" t="str">
        <f>IF(C16=0," ",VLOOKUP(A16,'[1]AriaMED Formulation - Purespot '!#REF!,14,FALSE))</f>
        <v xml:space="preserve"> </v>
      </c>
      <c r="M16" s="57" t="str">
        <f t="shared" si="3"/>
        <v xml:space="preserve"> </v>
      </c>
    </row>
    <row r="17" spans="1:13" ht="16.2">
      <c r="A17" s="50" t="s">
        <v>186</v>
      </c>
      <c r="B17" s="51"/>
      <c r="C17" s="47">
        <v>0</v>
      </c>
      <c r="D17" s="51">
        <f t="shared" si="0"/>
        <v>0</v>
      </c>
      <c r="E17" s="51">
        <v>650</v>
      </c>
      <c r="F17" s="52">
        <f t="shared" si="1"/>
        <v>0</v>
      </c>
      <c r="G17" s="62"/>
      <c r="H17" s="61" t="s">
        <v>187</v>
      </c>
    </row>
    <row r="18" spans="1:13" ht="16.2">
      <c r="A18" s="50" t="s">
        <v>188</v>
      </c>
      <c r="B18" s="51"/>
      <c r="C18" s="47">
        <v>0</v>
      </c>
      <c r="D18" s="51">
        <f t="shared" si="0"/>
        <v>0</v>
      </c>
      <c r="E18" s="51">
        <v>400</v>
      </c>
      <c r="F18" s="52">
        <f t="shared" si="1"/>
        <v>0</v>
      </c>
      <c r="G18" s="62"/>
      <c r="H18" s="61" t="s">
        <v>189</v>
      </c>
      <c r="J18" s="55" t="str">
        <f>IF(C18=0," ",VLOOKUP(A18,'[1]AriaMED Formulation - Purespot '!#REF!,12,FALSE))</f>
        <v xml:space="preserve"> </v>
      </c>
      <c r="K18" s="55" t="str">
        <f>IF(C18=0," ",VLOOKUP(A18,'[1]AriaMED Formulation - Purespot '!#REF!,13,FALSE))</f>
        <v xml:space="preserve"> </v>
      </c>
      <c r="L18" s="56" t="str">
        <f>IF(C18=0," ",VLOOKUP(A18,'[1]AriaMED Formulation - Purespot '!#REF!,14,FALSE))</f>
        <v xml:space="preserve"> </v>
      </c>
      <c r="M18" s="57" t="str">
        <f>IFERROR(L18*C18," ")</f>
        <v xml:space="preserve"> </v>
      </c>
    </row>
    <row r="19" spans="1:13" ht="16.2">
      <c r="A19" s="50" t="s">
        <v>190</v>
      </c>
      <c r="B19" s="51"/>
      <c r="C19" s="47">
        <v>1</v>
      </c>
      <c r="D19" s="51">
        <f t="shared" si="0"/>
        <v>0.3</v>
      </c>
      <c r="E19" s="51">
        <v>100</v>
      </c>
      <c r="F19" s="52">
        <f t="shared" si="1"/>
        <v>0.03</v>
      </c>
      <c r="G19" s="62"/>
      <c r="H19" s="61" t="s">
        <v>191</v>
      </c>
    </row>
    <row r="20" spans="1:13" ht="16.2">
      <c r="A20" s="50" t="s">
        <v>192</v>
      </c>
      <c r="B20" s="59"/>
      <c r="C20" s="66">
        <v>0</v>
      </c>
      <c r="D20" s="51">
        <f t="shared" si="0"/>
        <v>0</v>
      </c>
      <c r="E20" s="51">
        <v>250</v>
      </c>
      <c r="F20" s="52">
        <f t="shared" si="1"/>
        <v>0</v>
      </c>
      <c r="G20" s="62" t="s">
        <v>193</v>
      </c>
      <c r="H20" s="61" t="s">
        <v>191</v>
      </c>
      <c r="J20" s="55" t="str">
        <f>IF(C20=0," ",VLOOKUP(A20,'[1]AriaMED Formulation - Purespot '!#REF!,12,FALSE))</f>
        <v xml:space="preserve"> </v>
      </c>
      <c r="K20" s="55" t="str">
        <f>IF(C20=0," ",VLOOKUP(A20,'[1]AriaMED Formulation - Purespot '!#REF!,13,FALSE))</f>
        <v xml:space="preserve"> </v>
      </c>
      <c r="L20" s="56" t="str">
        <f>IF(C20=0," ",VLOOKUP(A20,'[1]AriaMED Formulation - Purespot '!#REF!,14,FALSE))</f>
        <v xml:space="preserve"> </v>
      </c>
      <c r="M20" s="57" t="str">
        <f>IFERROR(L20*C20," ")</f>
        <v xml:space="preserve"> </v>
      </c>
    </row>
    <row r="21" spans="1:13" ht="16.2">
      <c r="A21" s="50" t="s">
        <v>194</v>
      </c>
      <c r="B21" s="59"/>
      <c r="C21" s="66">
        <v>0</v>
      </c>
      <c r="D21" s="51">
        <f t="shared" si="0"/>
        <v>0</v>
      </c>
      <c r="E21" s="51">
        <v>1100</v>
      </c>
      <c r="F21" s="52">
        <f t="shared" si="1"/>
        <v>0</v>
      </c>
      <c r="G21" s="62"/>
      <c r="H21" s="61" t="s">
        <v>195</v>
      </c>
    </row>
    <row r="22" spans="1:13" ht="16.2">
      <c r="A22" s="71" t="s">
        <v>196</v>
      </c>
      <c r="B22" s="72"/>
      <c r="C22" s="66">
        <v>0</v>
      </c>
      <c r="D22" s="51">
        <f t="shared" si="0"/>
        <v>0</v>
      </c>
      <c r="E22" s="51">
        <v>1400</v>
      </c>
      <c r="F22" s="52">
        <f t="shared" si="1"/>
        <v>0</v>
      </c>
      <c r="G22" s="62"/>
      <c r="H22" s="61" t="s">
        <v>197</v>
      </c>
    </row>
    <row r="23" spans="1:13" ht="16.2">
      <c r="A23" s="58" t="s">
        <v>198</v>
      </c>
      <c r="B23" s="73"/>
      <c r="C23" s="74">
        <v>0</v>
      </c>
      <c r="D23" s="51">
        <f t="shared" si="0"/>
        <v>0</v>
      </c>
      <c r="E23" s="73">
        <v>1200</v>
      </c>
      <c r="F23" s="52">
        <f t="shared" si="1"/>
        <v>0</v>
      </c>
      <c r="G23" s="43"/>
      <c r="H23" s="75" t="s">
        <v>199</v>
      </c>
    </row>
    <row r="24" spans="1:13" ht="16.2">
      <c r="A24" s="68" t="s">
        <v>200</v>
      </c>
      <c r="B24" s="76"/>
      <c r="C24" s="54">
        <v>0</v>
      </c>
      <c r="D24" s="51">
        <f t="shared" si="0"/>
        <v>0</v>
      </c>
      <c r="E24" s="51">
        <v>680</v>
      </c>
      <c r="F24" s="52">
        <f t="shared" si="1"/>
        <v>0</v>
      </c>
      <c r="G24" s="43"/>
      <c r="H24" s="61" t="s">
        <v>201</v>
      </c>
    </row>
    <row r="25" spans="1:13" ht="16.2">
      <c r="A25" s="58" t="s">
        <v>202</v>
      </c>
      <c r="B25" s="73"/>
      <c r="C25" s="74">
        <v>0</v>
      </c>
      <c r="D25" s="51">
        <f t="shared" si="0"/>
        <v>0</v>
      </c>
      <c r="E25" s="73">
        <v>3000</v>
      </c>
      <c r="F25" s="52">
        <f t="shared" si="1"/>
        <v>0</v>
      </c>
      <c r="G25" s="43"/>
      <c r="H25" s="75" t="s">
        <v>203</v>
      </c>
    </row>
    <row r="26" spans="1:13" ht="16.2">
      <c r="A26" s="58" t="s">
        <v>204</v>
      </c>
      <c r="B26" s="76"/>
      <c r="C26" s="54">
        <v>0</v>
      </c>
      <c r="D26" s="51">
        <f t="shared" si="0"/>
        <v>0</v>
      </c>
      <c r="E26" s="51">
        <v>1500</v>
      </c>
      <c r="F26" s="52">
        <f t="shared" si="1"/>
        <v>0</v>
      </c>
      <c r="G26" s="43"/>
      <c r="H26" s="61" t="s">
        <v>205</v>
      </c>
    </row>
    <row r="27" spans="1:13" ht="16.2">
      <c r="A27" s="58">
        <v>9832</v>
      </c>
      <c r="B27" s="51"/>
      <c r="C27" s="47">
        <v>0</v>
      </c>
      <c r="D27" s="51">
        <f t="shared" si="0"/>
        <v>0</v>
      </c>
      <c r="E27" s="51">
        <v>2300</v>
      </c>
      <c r="F27" s="52">
        <f t="shared" si="1"/>
        <v>0</v>
      </c>
      <c r="G27" s="43"/>
      <c r="H27" s="61" t="s">
        <v>206</v>
      </c>
    </row>
    <row r="28" spans="1:13" ht="16.2">
      <c r="A28" s="77" t="s">
        <v>207</v>
      </c>
      <c r="B28" s="76"/>
      <c r="C28" s="78">
        <v>0</v>
      </c>
      <c r="D28" s="51">
        <f t="shared" si="0"/>
        <v>0</v>
      </c>
      <c r="E28" s="51">
        <v>700</v>
      </c>
      <c r="F28" s="52">
        <f t="shared" si="1"/>
        <v>0</v>
      </c>
      <c r="G28" s="43"/>
      <c r="H28" s="61" t="s">
        <v>180</v>
      </c>
    </row>
    <row r="29" spans="1:13" ht="16.2">
      <c r="A29" s="79" t="s">
        <v>208</v>
      </c>
      <c r="B29" s="80"/>
      <c r="C29" s="60">
        <v>0</v>
      </c>
      <c r="D29" s="51">
        <f t="shared" si="0"/>
        <v>0</v>
      </c>
      <c r="E29" s="81">
        <v>600</v>
      </c>
      <c r="F29" s="52">
        <f t="shared" si="1"/>
        <v>0</v>
      </c>
      <c r="G29" s="43"/>
      <c r="H29" s="61" t="s">
        <v>209</v>
      </c>
      <c r="J29" s="55" t="str">
        <f>IF(C29=0," ",VLOOKUP(A29,'[1]AriaMED Formulation - Purespot '!#REF!,12,FALSE))</f>
        <v xml:space="preserve"> </v>
      </c>
      <c r="K29" s="55" t="str">
        <f>IF(C29=0," ",VLOOKUP(A29,'[1]AriaMED Formulation - Purespot '!#REF!,13,FALSE))</f>
        <v xml:space="preserve"> </v>
      </c>
      <c r="L29" s="56" t="str">
        <f>IF(C29=0," ",VLOOKUP(A29,'[1]AriaMED Formulation - Purespot '!#REF!,14,FALSE))</f>
        <v xml:space="preserve"> </v>
      </c>
      <c r="M29" s="57" t="str">
        <f t="shared" ref="M29:M31" si="4">IFERROR(L29*C29," ")</f>
        <v xml:space="preserve"> </v>
      </c>
    </row>
    <row r="30" spans="1:13" ht="16.2">
      <c r="A30" s="94" t="s">
        <v>387</v>
      </c>
      <c r="B30" s="66"/>
      <c r="C30" s="78">
        <v>5</v>
      </c>
      <c r="D30" s="51">
        <f t="shared" si="0"/>
        <v>1.5</v>
      </c>
      <c r="E30" s="51">
        <f>EN!F31*7</f>
        <v>3498.25</v>
      </c>
      <c r="F30" s="52">
        <f t="shared" si="1"/>
        <v>5.2473749999999999</v>
      </c>
      <c r="G30" s="43"/>
      <c r="H30" s="61" t="s">
        <v>189</v>
      </c>
      <c r="J30" s="55" t="e">
        <f>IF(C30=0," ",VLOOKUP(A30,'[1]AriaMED Formulation - Purespot '!#REF!,12,FALSE))</f>
        <v>#REF!</v>
      </c>
      <c r="K30" s="55" t="e">
        <f>IF(C30=0," ",VLOOKUP(A30,'[1]AriaMED Formulation - Purespot '!#REF!,13,FALSE))</f>
        <v>#REF!</v>
      </c>
      <c r="L30" s="56" t="e">
        <f>IF(C30=0," ",VLOOKUP(A30,'[1]AriaMED Formulation - Purespot '!#REF!,14,FALSE))</f>
        <v>#REF!</v>
      </c>
      <c r="M30" s="57" t="str">
        <f t="shared" si="4"/>
        <v xml:space="preserve"> </v>
      </c>
    </row>
    <row r="31" spans="1:13" ht="16.2">
      <c r="A31" s="50" t="s">
        <v>210</v>
      </c>
      <c r="B31" s="66">
        <v>0.9</v>
      </c>
      <c r="C31" s="78">
        <v>0</v>
      </c>
      <c r="D31" s="51">
        <f t="shared" si="0"/>
        <v>0</v>
      </c>
      <c r="E31" s="51">
        <v>2800</v>
      </c>
      <c r="F31" s="52">
        <f t="shared" si="1"/>
        <v>0</v>
      </c>
      <c r="G31" s="43"/>
      <c r="H31" s="61" t="s">
        <v>211</v>
      </c>
      <c r="J31" s="55" t="str">
        <f>IF(C31=0," ",VLOOKUP(A31,'[1]AriaMED Formulation - Purespot '!#REF!,12,FALSE))</f>
        <v xml:space="preserve"> </v>
      </c>
      <c r="K31" s="55" t="str">
        <f>IF(C31=0," ",VLOOKUP(A31,'[1]AriaMED Formulation - Purespot '!#REF!,13,FALSE))</f>
        <v xml:space="preserve"> </v>
      </c>
      <c r="L31" s="56" t="str">
        <f>IF(C31=0," ",VLOOKUP(A31,'[1]AriaMED Formulation - Purespot '!#REF!,14,FALSE))</f>
        <v xml:space="preserve"> </v>
      </c>
      <c r="M31" s="57" t="str">
        <f t="shared" si="4"/>
        <v xml:space="preserve"> </v>
      </c>
    </row>
    <row r="32" spans="1:13" ht="16.2">
      <c r="A32" s="50" t="s">
        <v>212</v>
      </c>
      <c r="B32" s="59"/>
      <c r="C32" s="66">
        <v>0</v>
      </c>
      <c r="D32" s="51">
        <f t="shared" si="0"/>
        <v>0</v>
      </c>
      <c r="E32" s="51">
        <v>900</v>
      </c>
      <c r="F32" s="52">
        <f t="shared" si="1"/>
        <v>0</v>
      </c>
      <c r="G32" s="43"/>
      <c r="H32" s="61" t="s">
        <v>213</v>
      </c>
    </row>
    <row r="33" spans="1:13" ht="16.2">
      <c r="A33" s="58" t="s">
        <v>214</v>
      </c>
      <c r="B33" s="73"/>
      <c r="C33" s="74">
        <v>0</v>
      </c>
      <c r="D33" s="51">
        <f t="shared" si="0"/>
        <v>0</v>
      </c>
      <c r="E33" s="73">
        <v>800</v>
      </c>
      <c r="F33" s="52">
        <f t="shared" si="1"/>
        <v>0</v>
      </c>
      <c r="G33" s="43"/>
      <c r="H33" s="61" t="s">
        <v>183</v>
      </c>
      <c r="J33" s="55" t="str">
        <f>IF(C33=0," ",VLOOKUP(A33,'[1]AriaMED Formulation - Purespot '!#REF!,12,FALSE))</f>
        <v xml:space="preserve"> </v>
      </c>
      <c r="K33" s="55" t="str">
        <f>IF(C33=0," ",VLOOKUP(A33,'[1]AriaMED Formulation - Purespot '!#REF!,13,FALSE))</f>
        <v xml:space="preserve"> </v>
      </c>
      <c r="L33" s="56" t="str">
        <f>IF(C33=0," ",VLOOKUP(A33,'[1]AriaMED Formulation - Purespot '!#REF!,14,FALSE))</f>
        <v xml:space="preserve"> </v>
      </c>
      <c r="M33" s="57" t="str">
        <f>IFERROR(L33*C33," ")</f>
        <v xml:space="preserve"> </v>
      </c>
    </row>
    <row r="34" spans="1:13" ht="16.2">
      <c r="A34" s="50" t="s">
        <v>215</v>
      </c>
      <c r="B34" s="82"/>
      <c r="C34" s="66">
        <v>0</v>
      </c>
      <c r="D34" s="51">
        <f t="shared" si="0"/>
        <v>0</v>
      </c>
      <c r="E34" s="51">
        <v>310</v>
      </c>
      <c r="F34" s="52">
        <f t="shared" si="1"/>
        <v>0</v>
      </c>
      <c r="G34" s="43"/>
      <c r="H34" s="61" t="s">
        <v>191</v>
      </c>
    </row>
    <row r="35" spans="1:13" ht="16.2">
      <c r="A35" s="58" t="s">
        <v>216</v>
      </c>
      <c r="B35" s="76"/>
      <c r="C35" s="54">
        <v>0</v>
      </c>
      <c r="D35" s="51">
        <f t="shared" si="0"/>
        <v>0</v>
      </c>
      <c r="E35" s="51">
        <v>650</v>
      </c>
      <c r="F35" s="52">
        <f t="shared" si="1"/>
        <v>0</v>
      </c>
      <c r="G35" s="62"/>
      <c r="H35" s="83" t="s">
        <v>217</v>
      </c>
    </row>
    <row r="36" spans="1:13" ht="16.2">
      <c r="A36" s="58" t="s">
        <v>218</v>
      </c>
      <c r="B36" s="76"/>
      <c r="C36" s="54">
        <v>0</v>
      </c>
      <c r="D36" s="51">
        <f t="shared" si="0"/>
        <v>0</v>
      </c>
      <c r="E36" s="51">
        <v>100</v>
      </c>
      <c r="F36" s="52">
        <f t="shared" si="1"/>
        <v>0</v>
      </c>
      <c r="G36" s="62"/>
      <c r="H36" s="61"/>
    </row>
    <row r="37" spans="1:13" ht="16.2">
      <c r="A37" s="50" t="s">
        <v>219</v>
      </c>
      <c r="B37" s="84"/>
      <c r="C37" s="66">
        <v>1.2</v>
      </c>
      <c r="D37" s="51">
        <f t="shared" si="0"/>
        <v>0.36</v>
      </c>
      <c r="E37" s="51">
        <v>350</v>
      </c>
      <c r="F37" s="52">
        <f t="shared" si="1"/>
        <v>0.126</v>
      </c>
      <c r="G37" s="53" t="s">
        <v>220</v>
      </c>
      <c r="H37" s="61" t="s">
        <v>221</v>
      </c>
      <c r="J37" s="55" t="e">
        <f>IF(C37=0," ",VLOOKUP(A37,'[1]AriaMED Formulation - Purespot '!#REF!,12,FALSE))</f>
        <v>#REF!</v>
      </c>
      <c r="K37" s="55" t="e">
        <f>IF(C37=0," ",VLOOKUP(A37,'[1]AriaMED Formulation - Purespot '!#REF!,13,FALSE))</f>
        <v>#REF!</v>
      </c>
      <c r="L37" s="56" t="e">
        <f>IF(C37=0," ",VLOOKUP(A37,'[1]AriaMED Formulation - Purespot '!#REF!,14,FALSE))</f>
        <v>#REF!</v>
      </c>
      <c r="M37" s="57" t="str">
        <f t="shared" ref="M37:M38" si="5">IFERROR(L37*C37," ")</f>
        <v xml:space="preserve"> </v>
      </c>
    </row>
    <row r="38" spans="1:13" ht="16.2">
      <c r="A38" s="50" t="s">
        <v>222</v>
      </c>
      <c r="B38" s="66"/>
      <c r="C38" s="66">
        <v>0</v>
      </c>
      <c r="D38" s="51">
        <f t="shared" si="0"/>
        <v>0</v>
      </c>
      <c r="E38" s="51">
        <v>12000</v>
      </c>
      <c r="F38" s="52">
        <f t="shared" si="1"/>
        <v>0</v>
      </c>
      <c r="G38" s="67"/>
      <c r="H38" s="61" t="s">
        <v>223</v>
      </c>
      <c r="J38" s="55" t="str">
        <f>IF(C38=0," ",VLOOKUP(A38,'[1]AriaMED Formulation - Purespot '!#REF!,12,FALSE))</f>
        <v xml:space="preserve"> </v>
      </c>
      <c r="K38" s="55" t="str">
        <f>IF(C38=0," ",VLOOKUP(A38,'[1]AriaMED Formulation - Purespot '!#REF!,13,FALSE))</f>
        <v xml:space="preserve"> </v>
      </c>
      <c r="L38" s="56" t="str">
        <f>IF(C38=0," ",VLOOKUP(A38,'[1]AriaMED Formulation - Purespot '!#REF!,14,FALSE))</f>
        <v xml:space="preserve"> </v>
      </c>
      <c r="M38" s="57" t="str">
        <f t="shared" si="5"/>
        <v xml:space="preserve"> </v>
      </c>
    </row>
    <row r="39" spans="1:13" ht="16.2">
      <c r="A39" s="51"/>
      <c r="B39" s="51"/>
      <c r="C39" s="47">
        <f>SUM(C5:C38)</f>
        <v>100</v>
      </c>
      <c r="D39" s="65">
        <v>30</v>
      </c>
      <c r="E39" s="51"/>
      <c r="F39" s="85">
        <f>SUM(F5:F38)</f>
        <v>6.5148150000000005</v>
      </c>
      <c r="G39" s="67"/>
      <c r="H39" s="86"/>
    </row>
    <row r="40" spans="1:13" ht="16.2">
      <c r="A40" s="87"/>
      <c r="B40" s="87"/>
      <c r="C40" s="46"/>
      <c r="D40" s="87"/>
      <c r="E40" s="87"/>
      <c r="F40" s="88"/>
      <c r="G40" s="43"/>
      <c r="H40" s="87"/>
    </row>
    <row r="41" spans="1:13" ht="16.2">
      <c r="A41" s="89" t="s">
        <v>224</v>
      </c>
      <c r="B41" s="90"/>
      <c r="C41" s="90"/>
      <c r="D41" s="90"/>
      <c r="E41" s="90"/>
      <c r="F41" s="91"/>
      <c r="G41" s="87"/>
      <c r="H41" s="90"/>
    </row>
    <row r="42" spans="1:13">
      <c r="A42" s="91" t="s">
        <v>225</v>
      </c>
      <c r="B42" s="90"/>
      <c r="C42" s="90"/>
      <c r="D42" s="90"/>
      <c r="E42" s="90"/>
      <c r="F42" s="90"/>
      <c r="G42" s="90"/>
      <c r="H42" s="90"/>
    </row>
    <row r="43" spans="1:13">
      <c r="A43" s="90" t="s">
        <v>226</v>
      </c>
      <c r="B43" s="90"/>
      <c r="C43" s="90"/>
      <c r="D43" s="90"/>
      <c r="E43" s="90"/>
      <c r="F43" s="90"/>
      <c r="G43" s="90"/>
      <c r="H43" s="90"/>
    </row>
    <row r="44" spans="1:13">
      <c r="A44" s="90" t="s">
        <v>227</v>
      </c>
      <c r="B44" s="90"/>
      <c r="C44" s="90"/>
      <c r="D44" s="90"/>
      <c r="E44" s="90"/>
      <c r="F44" s="90"/>
      <c r="G44" s="90"/>
      <c r="H44" s="90"/>
    </row>
  </sheetData>
  <autoFilter ref="A4:H4" xr:uid="{9E27987C-F47D-4C68-A6B3-E5FD8AF96F6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D6F10-2E2D-4DC4-AD23-D79CE16B2651}">
  <sheetPr>
    <tabColor rgb="FFFFFF00"/>
  </sheetPr>
  <dimension ref="A1:M44"/>
  <sheetViews>
    <sheetView topLeftCell="A28" workbookViewId="0">
      <selection activeCell="E43" sqref="E43"/>
    </sheetView>
  </sheetViews>
  <sheetFormatPr defaultRowHeight="14.4"/>
  <cols>
    <col min="1" max="1" width="33.77734375" customWidth="1"/>
    <col min="8" max="8" width="21.33203125" customWidth="1"/>
  </cols>
  <sheetData>
    <row r="1" spans="1:13" ht="20.399999999999999">
      <c r="A1" s="40"/>
      <c r="B1" s="41" t="s">
        <v>149</v>
      </c>
      <c r="C1" s="42"/>
      <c r="D1" s="40"/>
      <c r="E1" s="40"/>
      <c r="F1" s="40"/>
      <c r="G1" s="43"/>
      <c r="H1" s="40"/>
    </row>
    <row r="2" spans="1:13" ht="18">
      <c r="A2" s="44" t="s">
        <v>150</v>
      </c>
      <c r="B2" s="44"/>
      <c r="C2" s="44"/>
      <c r="D2" s="44" t="s">
        <v>151</v>
      </c>
      <c r="E2" s="40"/>
      <c r="F2" s="40"/>
      <c r="G2" s="43"/>
      <c r="H2" s="40"/>
    </row>
    <row r="3" spans="1:13" ht="18">
      <c r="A3" s="44" t="s">
        <v>152</v>
      </c>
      <c r="B3" s="45"/>
      <c r="C3" s="46"/>
      <c r="D3" s="44" t="s">
        <v>153</v>
      </c>
      <c r="E3" s="40"/>
      <c r="F3" s="40"/>
      <c r="G3" s="43"/>
      <c r="H3" s="40"/>
    </row>
    <row r="4" spans="1:13" ht="15.6">
      <c r="A4" s="47" t="s">
        <v>154</v>
      </c>
      <c r="B4" s="47" t="s">
        <v>155</v>
      </c>
      <c r="C4" s="48" t="s">
        <v>156</v>
      </c>
      <c r="D4" s="48" t="s">
        <v>157</v>
      </c>
      <c r="E4" s="48" t="s">
        <v>158</v>
      </c>
      <c r="F4" s="48" t="s">
        <v>159</v>
      </c>
      <c r="G4" s="48" t="s">
        <v>160</v>
      </c>
      <c r="H4" s="49" t="s">
        <v>161</v>
      </c>
    </row>
    <row r="5" spans="1:13" ht="16.2">
      <c r="A5" s="50" t="s">
        <v>162</v>
      </c>
      <c r="B5" s="51"/>
      <c r="C5" s="47">
        <f>100-SUM(C6:C38)</f>
        <v>81.400000000000006</v>
      </c>
      <c r="D5" s="51">
        <f>C5*$D$39/$C$39</f>
        <v>24.42</v>
      </c>
      <c r="E5" s="51">
        <f>19/4.5</f>
        <v>4.2222222222222223</v>
      </c>
      <c r="F5" s="52">
        <f>E5/1000*D5</f>
        <v>0.10310666666666668</v>
      </c>
      <c r="G5" s="53" t="s">
        <v>163</v>
      </c>
      <c r="H5" s="54"/>
      <c r="J5" s="55" t="e">
        <f>IF(C5=0," ",VLOOKUP(A5,'[1]AriaMED Formulation - Purespot '!#REF!,12,FALSE))</f>
        <v>#REF!</v>
      </c>
      <c r="K5" s="55" t="e">
        <f>IF(C5=0," ",VLOOKUP(A5,'[1]AriaMED Formulation - Purespot '!#REF!,13,FALSE))</f>
        <v>#REF!</v>
      </c>
      <c r="L5" s="56" t="e">
        <f>IF(C5=0," ",VLOOKUP(A5,'[1]AriaMED Formulation - Purespot '!#REF!,14,FALSE))</f>
        <v>#REF!</v>
      </c>
      <c r="M5" s="57" t="str">
        <f>IFERROR(L5*C5," ")</f>
        <v xml:space="preserve"> </v>
      </c>
    </row>
    <row r="6" spans="1:13" ht="16.2">
      <c r="A6" s="58" t="s">
        <v>164</v>
      </c>
      <c r="B6" s="59"/>
      <c r="C6" s="60">
        <v>4</v>
      </c>
      <c r="D6" s="51">
        <f>C6*$D$39/$C$39</f>
        <v>1.2</v>
      </c>
      <c r="E6" s="51">
        <v>90</v>
      </c>
      <c r="F6" s="52">
        <f>E6/1000*D6</f>
        <v>0.108</v>
      </c>
      <c r="G6" s="53"/>
      <c r="H6" s="61" t="s">
        <v>165</v>
      </c>
      <c r="J6" s="55" t="e">
        <f>IF(C6=0," ",VLOOKUP(A6,'[1]AriaMED Formulation - Purespot '!#REF!,12,FALSE))</f>
        <v>#REF!</v>
      </c>
      <c r="K6" s="55" t="e">
        <f>IF(C6=0," ",VLOOKUP(A6,'[1]AriaMED Formulation - Purespot '!#REF!,13,FALSE))</f>
        <v>#REF!</v>
      </c>
      <c r="L6" s="56" t="e">
        <f>IF(C6=0," ",VLOOKUP(A6,'[1]AriaMED Formulation - Purespot '!#REF!,14,FALSE))</f>
        <v>#REF!</v>
      </c>
      <c r="M6" s="57" t="str">
        <f>IFERROR(L6*C6," ")</f>
        <v xml:space="preserve"> </v>
      </c>
    </row>
    <row r="7" spans="1:13" ht="16.2">
      <c r="A7" s="58" t="s">
        <v>166</v>
      </c>
      <c r="B7" s="59"/>
      <c r="C7" s="60">
        <v>0.1</v>
      </c>
      <c r="D7" s="51">
        <f t="shared" ref="D7:D38" si="0">C7*$D$39/$C$39</f>
        <v>0.03</v>
      </c>
      <c r="E7" s="51">
        <v>13000</v>
      </c>
      <c r="F7" s="52">
        <f t="shared" ref="F7:F38" si="1">E7/1000*D7</f>
        <v>0.39</v>
      </c>
      <c r="G7" s="62" t="s">
        <v>167</v>
      </c>
      <c r="H7" s="61" t="s">
        <v>168</v>
      </c>
    </row>
    <row r="8" spans="1:13" ht="16.2">
      <c r="A8" s="63" t="s">
        <v>169</v>
      </c>
      <c r="B8" s="64"/>
      <c r="C8" s="65">
        <v>0</v>
      </c>
      <c r="D8" s="51">
        <f t="shared" si="0"/>
        <v>0</v>
      </c>
      <c r="E8" s="64">
        <v>700</v>
      </c>
      <c r="F8" s="52">
        <f t="shared" si="1"/>
        <v>0</v>
      </c>
      <c r="G8" s="62"/>
      <c r="H8" s="61" t="s">
        <v>170</v>
      </c>
    </row>
    <row r="9" spans="1:13" ht="16.2">
      <c r="A9" s="63" t="s">
        <v>171</v>
      </c>
      <c r="B9" s="64"/>
      <c r="C9" s="65">
        <v>0.1</v>
      </c>
      <c r="D9" s="51">
        <f t="shared" si="0"/>
        <v>0.03</v>
      </c>
      <c r="E9" s="64">
        <v>4500</v>
      </c>
      <c r="F9" s="52">
        <f t="shared" si="1"/>
        <v>0.13500000000000001</v>
      </c>
      <c r="G9" s="62"/>
      <c r="H9" s="61" t="s">
        <v>172</v>
      </c>
      <c r="J9" s="55" t="e">
        <f>IF(C9=0," ",VLOOKUP(A9,'[1]AriaMED Formulation - Purespot '!#REF!,12,FALSE))</f>
        <v>#REF!</v>
      </c>
      <c r="K9" s="55" t="e">
        <f>IF(C9=0," ",VLOOKUP(A9,'[1]AriaMED Formulation - Purespot '!#REF!,13,FALSE))</f>
        <v>#REF!</v>
      </c>
      <c r="L9" s="56" t="e">
        <f>IF(C9=0," ",VLOOKUP(A9,'[1]AriaMED Formulation - Purespot '!#REF!,14,FALSE))</f>
        <v>#REF!</v>
      </c>
      <c r="M9" s="57" t="str">
        <f t="shared" ref="M9:M10" si="2">IFERROR(L9*C9," ")</f>
        <v xml:space="preserve"> </v>
      </c>
    </row>
    <row r="10" spans="1:13" ht="16.2">
      <c r="A10" s="50" t="s">
        <v>173</v>
      </c>
      <c r="B10" s="66"/>
      <c r="C10" s="66">
        <v>0.2</v>
      </c>
      <c r="D10" s="51">
        <f t="shared" si="0"/>
        <v>0.06</v>
      </c>
      <c r="E10" s="51">
        <v>750</v>
      </c>
      <c r="F10" s="52">
        <f t="shared" si="1"/>
        <v>4.4999999999999998E-2</v>
      </c>
      <c r="G10" s="67"/>
      <c r="H10" s="61" t="s">
        <v>174</v>
      </c>
      <c r="J10" s="55" t="e">
        <f>IF(C10=0," ",VLOOKUP(A10,'[1]AriaMED Formulation - Purespot '!#REF!,12,FALSE))</f>
        <v>#REF!</v>
      </c>
      <c r="K10" s="55" t="e">
        <f>IF(C10=0," ",VLOOKUP(A10,'[1]AriaMED Formulation - Purespot '!#REF!,13,FALSE))</f>
        <v>#REF!</v>
      </c>
      <c r="L10" s="56" t="e">
        <f>IF(C10=0," ",VLOOKUP(A10,'[1]AriaMED Formulation - Purespot '!#REF!,14,FALSE))</f>
        <v>#REF!</v>
      </c>
      <c r="M10" s="57" t="str">
        <f t="shared" si="2"/>
        <v xml:space="preserve"> </v>
      </c>
    </row>
    <row r="11" spans="1:13" ht="16.2">
      <c r="A11" s="68" t="s">
        <v>175</v>
      </c>
      <c r="B11" s="59"/>
      <c r="C11" s="66">
        <v>0</v>
      </c>
      <c r="D11" s="51">
        <f t="shared" si="0"/>
        <v>0</v>
      </c>
      <c r="E11" s="51">
        <v>8000</v>
      </c>
      <c r="F11" s="52">
        <f t="shared" si="1"/>
        <v>0</v>
      </c>
      <c r="G11" s="62"/>
      <c r="H11" s="69" t="s">
        <v>176</v>
      </c>
    </row>
    <row r="12" spans="1:13" ht="16.2">
      <c r="A12" s="50" t="s">
        <v>177</v>
      </c>
      <c r="B12" s="59"/>
      <c r="C12" s="47">
        <v>0</v>
      </c>
      <c r="D12" s="51">
        <f t="shared" si="0"/>
        <v>0</v>
      </c>
      <c r="E12" s="51">
        <v>1800</v>
      </c>
      <c r="F12" s="52">
        <f t="shared" si="1"/>
        <v>0</v>
      </c>
      <c r="G12" s="62"/>
      <c r="H12" s="61" t="s">
        <v>178</v>
      </c>
    </row>
    <row r="13" spans="1:13" ht="16.2">
      <c r="A13" s="50" t="s">
        <v>179</v>
      </c>
      <c r="B13" s="59">
        <v>10</v>
      </c>
      <c r="C13" s="66">
        <v>1</v>
      </c>
      <c r="D13" s="51">
        <f t="shared" si="0"/>
        <v>0.3</v>
      </c>
      <c r="E13" s="51">
        <v>230</v>
      </c>
      <c r="F13" s="52">
        <f t="shared" si="1"/>
        <v>6.9000000000000006E-2</v>
      </c>
      <c r="G13" s="62"/>
      <c r="H13" s="61" t="s">
        <v>180</v>
      </c>
      <c r="J13" s="55" t="e">
        <f>IF(C13=0," ",VLOOKUP(A13,'[1]AriaMED Formulation - Purespot '!#REF!,12,FALSE))</f>
        <v>#REF!</v>
      </c>
      <c r="K13" s="55" t="e">
        <f>IF(C13=0," ",VLOOKUP(A13,'[1]AriaMED Formulation - Purespot '!#REF!,13,FALSE))</f>
        <v>#REF!</v>
      </c>
      <c r="L13" s="56" t="e">
        <f>IF(C13=0," ",VLOOKUP(A13,'[1]AriaMED Formulation - Purespot '!#REF!,14,FALSE))</f>
        <v>#REF!</v>
      </c>
      <c r="M13" s="57" t="str">
        <f>IFERROR(L13*C13," ")</f>
        <v xml:space="preserve"> </v>
      </c>
    </row>
    <row r="14" spans="1:13" ht="16.2">
      <c r="A14" s="70" t="s">
        <v>181</v>
      </c>
      <c r="B14" s="59"/>
      <c r="C14" s="66">
        <v>1</v>
      </c>
      <c r="D14" s="51">
        <f t="shared" si="0"/>
        <v>0.3</v>
      </c>
      <c r="E14" s="51">
        <v>850</v>
      </c>
      <c r="F14" s="52">
        <f t="shared" si="1"/>
        <v>0.255</v>
      </c>
      <c r="G14" s="62"/>
      <c r="H14" s="61" t="s">
        <v>165</v>
      </c>
    </row>
    <row r="15" spans="1:13" ht="16.2">
      <c r="A15" s="50" t="s">
        <v>182</v>
      </c>
      <c r="B15" s="59"/>
      <c r="C15" s="66">
        <v>0</v>
      </c>
      <c r="D15" s="51">
        <f t="shared" si="0"/>
        <v>0</v>
      </c>
      <c r="E15" s="51">
        <v>1500</v>
      </c>
      <c r="F15" s="52">
        <f t="shared" si="1"/>
        <v>0</v>
      </c>
      <c r="G15" s="62"/>
      <c r="H15" s="61" t="s">
        <v>183</v>
      </c>
      <c r="J15" s="55" t="str">
        <f>IF(C15=0," ",VLOOKUP(A15,'[1]AriaMED Formulation - Purespot '!#REF!,12,FALSE))</f>
        <v xml:space="preserve"> </v>
      </c>
      <c r="K15" s="55" t="str">
        <f>IF(C15=0," ",VLOOKUP(A15,'[1]AriaMED Formulation - Purespot '!#REF!,13,FALSE))</f>
        <v xml:space="preserve"> </v>
      </c>
      <c r="L15" s="56" t="str">
        <f>IF(C15=0," ",VLOOKUP(A15,'[1]AriaMED Formulation - Purespot '!#REF!,14,FALSE))</f>
        <v xml:space="preserve"> </v>
      </c>
      <c r="M15" s="57" t="str">
        <f t="shared" ref="M15:M16" si="3">IFERROR(L15*C15," ")</f>
        <v xml:space="preserve"> </v>
      </c>
    </row>
    <row r="16" spans="1:13" ht="16.2">
      <c r="A16" s="50" t="s">
        <v>184</v>
      </c>
      <c r="B16" s="59"/>
      <c r="C16" s="66">
        <v>0</v>
      </c>
      <c r="D16" s="51">
        <f t="shared" si="0"/>
        <v>0</v>
      </c>
      <c r="E16" s="51">
        <v>1400</v>
      </c>
      <c r="F16" s="52">
        <f t="shared" si="1"/>
        <v>0</v>
      </c>
      <c r="G16" s="62"/>
      <c r="H16" s="61" t="s">
        <v>185</v>
      </c>
      <c r="J16" s="55" t="str">
        <f>IF(C16=0," ",VLOOKUP(A16,'[1]AriaMED Formulation - Purespot '!#REF!,12,FALSE))</f>
        <v xml:space="preserve"> </v>
      </c>
      <c r="K16" s="55" t="str">
        <f>IF(C16=0," ",VLOOKUP(A16,'[1]AriaMED Formulation - Purespot '!#REF!,13,FALSE))</f>
        <v xml:space="preserve"> </v>
      </c>
      <c r="L16" s="56" t="str">
        <f>IF(C16=0," ",VLOOKUP(A16,'[1]AriaMED Formulation - Purespot '!#REF!,14,FALSE))</f>
        <v xml:space="preserve"> </v>
      </c>
      <c r="M16" s="57" t="str">
        <f t="shared" si="3"/>
        <v xml:space="preserve"> </v>
      </c>
    </row>
    <row r="17" spans="1:13" ht="16.2">
      <c r="A17" s="50" t="s">
        <v>186</v>
      </c>
      <c r="B17" s="51"/>
      <c r="C17" s="47">
        <v>0</v>
      </c>
      <c r="D17" s="51">
        <f t="shared" si="0"/>
        <v>0</v>
      </c>
      <c r="E17" s="51">
        <v>650</v>
      </c>
      <c r="F17" s="52">
        <f t="shared" si="1"/>
        <v>0</v>
      </c>
      <c r="G17" s="62"/>
      <c r="H17" s="61" t="s">
        <v>187</v>
      </c>
    </row>
    <row r="18" spans="1:13" ht="16.2">
      <c r="A18" s="50" t="s">
        <v>188</v>
      </c>
      <c r="B18" s="51"/>
      <c r="C18" s="47">
        <v>0</v>
      </c>
      <c r="D18" s="51">
        <f t="shared" si="0"/>
        <v>0</v>
      </c>
      <c r="E18" s="51">
        <v>400</v>
      </c>
      <c r="F18" s="52">
        <f t="shared" si="1"/>
        <v>0</v>
      </c>
      <c r="G18" s="62"/>
      <c r="H18" s="61" t="s">
        <v>189</v>
      </c>
      <c r="J18" s="55" t="str">
        <f>IF(C18=0," ",VLOOKUP(A18,'[1]AriaMED Formulation - Purespot '!#REF!,12,FALSE))</f>
        <v xml:space="preserve"> </v>
      </c>
      <c r="K18" s="55" t="str">
        <f>IF(C18=0," ",VLOOKUP(A18,'[1]AriaMED Formulation - Purespot '!#REF!,13,FALSE))</f>
        <v xml:space="preserve"> </v>
      </c>
      <c r="L18" s="56" t="str">
        <f>IF(C18=0," ",VLOOKUP(A18,'[1]AriaMED Formulation - Purespot '!#REF!,14,FALSE))</f>
        <v xml:space="preserve"> </v>
      </c>
      <c r="M18" s="57" t="str">
        <f>IFERROR(L18*C18," ")</f>
        <v xml:space="preserve"> </v>
      </c>
    </row>
    <row r="19" spans="1:13" ht="16.2">
      <c r="A19" s="50" t="s">
        <v>190</v>
      </c>
      <c r="B19" s="51"/>
      <c r="C19" s="47">
        <v>1</v>
      </c>
      <c r="D19" s="51">
        <f t="shared" si="0"/>
        <v>0.3</v>
      </c>
      <c r="E19" s="51">
        <v>100</v>
      </c>
      <c r="F19" s="52">
        <f t="shared" si="1"/>
        <v>0.03</v>
      </c>
      <c r="G19" s="62"/>
      <c r="H19" s="61" t="s">
        <v>191</v>
      </c>
    </row>
    <row r="20" spans="1:13" ht="16.2">
      <c r="A20" s="50" t="s">
        <v>192</v>
      </c>
      <c r="B20" s="59"/>
      <c r="C20" s="66">
        <v>0</v>
      </c>
      <c r="D20" s="51">
        <f t="shared" si="0"/>
        <v>0</v>
      </c>
      <c r="E20" s="51">
        <v>250</v>
      </c>
      <c r="F20" s="52">
        <f t="shared" si="1"/>
        <v>0</v>
      </c>
      <c r="G20" s="62" t="s">
        <v>193</v>
      </c>
      <c r="H20" s="61" t="s">
        <v>191</v>
      </c>
      <c r="J20" s="55" t="str">
        <f>IF(C20=0," ",VLOOKUP(A20,'[1]AriaMED Formulation - Purespot '!#REF!,12,FALSE))</f>
        <v xml:space="preserve"> </v>
      </c>
      <c r="K20" s="55" t="str">
        <f>IF(C20=0," ",VLOOKUP(A20,'[1]AriaMED Formulation - Purespot '!#REF!,13,FALSE))</f>
        <v xml:space="preserve"> </v>
      </c>
      <c r="L20" s="56" t="str">
        <f>IF(C20=0," ",VLOOKUP(A20,'[1]AriaMED Formulation - Purespot '!#REF!,14,FALSE))</f>
        <v xml:space="preserve"> </v>
      </c>
      <c r="M20" s="57" t="str">
        <f>IFERROR(L20*C20," ")</f>
        <v xml:space="preserve"> </v>
      </c>
    </row>
    <row r="21" spans="1:13" ht="16.2">
      <c r="A21" s="50" t="s">
        <v>194</v>
      </c>
      <c r="B21" s="59"/>
      <c r="C21" s="66">
        <v>0</v>
      </c>
      <c r="D21" s="51">
        <f t="shared" si="0"/>
        <v>0</v>
      </c>
      <c r="E21" s="51">
        <v>1100</v>
      </c>
      <c r="F21" s="52">
        <f t="shared" si="1"/>
        <v>0</v>
      </c>
      <c r="G21" s="62"/>
      <c r="H21" s="61" t="s">
        <v>195</v>
      </c>
    </row>
    <row r="22" spans="1:13" ht="16.2">
      <c r="A22" s="71" t="s">
        <v>196</v>
      </c>
      <c r="B22" s="72"/>
      <c r="C22" s="66">
        <v>0</v>
      </c>
      <c r="D22" s="51">
        <f t="shared" si="0"/>
        <v>0</v>
      </c>
      <c r="E22" s="51">
        <v>1400</v>
      </c>
      <c r="F22" s="52">
        <f t="shared" si="1"/>
        <v>0</v>
      </c>
      <c r="G22" s="62"/>
      <c r="H22" s="61" t="s">
        <v>197</v>
      </c>
    </row>
    <row r="23" spans="1:13" ht="16.2">
      <c r="A23" s="58" t="s">
        <v>198</v>
      </c>
      <c r="B23" s="73"/>
      <c r="C23" s="74">
        <v>0</v>
      </c>
      <c r="D23" s="51">
        <f t="shared" si="0"/>
        <v>0</v>
      </c>
      <c r="E23" s="73">
        <v>1200</v>
      </c>
      <c r="F23" s="52">
        <f t="shared" si="1"/>
        <v>0</v>
      </c>
      <c r="G23" s="43"/>
      <c r="H23" s="75" t="s">
        <v>199</v>
      </c>
    </row>
    <row r="24" spans="1:13" ht="16.2">
      <c r="A24" s="68" t="s">
        <v>200</v>
      </c>
      <c r="B24" s="76"/>
      <c r="C24" s="54">
        <v>0</v>
      </c>
      <c r="D24" s="51">
        <f t="shared" si="0"/>
        <v>0</v>
      </c>
      <c r="E24" s="51">
        <v>680</v>
      </c>
      <c r="F24" s="52">
        <f t="shared" si="1"/>
        <v>0</v>
      </c>
      <c r="G24" s="43"/>
      <c r="H24" s="61" t="s">
        <v>201</v>
      </c>
    </row>
    <row r="25" spans="1:13" ht="16.2">
      <c r="A25" s="58" t="s">
        <v>202</v>
      </c>
      <c r="B25" s="73"/>
      <c r="C25" s="74">
        <v>0</v>
      </c>
      <c r="D25" s="51">
        <f t="shared" si="0"/>
        <v>0</v>
      </c>
      <c r="E25" s="73">
        <v>3000</v>
      </c>
      <c r="F25" s="52">
        <f t="shared" si="1"/>
        <v>0</v>
      </c>
      <c r="G25" s="43"/>
      <c r="H25" s="75" t="s">
        <v>203</v>
      </c>
    </row>
    <row r="26" spans="1:13" ht="16.2">
      <c r="A26" s="58" t="s">
        <v>204</v>
      </c>
      <c r="B26" s="76"/>
      <c r="C26" s="54">
        <v>0</v>
      </c>
      <c r="D26" s="51">
        <f t="shared" si="0"/>
        <v>0</v>
      </c>
      <c r="E26" s="51">
        <v>1500</v>
      </c>
      <c r="F26" s="52">
        <f t="shared" si="1"/>
        <v>0</v>
      </c>
      <c r="G26" s="43"/>
      <c r="H26" s="61" t="s">
        <v>205</v>
      </c>
    </row>
    <row r="27" spans="1:13" ht="16.2">
      <c r="A27" s="58">
        <v>9832</v>
      </c>
      <c r="B27" s="51"/>
      <c r="C27" s="47">
        <v>0</v>
      </c>
      <c r="D27" s="51">
        <f t="shared" si="0"/>
        <v>0</v>
      </c>
      <c r="E27" s="51">
        <v>2300</v>
      </c>
      <c r="F27" s="52">
        <f t="shared" si="1"/>
        <v>0</v>
      </c>
      <c r="G27" s="43"/>
      <c r="H27" s="61" t="s">
        <v>206</v>
      </c>
    </row>
    <row r="28" spans="1:13" ht="16.2">
      <c r="A28" s="77" t="s">
        <v>207</v>
      </c>
      <c r="B28" s="76"/>
      <c r="C28" s="78">
        <v>0</v>
      </c>
      <c r="D28" s="51">
        <f t="shared" si="0"/>
        <v>0</v>
      </c>
      <c r="E28" s="51">
        <v>700</v>
      </c>
      <c r="F28" s="52">
        <f t="shared" si="1"/>
        <v>0</v>
      </c>
      <c r="G28" s="43"/>
      <c r="H28" s="61" t="s">
        <v>180</v>
      </c>
    </row>
    <row r="29" spans="1:13" ht="16.2">
      <c r="A29" s="79" t="s">
        <v>208</v>
      </c>
      <c r="B29" s="80"/>
      <c r="C29" s="60">
        <v>0</v>
      </c>
      <c r="D29" s="51">
        <f t="shared" si="0"/>
        <v>0</v>
      </c>
      <c r="E29" s="81">
        <v>600</v>
      </c>
      <c r="F29" s="52">
        <f t="shared" si="1"/>
        <v>0</v>
      </c>
      <c r="G29" s="43"/>
      <c r="H29" s="61" t="s">
        <v>209</v>
      </c>
      <c r="J29" s="55" t="str">
        <f>IF(C29=0," ",VLOOKUP(A29,'[1]AriaMED Formulation - Purespot '!#REF!,12,FALSE))</f>
        <v xml:space="preserve"> </v>
      </c>
      <c r="K29" s="55" t="str">
        <f>IF(C29=0," ",VLOOKUP(A29,'[1]AriaMED Formulation - Purespot '!#REF!,13,FALSE))</f>
        <v xml:space="preserve"> </v>
      </c>
      <c r="L29" s="56" t="str">
        <f>IF(C29=0," ",VLOOKUP(A29,'[1]AriaMED Formulation - Purespot '!#REF!,14,FALSE))</f>
        <v xml:space="preserve"> </v>
      </c>
      <c r="M29" s="57" t="str">
        <f t="shared" ref="M29:M31" si="4">IFERROR(L29*C29," ")</f>
        <v xml:space="preserve"> </v>
      </c>
    </row>
    <row r="30" spans="1:13" ht="16.2">
      <c r="A30" s="94" t="s">
        <v>388</v>
      </c>
      <c r="B30" s="66"/>
      <c r="C30" s="78">
        <v>10</v>
      </c>
      <c r="D30" s="51">
        <f t="shared" si="0"/>
        <v>3</v>
      </c>
      <c r="E30" s="51">
        <f>EN!F33*7</f>
        <v>1272.6000000000001</v>
      </c>
      <c r="F30" s="52">
        <f t="shared" si="1"/>
        <v>3.8178000000000005</v>
      </c>
      <c r="G30" s="43"/>
      <c r="H30" s="61" t="s">
        <v>189</v>
      </c>
      <c r="J30" s="55" t="e">
        <f>IF(C30=0," ",VLOOKUP(A30,'[1]AriaMED Formulation - Purespot '!#REF!,12,FALSE))</f>
        <v>#REF!</v>
      </c>
      <c r="K30" s="55" t="e">
        <f>IF(C30=0," ",VLOOKUP(A30,'[1]AriaMED Formulation - Purespot '!#REF!,13,FALSE))</f>
        <v>#REF!</v>
      </c>
      <c r="L30" s="56" t="e">
        <f>IF(C30=0," ",VLOOKUP(A30,'[1]AriaMED Formulation - Purespot '!#REF!,14,FALSE))</f>
        <v>#REF!</v>
      </c>
      <c r="M30" s="57" t="str">
        <f t="shared" si="4"/>
        <v xml:space="preserve"> </v>
      </c>
    </row>
    <row r="31" spans="1:13" ht="16.2">
      <c r="A31" s="50" t="s">
        <v>210</v>
      </c>
      <c r="B31" s="66">
        <v>0.9</v>
      </c>
      <c r="C31" s="78">
        <v>0</v>
      </c>
      <c r="D31" s="51">
        <f t="shared" si="0"/>
        <v>0</v>
      </c>
      <c r="E31" s="51">
        <v>2800</v>
      </c>
      <c r="F31" s="52">
        <f t="shared" si="1"/>
        <v>0</v>
      </c>
      <c r="G31" s="43"/>
      <c r="H31" s="61" t="s">
        <v>211</v>
      </c>
      <c r="J31" s="55" t="str">
        <f>IF(C31=0," ",VLOOKUP(A31,'[1]AriaMED Formulation - Purespot '!#REF!,12,FALSE))</f>
        <v xml:space="preserve"> </v>
      </c>
      <c r="K31" s="55" t="str">
        <f>IF(C31=0," ",VLOOKUP(A31,'[1]AriaMED Formulation - Purespot '!#REF!,13,FALSE))</f>
        <v xml:space="preserve"> </v>
      </c>
      <c r="L31" s="56" t="str">
        <f>IF(C31=0," ",VLOOKUP(A31,'[1]AriaMED Formulation - Purespot '!#REF!,14,FALSE))</f>
        <v xml:space="preserve"> </v>
      </c>
      <c r="M31" s="57" t="str">
        <f t="shared" si="4"/>
        <v xml:space="preserve"> </v>
      </c>
    </row>
    <row r="32" spans="1:13" ht="16.2">
      <c r="A32" s="50" t="s">
        <v>212</v>
      </c>
      <c r="B32" s="59"/>
      <c r="C32" s="66">
        <v>0</v>
      </c>
      <c r="D32" s="51">
        <f t="shared" si="0"/>
        <v>0</v>
      </c>
      <c r="E32" s="51">
        <v>900</v>
      </c>
      <c r="F32" s="52">
        <f t="shared" si="1"/>
        <v>0</v>
      </c>
      <c r="G32" s="43"/>
      <c r="H32" s="61" t="s">
        <v>213</v>
      </c>
    </row>
    <row r="33" spans="1:13" ht="16.2">
      <c r="A33" s="58" t="s">
        <v>214</v>
      </c>
      <c r="B33" s="73"/>
      <c r="C33" s="74">
        <v>0</v>
      </c>
      <c r="D33" s="51">
        <f t="shared" si="0"/>
        <v>0</v>
      </c>
      <c r="E33" s="73">
        <v>800</v>
      </c>
      <c r="F33" s="52">
        <f t="shared" si="1"/>
        <v>0</v>
      </c>
      <c r="G33" s="43"/>
      <c r="H33" s="61" t="s">
        <v>183</v>
      </c>
      <c r="J33" s="55" t="str">
        <f>IF(C33=0," ",VLOOKUP(A33,'[1]AriaMED Formulation - Purespot '!#REF!,12,FALSE))</f>
        <v xml:space="preserve"> </v>
      </c>
      <c r="K33" s="55" t="str">
        <f>IF(C33=0," ",VLOOKUP(A33,'[1]AriaMED Formulation - Purespot '!#REF!,13,FALSE))</f>
        <v xml:space="preserve"> </v>
      </c>
      <c r="L33" s="56" t="str">
        <f>IF(C33=0," ",VLOOKUP(A33,'[1]AriaMED Formulation - Purespot '!#REF!,14,FALSE))</f>
        <v xml:space="preserve"> </v>
      </c>
      <c r="M33" s="57" t="str">
        <f>IFERROR(L33*C33," ")</f>
        <v xml:space="preserve"> </v>
      </c>
    </row>
    <row r="34" spans="1:13" ht="16.2">
      <c r="A34" s="50" t="s">
        <v>215</v>
      </c>
      <c r="B34" s="82"/>
      <c r="C34" s="66">
        <v>0</v>
      </c>
      <c r="D34" s="51">
        <f t="shared" si="0"/>
        <v>0</v>
      </c>
      <c r="E34" s="51">
        <v>310</v>
      </c>
      <c r="F34" s="52">
        <f t="shared" si="1"/>
        <v>0</v>
      </c>
      <c r="G34" s="43"/>
      <c r="H34" s="61" t="s">
        <v>191</v>
      </c>
    </row>
    <row r="35" spans="1:13" ht="16.2">
      <c r="A35" s="58" t="s">
        <v>216</v>
      </c>
      <c r="B35" s="76"/>
      <c r="C35" s="54">
        <v>0</v>
      </c>
      <c r="D35" s="51">
        <f t="shared" si="0"/>
        <v>0</v>
      </c>
      <c r="E35" s="51">
        <v>650</v>
      </c>
      <c r="F35" s="52">
        <f t="shared" si="1"/>
        <v>0</v>
      </c>
      <c r="G35" s="62"/>
      <c r="H35" s="83" t="s">
        <v>217</v>
      </c>
    </row>
    <row r="36" spans="1:13" ht="16.2">
      <c r="A36" s="58" t="s">
        <v>218</v>
      </c>
      <c r="B36" s="76"/>
      <c r="C36" s="54">
        <v>0</v>
      </c>
      <c r="D36" s="51">
        <f t="shared" si="0"/>
        <v>0</v>
      </c>
      <c r="E36" s="51">
        <v>100</v>
      </c>
      <c r="F36" s="52">
        <f t="shared" si="1"/>
        <v>0</v>
      </c>
      <c r="G36" s="62"/>
      <c r="H36" s="61"/>
    </row>
    <row r="37" spans="1:13" ht="16.2">
      <c r="A37" s="50" t="s">
        <v>219</v>
      </c>
      <c r="B37" s="84"/>
      <c r="C37" s="66">
        <v>1.2</v>
      </c>
      <c r="D37" s="51">
        <f t="shared" si="0"/>
        <v>0.36</v>
      </c>
      <c r="E37" s="51">
        <v>350</v>
      </c>
      <c r="F37" s="52">
        <f t="shared" si="1"/>
        <v>0.126</v>
      </c>
      <c r="G37" s="53" t="s">
        <v>220</v>
      </c>
      <c r="H37" s="61" t="s">
        <v>221</v>
      </c>
      <c r="J37" s="55" t="e">
        <f>IF(C37=0," ",VLOOKUP(A37,'[1]AriaMED Formulation - Purespot '!#REF!,12,FALSE))</f>
        <v>#REF!</v>
      </c>
      <c r="K37" s="55" t="e">
        <f>IF(C37=0," ",VLOOKUP(A37,'[1]AriaMED Formulation - Purespot '!#REF!,13,FALSE))</f>
        <v>#REF!</v>
      </c>
      <c r="L37" s="56" t="e">
        <f>IF(C37=0," ",VLOOKUP(A37,'[1]AriaMED Formulation - Purespot '!#REF!,14,FALSE))</f>
        <v>#REF!</v>
      </c>
      <c r="M37" s="57" t="str">
        <f t="shared" ref="M37:M38" si="5">IFERROR(L37*C37," ")</f>
        <v xml:space="preserve"> </v>
      </c>
    </row>
    <row r="38" spans="1:13" ht="16.2">
      <c r="A38" s="50" t="s">
        <v>222</v>
      </c>
      <c r="B38" s="66"/>
      <c r="C38" s="66">
        <v>0</v>
      </c>
      <c r="D38" s="51">
        <f t="shared" si="0"/>
        <v>0</v>
      </c>
      <c r="E38" s="51">
        <v>12000</v>
      </c>
      <c r="F38" s="52">
        <f t="shared" si="1"/>
        <v>0</v>
      </c>
      <c r="G38" s="67"/>
      <c r="H38" s="61" t="s">
        <v>223</v>
      </c>
      <c r="J38" s="55" t="str">
        <f>IF(C38=0," ",VLOOKUP(A38,'[1]AriaMED Formulation - Purespot '!#REF!,12,FALSE))</f>
        <v xml:space="preserve"> </v>
      </c>
      <c r="K38" s="55" t="str">
        <f>IF(C38=0," ",VLOOKUP(A38,'[1]AriaMED Formulation - Purespot '!#REF!,13,FALSE))</f>
        <v xml:space="preserve"> </v>
      </c>
      <c r="L38" s="56" t="str">
        <f>IF(C38=0," ",VLOOKUP(A38,'[1]AriaMED Formulation - Purespot '!#REF!,14,FALSE))</f>
        <v xml:space="preserve"> </v>
      </c>
      <c r="M38" s="57" t="str">
        <f t="shared" si="5"/>
        <v xml:space="preserve"> </v>
      </c>
    </row>
    <row r="39" spans="1:13" ht="16.2">
      <c r="A39" s="51"/>
      <c r="B39" s="51"/>
      <c r="C39" s="47">
        <f>SUM(C5:C38)</f>
        <v>100</v>
      </c>
      <c r="D39" s="65">
        <v>30</v>
      </c>
      <c r="E39" s="51"/>
      <c r="F39" s="85">
        <f>SUM(F5:F38)</f>
        <v>5.0789066666666676</v>
      </c>
      <c r="G39" s="67"/>
      <c r="H39" s="86"/>
    </row>
    <row r="40" spans="1:13" ht="16.2">
      <c r="A40" s="87"/>
      <c r="B40" s="87"/>
      <c r="C40" s="46"/>
      <c r="D40" s="87"/>
      <c r="E40" s="87"/>
      <c r="F40" s="88"/>
      <c r="G40" s="43"/>
      <c r="H40" s="87"/>
    </row>
    <row r="41" spans="1:13" ht="16.2">
      <c r="A41" s="89" t="s">
        <v>224</v>
      </c>
      <c r="B41" s="90"/>
      <c r="C41" s="90"/>
      <c r="D41" s="90"/>
      <c r="E41" s="90"/>
      <c r="F41" s="91"/>
      <c r="G41" s="87"/>
      <c r="H41" s="90"/>
    </row>
    <row r="42" spans="1:13">
      <c r="A42" s="91" t="s">
        <v>225</v>
      </c>
      <c r="B42" s="90"/>
      <c r="C42" s="90"/>
      <c r="D42" s="90"/>
      <c r="E42" s="90"/>
      <c r="F42" s="90"/>
      <c r="G42" s="90"/>
      <c r="H42" s="90"/>
    </row>
    <row r="43" spans="1:13">
      <c r="A43" s="90" t="s">
        <v>226</v>
      </c>
      <c r="B43" s="90"/>
      <c r="C43" s="90"/>
      <c r="D43" s="90"/>
      <c r="E43" s="90"/>
      <c r="F43" s="90"/>
      <c r="G43" s="90"/>
      <c r="H43" s="90"/>
    </row>
    <row r="44" spans="1:13">
      <c r="A44" s="90" t="s">
        <v>227</v>
      </c>
      <c r="B44" s="90"/>
      <c r="C44" s="90"/>
      <c r="D44" s="90"/>
      <c r="E44" s="90"/>
      <c r="F44" s="90"/>
      <c r="G44" s="90"/>
      <c r="H44" s="9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FB50B-7078-4118-AAEC-8BE3747D6038}">
  <sheetPr>
    <tabColor rgb="FFFFFF00"/>
  </sheetPr>
  <dimension ref="A1:M44"/>
  <sheetViews>
    <sheetView topLeftCell="A27" workbookViewId="0">
      <selection activeCell="E13" sqref="E13"/>
    </sheetView>
  </sheetViews>
  <sheetFormatPr defaultRowHeight="14.4"/>
  <cols>
    <col min="1" max="1" width="33.77734375" customWidth="1"/>
    <col min="8" max="8" width="21.33203125" customWidth="1"/>
  </cols>
  <sheetData>
    <row r="1" spans="1:13" ht="20.399999999999999">
      <c r="A1" s="40"/>
      <c r="B1" s="41" t="s">
        <v>149</v>
      </c>
      <c r="C1" s="42"/>
      <c r="D1" s="40"/>
      <c r="E1" s="40"/>
      <c r="F1" s="40"/>
      <c r="G1" s="43"/>
      <c r="H1" s="40"/>
    </row>
    <row r="2" spans="1:13" ht="18">
      <c r="A2" s="44" t="s">
        <v>150</v>
      </c>
      <c r="B2" s="44"/>
      <c r="C2" s="44"/>
      <c r="D2" s="44" t="s">
        <v>151</v>
      </c>
      <c r="E2" s="40"/>
      <c r="F2" s="40"/>
      <c r="G2" s="43"/>
      <c r="H2" s="40"/>
    </row>
    <row r="3" spans="1:13" ht="18">
      <c r="A3" s="44" t="s">
        <v>152</v>
      </c>
      <c r="B3" s="45"/>
      <c r="C3" s="46"/>
      <c r="D3" s="44" t="s">
        <v>153</v>
      </c>
      <c r="E3" s="40"/>
      <c r="F3" s="40"/>
      <c r="G3" s="43"/>
      <c r="H3" s="40"/>
    </row>
    <row r="4" spans="1:13" ht="15.6">
      <c r="A4" s="47" t="s">
        <v>154</v>
      </c>
      <c r="B4" s="47" t="s">
        <v>155</v>
      </c>
      <c r="C4" s="48" t="s">
        <v>156</v>
      </c>
      <c r="D4" s="48" t="s">
        <v>157</v>
      </c>
      <c r="E4" s="48" t="s">
        <v>158</v>
      </c>
      <c r="F4" s="48" t="s">
        <v>159</v>
      </c>
      <c r="G4" s="48" t="s">
        <v>160</v>
      </c>
      <c r="H4" s="49" t="s">
        <v>161</v>
      </c>
    </row>
    <row r="5" spans="1:13" ht="16.2">
      <c r="A5" s="50" t="s">
        <v>162</v>
      </c>
      <c r="B5" s="51"/>
      <c r="C5" s="47">
        <f>100-SUM(C6:C38)</f>
        <v>84.4</v>
      </c>
      <c r="D5" s="51">
        <f>C5*$D$39/$C$39</f>
        <v>25.32</v>
      </c>
      <c r="E5" s="51">
        <f>19/4.5</f>
        <v>4.2222222222222223</v>
      </c>
      <c r="F5" s="52">
        <f>E5/1000*D5</f>
        <v>0.10690666666666668</v>
      </c>
      <c r="G5" s="53" t="s">
        <v>163</v>
      </c>
      <c r="H5" s="54"/>
      <c r="J5" s="55" t="e">
        <f>IF(C5=0," ",VLOOKUP(A5,'[1]AriaMED Formulation - Purespot '!#REF!,12,FALSE))</f>
        <v>#REF!</v>
      </c>
      <c r="K5" s="55" t="e">
        <f>IF(C5=0," ",VLOOKUP(A5,'[1]AriaMED Formulation - Purespot '!#REF!,13,FALSE))</f>
        <v>#REF!</v>
      </c>
      <c r="L5" s="56" t="e">
        <f>IF(C5=0," ",VLOOKUP(A5,'[1]AriaMED Formulation - Purespot '!#REF!,14,FALSE))</f>
        <v>#REF!</v>
      </c>
      <c r="M5" s="57" t="str">
        <f>IFERROR(L5*C5," ")</f>
        <v xml:space="preserve"> </v>
      </c>
    </row>
    <row r="6" spans="1:13" ht="16.2">
      <c r="A6" s="58" t="s">
        <v>164</v>
      </c>
      <c r="B6" s="59"/>
      <c r="C6" s="60">
        <v>4</v>
      </c>
      <c r="D6" s="51">
        <f>C6*$D$39/$C$39</f>
        <v>1.2</v>
      </c>
      <c r="E6" s="51">
        <v>90</v>
      </c>
      <c r="F6" s="52">
        <f>E6/1000*D6</f>
        <v>0.108</v>
      </c>
      <c r="G6" s="53"/>
      <c r="H6" s="61" t="s">
        <v>165</v>
      </c>
      <c r="J6" s="55" t="e">
        <f>IF(C6=0," ",VLOOKUP(A6,'[1]AriaMED Formulation - Purespot '!#REF!,12,FALSE))</f>
        <v>#REF!</v>
      </c>
      <c r="K6" s="55" t="e">
        <f>IF(C6=0," ",VLOOKUP(A6,'[1]AriaMED Formulation - Purespot '!#REF!,13,FALSE))</f>
        <v>#REF!</v>
      </c>
      <c r="L6" s="56" t="e">
        <f>IF(C6=0," ",VLOOKUP(A6,'[1]AriaMED Formulation - Purespot '!#REF!,14,FALSE))</f>
        <v>#REF!</v>
      </c>
      <c r="M6" s="57" t="str">
        <f>IFERROR(L6*C6," ")</f>
        <v xml:space="preserve"> </v>
      </c>
    </row>
    <row r="7" spans="1:13" ht="16.2">
      <c r="A7" s="58" t="s">
        <v>166</v>
      </c>
      <c r="B7" s="59"/>
      <c r="C7" s="60">
        <v>0.1</v>
      </c>
      <c r="D7" s="51">
        <f t="shared" ref="D7:D38" si="0">C7*$D$39/$C$39</f>
        <v>0.03</v>
      </c>
      <c r="E7" s="51">
        <v>13000</v>
      </c>
      <c r="F7" s="52">
        <f t="shared" ref="F7:F38" si="1">E7/1000*D7</f>
        <v>0.39</v>
      </c>
      <c r="G7" s="62" t="s">
        <v>167</v>
      </c>
      <c r="H7" s="61" t="s">
        <v>168</v>
      </c>
    </row>
    <row r="8" spans="1:13" ht="16.2">
      <c r="A8" s="63" t="s">
        <v>169</v>
      </c>
      <c r="B8" s="64"/>
      <c r="C8" s="65">
        <v>0</v>
      </c>
      <c r="D8" s="51">
        <f t="shared" si="0"/>
        <v>0</v>
      </c>
      <c r="E8" s="64">
        <v>700</v>
      </c>
      <c r="F8" s="52">
        <f t="shared" si="1"/>
        <v>0</v>
      </c>
      <c r="G8" s="62"/>
      <c r="H8" s="61" t="s">
        <v>170</v>
      </c>
    </row>
    <row r="9" spans="1:13" ht="16.2">
      <c r="A9" s="63" t="s">
        <v>171</v>
      </c>
      <c r="B9" s="64"/>
      <c r="C9" s="65">
        <v>0.1</v>
      </c>
      <c r="D9" s="51">
        <f t="shared" si="0"/>
        <v>0.03</v>
      </c>
      <c r="E9" s="64">
        <v>4500</v>
      </c>
      <c r="F9" s="52">
        <f t="shared" si="1"/>
        <v>0.13500000000000001</v>
      </c>
      <c r="G9" s="62"/>
      <c r="H9" s="61" t="s">
        <v>172</v>
      </c>
      <c r="J9" s="55" t="e">
        <f>IF(C9=0," ",VLOOKUP(A9,'[1]AriaMED Formulation - Purespot '!#REF!,12,FALSE))</f>
        <v>#REF!</v>
      </c>
      <c r="K9" s="55" t="e">
        <f>IF(C9=0," ",VLOOKUP(A9,'[1]AriaMED Formulation - Purespot '!#REF!,13,FALSE))</f>
        <v>#REF!</v>
      </c>
      <c r="L9" s="56" t="e">
        <f>IF(C9=0," ",VLOOKUP(A9,'[1]AriaMED Formulation - Purespot '!#REF!,14,FALSE))</f>
        <v>#REF!</v>
      </c>
      <c r="M9" s="57" t="str">
        <f t="shared" ref="M9:M10" si="2">IFERROR(L9*C9," ")</f>
        <v xml:space="preserve"> </v>
      </c>
    </row>
    <row r="10" spans="1:13" ht="16.2">
      <c r="A10" s="50" t="s">
        <v>173</v>
      </c>
      <c r="B10" s="66"/>
      <c r="C10" s="66">
        <v>0.2</v>
      </c>
      <c r="D10" s="51">
        <f t="shared" si="0"/>
        <v>0.06</v>
      </c>
      <c r="E10" s="51">
        <v>750</v>
      </c>
      <c r="F10" s="52">
        <f t="shared" si="1"/>
        <v>4.4999999999999998E-2</v>
      </c>
      <c r="G10" s="67"/>
      <c r="H10" s="61" t="s">
        <v>174</v>
      </c>
      <c r="J10" s="55" t="e">
        <f>IF(C10=0," ",VLOOKUP(A10,'[1]AriaMED Formulation - Purespot '!#REF!,12,FALSE))</f>
        <v>#REF!</v>
      </c>
      <c r="K10" s="55" t="e">
        <f>IF(C10=0," ",VLOOKUP(A10,'[1]AriaMED Formulation - Purespot '!#REF!,13,FALSE))</f>
        <v>#REF!</v>
      </c>
      <c r="L10" s="56" t="e">
        <f>IF(C10=0," ",VLOOKUP(A10,'[1]AriaMED Formulation - Purespot '!#REF!,14,FALSE))</f>
        <v>#REF!</v>
      </c>
      <c r="M10" s="57" t="str">
        <f t="shared" si="2"/>
        <v xml:space="preserve"> </v>
      </c>
    </row>
    <row r="11" spans="1:13" ht="16.2">
      <c r="A11" s="68" t="s">
        <v>175</v>
      </c>
      <c r="B11" s="59"/>
      <c r="C11" s="66">
        <v>0</v>
      </c>
      <c r="D11" s="51">
        <f t="shared" si="0"/>
        <v>0</v>
      </c>
      <c r="E11" s="51">
        <v>8000</v>
      </c>
      <c r="F11" s="52">
        <f t="shared" si="1"/>
        <v>0</v>
      </c>
      <c r="G11" s="62"/>
      <c r="H11" s="69" t="s">
        <v>176</v>
      </c>
    </row>
    <row r="12" spans="1:13" ht="16.2">
      <c r="A12" s="50" t="s">
        <v>177</v>
      </c>
      <c r="B12" s="59"/>
      <c r="C12" s="47">
        <v>0</v>
      </c>
      <c r="D12" s="51">
        <f t="shared" si="0"/>
        <v>0</v>
      </c>
      <c r="E12" s="51">
        <v>1800</v>
      </c>
      <c r="F12" s="52">
        <f t="shared" si="1"/>
        <v>0</v>
      </c>
      <c r="G12" s="62"/>
      <c r="H12" s="61" t="s">
        <v>178</v>
      </c>
    </row>
    <row r="13" spans="1:13" ht="16.2">
      <c r="A13" s="50" t="s">
        <v>179</v>
      </c>
      <c r="B13" s="59">
        <v>10</v>
      </c>
      <c r="C13" s="66">
        <v>1</v>
      </c>
      <c r="D13" s="51">
        <f t="shared" si="0"/>
        <v>0.3</v>
      </c>
      <c r="E13" s="51">
        <v>230</v>
      </c>
      <c r="F13" s="52">
        <f t="shared" si="1"/>
        <v>6.9000000000000006E-2</v>
      </c>
      <c r="G13" s="62"/>
      <c r="H13" s="61" t="s">
        <v>180</v>
      </c>
      <c r="J13" s="55" t="e">
        <f>IF(C13=0," ",VLOOKUP(A13,'[1]AriaMED Formulation - Purespot '!#REF!,12,FALSE))</f>
        <v>#REF!</v>
      </c>
      <c r="K13" s="55" t="e">
        <f>IF(C13=0," ",VLOOKUP(A13,'[1]AriaMED Formulation - Purespot '!#REF!,13,FALSE))</f>
        <v>#REF!</v>
      </c>
      <c r="L13" s="56" t="e">
        <f>IF(C13=0," ",VLOOKUP(A13,'[1]AriaMED Formulation - Purespot '!#REF!,14,FALSE))</f>
        <v>#REF!</v>
      </c>
      <c r="M13" s="57" t="str">
        <f>IFERROR(L13*C13," ")</f>
        <v xml:space="preserve"> </v>
      </c>
    </row>
    <row r="14" spans="1:13" ht="16.2">
      <c r="A14" s="70" t="s">
        <v>181</v>
      </c>
      <c r="B14" s="59"/>
      <c r="C14" s="66">
        <v>1</v>
      </c>
      <c r="D14" s="51">
        <f t="shared" si="0"/>
        <v>0.3</v>
      </c>
      <c r="E14" s="51">
        <v>850</v>
      </c>
      <c r="F14" s="52">
        <f t="shared" si="1"/>
        <v>0.255</v>
      </c>
      <c r="G14" s="62"/>
      <c r="H14" s="61" t="s">
        <v>165</v>
      </c>
    </row>
    <row r="15" spans="1:13" ht="16.2">
      <c r="A15" s="50" t="s">
        <v>182</v>
      </c>
      <c r="B15" s="59"/>
      <c r="C15" s="66">
        <v>0</v>
      </c>
      <c r="D15" s="51">
        <f t="shared" si="0"/>
        <v>0</v>
      </c>
      <c r="E15" s="51">
        <v>1500</v>
      </c>
      <c r="F15" s="52">
        <f t="shared" si="1"/>
        <v>0</v>
      </c>
      <c r="G15" s="62"/>
      <c r="H15" s="61" t="s">
        <v>183</v>
      </c>
      <c r="J15" s="55" t="str">
        <f>IF(C15=0," ",VLOOKUP(A15,'[1]AriaMED Formulation - Purespot '!#REF!,12,FALSE))</f>
        <v xml:space="preserve"> </v>
      </c>
      <c r="K15" s="55" t="str">
        <f>IF(C15=0," ",VLOOKUP(A15,'[1]AriaMED Formulation - Purespot '!#REF!,13,FALSE))</f>
        <v xml:space="preserve"> </v>
      </c>
      <c r="L15" s="56" t="str">
        <f>IF(C15=0," ",VLOOKUP(A15,'[1]AriaMED Formulation - Purespot '!#REF!,14,FALSE))</f>
        <v xml:space="preserve"> </v>
      </c>
      <c r="M15" s="57" t="str">
        <f t="shared" ref="M15:M16" si="3">IFERROR(L15*C15," ")</f>
        <v xml:space="preserve"> </v>
      </c>
    </row>
    <row r="16" spans="1:13" ht="16.2">
      <c r="A16" s="50" t="s">
        <v>184</v>
      </c>
      <c r="B16" s="59"/>
      <c r="C16" s="66">
        <v>0</v>
      </c>
      <c r="D16" s="51">
        <f t="shared" si="0"/>
        <v>0</v>
      </c>
      <c r="E16" s="51">
        <v>1400</v>
      </c>
      <c r="F16" s="52">
        <f t="shared" si="1"/>
        <v>0</v>
      </c>
      <c r="G16" s="62"/>
      <c r="H16" s="61" t="s">
        <v>185</v>
      </c>
      <c r="J16" s="55" t="str">
        <f>IF(C16=0," ",VLOOKUP(A16,'[1]AriaMED Formulation - Purespot '!#REF!,12,FALSE))</f>
        <v xml:space="preserve"> </v>
      </c>
      <c r="K16" s="55" t="str">
        <f>IF(C16=0," ",VLOOKUP(A16,'[1]AriaMED Formulation - Purespot '!#REF!,13,FALSE))</f>
        <v xml:space="preserve"> </v>
      </c>
      <c r="L16" s="56" t="str">
        <f>IF(C16=0," ",VLOOKUP(A16,'[1]AriaMED Formulation - Purespot '!#REF!,14,FALSE))</f>
        <v xml:space="preserve"> </v>
      </c>
      <c r="M16" s="57" t="str">
        <f t="shared" si="3"/>
        <v xml:space="preserve"> </v>
      </c>
    </row>
    <row r="17" spans="1:13" ht="16.2">
      <c r="A17" s="50" t="s">
        <v>186</v>
      </c>
      <c r="B17" s="51"/>
      <c r="C17" s="47">
        <v>0</v>
      </c>
      <c r="D17" s="51">
        <f t="shared" si="0"/>
        <v>0</v>
      </c>
      <c r="E17" s="51">
        <v>650</v>
      </c>
      <c r="F17" s="52">
        <f t="shared" si="1"/>
        <v>0</v>
      </c>
      <c r="G17" s="62"/>
      <c r="H17" s="61" t="s">
        <v>187</v>
      </c>
    </row>
    <row r="18" spans="1:13" ht="16.2">
      <c r="A18" s="50" t="s">
        <v>188</v>
      </c>
      <c r="B18" s="51"/>
      <c r="C18" s="47">
        <v>0</v>
      </c>
      <c r="D18" s="51">
        <f t="shared" si="0"/>
        <v>0</v>
      </c>
      <c r="E18" s="51">
        <v>400</v>
      </c>
      <c r="F18" s="52">
        <f t="shared" si="1"/>
        <v>0</v>
      </c>
      <c r="G18" s="62"/>
      <c r="H18" s="61" t="s">
        <v>189</v>
      </c>
      <c r="J18" s="55" t="str">
        <f>IF(C18=0," ",VLOOKUP(A18,'[1]AriaMED Formulation - Purespot '!#REF!,12,FALSE))</f>
        <v xml:space="preserve"> </v>
      </c>
      <c r="K18" s="55" t="str">
        <f>IF(C18=0," ",VLOOKUP(A18,'[1]AriaMED Formulation - Purespot '!#REF!,13,FALSE))</f>
        <v xml:space="preserve"> </v>
      </c>
      <c r="L18" s="56" t="str">
        <f>IF(C18=0," ",VLOOKUP(A18,'[1]AriaMED Formulation - Purespot '!#REF!,14,FALSE))</f>
        <v xml:space="preserve"> </v>
      </c>
      <c r="M18" s="57" t="str">
        <f>IFERROR(L18*C18," ")</f>
        <v xml:space="preserve"> </v>
      </c>
    </row>
    <row r="19" spans="1:13" ht="16.2">
      <c r="A19" s="50" t="s">
        <v>190</v>
      </c>
      <c r="B19" s="51"/>
      <c r="C19" s="47">
        <v>1</v>
      </c>
      <c r="D19" s="51">
        <f t="shared" si="0"/>
        <v>0.3</v>
      </c>
      <c r="E19" s="51">
        <v>100</v>
      </c>
      <c r="F19" s="52">
        <f t="shared" si="1"/>
        <v>0.03</v>
      </c>
      <c r="G19" s="62"/>
      <c r="H19" s="61" t="s">
        <v>191</v>
      </c>
    </row>
    <row r="20" spans="1:13" ht="16.2">
      <c r="A20" s="50" t="s">
        <v>192</v>
      </c>
      <c r="B20" s="59"/>
      <c r="C20" s="66">
        <v>0</v>
      </c>
      <c r="D20" s="51">
        <f t="shared" si="0"/>
        <v>0</v>
      </c>
      <c r="E20" s="51">
        <v>250</v>
      </c>
      <c r="F20" s="52">
        <f t="shared" si="1"/>
        <v>0</v>
      </c>
      <c r="G20" s="62" t="s">
        <v>193</v>
      </c>
      <c r="H20" s="61" t="s">
        <v>191</v>
      </c>
      <c r="J20" s="55" t="str">
        <f>IF(C20=0," ",VLOOKUP(A20,'[1]AriaMED Formulation - Purespot '!#REF!,12,FALSE))</f>
        <v xml:space="preserve"> </v>
      </c>
      <c r="K20" s="55" t="str">
        <f>IF(C20=0," ",VLOOKUP(A20,'[1]AriaMED Formulation - Purespot '!#REF!,13,FALSE))</f>
        <v xml:space="preserve"> </v>
      </c>
      <c r="L20" s="56" t="str">
        <f>IF(C20=0," ",VLOOKUP(A20,'[1]AriaMED Formulation - Purespot '!#REF!,14,FALSE))</f>
        <v xml:space="preserve"> </v>
      </c>
      <c r="M20" s="57" t="str">
        <f>IFERROR(L20*C20," ")</f>
        <v xml:space="preserve"> </v>
      </c>
    </row>
    <row r="21" spans="1:13" ht="16.2">
      <c r="A21" s="50" t="s">
        <v>194</v>
      </c>
      <c r="B21" s="59"/>
      <c r="C21" s="66">
        <v>0</v>
      </c>
      <c r="D21" s="51">
        <f t="shared" si="0"/>
        <v>0</v>
      </c>
      <c r="E21" s="51">
        <v>1100</v>
      </c>
      <c r="F21" s="52">
        <f t="shared" si="1"/>
        <v>0</v>
      </c>
      <c r="G21" s="62"/>
      <c r="H21" s="61" t="s">
        <v>195</v>
      </c>
    </row>
    <row r="22" spans="1:13" ht="16.2">
      <c r="A22" s="71" t="s">
        <v>196</v>
      </c>
      <c r="B22" s="72"/>
      <c r="C22" s="66">
        <v>0</v>
      </c>
      <c r="D22" s="51">
        <f t="shared" si="0"/>
        <v>0</v>
      </c>
      <c r="E22" s="51">
        <v>1400</v>
      </c>
      <c r="F22" s="52">
        <f t="shared" si="1"/>
        <v>0</v>
      </c>
      <c r="G22" s="62"/>
      <c r="H22" s="61" t="s">
        <v>197</v>
      </c>
    </row>
    <row r="23" spans="1:13" ht="16.2">
      <c r="A23" s="58" t="s">
        <v>198</v>
      </c>
      <c r="B23" s="73"/>
      <c r="C23" s="74">
        <v>0</v>
      </c>
      <c r="D23" s="51">
        <f t="shared" si="0"/>
        <v>0</v>
      </c>
      <c r="E23" s="73">
        <v>1200</v>
      </c>
      <c r="F23" s="52">
        <f t="shared" si="1"/>
        <v>0</v>
      </c>
      <c r="G23" s="43"/>
      <c r="H23" s="75" t="s">
        <v>199</v>
      </c>
    </row>
    <row r="24" spans="1:13" ht="16.2">
      <c r="A24" s="68" t="s">
        <v>200</v>
      </c>
      <c r="B24" s="76"/>
      <c r="C24" s="54">
        <v>0</v>
      </c>
      <c r="D24" s="51">
        <f t="shared" si="0"/>
        <v>0</v>
      </c>
      <c r="E24" s="51">
        <v>680</v>
      </c>
      <c r="F24" s="52">
        <f t="shared" si="1"/>
        <v>0</v>
      </c>
      <c r="G24" s="43"/>
      <c r="H24" s="61" t="s">
        <v>201</v>
      </c>
    </row>
    <row r="25" spans="1:13" ht="16.2">
      <c r="A25" s="58" t="s">
        <v>202</v>
      </c>
      <c r="B25" s="73"/>
      <c r="C25" s="74">
        <v>0</v>
      </c>
      <c r="D25" s="51">
        <f t="shared" si="0"/>
        <v>0</v>
      </c>
      <c r="E25" s="73">
        <v>3000</v>
      </c>
      <c r="F25" s="52">
        <f t="shared" si="1"/>
        <v>0</v>
      </c>
      <c r="G25" s="43"/>
      <c r="H25" s="75" t="s">
        <v>203</v>
      </c>
    </row>
    <row r="26" spans="1:13" ht="16.2">
      <c r="A26" s="58" t="s">
        <v>204</v>
      </c>
      <c r="B26" s="76"/>
      <c r="C26" s="54">
        <v>0</v>
      </c>
      <c r="D26" s="51">
        <f t="shared" si="0"/>
        <v>0</v>
      </c>
      <c r="E26" s="51">
        <v>1500</v>
      </c>
      <c r="F26" s="52">
        <f t="shared" si="1"/>
        <v>0</v>
      </c>
      <c r="G26" s="43"/>
      <c r="H26" s="61" t="s">
        <v>205</v>
      </c>
    </row>
    <row r="27" spans="1:13" ht="16.2">
      <c r="A27" s="58">
        <v>9832</v>
      </c>
      <c r="B27" s="51"/>
      <c r="C27" s="47">
        <v>0</v>
      </c>
      <c r="D27" s="51">
        <f t="shared" si="0"/>
        <v>0</v>
      </c>
      <c r="E27" s="51">
        <v>2300</v>
      </c>
      <c r="F27" s="52">
        <f t="shared" si="1"/>
        <v>0</v>
      </c>
      <c r="G27" s="43"/>
      <c r="H27" s="61" t="s">
        <v>206</v>
      </c>
    </row>
    <row r="28" spans="1:13" ht="16.2">
      <c r="A28" s="77" t="s">
        <v>207</v>
      </c>
      <c r="B28" s="76"/>
      <c r="C28" s="78">
        <v>0</v>
      </c>
      <c r="D28" s="51">
        <f t="shared" si="0"/>
        <v>0</v>
      </c>
      <c r="E28" s="51">
        <v>700</v>
      </c>
      <c r="F28" s="52">
        <f t="shared" si="1"/>
        <v>0</v>
      </c>
      <c r="G28" s="43"/>
      <c r="H28" s="61" t="s">
        <v>180</v>
      </c>
    </row>
    <row r="29" spans="1:13" ht="16.2">
      <c r="A29" s="79" t="s">
        <v>208</v>
      </c>
      <c r="B29" s="80"/>
      <c r="C29" s="60">
        <v>0</v>
      </c>
      <c r="D29" s="51">
        <f t="shared" si="0"/>
        <v>0</v>
      </c>
      <c r="E29" s="81">
        <v>600</v>
      </c>
      <c r="F29" s="52">
        <f t="shared" si="1"/>
        <v>0</v>
      </c>
      <c r="G29" s="43"/>
      <c r="H29" s="61" t="s">
        <v>209</v>
      </c>
      <c r="J29" s="55" t="str">
        <f>IF(C29=0," ",VLOOKUP(A29,'[1]AriaMED Formulation - Purespot '!#REF!,12,FALSE))</f>
        <v xml:space="preserve"> </v>
      </c>
      <c r="K29" s="55" t="str">
        <f>IF(C29=0," ",VLOOKUP(A29,'[1]AriaMED Formulation - Purespot '!#REF!,13,FALSE))</f>
        <v xml:space="preserve"> </v>
      </c>
      <c r="L29" s="56" t="str">
        <f>IF(C29=0," ",VLOOKUP(A29,'[1]AriaMED Formulation - Purespot '!#REF!,14,FALSE))</f>
        <v xml:space="preserve"> </v>
      </c>
      <c r="M29" s="57" t="str">
        <f t="shared" ref="M29:M31" si="4">IFERROR(L29*C29," ")</f>
        <v xml:space="preserve"> </v>
      </c>
    </row>
    <row r="30" spans="1:13" ht="16.2">
      <c r="A30" s="94" t="s">
        <v>250</v>
      </c>
      <c r="B30" s="66"/>
      <c r="C30" s="78">
        <v>7</v>
      </c>
      <c r="D30" s="51">
        <f t="shared" si="0"/>
        <v>2.1</v>
      </c>
      <c r="E30" s="51">
        <f>EN!F27*7</f>
        <v>1097.25</v>
      </c>
      <c r="F30" s="52">
        <f t="shared" si="1"/>
        <v>2.3042250000000002</v>
      </c>
      <c r="G30" s="43"/>
      <c r="H30" s="61" t="s">
        <v>189</v>
      </c>
      <c r="J30" s="55" t="e">
        <f>IF(C30=0," ",VLOOKUP(A30,'[1]AriaMED Formulation - Purespot '!#REF!,12,FALSE))</f>
        <v>#REF!</v>
      </c>
      <c r="K30" s="55" t="e">
        <f>IF(C30=0," ",VLOOKUP(A30,'[1]AriaMED Formulation - Purespot '!#REF!,13,FALSE))</f>
        <v>#REF!</v>
      </c>
      <c r="L30" s="56" t="e">
        <f>IF(C30=0," ",VLOOKUP(A30,'[1]AriaMED Formulation - Purespot '!#REF!,14,FALSE))</f>
        <v>#REF!</v>
      </c>
      <c r="M30" s="57" t="str">
        <f t="shared" si="4"/>
        <v xml:space="preserve"> </v>
      </c>
    </row>
    <row r="31" spans="1:13" ht="16.2">
      <c r="A31" s="50" t="s">
        <v>210</v>
      </c>
      <c r="B31" s="66">
        <v>0.9</v>
      </c>
      <c r="C31" s="78">
        <v>0</v>
      </c>
      <c r="D31" s="51">
        <f t="shared" si="0"/>
        <v>0</v>
      </c>
      <c r="E31" s="51">
        <v>2800</v>
      </c>
      <c r="F31" s="52">
        <f t="shared" si="1"/>
        <v>0</v>
      </c>
      <c r="G31" s="43"/>
      <c r="H31" s="61" t="s">
        <v>211</v>
      </c>
      <c r="J31" s="55" t="str">
        <f>IF(C31=0," ",VLOOKUP(A31,'[1]AriaMED Formulation - Purespot '!#REF!,12,FALSE))</f>
        <v xml:space="preserve"> </v>
      </c>
      <c r="K31" s="55" t="str">
        <f>IF(C31=0," ",VLOOKUP(A31,'[1]AriaMED Formulation - Purespot '!#REF!,13,FALSE))</f>
        <v xml:space="preserve"> </v>
      </c>
      <c r="L31" s="56" t="str">
        <f>IF(C31=0," ",VLOOKUP(A31,'[1]AriaMED Formulation - Purespot '!#REF!,14,FALSE))</f>
        <v xml:space="preserve"> </v>
      </c>
      <c r="M31" s="57" t="str">
        <f t="shared" si="4"/>
        <v xml:space="preserve"> </v>
      </c>
    </row>
    <row r="32" spans="1:13" ht="16.2">
      <c r="A32" s="50" t="s">
        <v>212</v>
      </c>
      <c r="B32" s="59"/>
      <c r="C32" s="66">
        <v>0</v>
      </c>
      <c r="D32" s="51">
        <f t="shared" si="0"/>
        <v>0</v>
      </c>
      <c r="E32" s="51">
        <v>900</v>
      </c>
      <c r="F32" s="52">
        <f t="shared" si="1"/>
        <v>0</v>
      </c>
      <c r="G32" s="43"/>
      <c r="H32" s="61" t="s">
        <v>213</v>
      </c>
    </row>
    <row r="33" spans="1:13" ht="16.2">
      <c r="A33" s="58" t="s">
        <v>214</v>
      </c>
      <c r="B33" s="73"/>
      <c r="C33" s="74">
        <v>0</v>
      </c>
      <c r="D33" s="51">
        <f t="shared" si="0"/>
        <v>0</v>
      </c>
      <c r="E33" s="73">
        <v>800</v>
      </c>
      <c r="F33" s="52">
        <f t="shared" si="1"/>
        <v>0</v>
      </c>
      <c r="G33" s="43"/>
      <c r="H33" s="61" t="s">
        <v>183</v>
      </c>
      <c r="J33" s="55" t="str">
        <f>IF(C33=0," ",VLOOKUP(A33,'[1]AriaMED Formulation - Purespot '!#REF!,12,FALSE))</f>
        <v xml:space="preserve"> </v>
      </c>
      <c r="K33" s="55" t="str">
        <f>IF(C33=0," ",VLOOKUP(A33,'[1]AriaMED Formulation - Purespot '!#REF!,13,FALSE))</f>
        <v xml:space="preserve"> </v>
      </c>
      <c r="L33" s="56" t="str">
        <f>IF(C33=0," ",VLOOKUP(A33,'[1]AriaMED Formulation - Purespot '!#REF!,14,FALSE))</f>
        <v xml:space="preserve"> </v>
      </c>
      <c r="M33" s="57" t="str">
        <f>IFERROR(L33*C33," ")</f>
        <v xml:space="preserve"> </v>
      </c>
    </row>
    <row r="34" spans="1:13" ht="16.2">
      <c r="A34" s="50" t="s">
        <v>215</v>
      </c>
      <c r="B34" s="82"/>
      <c r="C34" s="66">
        <v>0</v>
      </c>
      <c r="D34" s="51">
        <f t="shared" si="0"/>
        <v>0</v>
      </c>
      <c r="E34" s="51">
        <v>310</v>
      </c>
      <c r="F34" s="52">
        <f t="shared" si="1"/>
        <v>0</v>
      </c>
      <c r="G34" s="43"/>
      <c r="H34" s="61" t="s">
        <v>191</v>
      </c>
    </row>
    <row r="35" spans="1:13" ht="16.2">
      <c r="A35" s="58" t="s">
        <v>216</v>
      </c>
      <c r="B35" s="76"/>
      <c r="C35" s="54">
        <v>0</v>
      </c>
      <c r="D35" s="51">
        <f t="shared" si="0"/>
        <v>0</v>
      </c>
      <c r="E35" s="51">
        <v>650</v>
      </c>
      <c r="F35" s="52">
        <f t="shared" si="1"/>
        <v>0</v>
      </c>
      <c r="G35" s="62"/>
      <c r="H35" s="83" t="s">
        <v>217</v>
      </c>
    </row>
    <row r="36" spans="1:13" ht="16.2">
      <c r="A36" s="58" t="s">
        <v>218</v>
      </c>
      <c r="B36" s="76"/>
      <c r="C36" s="54">
        <v>0</v>
      </c>
      <c r="D36" s="51">
        <f t="shared" si="0"/>
        <v>0</v>
      </c>
      <c r="E36" s="51">
        <v>100</v>
      </c>
      <c r="F36" s="52">
        <f t="shared" si="1"/>
        <v>0</v>
      </c>
      <c r="G36" s="62"/>
      <c r="H36" s="61"/>
    </row>
    <row r="37" spans="1:13" ht="16.2">
      <c r="A37" s="50" t="s">
        <v>219</v>
      </c>
      <c r="B37" s="84"/>
      <c r="C37" s="66">
        <v>1.2</v>
      </c>
      <c r="D37" s="51">
        <f t="shared" si="0"/>
        <v>0.36</v>
      </c>
      <c r="E37" s="51">
        <v>350</v>
      </c>
      <c r="F37" s="52">
        <f t="shared" si="1"/>
        <v>0.126</v>
      </c>
      <c r="G37" s="53" t="s">
        <v>220</v>
      </c>
      <c r="H37" s="61" t="s">
        <v>221</v>
      </c>
      <c r="J37" s="55" t="e">
        <f>IF(C37=0," ",VLOOKUP(A37,'[1]AriaMED Formulation - Purespot '!#REF!,12,FALSE))</f>
        <v>#REF!</v>
      </c>
      <c r="K37" s="55" t="e">
        <f>IF(C37=0," ",VLOOKUP(A37,'[1]AriaMED Formulation - Purespot '!#REF!,13,FALSE))</f>
        <v>#REF!</v>
      </c>
      <c r="L37" s="56" t="e">
        <f>IF(C37=0," ",VLOOKUP(A37,'[1]AriaMED Formulation - Purespot '!#REF!,14,FALSE))</f>
        <v>#REF!</v>
      </c>
      <c r="M37" s="57" t="str">
        <f t="shared" ref="M37:M38" si="5">IFERROR(L37*C37," ")</f>
        <v xml:space="preserve"> </v>
      </c>
    </row>
    <row r="38" spans="1:13" ht="16.2">
      <c r="A38" s="50" t="s">
        <v>222</v>
      </c>
      <c r="B38" s="66"/>
      <c r="C38" s="66">
        <v>0</v>
      </c>
      <c r="D38" s="51">
        <f t="shared" si="0"/>
        <v>0</v>
      </c>
      <c r="E38" s="51">
        <v>12000</v>
      </c>
      <c r="F38" s="52">
        <f t="shared" si="1"/>
        <v>0</v>
      </c>
      <c r="G38" s="67"/>
      <c r="H38" s="61" t="s">
        <v>223</v>
      </c>
      <c r="J38" s="55" t="str">
        <f>IF(C38=0," ",VLOOKUP(A38,'[1]AriaMED Formulation - Purespot '!#REF!,12,FALSE))</f>
        <v xml:space="preserve"> </v>
      </c>
      <c r="K38" s="55" t="str">
        <f>IF(C38=0," ",VLOOKUP(A38,'[1]AriaMED Formulation - Purespot '!#REF!,13,FALSE))</f>
        <v xml:space="preserve"> </v>
      </c>
      <c r="L38" s="56" t="str">
        <f>IF(C38=0," ",VLOOKUP(A38,'[1]AriaMED Formulation - Purespot '!#REF!,14,FALSE))</f>
        <v xml:space="preserve"> </v>
      </c>
      <c r="M38" s="57" t="str">
        <f t="shared" si="5"/>
        <v xml:space="preserve"> </v>
      </c>
    </row>
    <row r="39" spans="1:13" ht="16.2">
      <c r="A39" s="51"/>
      <c r="B39" s="51"/>
      <c r="C39" s="47">
        <f>SUM(C5:C38)</f>
        <v>100</v>
      </c>
      <c r="D39" s="65">
        <v>30</v>
      </c>
      <c r="E39" s="51"/>
      <c r="F39" s="85">
        <f>SUM(F5:F38)</f>
        <v>3.5691316666666668</v>
      </c>
      <c r="G39" s="67"/>
      <c r="H39" s="86"/>
    </row>
    <row r="40" spans="1:13" ht="16.2">
      <c r="A40" s="87"/>
      <c r="B40" s="87"/>
      <c r="C40" s="46"/>
      <c r="D40" s="87"/>
      <c r="E40" s="87"/>
      <c r="F40" s="88"/>
      <c r="G40" s="43"/>
      <c r="H40" s="87"/>
    </row>
    <row r="41" spans="1:13" ht="16.2">
      <c r="A41" s="89" t="s">
        <v>224</v>
      </c>
      <c r="B41" s="90"/>
      <c r="C41" s="90"/>
      <c r="D41" s="90"/>
      <c r="E41" s="90"/>
      <c r="F41" s="91"/>
      <c r="G41" s="87"/>
      <c r="H41" s="90"/>
    </row>
    <row r="42" spans="1:13">
      <c r="A42" s="91" t="s">
        <v>225</v>
      </c>
      <c r="B42" s="90"/>
      <c r="C42" s="90"/>
      <c r="D42" s="90"/>
      <c r="E42" s="90"/>
      <c r="F42" s="90"/>
      <c r="G42" s="90"/>
      <c r="H42" s="90"/>
    </row>
    <row r="43" spans="1:13">
      <c r="A43" s="90" t="s">
        <v>226</v>
      </c>
      <c r="B43" s="90"/>
      <c r="C43" s="90"/>
      <c r="D43" s="90"/>
      <c r="E43" s="90"/>
      <c r="F43" s="90"/>
      <c r="G43" s="90"/>
      <c r="H43" s="90"/>
    </row>
    <row r="44" spans="1:13">
      <c r="A44" s="90" t="s">
        <v>227</v>
      </c>
      <c r="B44" s="90"/>
      <c r="C44" s="90"/>
      <c r="D44" s="90"/>
      <c r="E44" s="90"/>
      <c r="F44" s="90"/>
      <c r="G44" s="90"/>
      <c r="H44" s="9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EA407-F704-4E73-893A-E8501B8F41D6}">
  <sheetPr>
    <tabColor rgb="FFFFFF00"/>
  </sheetPr>
  <dimension ref="A1:M44"/>
  <sheetViews>
    <sheetView topLeftCell="A24" workbookViewId="0">
      <selection activeCell="C34" sqref="C34"/>
    </sheetView>
  </sheetViews>
  <sheetFormatPr defaultRowHeight="14.4"/>
  <cols>
    <col min="1" max="1" width="33.77734375" customWidth="1"/>
    <col min="8" max="8" width="21.33203125" customWidth="1"/>
  </cols>
  <sheetData>
    <row r="1" spans="1:13" ht="20.399999999999999">
      <c r="A1" s="40"/>
      <c r="B1" s="41" t="s">
        <v>149</v>
      </c>
      <c r="C1" s="42"/>
      <c r="D1" s="40"/>
      <c r="E1" s="40"/>
      <c r="F1" s="40"/>
      <c r="G1" s="43"/>
      <c r="H1" s="40"/>
    </row>
    <row r="2" spans="1:13" ht="18">
      <c r="A2" s="44" t="s">
        <v>150</v>
      </c>
      <c r="B2" s="44"/>
      <c r="C2" s="44"/>
      <c r="D2" s="44" t="s">
        <v>151</v>
      </c>
      <c r="E2" s="40"/>
      <c r="F2" s="40"/>
      <c r="G2" s="43"/>
      <c r="H2" s="40"/>
    </row>
    <row r="3" spans="1:13" ht="18">
      <c r="A3" s="44" t="s">
        <v>152</v>
      </c>
      <c r="B3" s="45"/>
      <c r="C3" s="46"/>
      <c r="D3" s="44" t="s">
        <v>153</v>
      </c>
      <c r="E3" s="40"/>
      <c r="F3" s="40"/>
      <c r="G3" s="43"/>
      <c r="H3" s="40"/>
    </row>
    <row r="4" spans="1:13" ht="15.6">
      <c r="A4" s="47" t="s">
        <v>154</v>
      </c>
      <c r="B4" s="47" t="s">
        <v>155</v>
      </c>
      <c r="C4" s="48" t="s">
        <v>156</v>
      </c>
      <c r="D4" s="48" t="s">
        <v>157</v>
      </c>
      <c r="E4" s="48" t="s">
        <v>158</v>
      </c>
      <c r="F4" s="48" t="s">
        <v>159</v>
      </c>
      <c r="G4" s="48" t="s">
        <v>160</v>
      </c>
      <c r="H4" s="49" t="s">
        <v>161</v>
      </c>
    </row>
    <row r="5" spans="1:13" ht="16.2">
      <c r="A5" s="50" t="s">
        <v>162</v>
      </c>
      <c r="B5" s="51"/>
      <c r="C5" s="47">
        <f>100-SUM(C6:C38)</f>
        <v>81.55</v>
      </c>
      <c r="D5" s="51">
        <f>C5*$D$39/$C$39</f>
        <v>24.465</v>
      </c>
      <c r="E5" s="51">
        <f>19/4.5</f>
        <v>4.2222222222222223</v>
      </c>
      <c r="F5" s="52">
        <f>E5/1000*D5</f>
        <v>0.10329666666666668</v>
      </c>
      <c r="G5" s="53" t="s">
        <v>163</v>
      </c>
      <c r="H5" s="54"/>
      <c r="J5" s="55" t="e">
        <f>IF(C5=0," ",VLOOKUP(A5,'[1]AriaMED Formulation - Purespot '!#REF!,12,FALSE))</f>
        <v>#REF!</v>
      </c>
      <c r="K5" s="55" t="e">
        <f>IF(C5=0," ",VLOOKUP(A5,'[1]AriaMED Formulation - Purespot '!#REF!,13,FALSE))</f>
        <v>#REF!</v>
      </c>
      <c r="L5" s="56" t="e">
        <f>IF(C5=0," ",VLOOKUP(A5,'[1]AriaMED Formulation - Purespot '!#REF!,14,FALSE))</f>
        <v>#REF!</v>
      </c>
      <c r="M5" s="57" t="str">
        <f>IFERROR(L5*C5," ")</f>
        <v xml:space="preserve"> </v>
      </c>
    </row>
    <row r="6" spans="1:13" ht="16.2">
      <c r="A6" s="58" t="s">
        <v>164</v>
      </c>
      <c r="B6" s="59"/>
      <c r="C6" s="60">
        <v>4</v>
      </c>
      <c r="D6" s="51">
        <f>C6*$D$39/$C$39</f>
        <v>1.2</v>
      </c>
      <c r="E6" s="51">
        <v>90</v>
      </c>
      <c r="F6" s="52">
        <f>E6/1000*D6</f>
        <v>0.108</v>
      </c>
      <c r="G6" s="53"/>
      <c r="H6" s="61" t="s">
        <v>165</v>
      </c>
      <c r="J6" s="55" t="e">
        <f>IF(C6=0," ",VLOOKUP(A6,'[1]AriaMED Formulation - Purespot '!#REF!,12,FALSE))</f>
        <v>#REF!</v>
      </c>
      <c r="K6" s="55" t="e">
        <f>IF(C6=0," ",VLOOKUP(A6,'[1]AriaMED Formulation - Purespot '!#REF!,13,FALSE))</f>
        <v>#REF!</v>
      </c>
      <c r="L6" s="56" t="e">
        <f>IF(C6=0," ",VLOOKUP(A6,'[1]AriaMED Formulation - Purespot '!#REF!,14,FALSE))</f>
        <v>#REF!</v>
      </c>
      <c r="M6" s="57" t="str">
        <f>IFERROR(L6*C6," ")</f>
        <v xml:space="preserve"> </v>
      </c>
    </row>
    <row r="7" spans="1:13" ht="16.2">
      <c r="A7" s="58" t="s">
        <v>166</v>
      </c>
      <c r="B7" s="59"/>
      <c r="C7" s="60">
        <v>0</v>
      </c>
      <c r="D7" s="51">
        <f t="shared" ref="D7:D38" si="0">C7*$D$39/$C$39</f>
        <v>0</v>
      </c>
      <c r="E7" s="51">
        <v>13000</v>
      </c>
      <c r="F7" s="52">
        <f t="shared" ref="F7:F38" si="1">E7/1000*D7</f>
        <v>0</v>
      </c>
      <c r="G7" s="62" t="s">
        <v>167</v>
      </c>
      <c r="H7" s="61" t="s">
        <v>168</v>
      </c>
    </row>
    <row r="8" spans="1:13" ht="16.2">
      <c r="A8" s="63" t="s">
        <v>169</v>
      </c>
      <c r="B8" s="64"/>
      <c r="C8" s="65">
        <v>0</v>
      </c>
      <c r="D8" s="51">
        <f t="shared" si="0"/>
        <v>0</v>
      </c>
      <c r="E8" s="64">
        <v>700</v>
      </c>
      <c r="F8" s="52">
        <f t="shared" si="1"/>
        <v>0</v>
      </c>
      <c r="G8" s="62"/>
      <c r="H8" s="61" t="s">
        <v>170</v>
      </c>
    </row>
    <row r="9" spans="1:13" ht="16.2">
      <c r="A9" s="63" t="s">
        <v>171</v>
      </c>
      <c r="B9" s="64"/>
      <c r="C9" s="65">
        <v>0.05</v>
      </c>
      <c r="D9" s="51">
        <f t="shared" si="0"/>
        <v>1.4999999999999999E-2</v>
      </c>
      <c r="E9" s="64">
        <v>4500</v>
      </c>
      <c r="F9" s="52">
        <f t="shared" si="1"/>
        <v>6.7500000000000004E-2</v>
      </c>
      <c r="G9" s="62"/>
      <c r="H9" s="61" t="s">
        <v>172</v>
      </c>
      <c r="J9" s="55" t="e">
        <f>IF(C9=0," ",VLOOKUP(A9,'[1]AriaMED Formulation - Purespot '!#REF!,12,FALSE))</f>
        <v>#REF!</v>
      </c>
      <c r="K9" s="55" t="e">
        <f>IF(C9=0," ",VLOOKUP(A9,'[1]AriaMED Formulation - Purespot '!#REF!,13,FALSE))</f>
        <v>#REF!</v>
      </c>
      <c r="L9" s="56" t="e">
        <f>IF(C9=0," ",VLOOKUP(A9,'[1]AriaMED Formulation - Purespot '!#REF!,14,FALSE))</f>
        <v>#REF!</v>
      </c>
      <c r="M9" s="57" t="str">
        <f t="shared" ref="M9:M10" si="2">IFERROR(L9*C9," ")</f>
        <v xml:space="preserve"> </v>
      </c>
    </row>
    <row r="10" spans="1:13" ht="16.2">
      <c r="A10" s="50" t="s">
        <v>173</v>
      </c>
      <c r="B10" s="66"/>
      <c r="C10" s="66">
        <v>0.2</v>
      </c>
      <c r="D10" s="51">
        <f t="shared" si="0"/>
        <v>0.06</v>
      </c>
      <c r="E10" s="51">
        <v>750</v>
      </c>
      <c r="F10" s="52">
        <f t="shared" si="1"/>
        <v>4.4999999999999998E-2</v>
      </c>
      <c r="G10" s="67"/>
      <c r="H10" s="61" t="s">
        <v>174</v>
      </c>
      <c r="J10" s="55" t="e">
        <f>IF(C10=0," ",VLOOKUP(A10,'[1]AriaMED Formulation - Purespot '!#REF!,12,FALSE))</f>
        <v>#REF!</v>
      </c>
      <c r="K10" s="55" t="e">
        <f>IF(C10=0," ",VLOOKUP(A10,'[1]AriaMED Formulation - Purespot '!#REF!,13,FALSE))</f>
        <v>#REF!</v>
      </c>
      <c r="L10" s="56" t="e">
        <f>IF(C10=0," ",VLOOKUP(A10,'[1]AriaMED Formulation - Purespot '!#REF!,14,FALSE))</f>
        <v>#REF!</v>
      </c>
      <c r="M10" s="57" t="str">
        <f t="shared" si="2"/>
        <v xml:space="preserve"> </v>
      </c>
    </row>
    <row r="11" spans="1:13" ht="16.2">
      <c r="A11" s="68" t="s">
        <v>175</v>
      </c>
      <c r="B11" s="59"/>
      <c r="C11" s="66">
        <v>0</v>
      </c>
      <c r="D11" s="51">
        <f t="shared" si="0"/>
        <v>0</v>
      </c>
      <c r="E11" s="51">
        <v>8000</v>
      </c>
      <c r="F11" s="52">
        <f t="shared" si="1"/>
        <v>0</v>
      </c>
      <c r="G11" s="62"/>
      <c r="H11" s="69" t="s">
        <v>176</v>
      </c>
    </row>
    <row r="12" spans="1:13" ht="16.2">
      <c r="A12" s="50" t="s">
        <v>177</v>
      </c>
      <c r="B12" s="59"/>
      <c r="C12" s="47">
        <v>0</v>
      </c>
      <c r="D12" s="51">
        <f t="shared" si="0"/>
        <v>0</v>
      </c>
      <c r="E12" s="51">
        <v>1800</v>
      </c>
      <c r="F12" s="52">
        <f t="shared" si="1"/>
        <v>0</v>
      </c>
      <c r="G12" s="62"/>
      <c r="H12" s="61" t="s">
        <v>178</v>
      </c>
    </row>
    <row r="13" spans="1:13" ht="16.2">
      <c r="A13" s="50" t="s">
        <v>179</v>
      </c>
      <c r="B13" s="59">
        <v>10</v>
      </c>
      <c r="C13" s="66">
        <v>1</v>
      </c>
      <c r="D13" s="51">
        <f t="shared" si="0"/>
        <v>0.3</v>
      </c>
      <c r="E13" s="51">
        <v>230</v>
      </c>
      <c r="F13" s="52">
        <f t="shared" si="1"/>
        <v>6.9000000000000006E-2</v>
      </c>
      <c r="G13" s="62"/>
      <c r="H13" s="61" t="s">
        <v>180</v>
      </c>
      <c r="J13" s="55" t="e">
        <f>IF(C13=0," ",VLOOKUP(A13,'[1]AriaMED Formulation - Purespot '!#REF!,12,FALSE))</f>
        <v>#REF!</v>
      </c>
      <c r="K13" s="55" t="e">
        <f>IF(C13=0," ",VLOOKUP(A13,'[1]AriaMED Formulation - Purespot '!#REF!,13,FALSE))</f>
        <v>#REF!</v>
      </c>
      <c r="L13" s="56" t="e">
        <f>IF(C13=0," ",VLOOKUP(A13,'[1]AriaMED Formulation - Purespot '!#REF!,14,FALSE))</f>
        <v>#REF!</v>
      </c>
      <c r="M13" s="57" t="str">
        <f>IFERROR(L13*C13," ")</f>
        <v xml:space="preserve"> </v>
      </c>
    </row>
    <row r="14" spans="1:13" ht="16.2">
      <c r="A14" s="70" t="s">
        <v>181</v>
      </c>
      <c r="B14" s="59"/>
      <c r="C14" s="66">
        <v>1</v>
      </c>
      <c r="D14" s="51">
        <f t="shared" si="0"/>
        <v>0.3</v>
      </c>
      <c r="E14" s="51">
        <v>850</v>
      </c>
      <c r="F14" s="52">
        <f t="shared" si="1"/>
        <v>0.255</v>
      </c>
      <c r="G14" s="62"/>
      <c r="H14" s="61" t="s">
        <v>165</v>
      </c>
    </row>
    <row r="15" spans="1:13" ht="16.2">
      <c r="A15" s="50" t="s">
        <v>182</v>
      </c>
      <c r="B15" s="59"/>
      <c r="C15" s="66">
        <v>0</v>
      </c>
      <c r="D15" s="51">
        <f t="shared" si="0"/>
        <v>0</v>
      </c>
      <c r="E15" s="51">
        <v>1500</v>
      </c>
      <c r="F15" s="52">
        <f t="shared" si="1"/>
        <v>0</v>
      </c>
      <c r="G15" s="62"/>
      <c r="H15" s="61" t="s">
        <v>183</v>
      </c>
      <c r="J15" s="55" t="str">
        <f>IF(C15=0," ",VLOOKUP(A15,'[1]AriaMED Formulation - Purespot '!#REF!,12,FALSE))</f>
        <v xml:space="preserve"> </v>
      </c>
      <c r="K15" s="55" t="str">
        <f>IF(C15=0," ",VLOOKUP(A15,'[1]AriaMED Formulation - Purespot '!#REF!,13,FALSE))</f>
        <v xml:space="preserve"> </v>
      </c>
      <c r="L15" s="56" t="str">
        <f>IF(C15=0," ",VLOOKUP(A15,'[1]AriaMED Formulation - Purespot '!#REF!,14,FALSE))</f>
        <v xml:space="preserve"> </v>
      </c>
      <c r="M15" s="57" t="str">
        <f t="shared" ref="M15:M16" si="3">IFERROR(L15*C15," ")</f>
        <v xml:space="preserve"> </v>
      </c>
    </row>
    <row r="16" spans="1:13" ht="16.2">
      <c r="A16" s="50" t="s">
        <v>184</v>
      </c>
      <c r="B16" s="59"/>
      <c r="C16" s="66">
        <v>0</v>
      </c>
      <c r="D16" s="51">
        <f t="shared" si="0"/>
        <v>0</v>
      </c>
      <c r="E16" s="51">
        <v>1400</v>
      </c>
      <c r="F16" s="52">
        <f t="shared" si="1"/>
        <v>0</v>
      </c>
      <c r="G16" s="62"/>
      <c r="H16" s="61" t="s">
        <v>185</v>
      </c>
      <c r="J16" s="55" t="str">
        <f>IF(C16=0," ",VLOOKUP(A16,'[1]AriaMED Formulation - Purespot '!#REF!,12,FALSE))</f>
        <v xml:space="preserve"> </v>
      </c>
      <c r="K16" s="55" t="str">
        <f>IF(C16=0," ",VLOOKUP(A16,'[1]AriaMED Formulation - Purespot '!#REF!,13,FALSE))</f>
        <v xml:space="preserve"> </v>
      </c>
      <c r="L16" s="56" t="str">
        <f>IF(C16=0," ",VLOOKUP(A16,'[1]AriaMED Formulation - Purespot '!#REF!,14,FALSE))</f>
        <v xml:space="preserve"> </v>
      </c>
      <c r="M16" s="57" t="str">
        <f t="shared" si="3"/>
        <v xml:space="preserve"> </v>
      </c>
    </row>
    <row r="17" spans="1:13" ht="16.2">
      <c r="A17" s="50" t="s">
        <v>186</v>
      </c>
      <c r="B17" s="51"/>
      <c r="C17" s="47">
        <v>0</v>
      </c>
      <c r="D17" s="51">
        <f t="shared" si="0"/>
        <v>0</v>
      </c>
      <c r="E17" s="51">
        <v>650</v>
      </c>
      <c r="F17" s="52">
        <f t="shared" si="1"/>
        <v>0</v>
      </c>
      <c r="G17" s="62"/>
      <c r="H17" s="61" t="s">
        <v>187</v>
      </c>
    </row>
    <row r="18" spans="1:13" ht="16.2">
      <c r="A18" s="50" t="s">
        <v>188</v>
      </c>
      <c r="B18" s="51"/>
      <c r="C18" s="47">
        <v>0</v>
      </c>
      <c r="D18" s="51">
        <f t="shared" si="0"/>
        <v>0</v>
      </c>
      <c r="E18" s="51">
        <v>400</v>
      </c>
      <c r="F18" s="52">
        <f t="shared" si="1"/>
        <v>0</v>
      </c>
      <c r="G18" s="62"/>
      <c r="H18" s="61" t="s">
        <v>189</v>
      </c>
      <c r="J18" s="55" t="str">
        <f>IF(C18=0," ",VLOOKUP(A18,'[1]AriaMED Formulation - Purespot '!#REF!,12,FALSE))</f>
        <v xml:space="preserve"> </v>
      </c>
      <c r="K18" s="55" t="str">
        <f>IF(C18=0," ",VLOOKUP(A18,'[1]AriaMED Formulation - Purespot '!#REF!,13,FALSE))</f>
        <v xml:space="preserve"> </v>
      </c>
      <c r="L18" s="56" t="str">
        <f>IF(C18=0," ",VLOOKUP(A18,'[1]AriaMED Formulation - Purespot '!#REF!,14,FALSE))</f>
        <v xml:space="preserve"> </v>
      </c>
      <c r="M18" s="57" t="str">
        <f>IFERROR(L18*C18," ")</f>
        <v xml:space="preserve"> </v>
      </c>
    </row>
    <row r="19" spans="1:13" ht="16.2">
      <c r="A19" s="50" t="s">
        <v>190</v>
      </c>
      <c r="B19" s="51"/>
      <c r="C19" s="47">
        <v>1</v>
      </c>
      <c r="D19" s="51">
        <f t="shared" si="0"/>
        <v>0.3</v>
      </c>
      <c r="E19" s="51">
        <v>100</v>
      </c>
      <c r="F19" s="52">
        <f t="shared" si="1"/>
        <v>0.03</v>
      </c>
      <c r="G19" s="62"/>
      <c r="H19" s="61" t="s">
        <v>191</v>
      </c>
    </row>
    <row r="20" spans="1:13" ht="16.2">
      <c r="A20" s="50" t="s">
        <v>192</v>
      </c>
      <c r="B20" s="59"/>
      <c r="C20" s="66">
        <v>0</v>
      </c>
      <c r="D20" s="51">
        <f t="shared" si="0"/>
        <v>0</v>
      </c>
      <c r="E20" s="51">
        <v>250</v>
      </c>
      <c r="F20" s="52">
        <f t="shared" si="1"/>
        <v>0</v>
      </c>
      <c r="G20" s="62" t="s">
        <v>193</v>
      </c>
      <c r="H20" s="61" t="s">
        <v>191</v>
      </c>
      <c r="J20" s="55" t="str">
        <f>IF(C20=0," ",VLOOKUP(A20,'[1]AriaMED Formulation - Purespot '!#REF!,12,FALSE))</f>
        <v xml:space="preserve"> </v>
      </c>
      <c r="K20" s="55" t="str">
        <f>IF(C20=0," ",VLOOKUP(A20,'[1]AriaMED Formulation - Purespot '!#REF!,13,FALSE))</f>
        <v xml:space="preserve"> </v>
      </c>
      <c r="L20" s="56" t="str">
        <f>IF(C20=0," ",VLOOKUP(A20,'[1]AriaMED Formulation - Purespot '!#REF!,14,FALSE))</f>
        <v xml:space="preserve"> </v>
      </c>
      <c r="M20" s="57" t="str">
        <f>IFERROR(L20*C20," ")</f>
        <v xml:space="preserve"> </v>
      </c>
    </row>
    <row r="21" spans="1:13" ht="16.2">
      <c r="A21" s="50" t="s">
        <v>194</v>
      </c>
      <c r="B21" s="59"/>
      <c r="C21" s="66">
        <v>0</v>
      </c>
      <c r="D21" s="51">
        <f t="shared" si="0"/>
        <v>0</v>
      </c>
      <c r="E21" s="51">
        <v>1100</v>
      </c>
      <c r="F21" s="52">
        <f t="shared" si="1"/>
        <v>0</v>
      </c>
      <c r="G21" s="62"/>
      <c r="H21" s="61" t="s">
        <v>195</v>
      </c>
    </row>
    <row r="22" spans="1:13" ht="16.2">
      <c r="A22" s="71" t="s">
        <v>196</v>
      </c>
      <c r="B22" s="72"/>
      <c r="C22" s="66">
        <v>0</v>
      </c>
      <c r="D22" s="51">
        <f t="shared" si="0"/>
        <v>0</v>
      </c>
      <c r="E22" s="51">
        <v>1400</v>
      </c>
      <c r="F22" s="52">
        <f t="shared" si="1"/>
        <v>0</v>
      </c>
      <c r="G22" s="62"/>
      <c r="H22" s="61" t="s">
        <v>197</v>
      </c>
    </row>
    <row r="23" spans="1:13" ht="16.2">
      <c r="A23" s="58" t="s">
        <v>198</v>
      </c>
      <c r="B23" s="73"/>
      <c r="C23" s="74">
        <v>0</v>
      </c>
      <c r="D23" s="51">
        <f t="shared" si="0"/>
        <v>0</v>
      </c>
      <c r="E23" s="73">
        <v>1200</v>
      </c>
      <c r="F23" s="52">
        <f t="shared" si="1"/>
        <v>0</v>
      </c>
      <c r="G23" s="43"/>
      <c r="H23" s="75" t="s">
        <v>199</v>
      </c>
    </row>
    <row r="24" spans="1:13" ht="16.2">
      <c r="A24" s="68" t="s">
        <v>200</v>
      </c>
      <c r="B24" s="76"/>
      <c r="C24" s="54">
        <v>0</v>
      </c>
      <c r="D24" s="51">
        <f t="shared" si="0"/>
        <v>0</v>
      </c>
      <c r="E24" s="51">
        <v>680</v>
      </c>
      <c r="F24" s="52">
        <f t="shared" si="1"/>
        <v>0</v>
      </c>
      <c r="G24" s="43"/>
      <c r="H24" s="61" t="s">
        <v>201</v>
      </c>
    </row>
    <row r="25" spans="1:13" ht="16.2">
      <c r="A25" s="58" t="s">
        <v>202</v>
      </c>
      <c r="B25" s="73"/>
      <c r="C25" s="74">
        <v>0</v>
      </c>
      <c r="D25" s="51">
        <f t="shared" si="0"/>
        <v>0</v>
      </c>
      <c r="E25" s="73">
        <v>3000</v>
      </c>
      <c r="F25" s="52">
        <f t="shared" si="1"/>
        <v>0</v>
      </c>
      <c r="G25" s="43"/>
      <c r="H25" s="75" t="s">
        <v>203</v>
      </c>
    </row>
    <row r="26" spans="1:13" ht="16.2">
      <c r="A26" s="58" t="s">
        <v>204</v>
      </c>
      <c r="B26" s="76"/>
      <c r="C26" s="54">
        <v>0</v>
      </c>
      <c r="D26" s="51">
        <f t="shared" si="0"/>
        <v>0</v>
      </c>
      <c r="E26" s="51">
        <v>1500</v>
      </c>
      <c r="F26" s="52">
        <f t="shared" si="1"/>
        <v>0</v>
      </c>
      <c r="G26" s="43"/>
      <c r="H26" s="61" t="s">
        <v>205</v>
      </c>
    </row>
    <row r="27" spans="1:13" ht="16.2">
      <c r="A27" s="58">
        <v>9832</v>
      </c>
      <c r="B27" s="51"/>
      <c r="C27" s="47">
        <v>0</v>
      </c>
      <c r="D27" s="51">
        <f t="shared" si="0"/>
        <v>0</v>
      </c>
      <c r="E27" s="51">
        <v>2300</v>
      </c>
      <c r="F27" s="52">
        <f t="shared" si="1"/>
        <v>0</v>
      </c>
      <c r="G27" s="43"/>
      <c r="H27" s="61" t="s">
        <v>206</v>
      </c>
    </row>
    <row r="28" spans="1:13" ht="16.2">
      <c r="A28" s="77" t="s">
        <v>207</v>
      </c>
      <c r="B28" s="76"/>
      <c r="C28" s="78">
        <v>0</v>
      </c>
      <c r="D28" s="51">
        <f t="shared" si="0"/>
        <v>0</v>
      </c>
      <c r="E28" s="51">
        <v>700</v>
      </c>
      <c r="F28" s="52">
        <f t="shared" si="1"/>
        <v>0</v>
      </c>
      <c r="G28" s="43"/>
      <c r="H28" s="61" t="s">
        <v>180</v>
      </c>
    </row>
    <row r="29" spans="1:13" ht="16.2">
      <c r="A29" s="79" t="s">
        <v>208</v>
      </c>
      <c r="B29" s="80"/>
      <c r="C29" s="60">
        <v>0</v>
      </c>
      <c r="D29" s="51">
        <f t="shared" si="0"/>
        <v>0</v>
      </c>
      <c r="E29" s="81">
        <v>600</v>
      </c>
      <c r="F29" s="52">
        <f t="shared" si="1"/>
        <v>0</v>
      </c>
      <c r="G29" s="43"/>
      <c r="H29" s="61" t="s">
        <v>209</v>
      </c>
      <c r="J29" s="55" t="str">
        <f>IF(C29=0," ",VLOOKUP(A29,'[1]AriaMED Formulation - Purespot '!#REF!,12,FALSE))</f>
        <v xml:space="preserve"> </v>
      </c>
      <c r="K29" s="55" t="str">
        <f>IF(C29=0," ",VLOOKUP(A29,'[1]AriaMED Formulation - Purespot '!#REF!,13,FALSE))</f>
        <v xml:space="preserve"> </v>
      </c>
      <c r="L29" s="56" t="str">
        <f>IF(C29=0," ",VLOOKUP(A29,'[1]AriaMED Formulation - Purespot '!#REF!,14,FALSE))</f>
        <v xml:space="preserve"> </v>
      </c>
      <c r="M29" s="57" t="str">
        <f t="shared" ref="M29:M31" si="4">IFERROR(L29*C29," ")</f>
        <v xml:space="preserve"> </v>
      </c>
    </row>
    <row r="30" spans="1:13" ht="16.2">
      <c r="A30" s="94" t="s">
        <v>247</v>
      </c>
      <c r="B30" s="66"/>
      <c r="C30" s="78">
        <v>10</v>
      </c>
      <c r="D30" s="51">
        <f t="shared" si="0"/>
        <v>3</v>
      </c>
      <c r="E30" s="51">
        <f>EN!F27*7</f>
        <v>1097.25</v>
      </c>
      <c r="F30" s="52">
        <f t="shared" si="1"/>
        <v>3.2917500000000004</v>
      </c>
      <c r="G30" s="43"/>
      <c r="H30" s="61" t="s">
        <v>189</v>
      </c>
      <c r="J30" s="55" t="e">
        <f>IF(C30=0," ",VLOOKUP(A30,'[1]AriaMED Formulation - Purespot '!#REF!,12,FALSE))</f>
        <v>#REF!</v>
      </c>
      <c r="K30" s="55" t="e">
        <f>IF(C30=0," ",VLOOKUP(A30,'[1]AriaMED Formulation - Purespot '!#REF!,13,FALSE))</f>
        <v>#REF!</v>
      </c>
      <c r="L30" s="56" t="e">
        <f>IF(C30=0," ",VLOOKUP(A30,'[1]AriaMED Formulation - Purespot '!#REF!,14,FALSE))</f>
        <v>#REF!</v>
      </c>
      <c r="M30" s="57" t="str">
        <f t="shared" si="4"/>
        <v xml:space="preserve"> </v>
      </c>
    </row>
    <row r="31" spans="1:13" ht="16.2">
      <c r="A31" s="50" t="s">
        <v>210</v>
      </c>
      <c r="B31" s="66">
        <v>0.9</v>
      </c>
      <c r="C31" s="78">
        <v>0</v>
      </c>
      <c r="D31" s="51">
        <f t="shared" si="0"/>
        <v>0</v>
      </c>
      <c r="E31" s="51">
        <v>2800</v>
      </c>
      <c r="F31" s="52">
        <f t="shared" si="1"/>
        <v>0</v>
      </c>
      <c r="G31" s="43"/>
      <c r="H31" s="61" t="s">
        <v>211</v>
      </c>
      <c r="J31" s="55" t="str">
        <f>IF(C31=0," ",VLOOKUP(A31,'[1]AriaMED Formulation - Purespot '!#REF!,12,FALSE))</f>
        <v xml:space="preserve"> </v>
      </c>
      <c r="K31" s="55" t="str">
        <f>IF(C31=0," ",VLOOKUP(A31,'[1]AriaMED Formulation - Purespot '!#REF!,13,FALSE))</f>
        <v xml:space="preserve"> </v>
      </c>
      <c r="L31" s="56" t="str">
        <f>IF(C31=0," ",VLOOKUP(A31,'[1]AriaMED Formulation - Purespot '!#REF!,14,FALSE))</f>
        <v xml:space="preserve"> </v>
      </c>
      <c r="M31" s="57" t="str">
        <f t="shared" si="4"/>
        <v xml:space="preserve"> </v>
      </c>
    </row>
    <row r="32" spans="1:13" ht="16.2">
      <c r="A32" s="50" t="s">
        <v>212</v>
      </c>
      <c r="B32" s="59"/>
      <c r="C32" s="66">
        <v>0</v>
      </c>
      <c r="D32" s="51">
        <f t="shared" si="0"/>
        <v>0</v>
      </c>
      <c r="E32" s="51">
        <v>900</v>
      </c>
      <c r="F32" s="52">
        <f t="shared" si="1"/>
        <v>0</v>
      </c>
      <c r="G32" s="43"/>
      <c r="H32" s="61" t="s">
        <v>213</v>
      </c>
    </row>
    <row r="33" spans="1:13" ht="16.2">
      <c r="A33" s="58" t="s">
        <v>214</v>
      </c>
      <c r="B33" s="73"/>
      <c r="C33" s="74">
        <v>0</v>
      </c>
      <c r="D33" s="51">
        <f t="shared" si="0"/>
        <v>0</v>
      </c>
      <c r="E33" s="73">
        <v>800</v>
      </c>
      <c r="F33" s="52">
        <f t="shared" si="1"/>
        <v>0</v>
      </c>
      <c r="G33" s="43"/>
      <c r="H33" s="61" t="s">
        <v>183</v>
      </c>
      <c r="J33" s="55" t="str">
        <f>IF(C33=0," ",VLOOKUP(A33,'[1]AriaMED Formulation - Purespot '!#REF!,12,FALSE))</f>
        <v xml:space="preserve"> </v>
      </c>
      <c r="K33" s="55" t="str">
        <f>IF(C33=0," ",VLOOKUP(A33,'[1]AriaMED Formulation - Purespot '!#REF!,13,FALSE))</f>
        <v xml:space="preserve"> </v>
      </c>
      <c r="L33" s="56" t="str">
        <f>IF(C33=0," ",VLOOKUP(A33,'[1]AriaMED Formulation - Purespot '!#REF!,14,FALSE))</f>
        <v xml:space="preserve"> </v>
      </c>
      <c r="M33" s="57" t="str">
        <f>IFERROR(L33*C33," ")</f>
        <v xml:space="preserve"> </v>
      </c>
    </row>
    <row r="34" spans="1:13" ht="16.2">
      <c r="A34" s="50" t="s">
        <v>215</v>
      </c>
      <c r="B34" s="82"/>
      <c r="C34" s="66">
        <v>0</v>
      </c>
      <c r="D34" s="51">
        <f t="shared" si="0"/>
        <v>0</v>
      </c>
      <c r="E34" s="51">
        <v>310</v>
      </c>
      <c r="F34" s="52">
        <f t="shared" si="1"/>
        <v>0</v>
      </c>
      <c r="G34" s="43"/>
      <c r="H34" s="61" t="s">
        <v>191</v>
      </c>
    </row>
    <row r="35" spans="1:13" ht="16.2">
      <c r="A35" s="58" t="s">
        <v>216</v>
      </c>
      <c r="B35" s="76"/>
      <c r="C35" s="54">
        <v>0</v>
      </c>
      <c r="D35" s="51">
        <f t="shared" si="0"/>
        <v>0</v>
      </c>
      <c r="E35" s="51">
        <v>650</v>
      </c>
      <c r="F35" s="52">
        <f t="shared" si="1"/>
        <v>0</v>
      </c>
      <c r="G35" s="62"/>
      <c r="H35" s="83" t="s">
        <v>217</v>
      </c>
    </row>
    <row r="36" spans="1:13" ht="16.2">
      <c r="A36" s="58" t="s">
        <v>218</v>
      </c>
      <c r="B36" s="76"/>
      <c r="C36" s="54">
        <v>0</v>
      </c>
      <c r="D36" s="51">
        <f t="shared" si="0"/>
        <v>0</v>
      </c>
      <c r="E36" s="51">
        <v>100</v>
      </c>
      <c r="F36" s="52">
        <f t="shared" si="1"/>
        <v>0</v>
      </c>
      <c r="G36" s="62"/>
      <c r="H36" s="61"/>
    </row>
    <row r="37" spans="1:13" ht="16.2">
      <c r="A37" s="50" t="s">
        <v>219</v>
      </c>
      <c r="B37" s="84"/>
      <c r="C37" s="66">
        <v>1.2</v>
      </c>
      <c r="D37" s="51">
        <f t="shared" si="0"/>
        <v>0.36</v>
      </c>
      <c r="E37" s="51">
        <v>350</v>
      </c>
      <c r="F37" s="52">
        <f t="shared" si="1"/>
        <v>0.126</v>
      </c>
      <c r="G37" s="53" t="s">
        <v>220</v>
      </c>
      <c r="H37" s="61" t="s">
        <v>221</v>
      </c>
      <c r="J37" s="55" t="e">
        <f>IF(C37=0," ",VLOOKUP(A37,'[1]AriaMED Formulation - Purespot '!#REF!,12,FALSE))</f>
        <v>#REF!</v>
      </c>
      <c r="K37" s="55" t="e">
        <f>IF(C37=0," ",VLOOKUP(A37,'[1]AriaMED Formulation - Purespot '!#REF!,13,FALSE))</f>
        <v>#REF!</v>
      </c>
      <c r="L37" s="56" t="e">
        <f>IF(C37=0," ",VLOOKUP(A37,'[1]AriaMED Formulation - Purespot '!#REF!,14,FALSE))</f>
        <v>#REF!</v>
      </c>
      <c r="M37" s="57" t="str">
        <f t="shared" ref="M37:M38" si="5">IFERROR(L37*C37," ")</f>
        <v xml:space="preserve"> </v>
      </c>
    </row>
    <row r="38" spans="1:13" ht="16.2">
      <c r="A38" s="50" t="s">
        <v>222</v>
      </c>
      <c r="B38" s="66"/>
      <c r="C38" s="66">
        <v>0</v>
      </c>
      <c r="D38" s="51">
        <f t="shared" si="0"/>
        <v>0</v>
      </c>
      <c r="E38" s="51">
        <v>12000</v>
      </c>
      <c r="F38" s="52">
        <f t="shared" si="1"/>
        <v>0</v>
      </c>
      <c r="G38" s="67"/>
      <c r="H38" s="61" t="s">
        <v>223</v>
      </c>
      <c r="J38" s="55" t="str">
        <f>IF(C38=0," ",VLOOKUP(A38,'[1]AriaMED Formulation - Purespot '!#REF!,12,FALSE))</f>
        <v xml:space="preserve"> </v>
      </c>
      <c r="K38" s="55" t="str">
        <f>IF(C38=0," ",VLOOKUP(A38,'[1]AriaMED Formulation - Purespot '!#REF!,13,FALSE))</f>
        <v xml:space="preserve"> </v>
      </c>
      <c r="L38" s="56" t="str">
        <f>IF(C38=0," ",VLOOKUP(A38,'[1]AriaMED Formulation - Purespot '!#REF!,14,FALSE))</f>
        <v xml:space="preserve"> </v>
      </c>
      <c r="M38" s="57" t="str">
        <f t="shared" si="5"/>
        <v xml:space="preserve"> </v>
      </c>
    </row>
    <row r="39" spans="1:13" ht="16.2">
      <c r="A39" s="51"/>
      <c r="B39" s="51"/>
      <c r="C39" s="47">
        <f>SUM(C5:C38)</f>
        <v>100</v>
      </c>
      <c r="D39" s="65">
        <v>30</v>
      </c>
      <c r="E39" s="51"/>
      <c r="F39" s="85">
        <f>SUM(F5:F38)</f>
        <v>4.0955466666666673</v>
      </c>
      <c r="G39" s="67"/>
      <c r="H39" s="86"/>
    </row>
    <row r="40" spans="1:13" ht="16.2">
      <c r="A40" s="87"/>
      <c r="B40" s="87"/>
      <c r="C40" s="46"/>
      <c r="D40" s="87"/>
      <c r="E40" s="87"/>
      <c r="F40" s="88"/>
      <c r="G40" s="43"/>
      <c r="H40" s="87"/>
    </row>
    <row r="41" spans="1:13" ht="16.2">
      <c r="A41" s="89" t="s">
        <v>224</v>
      </c>
      <c r="B41" s="90"/>
      <c r="C41" s="90"/>
      <c r="D41" s="90"/>
      <c r="E41" s="90"/>
      <c r="F41" s="91"/>
      <c r="G41" s="87"/>
      <c r="H41" s="90"/>
    </row>
    <row r="42" spans="1:13">
      <c r="A42" s="91" t="s">
        <v>225</v>
      </c>
      <c r="B42" s="90"/>
      <c r="C42" s="90"/>
      <c r="D42" s="90"/>
      <c r="E42" s="90"/>
      <c r="F42" s="90"/>
      <c r="G42" s="90"/>
      <c r="H42" s="90"/>
    </row>
    <row r="43" spans="1:13">
      <c r="A43" s="90" t="s">
        <v>226</v>
      </c>
      <c r="B43" s="90"/>
      <c r="C43" s="90"/>
      <c r="D43" s="90"/>
      <c r="E43" s="90"/>
      <c r="F43" s="90"/>
      <c r="G43" s="90"/>
      <c r="H43" s="90"/>
    </row>
    <row r="44" spans="1:13">
      <c r="A44" s="90" t="s">
        <v>227</v>
      </c>
      <c r="B44" s="90"/>
      <c r="C44" s="90"/>
      <c r="D44" s="90"/>
      <c r="E44" s="90"/>
      <c r="F44" s="90"/>
      <c r="G44" s="90"/>
      <c r="H44" s="9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95E6-D01F-4FCC-8D4A-2FF21D6CA551}">
  <sheetPr>
    <tabColor rgb="FFFFFF00"/>
  </sheetPr>
  <dimension ref="A1:M44"/>
  <sheetViews>
    <sheetView topLeftCell="A19" workbookViewId="0">
      <selection activeCell="A30" sqref="A30"/>
    </sheetView>
  </sheetViews>
  <sheetFormatPr defaultRowHeight="14.4"/>
  <cols>
    <col min="1" max="1" width="33.77734375" customWidth="1"/>
    <col min="8" max="8" width="21.33203125" customWidth="1"/>
  </cols>
  <sheetData>
    <row r="1" spans="1:13" ht="20.399999999999999">
      <c r="A1" s="40"/>
      <c r="B1" s="41" t="s">
        <v>149</v>
      </c>
      <c r="C1" s="42"/>
      <c r="D1" s="40"/>
      <c r="E1" s="40"/>
      <c r="F1" s="40"/>
      <c r="G1" s="43"/>
      <c r="H1" s="40"/>
    </row>
    <row r="2" spans="1:13" ht="18">
      <c r="A2" s="44" t="s">
        <v>150</v>
      </c>
      <c r="B2" s="44"/>
      <c r="C2" s="44"/>
      <c r="D2" s="44" t="s">
        <v>151</v>
      </c>
      <c r="E2" s="40"/>
      <c r="F2" s="40"/>
      <c r="G2" s="43"/>
      <c r="H2" s="40"/>
    </row>
    <row r="3" spans="1:13" ht="18">
      <c r="A3" s="44" t="s">
        <v>152</v>
      </c>
      <c r="B3" s="45"/>
      <c r="C3" s="46"/>
      <c r="D3" s="44" t="s">
        <v>153</v>
      </c>
      <c r="E3" s="40"/>
      <c r="F3" s="40"/>
      <c r="G3" s="43"/>
      <c r="H3" s="40"/>
    </row>
    <row r="4" spans="1:13" ht="15.6">
      <c r="A4" s="47" t="s">
        <v>154</v>
      </c>
      <c r="B4" s="47" t="s">
        <v>155</v>
      </c>
      <c r="C4" s="48" t="s">
        <v>156</v>
      </c>
      <c r="D4" s="48" t="s">
        <v>157</v>
      </c>
      <c r="E4" s="48" t="s">
        <v>158</v>
      </c>
      <c r="F4" s="48" t="s">
        <v>159</v>
      </c>
      <c r="G4" s="48" t="s">
        <v>160</v>
      </c>
      <c r="H4" s="49" t="s">
        <v>161</v>
      </c>
    </row>
    <row r="5" spans="1:13" ht="16.2">
      <c r="A5" s="50" t="s">
        <v>162</v>
      </c>
      <c r="B5" s="51"/>
      <c r="C5" s="47">
        <f>100-SUM(C6:C38)</f>
        <v>81.55</v>
      </c>
      <c r="D5" s="51">
        <f>C5*$D$39/$C$39</f>
        <v>24.465</v>
      </c>
      <c r="E5" s="51">
        <f>19/4.5</f>
        <v>4.2222222222222223</v>
      </c>
      <c r="F5" s="52">
        <f>E5/1000*D5</f>
        <v>0.10329666666666668</v>
      </c>
      <c r="G5" s="53" t="s">
        <v>163</v>
      </c>
      <c r="H5" s="54"/>
      <c r="J5" s="55" t="e">
        <f>IF(C5=0," ",VLOOKUP(A5,'[1]AriaMED Formulation - Purespot '!#REF!,12,FALSE))</f>
        <v>#REF!</v>
      </c>
      <c r="K5" s="55" t="e">
        <f>IF(C5=0," ",VLOOKUP(A5,'[1]AriaMED Formulation - Purespot '!#REF!,13,FALSE))</f>
        <v>#REF!</v>
      </c>
      <c r="L5" s="56" t="e">
        <f>IF(C5=0," ",VLOOKUP(A5,'[1]AriaMED Formulation - Purespot '!#REF!,14,FALSE))</f>
        <v>#REF!</v>
      </c>
      <c r="M5" s="57" t="str">
        <f>IFERROR(L5*C5," ")</f>
        <v xml:space="preserve"> </v>
      </c>
    </row>
    <row r="6" spans="1:13" ht="16.2">
      <c r="A6" s="58" t="s">
        <v>164</v>
      </c>
      <c r="B6" s="59"/>
      <c r="C6" s="60">
        <v>4</v>
      </c>
      <c r="D6" s="51">
        <f>C6*$D$39/$C$39</f>
        <v>1.2</v>
      </c>
      <c r="E6" s="51">
        <v>90</v>
      </c>
      <c r="F6" s="52">
        <f>E6/1000*D6</f>
        <v>0.108</v>
      </c>
      <c r="G6" s="53"/>
      <c r="H6" s="61" t="s">
        <v>165</v>
      </c>
      <c r="J6" s="55" t="e">
        <f>IF(C6=0," ",VLOOKUP(A6,'[1]AriaMED Formulation - Purespot '!#REF!,12,FALSE))</f>
        <v>#REF!</v>
      </c>
      <c r="K6" s="55" t="e">
        <f>IF(C6=0," ",VLOOKUP(A6,'[1]AriaMED Formulation - Purespot '!#REF!,13,FALSE))</f>
        <v>#REF!</v>
      </c>
      <c r="L6" s="56" t="e">
        <f>IF(C6=0," ",VLOOKUP(A6,'[1]AriaMED Formulation - Purespot '!#REF!,14,FALSE))</f>
        <v>#REF!</v>
      </c>
      <c r="M6" s="57" t="str">
        <f>IFERROR(L6*C6," ")</f>
        <v xml:space="preserve"> </v>
      </c>
    </row>
    <row r="7" spans="1:13" ht="16.2">
      <c r="A7" s="58" t="s">
        <v>166</v>
      </c>
      <c r="B7" s="59"/>
      <c r="C7" s="60">
        <v>0</v>
      </c>
      <c r="D7" s="51">
        <f t="shared" ref="D7:D38" si="0">C7*$D$39/$C$39</f>
        <v>0</v>
      </c>
      <c r="E7" s="51">
        <v>13000</v>
      </c>
      <c r="F7" s="52">
        <f t="shared" ref="F7:F38" si="1">E7/1000*D7</f>
        <v>0</v>
      </c>
      <c r="G7" s="62" t="s">
        <v>167</v>
      </c>
      <c r="H7" s="61" t="s">
        <v>168</v>
      </c>
    </row>
    <row r="8" spans="1:13" ht="16.2">
      <c r="A8" s="63" t="s">
        <v>169</v>
      </c>
      <c r="B8" s="64"/>
      <c r="C8" s="65">
        <v>0</v>
      </c>
      <c r="D8" s="51">
        <f t="shared" si="0"/>
        <v>0</v>
      </c>
      <c r="E8" s="64">
        <v>700</v>
      </c>
      <c r="F8" s="52">
        <f t="shared" si="1"/>
        <v>0</v>
      </c>
      <c r="G8" s="62"/>
      <c r="H8" s="61" t="s">
        <v>170</v>
      </c>
    </row>
    <row r="9" spans="1:13" ht="16.2">
      <c r="A9" s="63" t="s">
        <v>171</v>
      </c>
      <c r="B9" s="64"/>
      <c r="C9" s="65">
        <v>0.05</v>
      </c>
      <c r="D9" s="51">
        <f t="shared" si="0"/>
        <v>1.4999999999999999E-2</v>
      </c>
      <c r="E9" s="64">
        <v>4500</v>
      </c>
      <c r="F9" s="52">
        <f t="shared" si="1"/>
        <v>6.7500000000000004E-2</v>
      </c>
      <c r="G9" s="62"/>
      <c r="H9" s="61" t="s">
        <v>172</v>
      </c>
      <c r="J9" s="55" t="e">
        <f>IF(C9=0," ",VLOOKUP(A9,'[1]AriaMED Formulation - Purespot '!#REF!,12,FALSE))</f>
        <v>#REF!</v>
      </c>
      <c r="K9" s="55" t="e">
        <f>IF(C9=0," ",VLOOKUP(A9,'[1]AriaMED Formulation - Purespot '!#REF!,13,FALSE))</f>
        <v>#REF!</v>
      </c>
      <c r="L9" s="56" t="e">
        <f>IF(C9=0," ",VLOOKUP(A9,'[1]AriaMED Formulation - Purespot '!#REF!,14,FALSE))</f>
        <v>#REF!</v>
      </c>
      <c r="M9" s="57" t="str">
        <f t="shared" ref="M9:M10" si="2">IFERROR(L9*C9," ")</f>
        <v xml:space="preserve"> </v>
      </c>
    </row>
    <row r="10" spans="1:13" ht="16.2">
      <c r="A10" s="50" t="s">
        <v>173</v>
      </c>
      <c r="B10" s="66"/>
      <c r="C10" s="66">
        <v>0.2</v>
      </c>
      <c r="D10" s="51">
        <f t="shared" si="0"/>
        <v>0.06</v>
      </c>
      <c r="E10" s="51">
        <v>750</v>
      </c>
      <c r="F10" s="52">
        <f t="shared" si="1"/>
        <v>4.4999999999999998E-2</v>
      </c>
      <c r="G10" s="67"/>
      <c r="H10" s="61" t="s">
        <v>174</v>
      </c>
      <c r="J10" s="55" t="e">
        <f>IF(C10=0," ",VLOOKUP(A10,'[1]AriaMED Formulation - Purespot '!#REF!,12,FALSE))</f>
        <v>#REF!</v>
      </c>
      <c r="K10" s="55" t="e">
        <f>IF(C10=0," ",VLOOKUP(A10,'[1]AriaMED Formulation - Purespot '!#REF!,13,FALSE))</f>
        <v>#REF!</v>
      </c>
      <c r="L10" s="56" t="e">
        <f>IF(C10=0," ",VLOOKUP(A10,'[1]AriaMED Formulation - Purespot '!#REF!,14,FALSE))</f>
        <v>#REF!</v>
      </c>
      <c r="M10" s="57" t="str">
        <f t="shared" si="2"/>
        <v xml:space="preserve"> </v>
      </c>
    </row>
    <row r="11" spans="1:13" ht="16.2">
      <c r="A11" s="68" t="s">
        <v>175</v>
      </c>
      <c r="B11" s="59"/>
      <c r="C11" s="66">
        <v>0</v>
      </c>
      <c r="D11" s="51">
        <f t="shared" si="0"/>
        <v>0</v>
      </c>
      <c r="E11" s="51">
        <v>8000</v>
      </c>
      <c r="F11" s="52">
        <f t="shared" si="1"/>
        <v>0</v>
      </c>
      <c r="G11" s="62"/>
      <c r="H11" s="69" t="s">
        <v>176</v>
      </c>
    </row>
    <row r="12" spans="1:13" ht="16.2">
      <c r="A12" s="50" t="s">
        <v>177</v>
      </c>
      <c r="B12" s="59"/>
      <c r="C12" s="47">
        <v>0</v>
      </c>
      <c r="D12" s="51">
        <f t="shared" si="0"/>
        <v>0</v>
      </c>
      <c r="E12" s="51">
        <v>1800</v>
      </c>
      <c r="F12" s="52">
        <f t="shared" si="1"/>
        <v>0</v>
      </c>
      <c r="G12" s="62"/>
      <c r="H12" s="61" t="s">
        <v>178</v>
      </c>
    </row>
    <row r="13" spans="1:13" ht="16.2">
      <c r="A13" s="50" t="s">
        <v>179</v>
      </c>
      <c r="B13" s="59">
        <v>10</v>
      </c>
      <c r="C13" s="66">
        <v>1</v>
      </c>
      <c r="D13" s="51">
        <f t="shared" si="0"/>
        <v>0.3</v>
      </c>
      <c r="E13" s="51">
        <v>230</v>
      </c>
      <c r="F13" s="52">
        <f t="shared" si="1"/>
        <v>6.9000000000000006E-2</v>
      </c>
      <c r="G13" s="62"/>
      <c r="H13" s="61" t="s">
        <v>180</v>
      </c>
      <c r="J13" s="55" t="e">
        <f>IF(C13=0," ",VLOOKUP(A13,'[1]AriaMED Formulation - Purespot '!#REF!,12,FALSE))</f>
        <v>#REF!</v>
      </c>
      <c r="K13" s="55" t="e">
        <f>IF(C13=0," ",VLOOKUP(A13,'[1]AriaMED Formulation - Purespot '!#REF!,13,FALSE))</f>
        <v>#REF!</v>
      </c>
      <c r="L13" s="56" t="e">
        <f>IF(C13=0," ",VLOOKUP(A13,'[1]AriaMED Formulation - Purespot '!#REF!,14,FALSE))</f>
        <v>#REF!</v>
      </c>
      <c r="M13" s="57" t="str">
        <f>IFERROR(L13*C13," ")</f>
        <v xml:space="preserve"> </v>
      </c>
    </row>
    <row r="14" spans="1:13" ht="16.2">
      <c r="A14" s="70" t="s">
        <v>181</v>
      </c>
      <c r="B14" s="59"/>
      <c r="C14" s="66">
        <v>1</v>
      </c>
      <c r="D14" s="51">
        <f t="shared" si="0"/>
        <v>0.3</v>
      </c>
      <c r="E14" s="51">
        <v>850</v>
      </c>
      <c r="F14" s="52">
        <f t="shared" si="1"/>
        <v>0.255</v>
      </c>
      <c r="G14" s="62"/>
      <c r="H14" s="61" t="s">
        <v>165</v>
      </c>
    </row>
    <row r="15" spans="1:13" ht="16.2">
      <c r="A15" s="50" t="s">
        <v>182</v>
      </c>
      <c r="B15" s="59"/>
      <c r="C15" s="66">
        <v>0</v>
      </c>
      <c r="D15" s="51">
        <f t="shared" si="0"/>
        <v>0</v>
      </c>
      <c r="E15" s="51">
        <v>1500</v>
      </c>
      <c r="F15" s="52">
        <f t="shared" si="1"/>
        <v>0</v>
      </c>
      <c r="G15" s="62"/>
      <c r="H15" s="61" t="s">
        <v>183</v>
      </c>
      <c r="J15" s="55" t="str">
        <f>IF(C15=0," ",VLOOKUP(A15,'[1]AriaMED Formulation - Purespot '!#REF!,12,FALSE))</f>
        <v xml:space="preserve"> </v>
      </c>
      <c r="K15" s="55" t="str">
        <f>IF(C15=0," ",VLOOKUP(A15,'[1]AriaMED Formulation - Purespot '!#REF!,13,FALSE))</f>
        <v xml:space="preserve"> </v>
      </c>
      <c r="L15" s="56" t="str">
        <f>IF(C15=0," ",VLOOKUP(A15,'[1]AriaMED Formulation - Purespot '!#REF!,14,FALSE))</f>
        <v xml:space="preserve"> </v>
      </c>
      <c r="M15" s="57" t="str">
        <f t="shared" ref="M15:M16" si="3">IFERROR(L15*C15," ")</f>
        <v xml:space="preserve"> </v>
      </c>
    </row>
    <row r="16" spans="1:13" ht="16.2">
      <c r="A16" s="50" t="s">
        <v>184</v>
      </c>
      <c r="B16" s="59"/>
      <c r="C16" s="66">
        <v>0</v>
      </c>
      <c r="D16" s="51">
        <f t="shared" si="0"/>
        <v>0</v>
      </c>
      <c r="E16" s="51">
        <v>1400</v>
      </c>
      <c r="F16" s="52">
        <f t="shared" si="1"/>
        <v>0</v>
      </c>
      <c r="G16" s="62"/>
      <c r="H16" s="61" t="s">
        <v>185</v>
      </c>
      <c r="J16" s="55" t="str">
        <f>IF(C16=0," ",VLOOKUP(A16,'[1]AriaMED Formulation - Purespot '!#REF!,12,FALSE))</f>
        <v xml:space="preserve"> </v>
      </c>
      <c r="K16" s="55" t="str">
        <f>IF(C16=0," ",VLOOKUP(A16,'[1]AriaMED Formulation - Purespot '!#REF!,13,FALSE))</f>
        <v xml:space="preserve"> </v>
      </c>
      <c r="L16" s="56" t="str">
        <f>IF(C16=0," ",VLOOKUP(A16,'[1]AriaMED Formulation - Purespot '!#REF!,14,FALSE))</f>
        <v xml:space="preserve"> </v>
      </c>
      <c r="M16" s="57" t="str">
        <f t="shared" si="3"/>
        <v xml:space="preserve"> </v>
      </c>
    </row>
    <row r="17" spans="1:13" ht="16.2">
      <c r="A17" s="50" t="s">
        <v>186</v>
      </c>
      <c r="B17" s="51"/>
      <c r="C17" s="47">
        <v>0</v>
      </c>
      <c r="D17" s="51">
        <f t="shared" si="0"/>
        <v>0</v>
      </c>
      <c r="E17" s="51">
        <v>650</v>
      </c>
      <c r="F17" s="52">
        <f t="shared" si="1"/>
        <v>0</v>
      </c>
      <c r="G17" s="62"/>
      <c r="H17" s="61" t="s">
        <v>187</v>
      </c>
    </row>
    <row r="18" spans="1:13" ht="16.2">
      <c r="A18" s="50" t="s">
        <v>188</v>
      </c>
      <c r="B18" s="51"/>
      <c r="C18" s="47">
        <v>0</v>
      </c>
      <c r="D18" s="51">
        <f t="shared" si="0"/>
        <v>0</v>
      </c>
      <c r="E18" s="51">
        <v>400</v>
      </c>
      <c r="F18" s="52">
        <f t="shared" si="1"/>
        <v>0</v>
      </c>
      <c r="G18" s="62"/>
      <c r="H18" s="61" t="s">
        <v>189</v>
      </c>
      <c r="J18" s="55" t="str">
        <f>IF(C18=0," ",VLOOKUP(A18,'[1]AriaMED Formulation - Purespot '!#REF!,12,FALSE))</f>
        <v xml:space="preserve"> </v>
      </c>
      <c r="K18" s="55" t="str">
        <f>IF(C18=0," ",VLOOKUP(A18,'[1]AriaMED Formulation - Purespot '!#REF!,13,FALSE))</f>
        <v xml:space="preserve"> </v>
      </c>
      <c r="L18" s="56" t="str">
        <f>IF(C18=0," ",VLOOKUP(A18,'[1]AriaMED Formulation - Purespot '!#REF!,14,FALSE))</f>
        <v xml:space="preserve"> </v>
      </c>
      <c r="M18" s="57" t="str">
        <f>IFERROR(L18*C18," ")</f>
        <v xml:space="preserve"> </v>
      </c>
    </row>
    <row r="19" spans="1:13" ht="16.2">
      <c r="A19" s="50" t="s">
        <v>190</v>
      </c>
      <c r="B19" s="51"/>
      <c r="C19" s="47">
        <v>1</v>
      </c>
      <c r="D19" s="51">
        <f t="shared" si="0"/>
        <v>0.3</v>
      </c>
      <c r="E19" s="51">
        <v>100</v>
      </c>
      <c r="F19" s="52">
        <f t="shared" si="1"/>
        <v>0.03</v>
      </c>
      <c r="G19" s="62"/>
      <c r="H19" s="61" t="s">
        <v>191</v>
      </c>
    </row>
    <row r="20" spans="1:13" ht="16.2">
      <c r="A20" s="50" t="s">
        <v>192</v>
      </c>
      <c r="B20" s="59"/>
      <c r="C20" s="66">
        <v>0</v>
      </c>
      <c r="D20" s="51">
        <f t="shared" si="0"/>
        <v>0</v>
      </c>
      <c r="E20" s="51">
        <v>250</v>
      </c>
      <c r="F20" s="52">
        <f t="shared" si="1"/>
        <v>0</v>
      </c>
      <c r="G20" s="62" t="s">
        <v>193</v>
      </c>
      <c r="H20" s="61" t="s">
        <v>191</v>
      </c>
      <c r="J20" s="55" t="str">
        <f>IF(C20=0," ",VLOOKUP(A20,'[1]AriaMED Formulation - Purespot '!#REF!,12,FALSE))</f>
        <v xml:space="preserve"> </v>
      </c>
      <c r="K20" s="55" t="str">
        <f>IF(C20=0," ",VLOOKUP(A20,'[1]AriaMED Formulation - Purespot '!#REF!,13,FALSE))</f>
        <v xml:space="preserve"> </v>
      </c>
      <c r="L20" s="56" t="str">
        <f>IF(C20=0," ",VLOOKUP(A20,'[1]AriaMED Formulation - Purespot '!#REF!,14,FALSE))</f>
        <v xml:space="preserve"> </v>
      </c>
      <c r="M20" s="57" t="str">
        <f>IFERROR(L20*C20," ")</f>
        <v xml:space="preserve"> </v>
      </c>
    </row>
    <row r="21" spans="1:13" ht="16.2">
      <c r="A21" s="50" t="s">
        <v>194</v>
      </c>
      <c r="B21" s="59"/>
      <c r="C21" s="66">
        <v>0</v>
      </c>
      <c r="D21" s="51">
        <f t="shared" si="0"/>
        <v>0</v>
      </c>
      <c r="E21" s="51">
        <v>1100</v>
      </c>
      <c r="F21" s="52">
        <f t="shared" si="1"/>
        <v>0</v>
      </c>
      <c r="G21" s="62"/>
      <c r="H21" s="61" t="s">
        <v>195</v>
      </c>
    </row>
    <row r="22" spans="1:13" ht="16.2">
      <c r="A22" s="71" t="s">
        <v>196</v>
      </c>
      <c r="B22" s="72"/>
      <c r="C22" s="66">
        <v>0</v>
      </c>
      <c r="D22" s="51">
        <f t="shared" si="0"/>
        <v>0</v>
      </c>
      <c r="E22" s="51">
        <v>1400</v>
      </c>
      <c r="F22" s="52">
        <f t="shared" si="1"/>
        <v>0</v>
      </c>
      <c r="G22" s="62"/>
      <c r="H22" s="61" t="s">
        <v>197</v>
      </c>
    </row>
    <row r="23" spans="1:13" ht="16.2">
      <c r="A23" s="58" t="s">
        <v>198</v>
      </c>
      <c r="B23" s="73"/>
      <c r="C23" s="74">
        <v>0</v>
      </c>
      <c r="D23" s="51">
        <f t="shared" si="0"/>
        <v>0</v>
      </c>
      <c r="E23" s="73">
        <v>1200</v>
      </c>
      <c r="F23" s="52">
        <f t="shared" si="1"/>
        <v>0</v>
      </c>
      <c r="G23" s="43"/>
      <c r="H23" s="75" t="s">
        <v>199</v>
      </c>
    </row>
    <row r="24" spans="1:13" ht="16.2">
      <c r="A24" s="68" t="s">
        <v>200</v>
      </c>
      <c r="B24" s="76"/>
      <c r="C24" s="54">
        <v>0</v>
      </c>
      <c r="D24" s="51">
        <f t="shared" si="0"/>
        <v>0</v>
      </c>
      <c r="E24" s="51">
        <v>680</v>
      </c>
      <c r="F24" s="52">
        <f t="shared" si="1"/>
        <v>0</v>
      </c>
      <c r="G24" s="43"/>
      <c r="H24" s="61" t="s">
        <v>201</v>
      </c>
    </row>
    <row r="25" spans="1:13" ht="16.2">
      <c r="A25" s="58" t="s">
        <v>202</v>
      </c>
      <c r="B25" s="73"/>
      <c r="C25" s="74">
        <v>0</v>
      </c>
      <c r="D25" s="51">
        <f t="shared" si="0"/>
        <v>0</v>
      </c>
      <c r="E25" s="73">
        <v>3000</v>
      </c>
      <c r="F25" s="52">
        <f t="shared" si="1"/>
        <v>0</v>
      </c>
      <c r="G25" s="43"/>
      <c r="H25" s="75" t="s">
        <v>203</v>
      </c>
    </row>
    <row r="26" spans="1:13" ht="16.2">
      <c r="A26" s="58" t="s">
        <v>204</v>
      </c>
      <c r="B26" s="76"/>
      <c r="C26" s="54">
        <v>0</v>
      </c>
      <c r="D26" s="51">
        <f t="shared" si="0"/>
        <v>0</v>
      </c>
      <c r="E26" s="51">
        <v>1500</v>
      </c>
      <c r="F26" s="52">
        <f t="shared" si="1"/>
        <v>0</v>
      </c>
      <c r="G26" s="43"/>
      <c r="H26" s="61" t="s">
        <v>205</v>
      </c>
    </row>
    <row r="27" spans="1:13" ht="16.2">
      <c r="A27" s="58">
        <v>9832</v>
      </c>
      <c r="B27" s="51"/>
      <c r="C27" s="47">
        <v>0</v>
      </c>
      <c r="D27" s="51">
        <f t="shared" si="0"/>
        <v>0</v>
      </c>
      <c r="E27" s="51">
        <v>2300</v>
      </c>
      <c r="F27" s="52">
        <f t="shared" si="1"/>
        <v>0</v>
      </c>
      <c r="G27" s="43"/>
      <c r="H27" s="61" t="s">
        <v>206</v>
      </c>
    </row>
    <row r="28" spans="1:13" ht="16.2">
      <c r="A28" s="77" t="s">
        <v>207</v>
      </c>
      <c r="B28" s="76"/>
      <c r="C28" s="78">
        <v>0</v>
      </c>
      <c r="D28" s="51">
        <f t="shared" si="0"/>
        <v>0</v>
      </c>
      <c r="E28" s="51">
        <v>700</v>
      </c>
      <c r="F28" s="52">
        <f t="shared" si="1"/>
        <v>0</v>
      </c>
      <c r="G28" s="43"/>
      <c r="H28" s="61" t="s">
        <v>180</v>
      </c>
    </row>
    <row r="29" spans="1:13" ht="16.2">
      <c r="A29" s="79" t="s">
        <v>208</v>
      </c>
      <c r="B29" s="80"/>
      <c r="C29" s="60">
        <v>0</v>
      </c>
      <c r="D29" s="51">
        <f t="shared" si="0"/>
        <v>0</v>
      </c>
      <c r="E29" s="81">
        <v>600</v>
      </c>
      <c r="F29" s="52">
        <f t="shared" si="1"/>
        <v>0</v>
      </c>
      <c r="G29" s="43"/>
      <c r="H29" s="61" t="s">
        <v>209</v>
      </c>
      <c r="J29" s="55" t="str">
        <f>IF(C29=0," ",VLOOKUP(A29,'[1]AriaMED Formulation - Purespot '!#REF!,12,FALSE))</f>
        <v xml:space="preserve"> </v>
      </c>
      <c r="K29" s="55" t="str">
        <f>IF(C29=0," ",VLOOKUP(A29,'[1]AriaMED Formulation - Purespot '!#REF!,13,FALSE))</f>
        <v xml:space="preserve"> </v>
      </c>
      <c r="L29" s="56" t="str">
        <f>IF(C29=0," ",VLOOKUP(A29,'[1]AriaMED Formulation - Purespot '!#REF!,14,FALSE))</f>
        <v xml:space="preserve"> </v>
      </c>
      <c r="M29" s="57" t="str">
        <f t="shared" ref="M29:M31" si="4">IFERROR(L29*C29," ")</f>
        <v xml:space="preserve"> </v>
      </c>
    </row>
    <row r="30" spans="1:13" ht="16.2">
      <c r="A30" s="94" t="s">
        <v>247</v>
      </c>
      <c r="B30" s="66"/>
      <c r="C30" s="78">
        <v>10</v>
      </c>
      <c r="D30" s="51">
        <f t="shared" si="0"/>
        <v>3</v>
      </c>
      <c r="E30" s="51">
        <f>EN!F27*7</f>
        <v>1097.25</v>
      </c>
      <c r="F30" s="52">
        <f t="shared" si="1"/>
        <v>3.2917500000000004</v>
      </c>
      <c r="G30" s="43"/>
      <c r="H30" s="61" t="s">
        <v>189</v>
      </c>
      <c r="J30" s="55" t="e">
        <f>IF(C30=0," ",VLOOKUP(A30,'[1]AriaMED Formulation - Purespot '!#REF!,12,FALSE))</f>
        <v>#REF!</v>
      </c>
      <c r="K30" s="55" t="e">
        <f>IF(C30=0," ",VLOOKUP(A30,'[1]AriaMED Formulation - Purespot '!#REF!,13,FALSE))</f>
        <v>#REF!</v>
      </c>
      <c r="L30" s="56" t="e">
        <f>IF(C30=0," ",VLOOKUP(A30,'[1]AriaMED Formulation - Purespot '!#REF!,14,FALSE))</f>
        <v>#REF!</v>
      </c>
      <c r="M30" s="57" t="str">
        <f t="shared" si="4"/>
        <v xml:space="preserve"> </v>
      </c>
    </row>
    <row r="31" spans="1:13" ht="16.2">
      <c r="A31" s="50" t="s">
        <v>210</v>
      </c>
      <c r="B31" s="66">
        <v>0.9</v>
      </c>
      <c r="C31" s="78">
        <v>0</v>
      </c>
      <c r="D31" s="51">
        <f t="shared" si="0"/>
        <v>0</v>
      </c>
      <c r="E31" s="51">
        <v>2800</v>
      </c>
      <c r="F31" s="52">
        <f t="shared" si="1"/>
        <v>0</v>
      </c>
      <c r="G31" s="43"/>
      <c r="H31" s="61" t="s">
        <v>211</v>
      </c>
      <c r="J31" s="55" t="str">
        <f>IF(C31=0," ",VLOOKUP(A31,'[1]AriaMED Formulation - Purespot '!#REF!,12,FALSE))</f>
        <v xml:space="preserve"> </v>
      </c>
      <c r="K31" s="55" t="str">
        <f>IF(C31=0," ",VLOOKUP(A31,'[1]AriaMED Formulation - Purespot '!#REF!,13,FALSE))</f>
        <v xml:space="preserve"> </v>
      </c>
      <c r="L31" s="56" t="str">
        <f>IF(C31=0," ",VLOOKUP(A31,'[1]AriaMED Formulation - Purespot '!#REF!,14,FALSE))</f>
        <v xml:space="preserve"> </v>
      </c>
      <c r="M31" s="57" t="str">
        <f t="shared" si="4"/>
        <v xml:space="preserve"> </v>
      </c>
    </row>
    <row r="32" spans="1:13" ht="16.2">
      <c r="A32" s="50" t="s">
        <v>212</v>
      </c>
      <c r="B32" s="59"/>
      <c r="C32" s="66">
        <v>0</v>
      </c>
      <c r="D32" s="51">
        <f t="shared" si="0"/>
        <v>0</v>
      </c>
      <c r="E32" s="51">
        <v>900</v>
      </c>
      <c r="F32" s="52">
        <f t="shared" si="1"/>
        <v>0</v>
      </c>
      <c r="G32" s="43"/>
      <c r="H32" s="61" t="s">
        <v>213</v>
      </c>
    </row>
    <row r="33" spans="1:13" ht="16.2">
      <c r="A33" s="58" t="s">
        <v>214</v>
      </c>
      <c r="B33" s="73"/>
      <c r="C33" s="74">
        <v>0</v>
      </c>
      <c r="D33" s="51">
        <f t="shared" si="0"/>
        <v>0</v>
      </c>
      <c r="E33" s="73">
        <v>800</v>
      </c>
      <c r="F33" s="52">
        <f t="shared" si="1"/>
        <v>0</v>
      </c>
      <c r="G33" s="43"/>
      <c r="H33" s="61" t="s">
        <v>183</v>
      </c>
      <c r="J33" s="55" t="str">
        <f>IF(C33=0," ",VLOOKUP(A33,'[1]AriaMED Formulation - Purespot '!#REF!,12,FALSE))</f>
        <v xml:space="preserve"> </v>
      </c>
      <c r="K33" s="55" t="str">
        <f>IF(C33=0," ",VLOOKUP(A33,'[1]AriaMED Formulation - Purespot '!#REF!,13,FALSE))</f>
        <v xml:space="preserve"> </v>
      </c>
      <c r="L33" s="56" t="str">
        <f>IF(C33=0," ",VLOOKUP(A33,'[1]AriaMED Formulation - Purespot '!#REF!,14,FALSE))</f>
        <v xml:space="preserve"> </v>
      </c>
      <c r="M33" s="57" t="str">
        <f>IFERROR(L33*C33," ")</f>
        <v xml:space="preserve"> </v>
      </c>
    </row>
    <row r="34" spans="1:13" ht="16.2">
      <c r="A34" s="50" t="s">
        <v>215</v>
      </c>
      <c r="B34" s="82"/>
      <c r="C34" s="66">
        <v>0</v>
      </c>
      <c r="D34" s="51">
        <f t="shared" si="0"/>
        <v>0</v>
      </c>
      <c r="E34" s="51">
        <v>310</v>
      </c>
      <c r="F34" s="52">
        <f t="shared" si="1"/>
        <v>0</v>
      </c>
      <c r="G34" s="43"/>
      <c r="H34" s="61" t="s">
        <v>191</v>
      </c>
    </row>
    <row r="35" spans="1:13" ht="16.2">
      <c r="A35" s="58" t="s">
        <v>216</v>
      </c>
      <c r="B35" s="76"/>
      <c r="C35" s="54">
        <v>0</v>
      </c>
      <c r="D35" s="51">
        <f t="shared" si="0"/>
        <v>0</v>
      </c>
      <c r="E35" s="51">
        <v>650</v>
      </c>
      <c r="F35" s="52">
        <f t="shared" si="1"/>
        <v>0</v>
      </c>
      <c r="G35" s="62"/>
      <c r="H35" s="83" t="s">
        <v>217</v>
      </c>
    </row>
    <row r="36" spans="1:13" ht="16.2">
      <c r="A36" s="58" t="s">
        <v>218</v>
      </c>
      <c r="B36" s="76"/>
      <c r="C36" s="54">
        <v>0</v>
      </c>
      <c r="D36" s="51">
        <f t="shared" si="0"/>
        <v>0</v>
      </c>
      <c r="E36" s="51">
        <v>100</v>
      </c>
      <c r="F36" s="52">
        <f t="shared" si="1"/>
        <v>0</v>
      </c>
      <c r="G36" s="62"/>
      <c r="H36" s="61"/>
    </row>
    <row r="37" spans="1:13" ht="16.2">
      <c r="A37" s="50" t="s">
        <v>219</v>
      </c>
      <c r="B37" s="84"/>
      <c r="C37" s="66">
        <v>1.2</v>
      </c>
      <c r="D37" s="51">
        <f t="shared" si="0"/>
        <v>0.36</v>
      </c>
      <c r="E37" s="51">
        <v>350</v>
      </c>
      <c r="F37" s="52">
        <f t="shared" si="1"/>
        <v>0.126</v>
      </c>
      <c r="G37" s="53" t="s">
        <v>220</v>
      </c>
      <c r="H37" s="61" t="s">
        <v>221</v>
      </c>
      <c r="J37" s="55" t="e">
        <f>IF(C37=0," ",VLOOKUP(A37,'[1]AriaMED Formulation - Purespot '!#REF!,12,FALSE))</f>
        <v>#REF!</v>
      </c>
      <c r="K37" s="55" t="e">
        <f>IF(C37=0," ",VLOOKUP(A37,'[1]AriaMED Formulation - Purespot '!#REF!,13,FALSE))</f>
        <v>#REF!</v>
      </c>
      <c r="L37" s="56" t="e">
        <f>IF(C37=0," ",VLOOKUP(A37,'[1]AriaMED Formulation - Purespot '!#REF!,14,FALSE))</f>
        <v>#REF!</v>
      </c>
      <c r="M37" s="57" t="str">
        <f t="shared" ref="M37:M38" si="5">IFERROR(L37*C37," ")</f>
        <v xml:space="preserve"> </v>
      </c>
    </row>
    <row r="38" spans="1:13" ht="16.2">
      <c r="A38" s="50" t="s">
        <v>222</v>
      </c>
      <c r="B38" s="66"/>
      <c r="C38" s="66">
        <v>0</v>
      </c>
      <c r="D38" s="51">
        <f t="shared" si="0"/>
        <v>0</v>
      </c>
      <c r="E38" s="51">
        <v>12000</v>
      </c>
      <c r="F38" s="52">
        <f t="shared" si="1"/>
        <v>0</v>
      </c>
      <c r="G38" s="67"/>
      <c r="H38" s="61" t="s">
        <v>223</v>
      </c>
      <c r="J38" s="55" t="str">
        <f>IF(C38=0," ",VLOOKUP(A38,'[1]AriaMED Formulation - Purespot '!#REF!,12,FALSE))</f>
        <v xml:space="preserve"> </v>
      </c>
      <c r="K38" s="55" t="str">
        <f>IF(C38=0," ",VLOOKUP(A38,'[1]AriaMED Formulation - Purespot '!#REF!,13,FALSE))</f>
        <v xml:space="preserve"> </v>
      </c>
      <c r="L38" s="56" t="str">
        <f>IF(C38=0," ",VLOOKUP(A38,'[1]AriaMED Formulation - Purespot '!#REF!,14,FALSE))</f>
        <v xml:space="preserve"> </v>
      </c>
      <c r="M38" s="57" t="str">
        <f t="shared" si="5"/>
        <v xml:space="preserve"> </v>
      </c>
    </row>
    <row r="39" spans="1:13" ht="16.2">
      <c r="A39" s="51"/>
      <c r="B39" s="51"/>
      <c r="C39" s="47">
        <f>SUM(C5:C38)</f>
        <v>100</v>
      </c>
      <c r="D39" s="65">
        <v>30</v>
      </c>
      <c r="E39" s="51"/>
      <c r="F39" s="85">
        <f>SUM(F5:F38)</f>
        <v>4.0955466666666673</v>
      </c>
      <c r="G39" s="67"/>
      <c r="H39" s="86"/>
    </row>
    <row r="40" spans="1:13" ht="16.2">
      <c r="A40" s="87"/>
      <c r="B40" s="87"/>
      <c r="C40" s="46"/>
      <c r="D40" s="87"/>
      <c r="E40" s="87"/>
      <c r="F40" s="88"/>
      <c r="G40" s="43"/>
      <c r="H40" s="87"/>
    </row>
    <row r="41" spans="1:13" ht="16.2">
      <c r="A41" s="89" t="s">
        <v>224</v>
      </c>
      <c r="B41" s="90"/>
      <c r="C41" s="90"/>
      <c r="D41" s="90"/>
      <c r="E41" s="90"/>
      <c r="F41" s="91"/>
      <c r="G41" s="87"/>
      <c r="H41" s="90"/>
    </row>
    <row r="42" spans="1:13">
      <c r="A42" s="91" t="s">
        <v>225</v>
      </c>
      <c r="B42" s="90"/>
      <c r="C42" s="90"/>
      <c r="D42" s="90"/>
      <c r="E42" s="90"/>
      <c r="F42" s="90"/>
      <c r="G42" s="90"/>
      <c r="H42" s="90"/>
    </row>
    <row r="43" spans="1:13">
      <c r="A43" s="90" t="s">
        <v>226</v>
      </c>
      <c r="B43" s="90"/>
      <c r="C43" s="90"/>
      <c r="D43" s="90"/>
      <c r="E43" s="90"/>
      <c r="F43" s="90"/>
      <c r="G43" s="90"/>
      <c r="H43" s="90"/>
    </row>
    <row r="44" spans="1:13">
      <c r="A44" s="90" t="s">
        <v>227</v>
      </c>
      <c r="B44" s="90"/>
      <c r="C44" s="90"/>
      <c r="D44" s="90"/>
      <c r="E44" s="90"/>
      <c r="F44" s="90"/>
      <c r="G44" s="90"/>
      <c r="H44" s="9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EN</vt:lpstr>
      <vt:lpstr>Xynargy Face</vt:lpstr>
      <vt:lpstr>Eye</vt:lpstr>
      <vt:lpstr>Acne</vt:lpstr>
      <vt:lpstr>Retinol</vt:lpstr>
      <vt:lpstr>Caviar</vt:lpstr>
      <vt:lpstr>HyCol</vt:lpstr>
      <vt:lpstr>Ascorbic</vt:lpstr>
      <vt:lpstr>Niacin</vt:lpstr>
      <vt:lpstr>Exfoliate</vt:lpstr>
      <vt:lpstr>FaceWash</vt:lpstr>
      <vt:lpstr>GrowS</vt:lpstr>
      <vt:lpstr>ScalpS</vt:lpstr>
      <vt:lpstr>Shampoo</vt:lpstr>
      <vt:lpstr>Deo</vt:lpstr>
      <vt:lpstr>PainRelief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denny lee</dc:creator>
  <cp:keywords/>
  <dc:description/>
  <cp:lastModifiedBy>denny lee</cp:lastModifiedBy>
  <cp:revision/>
  <dcterms:created xsi:type="dcterms:W3CDTF">2020-11-13T19:24:55Z</dcterms:created>
  <dcterms:modified xsi:type="dcterms:W3CDTF">2025-08-04T01:30:28Z</dcterms:modified>
  <cp:category/>
  <cp:contentStatus/>
</cp:coreProperties>
</file>