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GitHub\Academic-Code\GestionProyectos\"/>
    </mc:Choice>
  </mc:AlternateContent>
  <bookViews>
    <workbookView xWindow="0" yWindow="0" windowWidth="20400" windowHeight="7905"/>
  </bookViews>
  <sheets>
    <sheet name="MAPA DE RIESGOS" sheetId="3" r:id="rId1"/>
  </sheets>
  <calcPr calcId="152511"/>
</workbook>
</file>

<file path=xl/calcChain.xml><?xml version="1.0" encoding="utf-8"?>
<calcChain xmlns="http://schemas.openxmlformats.org/spreadsheetml/2006/main">
  <c r="Z35" i="3" l="1"/>
  <c r="Z34" i="3"/>
  <c r="Z33" i="3"/>
  <c r="Z32" i="3"/>
  <c r="Z31" i="3"/>
  <c r="Z30" i="3"/>
  <c r="Z29" i="3"/>
  <c r="Z28" i="3"/>
  <c r="Z27" i="3"/>
  <c r="Z25" i="3"/>
  <c r="Z24" i="3"/>
  <c r="Z23" i="3"/>
  <c r="Z22" i="3"/>
  <c r="Z21" i="3"/>
  <c r="Z18" i="3"/>
  <c r="Z36" i="3" l="1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H4" i="3"/>
  <c r="F4" i="3"/>
  <c r="D4" i="3"/>
  <c r="V5" i="3"/>
  <c r="W5" i="3" s="1"/>
  <c r="H9" i="3"/>
  <c r="F9" i="3"/>
  <c r="D9" i="3"/>
  <c r="H15" i="3"/>
  <c r="F15" i="3"/>
  <c r="D15" i="3"/>
  <c r="H35" i="3"/>
  <c r="F35" i="3"/>
  <c r="D35" i="3"/>
  <c r="V7" i="3"/>
  <c r="W7" i="3" s="1"/>
  <c r="V8" i="3"/>
  <c r="W8" i="3" s="1"/>
  <c r="H5" i="3"/>
  <c r="F5" i="3"/>
  <c r="D5" i="3"/>
  <c r="H11" i="3"/>
  <c r="F11" i="3"/>
  <c r="D11" i="3"/>
  <c r="H17" i="3"/>
  <c r="F17" i="3"/>
  <c r="D17" i="3"/>
  <c r="H23" i="3"/>
  <c r="F23" i="3"/>
  <c r="D23" i="3"/>
  <c r="H33" i="3"/>
  <c r="F33" i="3"/>
  <c r="D33" i="3"/>
  <c r="V10" i="3"/>
  <c r="W10" i="3" s="1"/>
  <c r="V11" i="3"/>
  <c r="W11" i="3" s="1"/>
  <c r="V12" i="3"/>
  <c r="W12" i="3" s="1"/>
  <c r="H6" i="3"/>
  <c r="F6" i="3"/>
  <c r="D6" i="3"/>
  <c r="H12" i="3"/>
  <c r="F12" i="3"/>
  <c r="D12" i="3"/>
  <c r="V14" i="3"/>
  <c r="W14" i="3" s="1"/>
  <c r="V15" i="3"/>
  <c r="W15" i="3" s="1"/>
  <c r="H31" i="3"/>
  <c r="F31" i="3"/>
  <c r="D31" i="3"/>
  <c r="V17" i="3"/>
  <c r="W17" i="3" s="1"/>
  <c r="H7" i="3"/>
  <c r="F7" i="3"/>
  <c r="D7" i="3"/>
  <c r="H13" i="3"/>
  <c r="F13" i="3"/>
  <c r="D13" i="3"/>
  <c r="V19" i="3"/>
  <c r="W19" i="3" s="1"/>
  <c r="H8" i="3"/>
  <c r="F8" i="3"/>
  <c r="D8" i="3"/>
  <c r="H14" i="3"/>
  <c r="F14" i="3"/>
  <c r="D14" i="3"/>
  <c r="V21" i="3"/>
  <c r="W21" i="3" s="1"/>
  <c r="V22" i="3"/>
  <c r="W22" i="3" s="1"/>
  <c r="H18" i="3"/>
  <c r="F18" i="3"/>
  <c r="D18" i="3"/>
  <c r="V24" i="3"/>
  <c r="W24" i="3" s="1"/>
  <c r="V25" i="3"/>
  <c r="W25" i="3" s="1"/>
  <c r="V26" i="3"/>
  <c r="W26" i="3" s="1"/>
  <c r="H19" i="3"/>
  <c r="F19" i="3"/>
  <c r="D19" i="3"/>
  <c r="H24" i="3"/>
  <c r="F24" i="3"/>
  <c r="D24" i="3"/>
  <c r="V28" i="3"/>
  <c r="W28" i="3" s="1"/>
  <c r="V29" i="3"/>
  <c r="W29" i="3" s="1"/>
  <c r="H25" i="3"/>
  <c r="F25" i="3"/>
  <c r="D25" i="3"/>
  <c r="V31" i="3"/>
  <c r="W31" i="3" s="1"/>
  <c r="V32" i="3"/>
  <c r="W32" i="3" s="1"/>
  <c r="H20" i="3"/>
  <c r="F20" i="3"/>
  <c r="D20" i="3"/>
  <c r="V34" i="3"/>
  <c r="W34" i="3" s="1"/>
  <c r="V35" i="3"/>
  <c r="W35" i="3" s="1"/>
  <c r="H26" i="3"/>
  <c r="F26" i="3"/>
  <c r="D26" i="3"/>
  <c r="V37" i="3"/>
  <c r="W37" i="3" s="1"/>
  <c r="V38" i="3"/>
  <c r="W38" i="3" s="1"/>
  <c r="H21" i="3"/>
  <c r="F21" i="3"/>
  <c r="D21" i="3"/>
  <c r="H27" i="3"/>
  <c r="F27" i="3"/>
  <c r="D27" i="3"/>
  <c r="V40" i="3"/>
  <c r="V41" i="3"/>
  <c r="W41" i="3" s="1"/>
  <c r="V42" i="3"/>
  <c r="W42" i="3" s="1"/>
  <c r="H29" i="3"/>
  <c r="F29" i="3"/>
  <c r="D29" i="3"/>
  <c r="V44" i="3"/>
  <c r="W44" i="3" s="1"/>
  <c r="V45" i="3"/>
  <c r="W45" i="3" s="1"/>
  <c r="H30" i="3"/>
  <c r="F30" i="3"/>
  <c r="D30" i="3"/>
  <c r="V47" i="3"/>
  <c r="W47" i="3" s="1"/>
  <c r="V48" i="3"/>
  <c r="H32" i="3"/>
  <c r="F32" i="3"/>
  <c r="D32" i="3"/>
  <c r="V50" i="3"/>
  <c r="W50" i="3" s="1"/>
  <c r="V51" i="3"/>
  <c r="V52" i="3"/>
  <c r="W52" i="3" s="1"/>
  <c r="H34" i="3"/>
  <c r="F34" i="3"/>
  <c r="D34" i="3"/>
  <c r="V54" i="3"/>
  <c r="W54" i="3" s="1"/>
  <c r="V55" i="3"/>
  <c r="W55" i="3" s="1"/>
  <c r="H36" i="3"/>
  <c r="F36" i="3"/>
  <c r="D36" i="3"/>
  <c r="V57" i="3"/>
  <c r="W57" i="3" s="1"/>
  <c r="V58" i="3"/>
  <c r="W58" i="3" s="1"/>
  <c r="R4" i="3"/>
  <c r="R56" i="3"/>
  <c r="R53" i="3"/>
  <c r="R49" i="3"/>
  <c r="R30" i="3"/>
  <c r="R27" i="3"/>
  <c r="R23" i="3"/>
  <c r="R33" i="3"/>
  <c r="R36" i="3"/>
  <c r="R39" i="3"/>
  <c r="R43" i="3"/>
  <c r="R46" i="3"/>
  <c r="R20" i="3"/>
  <c r="R18" i="3"/>
  <c r="R16" i="3"/>
  <c r="R13" i="3"/>
  <c r="R9" i="3"/>
  <c r="R6" i="3"/>
  <c r="I14" i="3" l="1"/>
  <c r="I31" i="3"/>
  <c r="L7" i="3" s="1"/>
  <c r="N7" i="3" s="1"/>
  <c r="V30" i="3"/>
  <c r="W43" i="3"/>
  <c r="W36" i="3"/>
  <c r="I8" i="3"/>
  <c r="L9" i="3" s="1"/>
  <c r="N9" i="3" s="1"/>
  <c r="W13" i="3"/>
  <c r="V53" i="3"/>
  <c r="V20" i="3"/>
  <c r="V36" i="3"/>
  <c r="I13" i="3"/>
  <c r="I15" i="3"/>
  <c r="I34" i="3"/>
  <c r="L19" i="3" s="1"/>
  <c r="N19" i="3" s="1"/>
  <c r="I20" i="3"/>
  <c r="L13" i="3" s="1"/>
  <c r="N13" i="3" s="1"/>
  <c r="I35" i="3"/>
  <c r="I4" i="3"/>
  <c r="L3" i="3" s="1"/>
  <c r="V6" i="3"/>
  <c r="V13" i="3"/>
  <c r="V23" i="3"/>
  <c r="V33" i="3"/>
  <c r="V43" i="3"/>
  <c r="V56" i="3"/>
  <c r="W30" i="3"/>
  <c r="I7" i="3"/>
  <c r="I9" i="3"/>
  <c r="AB36" i="3"/>
  <c r="W53" i="3"/>
  <c r="W51" i="3"/>
  <c r="W49" i="3" s="1"/>
  <c r="V49" i="3"/>
  <c r="W48" i="3"/>
  <c r="W46" i="3" s="1"/>
  <c r="V46" i="3"/>
  <c r="I30" i="3"/>
  <c r="L17" i="3" s="1"/>
  <c r="N17" i="3" s="1"/>
  <c r="W40" i="3"/>
  <c r="W39" i="3" s="1"/>
  <c r="V39" i="3"/>
  <c r="I27" i="3"/>
  <c r="I24" i="3"/>
  <c r="I23" i="3"/>
  <c r="I11" i="3"/>
  <c r="V9" i="3"/>
  <c r="V27" i="3"/>
  <c r="I32" i="3"/>
  <c r="I21" i="3"/>
  <c r="I19" i="3"/>
  <c r="I33" i="3"/>
  <c r="I17" i="3"/>
  <c r="I5" i="3"/>
  <c r="I36" i="3"/>
  <c r="L20" i="3" s="1"/>
  <c r="N20" i="3" s="1"/>
  <c r="W23" i="3"/>
  <c r="W56" i="3"/>
  <c r="L18" i="3"/>
  <c r="N18" i="3" s="1"/>
  <c r="I29" i="3"/>
  <c r="I12" i="3"/>
  <c r="I26" i="3"/>
  <c r="L14" i="3" s="1"/>
  <c r="N14" i="3" s="1"/>
  <c r="W33" i="3"/>
  <c r="I25" i="3"/>
  <c r="L12" i="3" s="1"/>
  <c r="N12" i="3" s="1"/>
  <c r="W27" i="3"/>
  <c r="I18" i="3"/>
  <c r="L10" i="3" s="1"/>
  <c r="N10" i="3" s="1"/>
  <c r="W20" i="3"/>
  <c r="I6" i="3"/>
  <c r="W9" i="3"/>
  <c r="W6" i="3"/>
  <c r="L11" i="3" l="1"/>
  <c r="N11" i="3" s="1"/>
  <c r="L15" i="3"/>
  <c r="N15" i="3" s="1"/>
  <c r="P19" i="3"/>
  <c r="Q19" i="3" s="1"/>
  <c r="L4" i="3"/>
  <c r="N4" i="3" s="1"/>
  <c r="L8" i="3"/>
  <c r="N8" i="3" s="1"/>
  <c r="P8" i="3" s="1"/>
  <c r="Q8" i="3" s="1"/>
  <c r="L6" i="3"/>
  <c r="N6" i="3" s="1"/>
  <c r="L5" i="3"/>
  <c r="N5" i="3" s="1"/>
  <c r="P5" i="3" s="1"/>
  <c r="Q5" i="3" s="1"/>
  <c r="P4" i="3"/>
  <c r="Q4" i="3" s="1"/>
  <c r="P7" i="3"/>
  <c r="Q7" i="3" s="1"/>
  <c r="P9" i="3"/>
  <c r="Q9" i="3" s="1"/>
  <c r="P11" i="3"/>
  <c r="Q11" i="3" s="1"/>
  <c r="P13" i="3"/>
  <c r="Q13" i="3" s="1"/>
  <c r="L16" i="3"/>
  <c r="N16" i="3" s="1"/>
  <c r="P18" i="3"/>
  <c r="Q18" i="3" s="1"/>
  <c r="P20" i="3"/>
  <c r="Q20" i="3" s="1"/>
  <c r="P6" i="3"/>
  <c r="Q6" i="3" s="1"/>
  <c r="P10" i="3"/>
  <c r="Q10" i="3" s="1"/>
  <c r="P12" i="3"/>
  <c r="Q12" i="3" s="1"/>
  <c r="P14" i="3"/>
  <c r="Q14" i="3" s="1"/>
  <c r="P15" i="3"/>
  <c r="Q15" i="3" s="1"/>
  <c r="P17" i="3"/>
  <c r="Q17" i="3" s="1"/>
  <c r="N3" i="3"/>
  <c r="P3" i="3" l="1"/>
  <c r="Q3" i="3" s="1"/>
  <c r="P16" i="3"/>
  <c r="Q16" i="3" s="1"/>
  <c r="O16" i="3" l="1"/>
  <c r="O3" i="3"/>
  <c r="O19" i="3"/>
  <c r="O7" i="3"/>
  <c r="O11" i="3"/>
  <c r="O18" i="3"/>
  <c r="O20" i="3"/>
  <c r="O6" i="3"/>
  <c r="O12" i="3"/>
  <c r="O15" i="3"/>
  <c r="O5" i="3"/>
  <c r="O4" i="3"/>
  <c r="O9" i="3"/>
  <c r="O13" i="3"/>
  <c r="O10" i="3"/>
  <c r="O14" i="3"/>
  <c r="O17" i="3"/>
  <c r="O8" i="3"/>
  <c r="Z38" i="3"/>
</calcChain>
</file>

<file path=xl/sharedStrings.xml><?xml version="1.0" encoding="utf-8"?>
<sst xmlns="http://schemas.openxmlformats.org/spreadsheetml/2006/main" count="151" uniqueCount="87">
  <si>
    <t>CONFIDENCIALIDAD</t>
  </si>
  <si>
    <t>INTEGRIDAD</t>
  </si>
  <si>
    <t>DISPONIBILIDAD</t>
  </si>
  <si>
    <t>PROBABILIDAD</t>
  </si>
  <si>
    <t>IMPACTO PONDERADO</t>
  </si>
  <si>
    <t>VALOR</t>
  </si>
  <si>
    <t>VALOR DEL RIESGO</t>
  </si>
  <si>
    <t>Desastres Naturales (Incendios, Inundaciones, Otras incindencias sin intervención humana)</t>
  </si>
  <si>
    <t>De origen Industrial(Incendios, fugas de agua, inundaciones, sobrecargas electricas)</t>
  </si>
  <si>
    <t>Fallo de servicios de comunicaciones</t>
  </si>
  <si>
    <t>Errores de los usuarios</t>
  </si>
  <si>
    <t>Errores del administrador (con responsabilidades de instalación y operación)</t>
  </si>
  <si>
    <t>Errores de configuración</t>
  </si>
  <si>
    <t>Introducción de información incorrecta</t>
  </si>
  <si>
    <t>Destrucción de información</t>
  </si>
  <si>
    <t>Divulgación de información</t>
  </si>
  <si>
    <t>Caída del sistema por agotamiento de recursos</t>
  </si>
  <si>
    <t>Suplantación de la identidad del usuario</t>
  </si>
  <si>
    <t>Abusos de privilegios de accesos</t>
  </si>
  <si>
    <t>Uso no previsto</t>
  </si>
  <si>
    <t>Accesos no autorizados</t>
  </si>
  <si>
    <t>Intercepción de información</t>
  </si>
  <si>
    <t>Modificación de la información</t>
  </si>
  <si>
    <t>Corrupción de la información</t>
  </si>
  <si>
    <t>denegación de Servicios</t>
  </si>
  <si>
    <t>Errores de Configuración</t>
  </si>
  <si>
    <t>MAPA DE RIESGOS</t>
  </si>
  <si>
    <t>DEGRADACIÓN            %</t>
  </si>
  <si>
    <t>AMENAZA</t>
  </si>
  <si>
    <t>% DEL RIESGO</t>
  </si>
  <si>
    <t>CALCULO DEL RIESGO</t>
  </si>
  <si>
    <t>SOLUCIÓN PARA LOS IMPACTOS</t>
  </si>
  <si>
    <t>Confidencialidad</t>
  </si>
  <si>
    <t>Integridad</t>
  </si>
  <si>
    <t>Disponibilidad</t>
  </si>
  <si>
    <t>% DE REDUCCION</t>
  </si>
  <si>
    <t>% RESIDUAL</t>
  </si>
  <si>
    <t>Equipo de generacion y transformadora de energia</t>
  </si>
  <si>
    <t>Documentar manuales de Configuración de los activos</t>
  </si>
  <si>
    <t>Elaboración del Plan de Contingencia</t>
  </si>
  <si>
    <t>Implementación de Sistema de Vigilancia y monitoreo con respaldo</t>
  </si>
  <si>
    <t>Adquisición de Sistema de Alarma contra accesos no consentidos</t>
  </si>
  <si>
    <t>Adquisición de equipos de contingencia para levantamiento de sistema</t>
  </si>
  <si>
    <t>Plan de Seguridad (políticas de contraseñas, niveles de ingresos, deberes y obligaciones de los funcionarios) aprobado bajo Odenanza provincial</t>
  </si>
  <si>
    <t>Plan de Respaldo de datos</t>
  </si>
  <si>
    <t>Campaña interna de concientización, información y formación a los funcionarios sobre la responsabilidad en la seguridad</t>
  </si>
  <si>
    <t>Difusión de la Información de carácter pública por medio de la Web, realizando una campaña provincial y nacional a través de los medios de comunicación.</t>
  </si>
  <si>
    <t>Planes de Contingencia</t>
  </si>
  <si>
    <t>Contratos para mantenimiento de la infraestructura y equipos activos</t>
  </si>
  <si>
    <t>Contratación de revisión y arreglos periódicos de la infraestructura eléctrica</t>
  </si>
  <si>
    <t>Adquisición de Sistemas de Alimentación interrumpida (UPS)</t>
  </si>
  <si>
    <t>Plan de Seguridad física y ambiental (Cableado de Red, de poder, accesorios y equipos)</t>
  </si>
  <si>
    <t>Adquirir equipos de emergencia (extintores, detectores de humo, UPS, luces de emergencia)</t>
  </si>
  <si>
    <t>Solicitar los suministros  servicios necesarios para tener en stock del Departamento financiero, de acuerdo a lo estipulado mediante el POA.</t>
  </si>
  <si>
    <t>Plan para la actualización de la plataforma tecnológica (Reestructuraciín de la red, adquisición de equipos activos)</t>
  </si>
  <si>
    <t>Capacitación a los funcionarios del manejo de la red</t>
  </si>
  <si>
    <t>Monitoreo y administración de la red y los servicios institucionales que funcionan con la red.</t>
  </si>
  <si>
    <t>Plan de Capacitación al Recurso Humano (correcto manejo de equipos, de antivirus, de la red, sobre su responsabilidad en seguridad)</t>
  </si>
  <si>
    <t>Especificaciones del puesto de trabajo y formulario de aceptación especificando su responsabilidad en los bienes y servicios entregados</t>
  </si>
  <si>
    <t>Formación continua</t>
  </si>
  <si>
    <t>Realizar bitácoras de accesos a los servidores  y aplicaciones de la institución</t>
  </si>
  <si>
    <t>Políticas de uso de software y legalización de licencias</t>
  </si>
  <si>
    <t>Adquisición de Software Antivirus Corporativo</t>
  </si>
  <si>
    <t>Adquisicón de Firewalls</t>
  </si>
  <si>
    <t>Control de Accesos: entradas y salidas de personas.  Ingresa sólo personal autorizados</t>
  </si>
  <si>
    <t>Políticas de sustracción de equipos activos, definiendo responsables.</t>
  </si>
  <si>
    <t>Planeación Estratégica de Tecnología de Información</t>
  </si>
  <si>
    <t>Modelar dentro de los procesos internos normas y procedimientos de Seguridad de la Información</t>
  </si>
  <si>
    <t>Implementación del Centro de Procesamiento de Datos</t>
  </si>
  <si>
    <t>Adqusición y Desarrollo de Sistemas Informáticos para la gestión institucional</t>
  </si>
  <si>
    <t>Plan de Capacitación al Recurso Humano (correcto manejo de equipos, de antivirus, de la red, sobre su responsabilidad en seguridad, incentivos)</t>
  </si>
  <si>
    <t>VALOR DEL RIESGO RESIDUAL</t>
  </si>
  <si>
    <t>VALOR DE LA DISMINUCIÓN DEL RIESGO</t>
  </si>
  <si>
    <t>AMENAZAS       /       SALVAGUARDAS</t>
  </si>
  <si>
    <t>CANTIDAD</t>
  </si>
  <si>
    <t>VALOR TOTAL</t>
  </si>
  <si>
    <t>COSTOS DE LAS SALVAGUARDAS</t>
  </si>
  <si>
    <t>SALVAGUARDAS</t>
  </si>
  <si>
    <t>VALOR UNITARIO</t>
  </si>
  <si>
    <t>Plan para la actualización de la plataforma tecnológica (Reestructuración de la red, adquisición de equipos activos)</t>
  </si>
  <si>
    <t>REDUCCIÓN NETA DEL RIESGO</t>
  </si>
  <si>
    <t>Denegación de Servicios</t>
  </si>
  <si>
    <t>[Int] [Sw] [Per] Sistema de control de bodega</t>
  </si>
  <si>
    <t>[Ext] [Per] Transferencias de pagos</t>
  </si>
  <si>
    <t>[Int] [Sw] Sistema de control de stock</t>
  </si>
  <si>
    <t>[Ext/Int] [Sw] Página web</t>
  </si>
  <si>
    <t>[Int] [Hw] Servidores de 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</si>
</sst>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[$$-300A]\ #,##0.00"/>
    <numFmt numFmtId="166" formatCode="&quot;$&quot;\ #,##0.00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sz val="9"/>
      <name val="Tahoma"/>
      <family val="2"/>
    </font>
    <font>
      <b/>
      <sz val="9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Arial"/>
    </font>
    <font>
      <b/>
      <sz val="12"/>
      <name val="Tahoma"/>
      <family val="2"/>
    </font>
    <font>
      <b/>
      <sz val="16"/>
      <color indexed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4" fillId="5" borderId="3" xfId="0" applyFont="1" applyFill="1" applyBorder="1" applyAlignment="1">
      <alignment horizontal="center"/>
    </xf>
    <xf numFmtId="0" fontId="3" fillId="6" borderId="3" xfId="0" applyFont="1" applyFill="1" applyBorder="1"/>
    <xf numFmtId="4" fontId="3" fillId="6" borderId="3" xfId="0" applyNumberFormat="1" applyFont="1" applyFill="1" applyBorder="1"/>
    <xf numFmtId="0" fontId="3" fillId="0" borderId="4" xfId="0" applyFont="1" applyBorder="1"/>
    <xf numFmtId="9" fontId="3" fillId="0" borderId="4" xfId="0" applyNumberFormat="1" applyFont="1" applyBorder="1"/>
    <xf numFmtId="4" fontId="3" fillId="0" borderId="4" xfId="0" applyNumberFormat="1" applyFont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3" fillId="6" borderId="3" xfId="0" applyFont="1" applyFill="1" applyBorder="1" applyAlignment="1">
      <alignment horizontal="justify"/>
    </xf>
    <xf numFmtId="0" fontId="4" fillId="5" borderId="3" xfId="0" applyFont="1" applyFill="1" applyBorder="1" applyAlignment="1">
      <alignment horizontal="center" vertical="center" textRotation="90"/>
    </xf>
    <xf numFmtId="2" fontId="4" fillId="5" borderId="3" xfId="0" applyNumberFormat="1" applyFont="1" applyFill="1" applyBorder="1" applyAlignment="1">
      <alignment horizontal="center" vertical="center" textRotation="90" wrapText="1"/>
    </xf>
    <xf numFmtId="0" fontId="4" fillId="5" borderId="3" xfId="0" applyFont="1" applyFill="1" applyBorder="1" applyAlignment="1">
      <alignment horizontal="center" vertical="center" textRotation="90" wrapText="1"/>
    </xf>
    <xf numFmtId="4" fontId="3" fillId="0" borderId="2" xfId="0" applyNumberFormat="1" applyFont="1" applyBorder="1"/>
    <xf numFmtId="9" fontId="3" fillId="0" borderId="4" xfId="2" applyFont="1" applyBorder="1"/>
    <xf numFmtId="9" fontId="3" fillId="0" borderId="2" xfId="0" applyNumberFormat="1" applyFont="1" applyBorder="1"/>
    <xf numFmtId="166" fontId="3" fillId="6" borderId="1" xfId="0" applyNumberFormat="1" applyFont="1" applyFill="1" applyBorder="1"/>
    <xf numFmtId="166" fontId="3" fillId="6" borderId="3" xfId="0" applyNumberFormat="1" applyFont="1" applyFill="1" applyBorder="1"/>
    <xf numFmtId="0" fontId="3" fillId="0" borderId="3" xfId="0" applyFont="1" applyFill="1" applyBorder="1" applyAlignment="1">
      <alignment horizontal="justify"/>
    </xf>
    <xf numFmtId="0" fontId="3" fillId="0" borderId="0" xfId="0" applyFont="1" applyFill="1" applyBorder="1" applyAlignment="1">
      <alignment horizontal="justify" wrapText="1"/>
    </xf>
    <xf numFmtId="0" fontId="3" fillId="0" borderId="4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textRotation="46"/>
    </xf>
    <xf numFmtId="0" fontId="5" fillId="0" borderId="3" xfId="0" applyFont="1" applyFill="1" applyBorder="1"/>
    <xf numFmtId="165" fontId="5" fillId="0" borderId="3" xfId="1" applyNumberFormat="1" applyFont="1" applyBorder="1"/>
    <xf numFmtId="4" fontId="5" fillId="0" borderId="3" xfId="0" applyNumberFormat="1" applyFont="1" applyBorder="1"/>
    <xf numFmtId="165" fontId="5" fillId="0" borderId="3" xfId="0" applyNumberFormat="1" applyFont="1" applyBorder="1"/>
    <xf numFmtId="10" fontId="5" fillId="0" borderId="3" xfId="2" applyNumberFormat="1" applyFont="1" applyBorder="1"/>
    <xf numFmtId="0" fontId="7" fillId="3" borderId="6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/>
    </xf>
    <xf numFmtId="9" fontId="5" fillId="0" borderId="3" xfId="2" applyFont="1" applyBorder="1"/>
    <xf numFmtId="9" fontId="7" fillId="0" borderId="3" xfId="0" applyNumberFormat="1" applyFont="1" applyBorder="1" applyAlignment="1">
      <alignment horizontal="center"/>
    </xf>
    <xf numFmtId="9" fontId="7" fillId="0" borderId="8" xfId="0" applyNumberFormat="1" applyFont="1" applyBorder="1" applyAlignment="1">
      <alignment horizontal="center"/>
    </xf>
    <xf numFmtId="0" fontId="7" fillId="3" borderId="7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/>
    </xf>
    <xf numFmtId="9" fontId="5" fillId="3" borderId="9" xfId="2" applyFont="1" applyFill="1" applyBorder="1"/>
    <xf numFmtId="0" fontId="7" fillId="3" borderId="10" xfId="0" applyFont="1" applyFill="1" applyBorder="1" applyAlignment="1">
      <alignment horizontal="center"/>
    </xf>
    <xf numFmtId="0" fontId="5" fillId="0" borderId="7" xfId="0" applyFont="1" applyBorder="1" applyAlignment="1">
      <alignment horizontal="right" vertical="top" wrapText="1"/>
    </xf>
    <xf numFmtId="9" fontId="5" fillId="0" borderId="3" xfId="2" applyFont="1" applyBorder="1" applyAlignment="1">
      <alignment vertical="center"/>
    </xf>
    <xf numFmtId="9" fontId="7" fillId="0" borderId="3" xfId="0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/>
    </xf>
    <xf numFmtId="0" fontId="5" fillId="0" borderId="12" xfId="0" applyFont="1" applyBorder="1" applyAlignment="1">
      <alignment horizontal="right" vertical="top" wrapText="1"/>
    </xf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wrapText="1"/>
    </xf>
    <xf numFmtId="0" fontId="5" fillId="0" borderId="4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0" fontId="5" fillId="0" borderId="0" xfId="0" applyFont="1" applyBorder="1"/>
    <xf numFmtId="9" fontId="5" fillId="0" borderId="9" xfId="2" applyFont="1" applyFill="1" applyBorder="1"/>
    <xf numFmtId="0" fontId="5" fillId="0" borderId="7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right" wrapText="1"/>
    </xf>
    <xf numFmtId="0" fontId="5" fillId="0" borderId="3" xfId="0" applyFont="1" applyBorder="1" applyAlignment="1">
      <alignment horizontal="right" vertical="top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5" fillId="0" borderId="3" xfId="0" applyFont="1" applyBorder="1" applyAlignment="1">
      <alignment horizontal="right"/>
    </xf>
    <xf numFmtId="0" fontId="0" fillId="0" borderId="0" xfId="0" applyFill="1" applyBorder="1"/>
    <xf numFmtId="0" fontId="5" fillId="0" borderId="13" xfId="0" applyFont="1" applyBorder="1" applyAlignment="1">
      <alignment horizontal="right" vertical="top" wrapText="1"/>
    </xf>
    <xf numFmtId="9" fontId="5" fillId="0" borderId="4" xfId="2" applyFont="1" applyBorder="1" applyAlignment="1">
      <alignment vertical="center"/>
    </xf>
    <xf numFmtId="9" fontId="7" fillId="0" borderId="4" xfId="0" applyNumberFormat="1" applyFont="1" applyBorder="1" applyAlignment="1">
      <alignment horizontal="center" vertical="center"/>
    </xf>
    <xf numFmtId="9" fontId="7" fillId="0" borderId="14" xfId="0" applyNumberFormat="1" applyFont="1" applyBorder="1" applyAlignment="1">
      <alignment horizontal="center" vertical="center"/>
    </xf>
    <xf numFmtId="9" fontId="5" fillId="0" borderId="4" xfId="2" applyFont="1" applyBorder="1"/>
    <xf numFmtId="9" fontId="7" fillId="0" borderId="4" xfId="0" applyNumberFormat="1" applyFont="1" applyBorder="1" applyAlignment="1">
      <alignment horizontal="center"/>
    </xf>
    <xf numFmtId="9" fontId="7" fillId="0" borderId="14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9" fontId="5" fillId="0" borderId="0" xfId="2" applyFont="1" applyFill="1" applyBorder="1"/>
    <xf numFmtId="0" fontId="5" fillId="0" borderId="0" xfId="0" applyFont="1" applyFill="1" applyBorder="1" applyAlignment="1">
      <alignment horizontal="right" vertical="top" wrapText="1"/>
    </xf>
    <xf numFmtId="9" fontId="5" fillId="0" borderId="0" xfId="2" applyFont="1" applyFill="1" applyBorder="1" applyAlignment="1">
      <alignment vertical="center"/>
    </xf>
    <xf numFmtId="9" fontId="7" fillId="0" borderId="0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9" fontId="5" fillId="0" borderId="3" xfId="2" applyFont="1" applyFill="1" applyBorder="1"/>
    <xf numFmtId="9" fontId="5" fillId="0" borderId="3" xfId="2" applyFont="1" applyFill="1" applyBorder="1" applyAlignment="1">
      <alignment horizontal="right"/>
    </xf>
    <xf numFmtId="0" fontId="7" fillId="3" borderId="2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7" fillId="3" borderId="1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/>
    </xf>
    <xf numFmtId="9" fontId="7" fillId="3" borderId="17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textRotation="46" wrapText="1"/>
    </xf>
    <xf numFmtId="0" fontId="9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center" wrapText="1"/>
    </xf>
    <xf numFmtId="166" fontId="5" fillId="0" borderId="3" xfId="0" applyNumberFormat="1" applyFont="1" applyBorder="1" applyAlignment="1">
      <alignment horizontal="right" wrapText="1"/>
    </xf>
    <xf numFmtId="165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166" fontId="8" fillId="4" borderId="3" xfId="0" applyNumberFormat="1" applyFont="1" applyFill="1" applyBorder="1" applyAlignment="1">
      <alignment horizontal="right"/>
    </xf>
    <xf numFmtId="165" fontId="8" fillId="4" borderId="3" xfId="0" applyNumberFormat="1" applyFont="1" applyFill="1" applyBorder="1" applyAlignment="1">
      <alignment horizontal="right" wrapText="1"/>
    </xf>
    <xf numFmtId="0" fontId="11" fillId="7" borderId="0" xfId="0" applyFont="1" applyFill="1"/>
    <xf numFmtId="165" fontId="11" fillId="7" borderId="0" xfId="0" applyNumberFormat="1" applyFont="1" applyFill="1"/>
    <xf numFmtId="0" fontId="6" fillId="5" borderId="1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38100</xdr:rowOff>
    </xdr:from>
    <xdr:to>
      <xdr:col>1</xdr:col>
      <xdr:colOff>19050</xdr:colOff>
      <xdr:row>2</xdr:row>
      <xdr:rowOff>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9525" y="495300"/>
          <a:ext cx="2800350" cy="1285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</xdr:row>
      <xdr:rowOff>714375</xdr:rowOff>
    </xdr:from>
    <xdr:to>
      <xdr:col>0</xdr:col>
      <xdr:colOff>809625</xdr:colOff>
      <xdr:row>1</xdr:row>
      <xdr:rowOff>904875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114300" y="1171575"/>
          <a:ext cx="695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BIENES</a:t>
          </a:r>
          <a:endParaRPr lang="es-CL"/>
        </a:p>
      </xdr:txBody>
    </xdr:sp>
    <xdr:clientData/>
  </xdr:twoCellAnchor>
  <xdr:twoCellAnchor>
    <xdr:from>
      <xdr:col>0</xdr:col>
      <xdr:colOff>1647825</xdr:colOff>
      <xdr:row>1</xdr:row>
      <xdr:rowOff>285750</xdr:rowOff>
    </xdr:from>
    <xdr:to>
      <xdr:col>0</xdr:col>
      <xdr:colOff>2428875</xdr:colOff>
      <xdr:row>1</xdr:row>
      <xdr:rowOff>476250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1647825" y="742950"/>
          <a:ext cx="7810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AMENAZAS</a:t>
          </a:r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9"/>
  <sheetViews>
    <sheetView tabSelected="1" zoomScale="75" workbookViewId="0">
      <selection activeCell="AA33" sqref="AA33"/>
    </sheetView>
  </sheetViews>
  <sheetFormatPr defaultColWidth="11.42578125" defaultRowHeight="12.75" x14ac:dyDescent="0.2"/>
  <cols>
    <col min="1" max="1" width="41.85546875" customWidth="1"/>
    <col min="2" max="2" width="12.7109375" customWidth="1"/>
    <col min="3" max="3" width="13.85546875" customWidth="1"/>
    <col min="4" max="4" width="12.7109375" customWidth="1"/>
    <col min="5" max="5" width="13.42578125" customWidth="1"/>
    <col min="6" max="6" width="12.7109375" customWidth="1"/>
    <col min="7" max="7" width="13.7109375" customWidth="1"/>
    <col min="8" max="9" width="12.7109375" customWidth="1"/>
    <col min="10" max="10" width="2.140625" customWidth="1"/>
    <col min="11" max="11" width="34.5703125" customWidth="1"/>
    <col min="12" max="12" width="19.7109375" customWidth="1"/>
    <col min="13" max="13" width="13.28515625" customWidth="1"/>
    <col min="14" max="14" width="21.85546875" customWidth="1"/>
    <col min="15" max="15" width="14.7109375" customWidth="1"/>
    <col min="16" max="16" width="20" customWidth="1"/>
    <col min="17" max="17" width="21.5703125" customWidth="1"/>
    <col min="18" max="18" width="57" customWidth="1"/>
    <col min="19" max="20" width="17" customWidth="1"/>
    <col min="21" max="21" width="16.42578125" customWidth="1"/>
    <col min="22" max="22" width="15.7109375" customWidth="1"/>
    <col min="23" max="23" width="14.85546875" customWidth="1"/>
    <col min="24" max="24" width="4.5703125" customWidth="1"/>
    <col min="25" max="25" width="63.42578125" customWidth="1"/>
    <col min="26" max="26" width="30.5703125" customWidth="1"/>
    <col min="27" max="27" width="19.42578125" customWidth="1"/>
    <col min="28" max="28" width="26" customWidth="1"/>
  </cols>
  <sheetData>
    <row r="1" spans="1:28" ht="36" customHeight="1" thickBot="1" x14ac:dyDescent="0.3">
      <c r="A1" s="106" t="s">
        <v>26</v>
      </c>
      <c r="B1" s="107"/>
      <c r="C1" s="107"/>
      <c r="D1" s="107"/>
      <c r="E1" s="107"/>
      <c r="F1" s="107"/>
      <c r="G1" s="107"/>
      <c r="H1" s="107"/>
      <c r="I1" s="108"/>
      <c r="J1" s="25"/>
      <c r="K1" s="104" t="s">
        <v>30</v>
      </c>
      <c r="L1" s="104"/>
      <c r="M1" s="104"/>
      <c r="N1" s="104"/>
      <c r="O1" s="104"/>
      <c r="P1" s="104"/>
      <c r="Q1" s="26"/>
      <c r="R1" s="105"/>
      <c r="S1" s="105"/>
      <c r="T1" s="105"/>
      <c r="U1" s="105"/>
      <c r="V1" s="105"/>
      <c r="W1" s="105"/>
    </row>
    <row r="2" spans="1:28" ht="104.25" customHeight="1" x14ac:dyDescent="0.25">
      <c r="A2" s="1"/>
      <c r="B2" s="14" t="s">
        <v>3</v>
      </c>
      <c r="C2" s="14" t="s">
        <v>2</v>
      </c>
      <c r="D2" s="15" t="s">
        <v>27</v>
      </c>
      <c r="E2" s="14" t="s">
        <v>1</v>
      </c>
      <c r="F2" s="15" t="s">
        <v>27</v>
      </c>
      <c r="G2" s="14" t="s">
        <v>0</v>
      </c>
      <c r="H2" s="15" t="s">
        <v>27</v>
      </c>
      <c r="I2" s="16" t="s">
        <v>4</v>
      </c>
      <c r="J2" s="25"/>
      <c r="K2" s="27" t="s">
        <v>28</v>
      </c>
      <c r="L2" s="27" t="s">
        <v>5</v>
      </c>
      <c r="M2" s="27" t="s">
        <v>3</v>
      </c>
      <c r="N2" s="27" t="s">
        <v>6</v>
      </c>
      <c r="O2" s="27" t="s">
        <v>29</v>
      </c>
      <c r="P2" s="89" t="s">
        <v>71</v>
      </c>
      <c r="Q2" s="89" t="s">
        <v>72</v>
      </c>
      <c r="R2" s="102" t="s">
        <v>31</v>
      </c>
      <c r="S2" s="102"/>
      <c r="T2" s="102"/>
      <c r="U2" s="102"/>
      <c r="V2" s="102"/>
      <c r="W2" s="102"/>
      <c r="Y2" s="103" t="s">
        <v>76</v>
      </c>
      <c r="Z2" s="103"/>
      <c r="AA2" s="103"/>
      <c r="AB2" s="103"/>
    </row>
    <row r="3" spans="1:28" ht="38.25" customHeight="1" x14ac:dyDescent="0.25">
      <c r="A3" s="13" t="s">
        <v>82</v>
      </c>
      <c r="B3" s="2"/>
      <c r="C3" s="3">
        <v>10000000</v>
      </c>
      <c r="D3" s="3"/>
      <c r="E3" s="3">
        <v>35000000</v>
      </c>
      <c r="F3" s="3"/>
      <c r="G3" s="3"/>
      <c r="H3" s="2"/>
      <c r="I3" s="2"/>
      <c r="J3" s="25"/>
      <c r="K3" s="28" t="s">
        <v>12</v>
      </c>
      <c r="L3" s="29">
        <f>I4+I49+I71+I95+I115+I133+I152+I162+I173+I187+L190</f>
        <v>25500000</v>
      </c>
      <c r="M3" s="30">
        <v>0.5</v>
      </c>
      <c r="N3" s="31">
        <f>L3*M3</f>
        <v>12750000</v>
      </c>
      <c r="O3" s="32" t="e">
        <f>N3/$N$26</f>
        <v>#DIV/0!</v>
      </c>
      <c r="P3" s="31">
        <f>N3*W5</f>
        <v>2549999.9999999981</v>
      </c>
      <c r="Q3" s="31">
        <f>N3-P3</f>
        <v>10200000.000000002</v>
      </c>
      <c r="R3" s="33" t="s">
        <v>73</v>
      </c>
      <c r="S3" s="34" t="s">
        <v>32</v>
      </c>
      <c r="T3" s="34" t="s">
        <v>33</v>
      </c>
      <c r="U3" s="34" t="s">
        <v>34</v>
      </c>
      <c r="V3" s="34" t="s">
        <v>35</v>
      </c>
      <c r="W3" s="86" t="s">
        <v>36</v>
      </c>
      <c r="Y3" s="90" t="s">
        <v>77</v>
      </c>
      <c r="Z3" s="91" t="s">
        <v>78</v>
      </c>
      <c r="AA3" s="91" t="s">
        <v>74</v>
      </c>
      <c r="AB3" s="91" t="s">
        <v>75</v>
      </c>
    </row>
    <row r="4" spans="1:28" ht="25.5" x14ac:dyDescent="0.2">
      <c r="A4" s="24" t="s">
        <v>25</v>
      </c>
      <c r="B4" s="4">
        <v>0.1</v>
      </c>
      <c r="C4" s="5">
        <v>0.8</v>
      </c>
      <c r="D4" s="6">
        <f t="shared" ref="D4:D9" si="0">($C$3*C4)</f>
        <v>8000000</v>
      </c>
      <c r="E4" s="5">
        <v>0.5</v>
      </c>
      <c r="F4" s="6">
        <f t="shared" ref="F4:F9" si="1">($E$3*E4)</f>
        <v>17500000</v>
      </c>
      <c r="G4" s="5">
        <v>0</v>
      </c>
      <c r="H4" s="6">
        <f t="shared" ref="H4:H9" si="2">($G$3*G4)/100</f>
        <v>0</v>
      </c>
      <c r="I4" s="6">
        <f t="shared" ref="I4:I9" si="3">H4+F4+D4</f>
        <v>25500000</v>
      </c>
      <c r="J4" s="25"/>
      <c r="K4" s="28" t="s">
        <v>16</v>
      </c>
      <c r="L4" s="29">
        <f>I9+I15+I35+I77</f>
        <v>35700000</v>
      </c>
      <c r="M4" s="30">
        <v>0.48</v>
      </c>
      <c r="N4" s="31">
        <f t="shared" ref="N4:N20" si="4">L4*M4</f>
        <v>17136000</v>
      </c>
      <c r="O4" s="32" t="e">
        <f>N4/$N$26</f>
        <v>#DIV/0!</v>
      </c>
      <c r="P4" s="31">
        <f>N4*W6</f>
        <v>4284000</v>
      </c>
      <c r="Q4" s="31">
        <f t="shared" ref="Q4:Q20" si="5">N4-P4</f>
        <v>12852000</v>
      </c>
      <c r="R4" s="39" t="str">
        <f>+K3</f>
        <v>Errores de configuración</v>
      </c>
      <c r="S4" s="41"/>
      <c r="T4" s="41"/>
      <c r="U4" s="41"/>
      <c r="V4" s="40"/>
      <c r="W4" s="40"/>
      <c r="Y4" s="93" t="s">
        <v>52</v>
      </c>
      <c r="Z4" s="95">
        <v>390000</v>
      </c>
      <c r="AA4" s="97">
        <v>5</v>
      </c>
      <c r="AB4" s="96">
        <f>AA4*Z4</f>
        <v>1950000</v>
      </c>
    </row>
    <row r="5" spans="1:28" x14ac:dyDescent="0.2">
      <c r="A5" s="7" t="s">
        <v>20</v>
      </c>
      <c r="B5" s="8">
        <v>0.5</v>
      </c>
      <c r="C5" s="9">
        <v>0.7</v>
      </c>
      <c r="D5" s="10">
        <f t="shared" si="0"/>
        <v>7000000</v>
      </c>
      <c r="E5" s="9">
        <v>0.1</v>
      </c>
      <c r="F5" s="10">
        <f t="shared" si="1"/>
        <v>3500000</v>
      </c>
      <c r="G5" s="9">
        <v>0</v>
      </c>
      <c r="H5" s="10">
        <f t="shared" si="2"/>
        <v>0</v>
      </c>
      <c r="I5" s="10">
        <f t="shared" si="3"/>
        <v>10500000</v>
      </c>
      <c r="J5" s="25"/>
      <c r="K5" s="28" t="s">
        <v>20</v>
      </c>
      <c r="L5" s="29">
        <f>I5+I11+I17+I23+I33+I56+I80+I103+I120+I137+I142+I178+I193+I202+I228+I238+I246</f>
        <v>183700000</v>
      </c>
      <c r="M5" s="30">
        <v>0.55000000000000004</v>
      </c>
      <c r="N5" s="31">
        <f t="shared" si="4"/>
        <v>101035000.00000001</v>
      </c>
      <c r="O5" s="32" t="e">
        <f>N5/$N$26</f>
        <v>#DIV/0!</v>
      </c>
      <c r="P5" s="31">
        <f>N5*W9</f>
        <v>14593944.444444451</v>
      </c>
      <c r="Q5" s="31">
        <f t="shared" si="5"/>
        <v>86441055.555555567</v>
      </c>
      <c r="R5" s="58" t="s">
        <v>38</v>
      </c>
      <c r="S5" s="36">
        <v>0.9</v>
      </c>
      <c r="T5" s="36">
        <v>0.7</v>
      </c>
      <c r="U5" s="36">
        <v>0.8</v>
      </c>
      <c r="V5" s="37">
        <f>AVERAGE(S5:U5)</f>
        <v>0.80000000000000016</v>
      </c>
      <c r="W5" s="38">
        <f>1-V5</f>
        <v>0.19999999999999984</v>
      </c>
      <c r="Y5" s="94" t="s">
        <v>42</v>
      </c>
      <c r="Z5" s="95">
        <v>2900000</v>
      </c>
      <c r="AA5" s="97">
        <v>1</v>
      </c>
      <c r="AB5" s="96">
        <f t="shared" ref="AB5:AB35" si="6">AA5*Z5</f>
        <v>2900000</v>
      </c>
    </row>
    <row r="6" spans="1:28" x14ac:dyDescent="0.2">
      <c r="A6" s="7" t="s">
        <v>81</v>
      </c>
      <c r="B6" s="8">
        <v>0.1</v>
      </c>
      <c r="C6" s="9">
        <v>0.9</v>
      </c>
      <c r="D6" s="10">
        <f t="shared" si="0"/>
        <v>9000000</v>
      </c>
      <c r="E6" s="9">
        <v>0.5</v>
      </c>
      <c r="F6" s="10">
        <f t="shared" si="1"/>
        <v>17500000</v>
      </c>
      <c r="G6" s="9">
        <v>0</v>
      </c>
      <c r="H6" s="10">
        <f t="shared" si="2"/>
        <v>0</v>
      </c>
      <c r="I6" s="10">
        <f t="shared" si="3"/>
        <v>26500000</v>
      </c>
      <c r="J6" s="25"/>
      <c r="K6" s="28" t="s">
        <v>24</v>
      </c>
      <c r="L6" s="29">
        <f>I6+I12+I79+I182+I191</f>
        <v>41500000</v>
      </c>
      <c r="M6" s="30">
        <v>0.5</v>
      </c>
      <c r="N6" s="31">
        <f t="shared" si="4"/>
        <v>20750000</v>
      </c>
      <c r="O6" s="32" t="e">
        <f>N6/$N$26</f>
        <v>#DIV/0!</v>
      </c>
      <c r="P6" s="31">
        <f>N6*W13</f>
        <v>6225000.0000000009</v>
      </c>
      <c r="Q6" s="31">
        <f t="shared" si="5"/>
        <v>14525000</v>
      </c>
      <c r="R6" s="39" t="str">
        <f>+K4</f>
        <v>Caída del sistema por agotamiento de recursos</v>
      </c>
      <c r="S6" s="41"/>
      <c r="T6" s="41"/>
      <c r="U6" s="41"/>
      <c r="V6" s="87">
        <f>AVERAGE(V7:V8)</f>
        <v>0.75</v>
      </c>
      <c r="W6" s="88">
        <f>AVERAGE(W7:W8)</f>
        <v>0.25</v>
      </c>
      <c r="Y6" s="92" t="s">
        <v>50</v>
      </c>
      <c r="Z6" s="95">
        <v>1500000</v>
      </c>
      <c r="AA6" s="97">
        <v>2</v>
      </c>
      <c r="AB6" s="96">
        <f t="shared" si="6"/>
        <v>3000000</v>
      </c>
    </row>
    <row r="7" spans="1:28" x14ac:dyDescent="0.2">
      <c r="A7" s="7" t="s">
        <v>18</v>
      </c>
      <c r="B7" s="8">
        <v>0.8</v>
      </c>
      <c r="C7" s="9">
        <v>0.9</v>
      </c>
      <c r="D7" s="10">
        <f t="shared" si="0"/>
        <v>9000000</v>
      </c>
      <c r="E7" s="9">
        <v>0.9</v>
      </c>
      <c r="F7" s="10">
        <f t="shared" si="1"/>
        <v>31500000</v>
      </c>
      <c r="G7" s="9">
        <v>0</v>
      </c>
      <c r="H7" s="10">
        <f t="shared" si="2"/>
        <v>0</v>
      </c>
      <c r="I7" s="10">
        <f t="shared" si="3"/>
        <v>40500000</v>
      </c>
      <c r="J7" s="25"/>
      <c r="K7" s="28" t="s">
        <v>17</v>
      </c>
      <c r="L7" s="29">
        <f>I31+I62+I86</f>
        <v>94000000</v>
      </c>
      <c r="M7" s="30">
        <v>0.5</v>
      </c>
      <c r="N7" s="31">
        <f t="shared" si="4"/>
        <v>47000000</v>
      </c>
      <c r="O7" s="32" t="e">
        <f>N7/$N$26</f>
        <v>#DIV/0!</v>
      </c>
      <c r="P7" s="31">
        <f>N7*W17</f>
        <v>6266666.6666666651</v>
      </c>
      <c r="Q7" s="31">
        <f t="shared" si="5"/>
        <v>40733333.333333336</v>
      </c>
      <c r="R7" s="43" t="s">
        <v>39</v>
      </c>
      <c r="S7" s="44">
        <v>0</v>
      </c>
      <c r="T7" s="44">
        <v>1</v>
      </c>
      <c r="U7" s="44">
        <v>1</v>
      </c>
      <c r="V7" s="45">
        <f>AVERAGE(S7:U7)</f>
        <v>0.66666666666666663</v>
      </c>
      <c r="W7" s="46">
        <f>1-V7</f>
        <v>0.33333333333333337</v>
      </c>
      <c r="Y7" s="92" t="s">
        <v>62</v>
      </c>
      <c r="Z7" s="95">
        <v>100000</v>
      </c>
      <c r="AA7" s="97">
        <v>70</v>
      </c>
      <c r="AB7" s="96">
        <f t="shared" si="6"/>
        <v>7000000</v>
      </c>
    </row>
    <row r="8" spans="1:28" ht="25.5" x14ac:dyDescent="0.2">
      <c r="A8" s="7" t="s">
        <v>19</v>
      </c>
      <c r="B8" s="8">
        <v>0.2</v>
      </c>
      <c r="C8" s="9">
        <v>0.8</v>
      </c>
      <c r="D8" s="10">
        <f t="shared" si="0"/>
        <v>8000000</v>
      </c>
      <c r="E8" s="9">
        <v>0.1</v>
      </c>
      <c r="F8" s="10">
        <f t="shared" si="1"/>
        <v>3500000</v>
      </c>
      <c r="G8" s="9">
        <v>0</v>
      </c>
      <c r="H8" s="10">
        <f t="shared" si="2"/>
        <v>0</v>
      </c>
      <c r="I8" s="10">
        <f t="shared" si="3"/>
        <v>11500000</v>
      </c>
      <c r="J8" s="25"/>
      <c r="K8" s="28" t="s">
        <v>18</v>
      </c>
      <c r="L8" s="29">
        <f>I7+I13+I57+I81+I179+I194</f>
        <v>84500000</v>
      </c>
      <c r="M8" s="30">
        <v>0.6</v>
      </c>
      <c r="N8" s="31">
        <f t="shared" si="4"/>
        <v>50700000</v>
      </c>
      <c r="O8" s="32" t="e">
        <f>N8/$N$26</f>
        <v>#DIV/0!</v>
      </c>
      <c r="P8" s="31">
        <f>N8*W19</f>
        <v>5069999.9999999991</v>
      </c>
      <c r="Q8" s="31">
        <f t="shared" si="5"/>
        <v>45630000</v>
      </c>
      <c r="R8" s="60" t="s">
        <v>42</v>
      </c>
      <c r="S8" s="80">
        <v>0.7</v>
      </c>
      <c r="T8" s="80">
        <v>0.9</v>
      </c>
      <c r="U8" s="80">
        <v>0.9</v>
      </c>
      <c r="V8" s="45">
        <f>AVERAGE(S8:U8)</f>
        <v>0.83333333333333337</v>
      </c>
      <c r="W8" s="46">
        <f>1-V8</f>
        <v>0.16666666666666663</v>
      </c>
      <c r="Y8" s="92" t="s">
        <v>63</v>
      </c>
      <c r="Z8" s="95">
        <v>270000</v>
      </c>
      <c r="AA8" s="97">
        <v>1</v>
      </c>
      <c r="AB8" s="96">
        <f t="shared" si="6"/>
        <v>270000</v>
      </c>
    </row>
    <row r="9" spans="1:28" ht="25.5" x14ac:dyDescent="0.2">
      <c r="A9" s="11" t="s">
        <v>16</v>
      </c>
      <c r="B9" s="12">
        <v>0.2</v>
      </c>
      <c r="C9" s="9">
        <v>0.9</v>
      </c>
      <c r="D9" s="17">
        <f t="shared" si="0"/>
        <v>9000000</v>
      </c>
      <c r="E9" s="9">
        <v>0.1</v>
      </c>
      <c r="F9" s="17">
        <f t="shared" si="1"/>
        <v>3500000</v>
      </c>
      <c r="G9" s="12">
        <v>0</v>
      </c>
      <c r="H9" s="17">
        <f t="shared" si="2"/>
        <v>0</v>
      </c>
      <c r="I9" s="17">
        <f t="shared" si="3"/>
        <v>12500000</v>
      </c>
      <c r="J9" s="25"/>
      <c r="K9" s="28" t="s">
        <v>19</v>
      </c>
      <c r="L9" s="29">
        <f>I8+I14+I58+I82+I180+I195+I208+I219+I227+I237+I245</f>
        <v>47500000</v>
      </c>
      <c r="M9" s="30">
        <v>0.44</v>
      </c>
      <c r="N9" s="31">
        <f t="shared" si="4"/>
        <v>20900000</v>
      </c>
      <c r="O9" s="32" t="e">
        <f>N9/$N$26</f>
        <v>#DIV/0!</v>
      </c>
      <c r="P9" s="31">
        <f>N9*W20</f>
        <v>5225000</v>
      </c>
      <c r="Q9" s="31">
        <f t="shared" si="5"/>
        <v>15675000</v>
      </c>
      <c r="R9" s="39" t="str">
        <f>+K5</f>
        <v>Accesos no autorizados</v>
      </c>
      <c r="S9" s="41"/>
      <c r="T9" s="41"/>
      <c r="U9" s="41"/>
      <c r="V9" s="87">
        <f>AVERAGE(V10:V12)</f>
        <v>0.85555555555555551</v>
      </c>
      <c r="W9" s="88">
        <f>AVERAGE(W10:W12)</f>
        <v>0.14444444444444449</v>
      </c>
      <c r="Y9" s="92" t="s">
        <v>69</v>
      </c>
      <c r="Z9" s="95">
        <v>1700000</v>
      </c>
      <c r="AA9" s="97">
        <v>3</v>
      </c>
      <c r="AB9" s="96">
        <f t="shared" si="6"/>
        <v>5100000</v>
      </c>
    </row>
    <row r="10" spans="1:28" ht="27" customHeight="1" x14ac:dyDescent="0.2">
      <c r="A10" s="13" t="s">
        <v>83</v>
      </c>
      <c r="B10" s="21"/>
      <c r="C10" s="21">
        <v>5000000</v>
      </c>
      <c r="D10" s="21"/>
      <c r="E10" s="21">
        <v>50000000</v>
      </c>
      <c r="F10" s="21"/>
      <c r="G10" s="21"/>
      <c r="H10" s="21"/>
      <c r="I10" s="21"/>
      <c r="J10" s="25"/>
      <c r="K10" s="22" t="s">
        <v>21</v>
      </c>
      <c r="L10" s="29">
        <f>I18+I192</f>
        <v>15700000</v>
      </c>
      <c r="M10" s="30">
        <v>0.75</v>
      </c>
      <c r="N10" s="31">
        <f t="shared" si="4"/>
        <v>11775000</v>
      </c>
      <c r="O10" s="32" t="e">
        <f>N10/$N$26</f>
        <v>#DIV/0!</v>
      </c>
      <c r="P10" s="31">
        <f>N10*W23</f>
        <v>2355000.0000000005</v>
      </c>
      <c r="Q10" s="31">
        <f t="shared" si="5"/>
        <v>9420000</v>
      </c>
      <c r="R10" s="58" t="s">
        <v>40</v>
      </c>
      <c r="S10" s="36">
        <v>1</v>
      </c>
      <c r="T10" s="36">
        <v>0.8</v>
      </c>
      <c r="U10" s="36">
        <v>1</v>
      </c>
      <c r="V10" s="37">
        <f>AVERAGE(S10:U10)</f>
        <v>0.93333333333333324</v>
      </c>
      <c r="W10" s="38">
        <f>1-V10</f>
        <v>6.6666666666666763E-2</v>
      </c>
      <c r="Y10" s="92" t="s">
        <v>45</v>
      </c>
      <c r="Z10" s="95">
        <v>2500000</v>
      </c>
      <c r="AA10" s="97">
        <v>1</v>
      </c>
      <c r="AB10" s="96">
        <f t="shared" si="6"/>
        <v>2500000</v>
      </c>
    </row>
    <row r="11" spans="1:28" x14ac:dyDescent="0.2">
      <c r="A11" s="48" t="s">
        <v>20</v>
      </c>
      <c r="B11" s="8">
        <v>0.3</v>
      </c>
      <c r="C11" s="9">
        <v>0.7</v>
      </c>
      <c r="D11" s="10">
        <f>($C$10*C11)</f>
        <v>3500000</v>
      </c>
      <c r="E11" s="9">
        <v>0.9</v>
      </c>
      <c r="F11" s="10">
        <f>($E$10*E11)</f>
        <v>45000000</v>
      </c>
      <c r="G11" s="9">
        <v>1</v>
      </c>
      <c r="H11" s="10">
        <f>($G$10*G11)/100</f>
        <v>0</v>
      </c>
      <c r="I11" s="10">
        <f t="shared" ref="I11:I36" si="7">H11+F11+D11</f>
        <v>48500000</v>
      </c>
      <c r="J11" s="25"/>
      <c r="K11" s="22" t="s">
        <v>22</v>
      </c>
      <c r="L11" s="29">
        <f>I19+I24+I206+I214+I233</f>
        <v>30100000</v>
      </c>
      <c r="M11" s="30">
        <v>0.5</v>
      </c>
      <c r="N11" s="31">
        <f t="shared" si="4"/>
        <v>15050000</v>
      </c>
      <c r="O11" s="32" t="e">
        <f>N11/$N$26</f>
        <v>#DIV/0!</v>
      </c>
      <c r="P11" s="31">
        <f>N11*W27</f>
        <v>3511666.6666666674</v>
      </c>
      <c r="Q11" s="31">
        <f t="shared" si="5"/>
        <v>11538333.333333332</v>
      </c>
      <c r="R11" s="47" t="s">
        <v>41</v>
      </c>
      <c r="S11" s="44">
        <v>0.9</v>
      </c>
      <c r="T11" s="44">
        <v>0.7</v>
      </c>
      <c r="U11" s="44">
        <v>1</v>
      </c>
      <c r="V11" s="45">
        <f>AVERAGE(S11:U11)</f>
        <v>0.8666666666666667</v>
      </c>
      <c r="W11" s="38">
        <f>1-V11</f>
        <v>0.1333333333333333</v>
      </c>
      <c r="Y11" s="92" t="s">
        <v>55</v>
      </c>
      <c r="Z11" s="95">
        <v>300000</v>
      </c>
      <c r="AA11" s="97">
        <v>1</v>
      </c>
      <c r="AB11" s="96">
        <f t="shared" si="6"/>
        <v>300000</v>
      </c>
    </row>
    <row r="12" spans="1:28" ht="38.25" x14ac:dyDescent="0.2">
      <c r="A12" s="48" t="s">
        <v>24</v>
      </c>
      <c r="B12" s="8">
        <v>0.6</v>
      </c>
      <c r="C12" s="9">
        <v>1</v>
      </c>
      <c r="D12" s="10">
        <f>($C$10*C12)</f>
        <v>5000000</v>
      </c>
      <c r="E12" s="9">
        <v>0.2</v>
      </c>
      <c r="F12" s="10">
        <f>($E$10*E12)</f>
        <v>10000000</v>
      </c>
      <c r="G12" s="9">
        <v>0.6</v>
      </c>
      <c r="H12" s="10">
        <f>($G$10*G12)/100</f>
        <v>0</v>
      </c>
      <c r="I12" s="10">
        <f t="shared" si="7"/>
        <v>15000000</v>
      </c>
      <c r="J12" s="25"/>
      <c r="K12" s="22" t="s">
        <v>23</v>
      </c>
      <c r="L12" s="29">
        <f>I25</f>
        <v>7200000</v>
      </c>
      <c r="M12" s="30">
        <v>0.8</v>
      </c>
      <c r="N12" s="31">
        <f t="shared" si="4"/>
        <v>5760000</v>
      </c>
      <c r="O12" s="32" t="e">
        <f>N12/$N$26</f>
        <v>#DIV/0!</v>
      </c>
      <c r="P12" s="31">
        <f>N12*W30</f>
        <v>2015999.9999999998</v>
      </c>
      <c r="Q12" s="31">
        <f t="shared" si="5"/>
        <v>3744000</v>
      </c>
      <c r="R12" s="57" t="s">
        <v>43</v>
      </c>
      <c r="S12" s="81">
        <v>0.9</v>
      </c>
      <c r="T12" s="81">
        <v>0.6</v>
      </c>
      <c r="U12" s="81">
        <v>0.8</v>
      </c>
      <c r="V12" s="45">
        <f>AVERAGE(S12:U12)</f>
        <v>0.76666666666666661</v>
      </c>
      <c r="W12" s="38">
        <f>1-V12</f>
        <v>0.23333333333333339</v>
      </c>
      <c r="Y12" s="94" t="s">
        <v>49</v>
      </c>
      <c r="Z12" s="95">
        <v>1500000</v>
      </c>
      <c r="AA12" s="97">
        <v>1</v>
      </c>
      <c r="AB12" s="96">
        <f t="shared" si="6"/>
        <v>1500000</v>
      </c>
    </row>
    <row r="13" spans="1:28" x14ac:dyDescent="0.2">
      <c r="A13" s="48" t="s">
        <v>18</v>
      </c>
      <c r="B13" s="8">
        <v>0.3</v>
      </c>
      <c r="C13" s="9">
        <v>0.8</v>
      </c>
      <c r="D13" s="10">
        <f>($C$10*C13)</f>
        <v>4000000</v>
      </c>
      <c r="E13" s="9">
        <v>0.8</v>
      </c>
      <c r="F13" s="10">
        <f>($E$10*E13)</f>
        <v>40000000</v>
      </c>
      <c r="G13" s="9">
        <v>0.8</v>
      </c>
      <c r="H13" s="10">
        <f>($G$10*G13)/100</f>
        <v>0</v>
      </c>
      <c r="I13" s="10">
        <f t="shared" si="7"/>
        <v>44000000</v>
      </c>
      <c r="J13" s="25"/>
      <c r="K13" s="22" t="s">
        <v>13</v>
      </c>
      <c r="L13" s="29">
        <f>I20+I215+I234</f>
        <v>20900000</v>
      </c>
      <c r="M13" s="30">
        <v>0.53</v>
      </c>
      <c r="N13" s="31">
        <f t="shared" si="4"/>
        <v>11077000</v>
      </c>
      <c r="O13" s="32" t="e">
        <f>N13/$N$26</f>
        <v>#DIV/0!</v>
      </c>
      <c r="P13" s="31">
        <f>N13*W33</f>
        <v>5169266.666666667</v>
      </c>
      <c r="Q13" s="31">
        <f t="shared" si="5"/>
        <v>5907733.333333333</v>
      </c>
      <c r="R13" s="39" t="str">
        <f>K6</f>
        <v>denegación de Servicios</v>
      </c>
      <c r="S13" s="41"/>
      <c r="T13" s="41"/>
      <c r="U13" s="41"/>
      <c r="V13" s="87">
        <f>AVERAGE(V14:V15)</f>
        <v>0.7</v>
      </c>
      <c r="W13" s="88">
        <f>AVERAGE(W14:W15)</f>
        <v>0.30000000000000004</v>
      </c>
      <c r="Y13" s="93" t="s">
        <v>48</v>
      </c>
      <c r="Z13" s="95">
        <v>10000</v>
      </c>
      <c r="AA13" s="97">
        <v>90</v>
      </c>
      <c r="AB13" s="96">
        <f t="shared" si="6"/>
        <v>900000</v>
      </c>
    </row>
    <row r="14" spans="1:28" ht="25.5" x14ac:dyDescent="0.2">
      <c r="A14" s="48" t="s">
        <v>19</v>
      </c>
      <c r="B14" s="8">
        <v>0.2</v>
      </c>
      <c r="C14" s="9">
        <v>0.2</v>
      </c>
      <c r="D14" s="10">
        <f>($C$10*C14)</f>
        <v>1000000</v>
      </c>
      <c r="E14" s="9">
        <v>0.7</v>
      </c>
      <c r="F14" s="10">
        <f>($E$10*E14)</f>
        <v>35000000</v>
      </c>
      <c r="G14" s="9">
        <v>0.2</v>
      </c>
      <c r="H14" s="10">
        <f>($G$10*G14)/100</f>
        <v>0</v>
      </c>
      <c r="I14" s="10">
        <f t="shared" si="7"/>
        <v>36000000</v>
      </c>
      <c r="J14" s="25"/>
      <c r="K14" s="22" t="s">
        <v>15</v>
      </c>
      <c r="L14" s="29">
        <f>I26+I207+I217+I249</f>
        <v>7200000</v>
      </c>
      <c r="M14" s="30">
        <v>0.63</v>
      </c>
      <c r="N14" s="31">
        <f t="shared" si="4"/>
        <v>4536000</v>
      </c>
      <c r="O14" s="32" t="e">
        <f>N14/$N$26</f>
        <v>#DIV/0!</v>
      </c>
      <c r="P14" s="31">
        <f>N14*W36</f>
        <v>1058399.9999999998</v>
      </c>
      <c r="Q14" s="31">
        <f t="shared" si="5"/>
        <v>3477600</v>
      </c>
      <c r="R14" s="43" t="s">
        <v>39</v>
      </c>
      <c r="S14" s="44">
        <v>0.3</v>
      </c>
      <c r="T14" s="44">
        <v>0.7</v>
      </c>
      <c r="U14" s="44">
        <v>0.8</v>
      </c>
      <c r="V14" s="45">
        <f>AVERAGE(S14:U14)</f>
        <v>0.6</v>
      </c>
      <c r="W14" s="46">
        <f>1-V14</f>
        <v>0.4</v>
      </c>
      <c r="Y14" s="92" t="s">
        <v>64</v>
      </c>
      <c r="Z14" s="95">
        <v>300000</v>
      </c>
      <c r="AA14" s="97">
        <v>4</v>
      </c>
      <c r="AB14" s="96">
        <f t="shared" si="6"/>
        <v>1200000</v>
      </c>
    </row>
    <row r="15" spans="1:28" ht="38.25" x14ac:dyDescent="0.2">
      <c r="A15" s="50" t="s">
        <v>16</v>
      </c>
      <c r="B15" s="12">
        <v>0.8</v>
      </c>
      <c r="C15" s="19">
        <v>1</v>
      </c>
      <c r="D15" s="17">
        <f>($C$10*C15)</f>
        <v>5000000</v>
      </c>
      <c r="E15" s="19">
        <v>0.3</v>
      </c>
      <c r="F15" s="17">
        <f>($E$10*E15)</f>
        <v>15000000</v>
      </c>
      <c r="G15" s="19">
        <v>0.2</v>
      </c>
      <c r="H15" s="17">
        <f>($G$10*G15)/100</f>
        <v>0</v>
      </c>
      <c r="I15" s="17">
        <f t="shared" si="7"/>
        <v>20000000</v>
      </c>
      <c r="J15" s="25"/>
      <c r="K15" s="22" t="s">
        <v>14</v>
      </c>
      <c r="L15" s="29">
        <f>I21+I27+I51+I73+I97+I235+I216</f>
        <v>31900000</v>
      </c>
      <c r="M15" s="30">
        <v>0.54</v>
      </c>
      <c r="N15" s="31">
        <f t="shared" si="4"/>
        <v>17226000</v>
      </c>
      <c r="O15" s="32" t="e">
        <f>N15/$N$26</f>
        <v>#DIV/0!</v>
      </c>
      <c r="P15" s="31">
        <f>N15*W39</f>
        <v>7273200</v>
      </c>
      <c r="Q15" s="31">
        <f t="shared" si="5"/>
        <v>9952800</v>
      </c>
      <c r="R15" s="57" t="s">
        <v>42</v>
      </c>
      <c r="S15" s="56">
        <v>0.9</v>
      </c>
      <c r="T15" s="56">
        <v>0.6</v>
      </c>
      <c r="U15" s="56">
        <v>0.9</v>
      </c>
      <c r="V15" s="45">
        <f>AVERAGE(S15:U15)</f>
        <v>0.79999999999999993</v>
      </c>
      <c r="W15" s="46">
        <f>1-V15</f>
        <v>0.20000000000000007</v>
      </c>
      <c r="Y15" s="92" t="s">
        <v>46</v>
      </c>
      <c r="Z15" s="95">
        <v>3000000</v>
      </c>
      <c r="AA15" s="97">
        <v>3</v>
      </c>
      <c r="AB15" s="96">
        <f t="shared" si="6"/>
        <v>9000000</v>
      </c>
    </row>
    <row r="16" spans="1:28" ht="38.25" x14ac:dyDescent="0.2">
      <c r="A16" s="13" t="s">
        <v>84</v>
      </c>
      <c r="B16" s="20"/>
      <c r="C16" s="21">
        <v>25000000</v>
      </c>
      <c r="D16" s="20"/>
      <c r="E16" s="21">
        <v>15000000</v>
      </c>
      <c r="F16" s="20"/>
      <c r="G16" s="20">
        <v>1000000</v>
      </c>
      <c r="H16" s="20"/>
      <c r="I16" s="20"/>
      <c r="J16" s="25"/>
      <c r="K16" s="51" t="s">
        <v>7</v>
      </c>
      <c r="L16" s="29">
        <f>I29+I38+I60+I84+I106+I123+I140+I146+I156+I164+I198</f>
        <v>40000000</v>
      </c>
      <c r="M16" s="30">
        <v>0.19</v>
      </c>
      <c r="N16" s="31">
        <f t="shared" si="4"/>
        <v>7600000</v>
      </c>
      <c r="O16" s="32" t="e">
        <f>N16/$N$26</f>
        <v>#DIV/0!</v>
      </c>
      <c r="P16" s="31">
        <f>N16*W43</f>
        <v>3546666.666666667</v>
      </c>
      <c r="Q16" s="31">
        <f t="shared" si="5"/>
        <v>4053333.333333333</v>
      </c>
      <c r="R16" s="39" t="str">
        <f>K7</f>
        <v>Suplantación de la identidad del usuario</v>
      </c>
      <c r="S16" s="41"/>
      <c r="T16" s="41"/>
      <c r="U16" s="41"/>
      <c r="V16" s="40"/>
      <c r="W16" s="42"/>
      <c r="Y16" s="92" t="s">
        <v>38</v>
      </c>
      <c r="Z16" s="95">
        <v>1800000</v>
      </c>
      <c r="AA16" s="97">
        <v>4</v>
      </c>
      <c r="AB16" s="96">
        <f t="shared" si="6"/>
        <v>7200000</v>
      </c>
    </row>
    <row r="17" spans="1:28" ht="38.25" x14ac:dyDescent="0.2">
      <c r="A17" s="7" t="s">
        <v>20</v>
      </c>
      <c r="B17" s="4">
        <v>0.6</v>
      </c>
      <c r="C17" s="18">
        <v>0.7</v>
      </c>
      <c r="D17" s="6">
        <f>($C$16*C17)</f>
        <v>17500000</v>
      </c>
      <c r="E17" s="5">
        <v>0.6</v>
      </c>
      <c r="F17" s="6">
        <f>($E$16*E17)</f>
        <v>9000000</v>
      </c>
      <c r="G17" s="5">
        <v>1</v>
      </c>
      <c r="H17" s="6">
        <f>($G$16*G17)</f>
        <v>1000000</v>
      </c>
      <c r="I17" s="6">
        <f t="shared" si="7"/>
        <v>27500000</v>
      </c>
      <c r="J17" s="25"/>
      <c r="K17" s="52" t="s">
        <v>8</v>
      </c>
      <c r="L17" s="29">
        <f>I30+I39+I61+I85+I107+I124+I141+I147+I157+I165+I199</f>
        <v>40000000</v>
      </c>
      <c r="M17" s="30">
        <v>0.24</v>
      </c>
      <c r="N17" s="31">
        <f t="shared" si="4"/>
        <v>9600000</v>
      </c>
      <c r="O17" s="32" t="e">
        <f>N17/$N$26</f>
        <v>#DIV/0!</v>
      </c>
      <c r="P17" s="31">
        <f>N17*W46</f>
        <v>3840000</v>
      </c>
      <c r="Q17" s="31">
        <f t="shared" si="5"/>
        <v>5760000</v>
      </c>
      <c r="R17" s="57" t="s">
        <v>43</v>
      </c>
      <c r="S17" s="44">
        <v>0.9</v>
      </c>
      <c r="T17" s="44">
        <v>0.9</v>
      </c>
      <c r="U17" s="44">
        <v>0.8</v>
      </c>
      <c r="V17" s="45">
        <f>AVERAGE(S17:U17)</f>
        <v>0.8666666666666667</v>
      </c>
      <c r="W17" s="46">
        <f>1-V17</f>
        <v>0.1333333333333333</v>
      </c>
      <c r="Y17" s="93" t="s">
        <v>39</v>
      </c>
      <c r="Z17" s="95">
        <v>1500000</v>
      </c>
      <c r="AA17" s="97">
        <v>10</v>
      </c>
      <c r="AB17" s="96">
        <f t="shared" si="6"/>
        <v>15000000</v>
      </c>
    </row>
    <row r="18" spans="1:28" x14ac:dyDescent="0.2">
      <c r="A18" s="7" t="s">
        <v>21</v>
      </c>
      <c r="B18" s="8">
        <v>0.3</v>
      </c>
      <c r="C18" s="9">
        <v>0.3</v>
      </c>
      <c r="D18" s="10">
        <f>($C$16*C18)</f>
        <v>7500000</v>
      </c>
      <c r="E18" s="9">
        <v>0.5</v>
      </c>
      <c r="F18" s="10">
        <f>($E$16*E18)</f>
        <v>7500000</v>
      </c>
      <c r="G18" s="9">
        <v>0.7</v>
      </c>
      <c r="H18" s="10">
        <f>($G$16*G18)</f>
        <v>700000</v>
      </c>
      <c r="I18" s="10">
        <f t="shared" si="7"/>
        <v>15700000</v>
      </c>
      <c r="J18" s="25"/>
      <c r="K18" s="52" t="s">
        <v>9</v>
      </c>
      <c r="L18" s="29">
        <f>I32+I44+I67+I91+I112+I129+I169+I185</f>
        <v>46000000</v>
      </c>
      <c r="M18" s="30">
        <v>0.76</v>
      </c>
      <c r="N18" s="31">
        <f t="shared" si="4"/>
        <v>34960000</v>
      </c>
      <c r="O18" s="32" t="e">
        <f>N18/$N$26</f>
        <v>#DIV/0!</v>
      </c>
      <c r="P18" s="31">
        <f>N18*W49</f>
        <v>12430222.222222222</v>
      </c>
      <c r="Q18" s="31">
        <f t="shared" si="5"/>
        <v>22529777.777777776</v>
      </c>
      <c r="R18" s="33" t="str">
        <f>+K8</f>
        <v>Abusos de privilegios de accesos</v>
      </c>
      <c r="S18" s="82"/>
      <c r="T18" s="82"/>
      <c r="U18" s="82"/>
      <c r="V18" s="82"/>
      <c r="W18" s="83"/>
      <c r="Y18" s="93" t="s">
        <v>37</v>
      </c>
      <c r="Z18" s="95">
        <f>30000*500</f>
        <v>15000000</v>
      </c>
      <c r="AA18" s="97">
        <v>1</v>
      </c>
      <c r="AB18" s="96">
        <f t="shared" si="6"/>
        <v>15000000</v>
      </c>
    </row>
    <row r="19" spans="1:28" ht="38.25" x14ac:dyDescent="0.2">
      <c r="A19" s="7" t="s">
        <v>22</v>
      </c>
      <c r="B19" s="8">
        <v>0.8</v>
      </c>
      <c r="C19" s="9">
        <v>0.2</v>
      </c>
      <c r="D19" s="10">
        <f>($C$16*C19)</f>
        <v>5000000</v>
      </c>
      <c r="E19" s="9">
        <v>1</v>
      </c>
      <c r="F19" s="10">
        <f>($E$16*E19)</f>
        <v>15000000</v>
      </c>
      <c r="G19" s="9">
        <v>1</v>
      </c>
      <c r="H19" s="10">
        <f>($G$16*G19)</f>
        <v>1000000</v>
      </c>
      <c r="I19" s="10">
        <f t="shared" si="7"/>
        <v>21000000</v>
      </c>
      <c r="J19" s="25"/>
      <c r="K19" s="52" t="s">
        <v>10</v>
      </c>
      <c r="L19" s="29">
        <f>I34+I46+I93+I114+I131+I170</f>
        <v>88000000</v>
      </c>
      <c r="M19" s="30">
        <v>0.65</v>
      </c>
      <c r="N19" s="31">
        <f t="shared" si="4"/>
        <v>57200000</v>
      </c>
      <c r="O19" s="32" t="e">
        <f>N19/$N$26</f>
        <v>#DIV/0!</v>
      </c>
      <c r="P19" s="31">
        <f>N19*W53</f>
        <v>14299999.999999996</v>
      </c>
      <c r="Q19" s="31">
        <f t="shared" si="5"/>
        <v>42900000</v>
      </c>
      <c r="R19" s="57" t="s">
        <v>43</v>
      </c>
      <c r="S19" s="36">
        <v>1</v>
      </c>
      <c r="T19" s="36">
        <v>0.8</v>
      </c>
      <c r="U19" s="36">
        <v>0.9</v>
      </c>
      <c r="V19" s="37">
        <f>AVERAGE(S19:U19)</f>
        <v>0.9</v>
      </c>
      <c r="W19" s="38">
        <f>1-V19</f>
        <v>9.9999999999999978E-2</v>
      </c>
      <c r="Y19" s="94" t="s">
        <v>58</v>
      </c>
      <c r="Z19" s="95">
        <v>27000</v>
      </c>
      <c r="AA19" s="97">
        <v>2</v>
      </c>
      <c r="AB19" s="96">
        <f t="shared" si="6"/>
        <v>54000</v>
      </c>
    </row>
    <row r="20" spans="1:28" ht="38.25" x14ac:dyDescent="0.2">
      <c r="A20" s="7" t="s">
        <v>13</v>
      </c>
      <c r="B20" s="8">
        <v>0.9</v>
      </c>
      <c r="C20" s="9">
        <v>0.2</v>
      </c>
      <c r="D20" s="10">
        <f>($C$16*C20)</f>
        <v>5000000</v>
      </c>
      <c r="E20" s="9">
        <v>1</v>
      </c>
      <c r="F20" s="10">
        <f>($E$16*E20)</f>
        <v>15000000</v>
      </c>
      <c r="G20" s="9">
        <v>0.9</v>
      </c>
      <c r="H20" s="10">
        <f>($G$16*G20)</f>
        <v>900000</v>
      </c>
      <c r="I20" s="10">
        <f t="shared" si="7"/>
        <v>20900000</v>
      </c>
      <c r="J20" s="25"/>
      <c r="K20" s="52" t="s">
        <v>11</v>
      </c>
      <c r="L20" s="29">
        <f>I36+I47+I69+I94+I132+I171+I186+I223+I230+I240</f>
        <v>102000000</v>
      </c>
      <c r="M20" s="30">
        <v>0.44</v>
      </c>
      <c r="N20" s="31">
        <f t="shared" si="4"/>
        <v>44880000</v>
      </c>
      <c r="O20" s="32" t="e">
        <f>N20/$N$26</f>
        <v>#DIV/0!</v>
      </c>
      <c r="P20" s="31">
        <f>N20*W56</f>
        <v>11968000</v>
      </c>
      <c r="Q20" s="31">
        <f t="shared" si="5"/>
        <v>32912000</v>
      </c>
      <c r="R20" s="39" t="str">
        <f>+K9</f>
        <v>Uso no previsto</v>
      </c>
      <c r="S20" s="41"/>
      <c r="T20" s="41"/>
      <c r="U20" s="41"/>
      <c r="V20" s="87">
        <f>AVERAGE(V21:V22)</f>
        <v>0.75</v>
      </c>
      <c r="W20" s="88">
        <f>AVERAGE(W21:W22)</f>
        <v>0.25</v>
      </c>
      <c r="Y20" s="93" t="s">
        <v>59</v>
      </c>
      <c r="Z20" s="95">
        <v>72000</v>
      </c>
      <c r="AA20" s="97">
        <v>3</v>
      </c>
      <c r="AB20" s="96">
        <f t="shared" si="6"/>
        <v>216000</v>
      </c>
    </row>
    <row r="21" spans="1:28" ht="25.5" x14ac:dyDescent="0.2">
      <c r="A21" s="7" t="s">
        <v>14</v>
      </c>
      <c r="B21" s="12">
        <v>0.6</v>
      </c>
      <c r="C21" s="19">
        <v>0.3</v>
      </c>
      <c r="D21" s="17">
        <f>($C$16*C21)</f>
        <v>7500000</v>
      </c>
      <c r="E21" s="19">
        <v>1</v>
      </c>
      <c r="F21" s="10">
        <f>($E$16*E21)</f>
        <v>15000000</v>
      </c>
      <c r="G21" s="19">
        <v>1</v>
      </c>
      <c r="H21" s="10">
        <f>($G$16*G21)</f>
        <v>1000000</v>
      </c>
      <c r="I21" s="17">
        <f t="shared" si="7"/>
        <v>23500000</v>
      </c>
      <c r="J21" s="25"/>
      <c r="R21" s="58" t="s">
        <v>40</v>
      </c>
      <c r="S21" s="44">
        <v>0.8</v>
      </c>
      <c r="T21" s="44">
        <v>0.7</v>
      </c>
      <c r="U21" s="44">
        <v>0.8</v>
      </c>
      <c r="V21" s="45">
        <f>AVERAGE(S21:U21)</f>
        <v>0.76666666666666661</v>
      </c>
      <c r="W21" s="46">
        <f>1-V21</f>
        <v>0.23333333333333339</v>
      </c>
      <c r="Y21" s="92" t="s">
        <v>40</v>
      </c>
      <c r="Z21" s="95">
        <f>5800*500</f>
        <v>2900000</v>
      </c>
      <c r="AA21" s="97">
        <v>1</v>
      </c>
      <c r="AB21" s="96">
        <f t="shared" si="6"/>
        <v>2900000</v>
      </c>
    </row>
    <row r="22" spans="1:28" ht="38.25" x14ac:dyDescent="0.2">
      <c r="A22" s="13" t="s">
        <v>85</v>
      </c>
      <c r="B22" s="20"/>
      <c r="C22" s="21">
        <v>1000000</v>
      </c>
      <c r="D22" s="20"/>
      <c r="E22" s="21">
        <v>5000000</v>
      </c>
      <c r="F22" s="20"/>
      <c r="G22" s="20">
        <v>4000000</v>
      </c>
      <c r="H22" s="20"/>
      <c r="I22" s="20"/>
      <c r="J22" s="25"/>
      <c r="R22" s="57" t="s">
        <v>43</v>
      </c>
      <c r="S22" s="44">
        <v>0.7</v>
      </c>
      <c r="T22" s="44">
        <v>0.8</v>
      </c>
      <c r="U22" s="44">
        <v>0.7</v>
      </c>
      <c r="V22" s="45">
        <f>AVERAGE(S22:U22)</f>
        <v>0.73333333333333339</v>
      </c>
      <c r="W22" s="46">
        <f>1-V22</f>
        <v>0.26666666666666661</v>
      </c>
      <c r="Y22" s="92" t="s">
        <v>68</v>
      </c>
      <c r="Z22" s="95">
        <f>57000*500</f>
        <v>28500000</v>
      </c>
      <c r="AA22" s="97">
        <v>1</v>
      </c>
      <c r="AB22" s="96">
        <f t="shared" si="6"/>
        <v>28500000</v>
      </c>
    </row>
    <row r="23" spans="1:28" ht="25.5" x14ac:dyDescent="0.2">
      <c r="A23" s="7" t="s">
        <v>20</v>
      </c>
      <c r="B23" s="4">
        <v>0.6</v>
      </c>
      <c r="C23" s="5">
        <v>0.6</v>
      </c>
      <c r="D23" s="6">
        <f>($C$22*C23)</f>
        <v>600000</v>
      </c>
      <c r="E23" s="5">
        <v>1</v>
      </c>
      <c r="F23" s="6">
        <f>($E$22*E23)</f>
        <v>5000000</v>
      </c>
      <c r="G23" s="5">
        <v>0.9</v>
      </c>
      <c r="H23" s="6">
        <f>($G$22*G23)</f>
        <v>3600000</v>
      </c>
      <c r="I23" s="6">
        <f t="shared" si="7"/>
        <v>9200000</v>
      </c>
      <c r="J23" s="25"/>
      <c r="R23" s="39" t="str">
        <f>+K10</f>
        <v>Intercepción de información</v>
      </c>
      <c r="S23" s="41"/>
      <c r="T23" s="41"/>
      <c r="U23" s="41"/>
      <c r="V23" s="87">
        <f>AVERAGE(V24:V26)</f>
        <v>0.79999999999999993</v>
      </c>
      <c r="W23" s="87">
        <f>AVERAGE(W24:W26)</f>
        <v>0.20000000000000004</v>
      </c>
      <c r="Y23" s="92" t="s">
        <v>67</v>
      </c>
      <c r="Z23" s="95">
        <f>660*500</f>
        <v>330000</v>
      </c>
      <c r="AA23" s="97">
        <v>5</v>
      </c>
      <c r="AB23" s="96">
        <f t="shared" si="6"/>
        <v>1650000</v>
      </c>
    </row>
    <row r="24" spans="1:28" ht="25.5" x14ac:dyDescent="0.2">
      <c r="A24" s="7" t="s">
        <v>22</v>
      </c>
      <c r="B24" s="8">
        <v>0.3</v>
      </c>
      <c r="C24" s="9">
        <v>0.9</v>
      </c>
      <c r="D24" s="10">
        <f>($C$22*C24)</f>
        <v>900000</v>
      </c>
      <c r="E24" s="9">
        <v>1</v>
      </c>
      <c r="F24" s="10">
        <f>($E$22*E24)</f>
        <v>5000000</v>
      </c>
      <c r="G24" s="9">
        <v>0.8</v>
      </c>
      <c r="H24" s="10">
        <f>($G$22*G24)</f>
        <v>3200000</v>
      </c>
      <c r="I24" s="10">
        <f t="shared" si="7"/>
        <v>9100000</v>
      </c>
      <c r="J24" s="25"/>
      <c r="R24" s="58" t="s">
        <v>40</v>
      </c>
      <c r="S24" s="44">
        <v>0.9</v>
      </c>
      <c r="T24" s="44">
        <v>0.8</v>
      </c>
      <c r="U24" s="44">
        <v>0.8</v>
      </c>
      <c r="V24" s="45">
        <f>AVERAGE(S24:U24)</f>
        <v>0.83333333333333337</v>
      </c>
      <c r="W24" s="46">
        <f>1-V24</f>
        <v>0.16666666666666663</v>
      </c>
      <c r="Y24" s="92" t="s">
        <v>56</v>
      </c>
      <c r="Z24" s="95">
        <f>500*980</f>
        <v>490000</v>
      </c>
      <c r="AA24" s="97">
        <v>1</v>
      </c>
      <c r="AB24" s="96">
        <f t="shared" si="6"/>
        <v>490000</v>
      </c>
    </row>
    <row r="25" spans="1:28" ht="25.5" x14ac:dyDescent="0.2">
      <c r="A25" s="7" t="s">
        <v>23</v>
      </c>
      <c r="B25" s="8">
        <v>0.8</v>
      </c>
      <c r="C25" s="9">
        <v>1</v>
      </c>
      <c r="D25" s="10">
        <f>($C$22*C25)</f>
        <v>1000000</v>
      </c>
      <c r="E25" s="9">
        <v>1</v>
      </c>
      <c r="F25" s="10">
        <f>($E$22*E25)</f>
        <v>5000000</v>
      </c>
      <c r="G25" s="9">
        <v>0.3</v>
      </c>
      <c r="H25" s="10">
        <f>($G$22*G25)</f>
        <v>1200000</v>
      </c>
      <c r="I25" s="10">
        <f t="shared" si="7"/>
        <v>7200000</v>
      </c>
      <c r="J25" s="25"/>
      <c r="R25" s="59" t="s">
        <v>41</v>
      </c>
      <c r="S25" s="44">
        <v>0.9</v>
      </c>
      <c r="T25" s="44">
        <v>0.7</v>
      </c>
      <c r="U25" s="44">
        <v>1</v>
      </c>
      <c r="V25" s="45">
        <f>AVERAGE(S25:U25)</f>
        <v>0.8666666666666667</v>
      </c>
      <c r="W25" s="46">
        <f>1-V25</f>
        <v>0.1333333333333333</v>
      </c>
      <c r="Y25" s="93" t="s">
        <v>70</v>
      </c>
      <c r="Z25" s="95">
        <f>500*660</f>
        <v>330000</v>
      </c>
      <c r="AA25" s="97">
        <v>5</v>
      </c>
      <c r="AB25" s="96">
        <f t="shared" si="6"/>
        <v>1650000</v>
      </c>
    </row>
    <row r="26" spans="1:28" ht="38.25" x14ac:dyDescent="0.2">
      <c r="A26" s="7" t="s">
        <v>15</v>
      </c>
      <c r="B26" s="8">
        <v>0.9</v>
      </c>
      <c r="C26" s="9">
        <v>1</v>
      </c>
      <c r="D26" s="10">
        <f>($C$22*C26)</f>
        <v>1000000</v>
      </c>
      <c r="E26" s="9">
        <v>1</v>
      </c>
      <c r="F26" s="10">
        <f>($E$22*E26)</f>
        <v>5000000</v>
      </c>
      <c r="G26" s="9">
        <v>0.3</v>
      </c>
      <c r="H26" s="10">
        <f>($G$22*G26)</f>
        <v>1200000</v>
      </c>
      <c r="I26" s="10">
        <f t="shared" si="7"/>
        <v>7200000</v>
      </c>
      <c r="J26" s="25"/>
      <c r="R26" s="60" t="s">
        <v>43</v>
      </c>
      <c r="S26" s="44">
        <v>0.7</v>
      </c>
      <c r="T26" s="44">
        <v>0.6</v>
      </c>
      <c r="U26" s="44">
        <v>0.8</v>
      </c>
      <c r="V26" s="45">
        <f>AVERAGE(S26:U26)</f>
        <v>0.69999999999999984</v>
      </c>
      <c r="W26" s="46">
        <f>1-V26</f>
        <v>0.30000000000000016</v>
      </c>
      <c r="Y26" s="92" t="s">
        <v>44</v>
      </c>
      <c r="Z26" s="95">
        <v>25890</v>
      </c>
      <c r="AA26" s="97">
        <v>1</v>
      </c>
      <c r="AB26" s="96">
        <f t="shared" si="6"/>
        <v>25890</v>
      </c>
    </row>
    <row r="27" spans="1:28" ht="25.5" x14ac:dyDescent="0.2">
      <c r="A27" s="7" t="s">
        <v>14</v>
      </c>
      <c r="B27" s="12">
        <v>0.5</v>
      </c>
      <c r="C27" s="19">
        <v>1</v>
      </c>
      <c r="D27" s="10">
        <f>($C$22*C27)</f>
        <v>1000000</v>
      </c>
      <c r="E27" s="19">
        <v>1</v>
      </c>
      <c r="F27" s="10">
        <f>($E$22*E27)</f>
        <v>5000000</v>
      </c>
      <c r="G27" s="19">
        <v>0.6</v>
      </c>
      <c r="H27" s="10">
        <f>($G$22*G27)</f>
        <v>2400000</v>
      </c>
      <c r="I27" s="17">
        <f t="shared" si="7"/>
        <v>8400000</v>
      </c>
      <c r="J27" s="25"/>
      <c r="K27" s="23"/>
      <c r="L27" s="55"/>
      <c r="M27" s="55"/>
      <c r="N27" s="55"/>
      <c r="O27" s="55"/>
      <c r="P27" s="25"/>
      <c r="Q27" s="25"/>
      <c r="R27" s="39" t="str">
        <f>+K11</f>
        <v>Modificación de la información</v>
      </c>
      <c r="S27" s="41"/>
      <c r="T27" s="41"/>
      <c r="U27" s="41"/>
      <c r="V27" s="87">
        <f>AVERAGE(V28:V29)</f>
        <v>0.76666666666666661</v>
      </c>
      <c r="W27" s="87">
        <f>AVERAGE(W28:W29)</f>
        <v>0.23333333333333339</v>
      </c>
      <c r="Y27" s="94" t="s">
        <v>43</v>
      </c>
      <c r="Z27" s="95">
        <f>500*600</f>
        <v>300000</v>
      </c>
      <c r="AA27" s="97">
        <v>6</v>
      </c>
      <c r="AB27" s="96">
        <f t="shared" si="6"/>
        <v>1800000</v>
      </c>
    </row>
    <row r="28" spans="1:28" ht="25.5" x14ac:dyDescent="0.2">
      <c r="A28" s="13" t="s">
        <v>86</v>
      </c>
      <c r="B28" s="21"/>
      <c r="C28" s="21">
        <v>40000000</v>
      </c>
      <c r="D28" s="21"/>
      <c r="E28" s="21">
        <v>60000000</v>
      </c>
      <c r="F28" s="21"/>
      <c r="G28" s="21">
        <v>60000000</v>
      </c>
      <c r="H28" s="21"/>
      <c r="I28" s="21"/>
      <c r="J28" s="25"/>
      <c r="K28" s="23"/>
      <c r="L28" s="55"/>
      <c r="M28" s="55"/>
      <c r="N28" s="55"/>
      <c r="O28" s="55"/>
      <c r="P28" s="25"/>
      <c r="Q28" s="25"/>
      <c r="R28" s="35" t="s">
        <v>44</v>
      </c>
      <c r="S28" s="36">
        <v>0.7</v>
      </c>
      <c r="T28" s="36">
        <v>0.8</v>
      </c>
      <c r="U28" s="36">
        <v>0.8</v>
      </c>
      <c r="V28" s="37">
        <f>AVERAGE(S28:U28)</f>
        <v>0.76666666666666661</v>
      </c>
      <c r="W28" s="38">
        <f>1-V28</f>
        <v>0.23333333333333339</v>
      </c>
      <c r="Y28" s="92" t="s">
        <v>51</v>
      </c>
      <c r="Z28" s="95">
        <f>500*600</f>
        <v>300000</v>
      </c>
      <c r="AA28" s="97">
        <v>2</v>
      </c>
      <c r="AB28" s="96">
        <f t="shared" si="6"/>
        <v>600000</v>
      </c>
    </row>
    <row r="29" spans="1:28" ht="38.25" x14ac:dyDescent="0.2">
      <c r="A29" s="53" t="s">
        <v>7</v>
      </c>
      <c r="B29" s="8">
        <v>0.1</v>
      </c>
      <c r="C29" s="9">
        <v>1</v>
      </c>
      <c r="D29" s="10">
        <f t="shared" ref="D29:D36" si="8">($C$28*C29)</f>
        <v>40000000</v>
      </c>
      <c r="E29" s="9"/>
      <c r="F29" s="10">
        <f>($C$28*E29)/100</f>
        <v>0</v>
      </c>
      <c r="G29" s="9"/>
      <c r="H29" s="10">
        <f>($G$28*G29)/100</f>
        <v>0</v>
      </c>
      <c r="I29" s="10">
        <f t="shared" si="7"/>
        <v>40000000</v>
      </c>
      <c r="J29" s="25"/>
      <c r="K29" s="23"/>
      <c r="L29" s="55"/>
      <c r="M29" s="55"/>
      <c r="N29" s="55"/>
      <c r="O29" s="55"/>
      <c r="P29" s="25"/>
      <c r="Q29" s="25"/>
      <c r="R29" s="57" t="s">
        <v>43</v>
      </c>
      <c r="S29" s="44">
        <v>0.7</v>
      </c>
      <c r="T29" s="44">
        <v>0.9</v>
      </c>
      <c r="U29" s="44">
        <v>0.7</v>
      </c>
      <c r="V29" s="45">
        <f>AVERAGE(S29:U29)</f>
        <v>0.76666666666666661</v>
      </c>
      <c r="W29" s="38">
        <f>1-V29</f>
        <v>0.23333333333333339</v>
      </c>
      <c r="Y29" s="92" t="s">
        <v>79</v>
      </c>
      <c r="Z29" s="95">
        <f>500*800</f>
        <v>400000</v>
      </c>
      <c r="AA29" s="97">
        <v>1</v>
      </c>
      <c r="AB29" s="96">
        <f t="shared" si="6"/>
        <v>400000</v>
      </c>
    </row>
    <row r="30" spans="1:28" ht="25.5" x14ac:dyDescent="0.2">
      <c r="A30" s="54" t="s">
        <v>8</v>
      </c>
      <c r="B30" s="8">
        <v>0.1</v>
      </c>
      <c r="C30" s="9">
        <v>1</v>
      </c>
      <c r="D30" s="10">
        <f t="shared" si="8"/>
        <v>40000000</v>
      </c>
      <c r="E30" s="9"/>
      <c r="F30" s="10">
        <f>($C$28*E30)/100</f>
        <v>0</v>
      </c>
      <c r="G30" s="9"/>
      <c r="H30" s="10">
        <f>($G$28*G30)/100</f>
        <v>0</v>
      </c>
      <c r="I30" s="10">
        <f t="shared" si="7"/>
        <v>40000000</v>
      </c>
      <c r="J30" s="25"/>
      <c r="O30" s="55"/>
      <c r="P30" s="25"/>
      <c r="Q30" s="25"/>
      <c r="R30" s="39" t="str">
        <f>K12</f>
        <v>Corrupción de la información</v>
      </c>
      <c r="S30" s="41"/>
      <c r="T30" s="41"/>
      <c r="U30" s="41"/>
      <c r="V30" s="87">
        <f>AVERAGE(V31:V32)</f>
        <v>0.65</v>
      </c>
      <c r="W30" s="87">
        <f>AVERAGE(W31:W32)</f>
        <v>0.35</v>
      </c>
      <c r="Y30" s="92" t="s">
        <v>66</v>
      </c>
      <c r="Z30" s="95">
        <f>500*1200</f>
        <v>600000</v>
      </c>
      <c r="AA30" s="97">
        <v>6</v>
      </c>
      <c r="AB30" s="96">
        <f t="shared" si="6"/>
        <v>3600000</v>
      </c>
    </row>
    <row r="31" spans="1:28" x14ac:dyDescent="0.2">
      <c r="A31" s="54" t="s">
        <v>17</v>
      </c>
      <c r="B31" s="8">
        <v>0.4</v>
      </c>
      <c r="C31" s="9">
        <v>0.2</v>
      </c>
      <c r="D31" s="10">
        <f t="shared" si="8"/>
        <v>8000000</v>
      </c>
      <c r="E31" s="9">
        <v>0.8</v>
      </c>
      <c r="F31" s="10">
        <f>($C$28*E31)</f>
        <v>32000000</v>
      </c>
      <c r="G31" s="9">
        <v>0.9</v>
      </c>
      <c r="H31" s="10">
        <f>($G$28*G31)</f>
        <v>54000000</v>
      </c>
      <c r="I31" s="10">
        <f t="shared" si="7"/>
        <v>94000000</v>
      </c>
      <c r="J31" s="25"/>
      <c r="O31" s="25"/>
      <c r="P31" s="25"/>
      <c r="Q31" s="25"/>
      <c r="R31" s="35" t="s">
        <v>44</v>
      </c>
      <c r="S31" s="36">
        <v>0.8</v>
      </c>
      <c r="T31" s="36">
        <v>0.8</v>
      </c>
      <c r="U31" s="36">
        <v>0.3</v>
      </c>
      <c r="V31" s="37">
        <f>AVERAGE(S31:U31)</f>
        <v>0.63333333333333341</v>
      </c>
      <c r="W31" s="38">
        <f>1-V31</f>
        <v>0.36666666666666659</v>
      </c>
      <c r="Y31" s="92" t="s">
        <v>47</v>
      </c>
      <c r="Z31" s="95">
        <f>500*1780</f>
        <v>890000</v>
      </c>
      <c r="AA31" s="97">
        <v>4</v>
      </c>
      <c r="AB31" s="96">
        <f t="shared" si="6"/>
        <v>3560000</v>
      </c>
    </row>
    <row r="32" spans="1:28" ht="38.25" x14ac:dyDescent="0.2">
      <c r="A32" s="54" t="s">
        <v>9</v>
      </c>
      <c r="B32" s="8">
        <v>0.5</v>
      </c>
      <c r="C32" s="9">
        <v>0.9</v>
      </c>
      <c r="D32" s="10">
        <f t="shared" si="8"/>
        <v>36000000</v>
      </c>
      <c r="E32" s="9">
        <v>0.1</v>
      </c>
      <c r="F32" s="10">
        <f>($C$28*E32)</f>
        <v>4000000</v>
      </c>
      <c r="G32" s="9">
        <v>0.1</v>
      </c>
      <c r="H32" s="10">
        <f>($G$28*G32)</f>
        <v>6000000</v>
      </c>
      <c r="I32" s="10">
        <f t="shared" si="7"/>
        <v>46000000</v>
      </c>
      <c r="J32" s="25"/>
      <c r="O32" s="25"/>
      <c r="P32" s="25"/>
      <c r="Q32" s="25"/>
      <c r="R32" s="57" t="s">
        <v>43</v>
      </c>
      <c r="S32" s="44">
        <v>0.8</v>
      </c>
      <c r="T32" s="44">
        <v>0.5</v>
      </c>
      <c r="U32" s="44">
        <v>0.7</v>
      </c>
      <c r="V32" s="45">
        <f>AVERAGE(S32:U32)</f>
        <v>0.66666666666666663</v>
      </c>
      <c r="W32" s="38">
        <f>1-V32</f>
        <v>0.33333333333333337</v>
      </c>
      <c r="Y32" s="92" t="s">
        <v>65</v>
      </c>
      <c r="Z32" s="95">
        <f>500*600</f>
        <v>300000</v>
      </c>
      <c r="AA32" s="97">
        <v>2</v>
      </c>
      <c r="AB32" s="96">
        <f t="shared" si="6"/>
        <v>600000</v>
      </c>
    </row>
    <row r="33" spans="1:28" x14ac:dyDescent="0.2">
      <c r="A33" s="54" t="s">
        <v>20</v>
      </c>
      <c r="B33" s="8">
        <v>0.5</v>
      </c>
      <c r="C33" s="9">
        <v>0.2</v>
      </c>
      <c r="D33" s="10">
        <f t="shared" si="8"/>
        <v>8000000</v>
      </c>
      <c r="E33" s="9">
        <v>0.8</v>
      </c>
      <c r="F33" s="10">
        <f>($C$28*E33)</f>
        <v>32000000</v>
      </c>
      <c r="G33" s="9">
        <v>0.8</v>
      </c>
      <c r="H33" s="10">
        <f>($G$28*G33)</f>
        <v>48000000</v>
      </c>
      <c r="I33" s="10">
        <f t="shared" si="7"/>
        <v>88000000</v>
      </c>
      <c r="J33" s="25"/>
      <c r="O33" s="25"/>
      <c r="P33" s="25"/>
      <c r="Q33" s="25"/>
      <c r="R33" s="39" t="str">
        <f>K13</f>
        <v>Introducción de información incorrecta</v>
      </c>
      <c r="S33" s="41"/>
      <c r="T33" s="41"/>
      <c r="U33" s="41"/>
      <c r="V33" s="87">
        <f>AVERAGE(V34:V35)</f>
        <v>0.53333333333333333</v>
      </c>
      <c r="W33" s="87">
        <f>AVERAGE(W34:W35)</f>
        <v>0.46666666666666667</v>
      </c>
      <c r="Y33" s="92" t="s">
        <v>61</v>
      </c>
      <c r="Z33" s="95">
        <f>500*90</f>
        <v>45000</v>
      </c>
      <c r="AA33" s="97">
        <v>160</v>
      </c>
      <c r="AB33" s="96">
        <f t="shared" si="6"/>
        <v>7200000</v>
      </c>
    </row>
    <row r="34" spans="1:28" ht="25.5" x14ac:dyDescent="0.2">
      <c r="A34" s="54" t="s">
        <v>10</v>
      </c>
      <c r="B34" s="8">
        <v>0.8</v>
      </c>
      <c r="C34" s="9">
        <v>0.2</v>
      </c>
      <c r="D34" s="10">
        <f t="shared" si="8"/>
        <v>8000000</v>
      </c>
      <c r="E34" s="9">
        <v>0.8</v>
      </c>
      <c r="F34" s="10">
        <f>($C$28*E34)</f>
        <v>32000000</v>
      </c>
      <c r="G34" s="9">
        <v>0.8</v>
      </c>
      <c r="H34" s="10">
        <f>($G$28*G34)</f>
        <v>48000000</v>
      </c>
      <c r="I34" s="10">
        <f t="shared" si="7"/>
        <v>88000000</v>
      </c>
      <c r="J34" s="25"/>
      <c r="O34" s="25"/>
      <c r="P34" s="25"/>
      <c r="Q34" s="25"/>
      <c r="R34" s="43" t="s">
        <v>44</v>
      </c>
      <c r="S34" s="44">
        <v>0.1</v>
      </c>
      <c r="T34" s="44">
        <v>0.8</v>
      </c>
      <c r="U34" s="44">
        <v>0.6</v>
      </c>
      <c r="V34" s="45">
        <f>AVERAGE(S34:U34)</f>
        <v>0.5</v>
      </c>
      <c r="W34" s="46">
        <f>1-V34</f>
        <v>0.5</v>
      </c>
      <c r="Y34" s="94" t="s">
        <v>60</v>
      </c>
      <c r="Z34" s="95">
        <f>500*600</f>
        <v>300000</v>
      </c>
      <c r="AA34" s="97">
        <v>1</v>
      </c>
      <c r="AB34" s="96">
        <f t="shared" si="6"/>
        <v>300000</v>
      </c>
    </row>
    <row r="35" spans="1:28" ht="38.25" x14ac:dyDescent="0.2">
      <c r="A35" s="7" t="s">
        <v>16</v>
      </c>
      <c r="B35" s="8">
        <v>0.4</v>
      </c>
      <c r="C35" s="9">
        <v>1</v>
      </c>
      <c r="D35" s="10">
        <f>($C$22*C35)</f>
        <v>1000000</v>
      </c>
      <c r="E35" s="9">
        <v>0.2</v>
      </c>
      <c r="F35" s="10">
        <f>($E$22*E35)</f>
        <v>1000000</v>
      </c>
      <c r="G35" s="9">
        <v>0.3</v>
      </c>
      <c r="H35" s="10">
        <f>($G$22*G35)</f>
        <v>1200000</v>
      </c>
      <c r="I35" s="10">
        <f>H35+F35+D35</f>
        <v>3200000</v>
      </c>
      <c r="J35" s="25"/>
      <c r="O35" s="25"/>
      <c r="P35" s="25"/>
      <c r="Q35" s="25"/>
      <c r="R35" s="57" t="s">
        <v>43</v>
      </c>
      <c r="S35" s="65">
        <v>0.7</v>
      </c>
      <c r="T35" s="65">
        <v>0.7</v>
      </c>
      <c r="U35" s="65">
        <v>0.3</v>
      </c>
      <c r="V35" s="66">
        <f>AVERAGE(S35:U35)</f>
        <v>0.56666666666666665</v>
      </c>
      <c r="W35" s="67">
        <f>1-V35</f>
        <v>0.43333333333333335</v>
      </c>
      <c r="Y35" s="93" t="s">
        <v>53</v>
      </c>
      <c r="Z35" s="95">
        <f>500*570</f>
        <v>285000</v>
      </c>
      <c r="AA35" s="97">
        <v>5</v>
      </c>
      <c r="AB35" s="96">
        <f t="shared" si="6"/>
        <v>1425000</v>
      </c>
    </row>
    <row r="36" spans="1:28" ht="26.25" x14ac:dyDescent="0.25">
      <c r="A36" s="54" t="s">
        <v>11</v>
      </c>
      <c r="B36" s="12">
        <v>0.4</v>
      </c>
      <c r="C36" s="19">
        <v>0.8</v>
      </c>
      <c r="D36" s="17">
        <f t="shared" si="8"/>
        <v>32000000</v>
      </c>
      <c r="E36" s="19">
        <v>0.7</v>
      </c>
      <c r="F36" s="17">
        <f>($C$28*E36)</f>
        <v>28000000</v>
      </c>
      <c r="G36" s="19">
        <v>0.7</v>
      </c>
      <c r="H36" s="17">
        <f>($G$28*G36)</f>
        <v>42000000</v>
      </c>
      <c r="I36" s="10">
        <f t="shared" si="7"/>
        <v>102000000</v>
      </c>
      <c r="J36" s="25"/>
      <c r="O36" s="25"/>
      <c r="P36" s="25"/>
      <c r="Q36" s="25"/>
      <c r="R36" s="33" t="str">
        <f>+K14</f>
        <v>Divulgación de información</v>
      </c>
      <c r="S36" s="82"/>
      <c r="T36" s="82"/>
      <c r="U36" s="82"/>
      <c r="V36" s="87">
        <f>AVERAGE(V37:V38)</f>
        <v>0.76666666666666672</v>
      </c>
      <c r="W36" s="87">
        <f>AVERAGE(W37:W38)</f>
        <v>0.23333333333333328</v>
      </c>
      <c r="Z36" s="98">
        <f>SUM(Z4:Z35)</f>
        <v>68864890</v>
      </c>
      <c r="AB36" s="99">
        <f>SUM(AB4:AB35)</f>
        <v>127790890</v>
      </c>
    </row>
    <row r="37" spans="1:28" ht="22.5" customHeight="1" x14ac:dyDescent="0.2">
      <c r="J37" s="25"/>
      <c r="O37" s="25"/>
      <c r="P37" s="25"/>
      <c r="Q37" s="25"/>
      <c r="R37" s="58" t="s">
        <v>45</v>
      </c>
      <c r="S37" s="36">
        <v>1</v>
      </c>
      <c r="T37" s="36">
        <v>1</v>
      </c>
      <c r="U37" s="36">
        <v>0.5</v>
      </c>
      <c r="V37" s="37">
        <f>AVERAGE(S37:U37)</f>
        <v>0.83333333333333337</v>
      </c>
      <c r="W37" s="38">
        <f>1-V37</f>
        <v>0.16666666666666663</v>
      </c>
    </row>
    <row r="38" spans="1:28" ht="39" x14ac:dyDescent="0.25">
      <c r="J38" s="25"/>
      <c r="O38" s="25"/>
      <c r="P38" s="25"/>
      <c r="Q38" s="25"/>
      <c r="R38" s="61" t="s">
        <v>46</v>
      </c>
      <c r="S38" s="36">
        <v>0.8</v>
      </c>
      <c r="T38" s="36">
        <v>0.7</v>
      </c>
      <c r="U38" s="36">
        <v>0.6</v>
      </c>
      <c r="V38" s="37">
        <f>AVERAGE(S38:U38)</f>
        <v>0.70000000000000007</v>
      </c>
      <c r="W38" s="38">
        <f>1-V38</f>
        <v>0.29999999999999993</v>
      </c>
      <c r="Y38" s="100" t="s">
        <v>80</v>
      </c>
      <c r="Z38" s="101">
        <f>Q26-AB36</f>
        <v>-127790890</v>
      </c>
    </row>
    <row r="39" spans="1:28" x14ac:dyDescent="0.2">
      <c r="J39" s="25"/>
      <c r="O39" s="25"/>
      <c r="P39" s="25"/>
      <c r="Q39" s="25"/>
      <c r="R39" s="39" t="str">
        <f>+K15</f>
        <v>Destrucción de información</v>
      </c>
      <c r="S39" s="41"/>
      <c r="T39" s="41"/>
      <c r="U39" s="41"/>
      <c r="V39" s="87">
        <f>AVERAGE(V40:V42)</f>
        <v>0.57777777777777783</v>
      </c>
      <c r="W39" s="87">
        <f>AVERAGE(W40:W42)</f>
        <v>0.42222222222222222</v>
      </c>
    </row>
    <row r="40" spans="1:28" ht="25.5" x14ac:dyDescent="0.2">
      <c r="J40" s="25"/>
      <c r="O40" s="25"/>
      <c r="P40" s="25"/>
      <c r="Q40" s="25"/>
      <c r="R40" s="58" t="s">
        <v>45</v>
      </c>
      <c r="S40" s="44">
        <v>0</v>
      </c>
      <c r="T40" s="44">
        <v>1</v>
      </c>
      <c r="U40" s="44">
        <v>0.8</v>
      </c>
      <c r="V40" s="45">
        <f>AVERAGE(S40:U40)</f>
        <v>0.6</v>
      </c>
      <c r="W40" s="46">
        <f>1-V40</f>
        <v>0.4</v>
      </c>
    </row>
    <row r="41" spans="1:28" ht="38.25" x14ac:dyDescent="0.2">
      <c r="J41" s="25"/>
      <c r="O41" s="25"/>
      <c r="P41" s="25"/>
      <c r="Q41" s="25"/>
      <c r="R41" s="60" t="s">
        <v>43</v>
      </c>
      <c r="S41" s="44">
        <v>0.2</v>
      </c>
      <c r="T41" s="44">
        <v>0.7</v>
      </c>
      <c r="U41" s="44">
        <v>0.9</v>
      </c>
      <c r="V41" s="45">
        <f>AVERAGE(S41:U41)</f>
        <v>0.6</v>
      </c>
      <c r="W41" s="46">
        <f>1-V41</f>
        <v>0.4</v>
      </c>
    </row>
    <row r="42" spans="1:28" x14ac:dyDescent="0.2">
      <c r="J42" s="25"/>
      <c r="O42" s="25"/>
      <c r="P42" s="25"/>
      <c r="Q42" s="25"/>
      <c r="R42" s="62" t="s">
        <v>44</v>
      </c>
      <c r="S42" s="44">
        <v>0</v>
      </c>
      <c r="T42" s="44">
        <v>1</v>
      </c>
      <c r="U42" s="44">
        <v>0.6</v>
      </c>
      <c r="V42" s="45">
        <f>AVERAGE(S42:U42)</f>
        <v>0.53333333333333333</v>
      </c>
      <c r="W42" s="46">
        <f>1-V42</f>
        <v>0.46666666666666667</v>
      </c>
    </row>
    <row r="43" spans="1:28" ht="25.5" x14ac:dyDescent="0.2">
      <c r="J43" s="25"/>
      <c r="O43" s="25"/>
      <c r="P43" s="25"/>
      <c r="Q43" s="25"/>
      <c r="R43" s="39" t="str">
        <f>+K16</f>
        <v>Desastres Naturales (Incendios, Inundaciones, Otras incindencias sin intervención humana)</v>
      </c>
      <c r="S43" s="41"/>
      <c r="T43" s="41"/>
      <c r="U43" s="41"/>
      <c r="V43" s="87">
        <f>AVERAGE(V44:V45)</f>
        <v>0.53333333333333333</v>
      </c>
      <c r="W43" s="87">
        <f>AVERAGE(W44:W45)</f>
        <v>0.46666666666666673</v>
      </c>
    </row>
    <row r="44" spans="1:28" x14ac:dyDescent="0.2">
      <c r="J44" s="25"/>
      <c r="O44" s="25"/>
      <c r="P44" s="25"/>
      <c r="Q44" s="25"/>
      <c r="R44" s="35" t="s">
        <v>47</v>
      </c>
      <c r="S44" s="36">
        <v>0</v>
      </c>
      <c r="T44" s="36">
        <v>0.6</v>
      </c>
      <c r="U44" s="36">
        <v>0.8</v>
      </c>
      <c r="V44" s="37">
        <f>AVERAGE(S44:U44)</f>
        <v>0.46666666666666662</v>
      </c>
      <c r="W44" s="38">
        <f>1-V44</f>
        <v>0.53333333333333344</v>
      </c>
    </row>
    <row r="45" spans="1:28" ht="40.5" customHeight="1" x14ac:dyDescent="0.2">
      <c r="J45" s="25"/>
      <c r="O45" s="25"/>
      <c r="P45" s="25"/>
      <c r="Q45" s="25"/>
      <c r="R45" s="47" t="s">
        <v>44</v>
      </c>
      <c r="S45" s="44">
        <v>0</v>
      </c>
      <c r="T45" s="44">
        <v>0.8</v>
      </c>
      <c r="U45" s="44">
        <v>1</v>
      </c>
      <c r="V45" s="45">
        <f>AVERAGE(S45:U45)</f>
        <v>0.6</v>
      </c>
      <c r="W45" s="38">
        <f>1-V45</f>
        <v>0.4</v>
      </c>
    </row>
    <row r="46" spans="1:28" ht="25.5" x14ac:dyDescent="0.2">
      <c r="J46" s="25"/>
      <c r="O46" s="25"/>
      <c r="P46" s="25"/>
      <c r="Q46" s="25"/>
      <c r="R46" s="39" t="str">
        <f>K17</f>
        <v>De origen Industrial(Incendios, fugas de agua, inundaciones, sobrecargas electricas)</v>
      </c>
      <c r="S46" s="41"/>
      <c r="T46" s="41"/>
      <c r="U46" s="41"/>
      <c r="V46" s="87">
        <f>AVERAGE(V47:V48)</f>
        <v>0.6</v>
      </c>
      <c r="W46" s="87">
        <f>AVERAGE(W47:W48)</f>
        <v>0.4</v>
      </c>
    </row>
    <row r="47" spans="1:28" x14ac:dyDescent="0.2">
      <c r="J47" s="25"/>
      <c r="O47" s="25"/>
      <c r="P47" s="25"/>
      <c r="Q47" s="25"/>
      <c r="R47" s="35" t="s">
        <v>47</v>
      </c>
      <c r="S47" s="44">
        <v>0</v>
      </c>
      <c r="T47" s="44">
        <v>0.8</v>
      </c>
      <c r="U47" s="44">
        <v>1</v>
      </c>
      <c r="V47" s="45">
        <f>AVERAGE(S47:U47)</f>
        <v>0.6</v>
      </c>
      <c r="W47" s="46">
        <f>1-V47</f>
        <v>0.4</v>
      </c>
    </row>
    <row r="48" spans="1:28" x14ac:dyDescent="0.2">
      <c r="J48" s="25"/>
      <c r="O48" s="25"/>
      <c r="P48" s="25"/>
      <c r="Q48" s="25"/>
      <c r="R48" s="47" t="s">
        <v>44</v>
      </c>
      <c r="S48" s="44">
        <v>0</v>
      </c>
      <c r="T48" s="44">
        <v>0.8</v>
      </c>
      <c r="U48" s="44">
        <v>1</v>
      </c>
      <c r="V48" s="45">
        <f>AVERAGE(S48:U48)</f>
        <v>0.6</v>
      </c>
      <c r="W48" s="46">
        <f>1-V48</f>
        <v>0.4</v>
      </c>
    </row>
    <row r="49" spans="10:23" x14ac:dyDescent="0.2">
      <c r="J49" s="25"/>
      <c r="O49" s="25"/>
      <c r="P49" s="25"/>
      <c r="Q49" s="25"/>
      <c r="R49" s="39" t="str">
        <f>+K18</f>
        <v>Fallo de servicios de comunicaciones</v>
      </c>
      <c r="S49" s="41"/>
      <c r="T49" s="41"/>
      <c r="U49" s="41"/>
      <c r="V49" s="87">
        <f>AVERAGE(V50:V52)</f>
        <v>0.64444444444444438</v>
      </c>
      <c r="W49" s="87">
        <f>AVERAGE(W50:W52)</f>
        <v>0.35555555555555557</v>
      </c>
    </row>
    <row r="50" spans="10:23" ht="25.5" x14ac:dyDescent="0.2">
      <c r="J50" s="25"/>
      <c r="O50" s="25"/>
      <c r="P50" s="25"/>
      <c r="Q50" s="25"/>
      <c r="R50" s="61" t="s">
        <v>54</v>
      </c>
      <c r="S50" s="68">
        <v>0.3</v>
      </c>
      <c r="T50" s="68">
        <v>0.8</v>
      </c>
      <c r="U50" s="68">
        <v>1</v>
      </c>
      <c r="V50" s="69">
        <f>AVERAGE(S50:U50)</f>
        <v>0.70000000000000007</v>
      </c>
      <c r="W50" s="70">
        <f>1-V50</f>
        <v>0.29999999999999993</v>
      </c>
    </row>
    <row r="51" spans="10:23" x14ac:dyDescent="0.2">
      <c r="J51" s="25"/>
      <c r="O51" s="25"/>
      <c r="P51" s="25"/>
      <c r="Q51" s="25"/>
      <c r="R51" s="85" t="s">
        <v>55</v>
      </c>
      <c r="S51" s="68">
        <v>0.2</v>
      </c>
      <c r="T51" s="68">
        <v>0.7</v>
      </c>
      <c r="U51" s="68">
        <v>0.8</v>
      </c>
      <c r="V51" s="69">
        <f>AVERAGE(S51:U51)</f>
        <v>0.56666666666666665</v>
      </c>
      <c r="W51" s="70">
        <f>1-V51</f>
        <v>0.43333333333333335</v>
      </c>
    </row>
    <row r="52" spans="10:23" ht="25.5" x14ac:dyDescent="0.2">
      <c r="J52" s="25"/>
      <c r="O52" s="25"/>
      <c r="P52" s="25"/>
      <c r="Q52" s="25"/>
      <c r="R52" s="84" t="s">
        <v>56</v>
      </c>
      <c r="S52" s="68">
        <v>0.3</v>
      </c>
      <c r="T52" s="68">
        <v>0.8</v>
      </c>
      <c r="U52" s="68">
        <v>0.9</v>
      </c>
      <c r="V52" s="69">
        <f>AVERAGE(S52:U52)</f>
        <v>0.66666666666666663</v>
      </c>
      <c r="W52" s="70">
        <f>1-V52</f>
        <v>0.33333333333333337</v>
      </c>
    </row>
    <row r="53" spans="10:23" ht="15" customHeight="1" x14ac:dyDescent="0.2">
      <c r="J53" s="25"/>
      <c r="O53" s="25"/>
      <c r="P53" s="25"/>
      <c r="Q53" s="25"/>
      <c r="R53" s="39" t="str">
        <f>K19</f>
        <v>Errores de los usuarios</v>
      </c>
      <c r="S53" s="41"/>
      <c r="T53" s="41"/>
      <c r="U53" s="41"/>
      <c r="V53" s="87">
        <f>AVERAGE(V54:V55)</f>
        <v>0.75</v>
      </c>
      <c r="W53" s="87">
        <f>AVERAGE(W54:W55)</f>
        <v>0.24999999999999994</v>
      </c>
    </row>
    <row r="54" spans="10:23" ht="39" thickBot="1" x14ac:dyDescent="0.25">
      <c r="J54" s="25"/>
      <c r="O54" s="25"/>
      <c r="P54" s="25"/>
      <c r="Q54" s="25"/>
      <c r="R54" s="49" t="s">
        <v>57</v>
      </c>
      <c r="S54" s="44">
        <v>0.9</v>
      </c>
      <c r="T54" s="44">
        <v>0.9</v>
      </c>
      <c r="U54" s="44">
        <v>0.9</v>
      </c>
      <c r="V54" s="45">
        <f>AVERAGE(S54:U54)</f>
        <v>0.9</v>
      </c>
      <c r="W54" s="45">
        <f>1-V54</f>
        <v>9.9999999999999978E-2</v>
      </c>
    </row>
    <row r="55" spans="10:23" ht="38.25" x14ac:dyDescent="0.2">
      <c r="J55" s="25"/>
      <c r="O55" s="25"/>
      <c r="P55" s="25"/>
      <c r="Q55" s="25"/>
      <c r="R55" s="57" t="s">
        <v>58</v>
      </c>
      <c r="S55" s="80">
        <v>0.4</v>
      </c>
      <c r="T55" s="80">
        <v>0.8</v>
      </c>
      <c r="U55" s="80">
        <v>0.6</v>
      </c>
      <c r="V55" s="45">
        <f>AVERAGE(S55:U55)</f>
        <v>0.60000000000000009</v>
      </c>
      <c r="W55" s="45">
        <f>1-V55</f>
        <v>0.39999999999999991</v>
      </c>
    </row>
    <row r="56" spans="10:23" ht="25.5" x14ac:dyDescent="0.2">
      <c r="J56" s="25"/>
      <c r="O56" s="25"/>
      <c r="P56" s="25"/>
      <c r="Q56" s="25"/>
      <c r="R56" s="39" t="str">
        <f>K20</f>
        <v>Errores del administrador (con responsabilidades de instalación y operación)</v>
      </c>
      <c r="S56" s="41"/>
      <c r="T56" s="41"/>
      <c r="U56" s="41"/>
      <c r="V56" s="87">
        <f>AVERAGE(V57:V58)</f>
        <v>0.73333333333333339</v>
      </c>
      <c r="W56" s="87">
        <f>AVERAGE(W57:W58)</f>
        <v>0.26666666666666666</v>
      </c>
    </row>
    <row r="57" spans="10:23" x14ac:dyDescent="0.2">
      <c r="J57" s="25"/>
      <c r="O57" s="25"/>
      <c r="P57" s="25"/>
      <c r="Q57" s="25"/>
      <c r="R57" s="64" t="s">
        <v>59</v>
      </c>
      <c r="S57" s="65">
        <v>0.3</v>
      </c>
      <c r="T57" s="65">
        <v>0.9</v>
      </c>
      <c r="U57" s="65">
        <v>0.9</v>
      </c>
      <c r="V57" s="66">
        <f>AVERAGE(S57:U57)</f>
        <v>0.70000000000000007</v>
      </c>
      <c r="W57" s="67">
        <f>1-V57</f>
        <v>0.29999999999999993</v>
      </c>
    </row>
    <row r="58" spans="10:23" ht="38.25" x14ac:dyDescent="0.2">
      <c r="J58" s="25"/>
      <c r="O58" s="25"/>
      <c r="P58" s="25"/>
      <c r="Q58" s="25"/>
      <c r="R58" s="57" t="s">
        <v>58</v>
      </c>
      <c r="S58" s="65">
        <v>0.5</v>
      </c>
      <c r="T58" s="65">
        <v>0.9</v>
      </c>
      <c r="U58" s="65">
        <v>0.9</v>
      </c>
      <c r="V58" s="66">
        <f>AVERAGE(S58:U58)</f>
        <v>0.76666666666666661</v>
      </c>
      <c r="W58" s="67">
        <f>1-V58</f>
        <v>0.23333333333333339</v>
      </c>
    </row>
    <row r="59" spans="10:23" ht="22.5" customHeight="1" x14ac:dyDescent="0.2">
      <c r="J59" s="25"/>
      <c r="O59" s="25"/>
      <c r="P59" s="25"/>
      <c r="Q59" s="25"/>
    </row>
    <row r="60" spans="10:23" x14ac:dyDescent="0.2">
      <c r="J60" s="25"/>
      <c r="O60" s="25"/>
      <c r="P60" s="25"/>
      <c r="Q60" s="25"/>
    </row>
    <row r="61" spans="10:23" x14ac:dyDescent="0.2">
      <c r="J61" s="25"/>
      <c r="O61" s="25"/>
      <c r="P61" s="25"/>
      <c r="Q61" s="25"/>
    </row>
    <row r="62" spans="10:23" x14ac:dyDescent="0.2">
      <c r="J62" s="25"/>
      <c r="O62" s="25"/>
      <c r="P62" s="25"/>
      <c r="Q62" s="25"/>
    </row>
    <row r="63" spans="10:23" x14ac:dyDescent="0.2">
      <c r="J63" s="25"/>
      <c r="O63" s="25"/>
      <c r="P63" s="25"/>
      <c r="Q63" s="25"/>
    </row>
    <row r="64" spans="10:23" ht="24.75" customHeight="1" x14ac:dyDescent="0.2">
      <c r="J64" s="25"/>
      <c r="L64" s="25"/>
      <c r="M64" s="25"/>
      <c r="N64" s="25"/>
      <c r="O64" s="25"/>
      <c r="P64" s="25"/>
      <c r="Q64" s="25"/>
    </row>
    <row r="65" spans="10:17" x14ac:dyDescent="0.2">
      <c r="J65" s="25"/>
      <c r="K65" s="25"/>
      <c r="L65" s="25"/>
      <c r="M65" s="25"/>
      <c r="N65" s="25"/>
      <c r="O65" s="25"/>
      <c r="P65" s="25"/>
      <c r="Q65" s="25"/>
    </row>
    <row r="66" spans="10:17" x14ac:dyDescent="0.2">
      <c r="J66" s="25"/>
      <c r="K66" s="25"/>
      <c r="L66" s="25"/>
      <c r="M66" s="25"/>
      <c r="N66" s="25"/>
      <c r="O66" s="25"/>
      <c r="P66" s="25"/>
      <c r="Q66" s="25"/>
    </row>
    <row r="67" spans="10:17" x14ac:dyDescent="0.2">
      <c r="J67" s="25"/>
      <c r="K67" s="25"/>
      <c r="L67" s="25"/>
      <c r="M67" s="25"/>
      <c r="N67" s="25"/>
      <c r="O67" s="25"/>
      <c r="P67" s="25"/>
      <c r="Q67" s="25"/>
    </row>
    <row r="68" spans="10:17" x14ac:dyDescent="0.2">
      <c r="J68" s="25"/>
      <c r="K68" s="25"/>
      <c r="L68" s="25"/>
      <c r="M68" s="25"/>
      <c r="N68" s="25"/>
      <c r="O68" s="25"/>
      <c r="P68" s="25"/>
      <c r="Q68" s="25"/>
    </row>
    <row r="69" spans="10:17" x14ac:dyDescent="0.2">
      <c r="J69" s="25"/>
      <c r="K69" s="25"/>
      <c r="L69" s="25"/>
      <c r="M69" s="25"/>
      <c r="N69" s="25"/>
      <c r="O69" s="25"/>
      <c r="P69" s="25"/>
      <c r="Q69" s="25"/>
    </row>
    <row r="70" spans="10:17" x14ac:dyDescent="0.2">
      <c r="J70" s="25"/>
      <c r="K70" s="25"/>
      <c r="L70" s="25"/>
      <c r="M70" s="25"/>
      <c r="N70" s="25"/>
      <c r="O70" s="25"/>
      <c r="P70" s="25"/>
      <c r="Q70" s="25"/>
    </row>
    <row r="71" spans="10:17" x14ac:dyDescent="0.2">
      <c r="J71" s="25"/>
      <c r="K71" s="25"/>
      <c r="L71" s="25"/>
      <c r="M71" s="25"/>
      <c r="N71" s="25"/>
      <c r="O71" s="25"/>
      <c r="P71" s="25"/>
      <c r="Q71" s="25"/>
    </row>
    <row r="72" spans="10:17" x14ac:dyDescent="0.2">
      <c r="J72" s="25"/>
      <c r="K72" s="25"/>
      <c r="L72" s="25"/>
      <c r="M72" s="25"/>
      <c r="N72" s="25"/>
      <c r="O72" s="25"/>
      <c r="P72" s="25"/>
      <c r="Q72" s="25"/>
    </row>
    <row r="73" spans="10:17" ht="24" customHeight="1" x14ac:dyDescent="0.2">
      <c r="J73" s="25"/>
      <c r="K73" s="25"/>
      <c r="L73" s="25"/>
      <c r="M73" s="25"/>
      <c r="N73" s="25"/>
      <c r="O73" s="25"/>
      <c r="P73" s="25"/>
      <c r="Q73" s="25"/>
    </row>
    <row r="74" spans="10:17" x14ac:dyDescent="0.2">
      <c r="J74" s="25"/>
      <c r="K74" s="25"/>
      <c r="L74" s="25"/>
      <c r="M74" s="25"/>
      <c r="N74" s="25"/>
      <c r="O74" s="25"/>
      <c r="P74" s="25"/>
      <c r="Q74" s="25"/>
    </row>
    <row r="75" spans="10:17" x14ac:dyDescent="0.2">
      <c r="J75" s="25"/>
      <c r="K75" s="25"/>
      <c r="L75" s="25"/>
      <c r="M75" s="25"/>
      <c r="N75" s="25"/>
      <c r="O75" s="25"/>
      <c r="P75" s="25"/>
      <c r="Q75" s="25"/>
    </row>
    <row r="76" spans="10:17" x14ac:dyDescent="0.2">
      <c r="J76" s="25"/>
      <c r="K76" s="25"/>
      <c r="L76" s="25"/>
      <c r="M76" s="25"/>
      <c r="N76" s="25"/>
      <c r="O76" s="25"/>
      <c r="P76" s="25"/>
      <c r="Q76" s="25"/>
    </row>
    <row r="77" spans="10:17" x14ac:dyDescent="0.2">
      <c r="J77" s="25"/>
      <c r="K77" s="25"/>
      <c r="L77" s="25"/>
      <c r="M77" s="25"/>
      <c r="N77" s="25"/>
      <c r="O77" s="25"/>
      <c r="P77" s="25"/>
      <c r="Q77" s="25"/>
    </row>
    <row r="78" spans="10:17" x14ac:dyDescent="0.2">
      <c r="J78" s="25"/>
      <c r="K78" s="25"/>
      <c r="L78" s="25"/>
      <c r="M78" s="25"/>
      <c r="N78" s="25"/>
      <c r="O78" s="25"/>
      <c r="P78" s="25"/>
      <c r="Q78" s="25"/>
    </row>
    <row r="79" spans="10:17" x14ac:dyDescent="0.2">
      <c r="J79" s="25"/>
      <c r="K79" s="25"/>
      <c r="L79" s="25"/>
      <c r="M79" s="25"/>
      <c r="N79" s="25"/>
      <c r="O79" s="25"/>
      <c r="P79" s="25"/>
      <c r="Q79" s="25"/>
    </row>
    <row r="80" spans="10:17" ht="27.75" customHeight="1" x14ac:dyDescent="0.2">
      <c r="J80" s="25"/>
      <c r="K80" s="25"/>
      <c r="L80" s="25"/>
      <c r="M80" s="25"/>
      <c r="N80" s="25"/>
      <c r="O80" s="25"/>
      <c r="P80" s="25"/>
      <c r="Q80" s="25"/>
    </row>
    <row r="81" spans="10:17" x14ac:dyDescent="0.2">
      <c r="J81" s="25"/>
      <c r="K81" s="25"/>
      <c r="L81" s="25"/>
      <c r="M81" s="25"/>
      <c r="N81" s="25"/>
      <c r="O81" s="25"/>
      <c r="P81" s="25"/>
      <c r="Q81" s="25"/>
    </row>
    <row r="82" spans="10:17" x14ac:dyDescent="0.2">
      <c r="J82" s="25"/>
      <c r="K82" s="25"/>
      <c r="L82" s="25"/>
      <c r="M82" s="25"/>
      <c r="N82" s="25"/>
      <c r="O82" s="25"/>
      <c r="P82" s="25"/>
      <c r="Q82" s="25"/>
    </row>
    <row r="83" spans="10:17" x14ac:dyDescent="0.2">
      <c r="J83" s="25"/>
      <c r="K83" s="25"/>
      <c r="L83" s="25"/>
      <c r="M83" s="25"/>
      <c r="N83" s="25"/>
      <c r="O83" s="25"/>
      <c r="P83" s="25"/>
      <c r="Q83" s="25"/>
    </row>
    <row r="84" spans="10:17" x14ac:dyDescent="0.2">
      <c r="J84" s="25"/>
      <c r="K84" s="25"/>
      <c r="L84" s="25"/>
      <c r="M84" s="25"/>
      <c r="N84" s="25"/>
      <c r="O84" s="25"/>
      <c r="P84" s="25"/>
      <c r="Q84" s="25"/>
    </row>
    <row r="85" spans="10:17" x14ac:dyDescent="0.2">
      <c r="J85" s="25"/>
      <c r="K85" s="25"/>
      <c r="L85" s="25"/>
      <c r="M85" s="25"/>
      <c r="N85" s="25"/>
      <c r="O85" s="25"/>
      <c r="P85" s="25"/>
      <c r="Q85" s="25"/>
    </row>
    <row r="86" spans="10:17" x14ac:dyDescent="0.2">
      <c r="J86" s="25"/>
      <c r="K86" s="25"/>
      <c r="L86" s="25"/>
      <c r="M86" s="25"/>
      <c r="N86" s="25"/>
      <c r="O86" s="25"/>
      <c r="P86" s="25"/>
      <c r="Q86" s="25"/>
    </row>
    <row r="87" spans="10:17" x14ac:dyDescent="0.2">
      <c r="J87" s="25"/>
      <c r="K87" s="25"/>
      <c r="L87" s="25"/>
      <c r="M87" s="25"/>
      <c r="N87" s="25"/>
      <c r="O87" s="25"/>
      <c r="P87" s="25"/>
      <c r="Q87" s="25"/>
    </row>
    <row r="88" spans="10:17" x14ac:dyDescent="0.2">
      <c r="J88" s="25"/>
    </row>
    <row r="89" spans="10:17" x14ac:dyDescent="0.2">
      <c r="J89" s="25"/>
    </row>
    <row r="90" spans="10:17" x14ac:dyDescent="0.2">
      <c r="J90" s="25"/>
    </row>
    <row r="91" spans="10:17" x14ac:dyDescent="0.2">
      <c r="J91" s="25"/>
    </row>
    <row r="92" spans="10:17" x14ac:dyDescent="0.2">
      <c r="J92" s="25"/>
    </row>
    <row r="93" spans="10:17" x14ac:dyDescent="0.2">
      <c r="J93" s="25"/>
    </row>
    <row r="94" spans="10:17" x14ac:dyDescent="0.2">
      <c r="J94" s="25"/>
    </row>
    <row r="95" spans="10:17" ht="24.75" customHeight="1" x14ac:dyDescent="0.2">
      <c r="J95" s="25"/>
    </row>
    <row r="96" spans="10:17" x14ac:dyDescent="0.2">
      <c r="J96" s="25"/>
    </row>
    <row r="97" spans="10:23" x14ac:dyDescent="0.2">
      <c r="J97" s="25"/>
    </row>
    <row r="98" spans="10:23" x14ac:dyDescent="0.2">
      <c r="J98" s="25"/>
    </row>
    <row r="99" spans="10:23" x14ac:dyDescent="0.2">
      <c r="J99" s="25"/>
    </row>
    <row r="100" spans="10:23" x14ac:dyDescent="0.2">
      <c r="J100" s="25"/>
      <c r="R100" s="74"/>
      <c r="S100" s="75"/>
      <c r="T100" s="75"/>
      <c r="U100" s="75"/>
      <c r="V100" s="76"/>
      <c r="W100" s="76"/>
    </row>
    <row r="101" spans="10:23" x14ac:dyDescent="0.2">
      <c r="J101" s="25"/>
      <c r="R101" s="71"/>
      <c r="S101" s="73"/>
      <c r="T101" s="73"/>
      <c r="U101" s="73"/>
      <c r="V101" s="72"/>
      <c r="W101" s="77"/>
    </row>
    <row r="102" spans="10:23" x14ac:dyDescent="0.2">
      <c r="R102" s="78"/>
      <c r="S102" s="73"/>
      <c r="T102" s="73"/>
      <c r="U102" s="73"/>
      <c r="V102" s="77"/>
      <c r="W102" s="77"/>
    </row>
    <row r="103" spans="10:23" x14ac:dyDescent="0.2">
      <c r="R103" s="74"/>
      <c r="S103" s="75"/>
      <c r="T103" s="75"/>
      <c r="U103" s="75"/>
      <c r="V103" s="76"/>
      <c r="W103" s="76"/>
    </row>
    <row r="104" spans="10:23" x14ac:dyDescent="0.2">
      <c r="R104" s="71"/>
      <c r="S104" s="73"/>
      <c r="T104" s="73"/>
      <c r="U104" s="73"/>
      <c r="V104" s="72"/>
      <c r="W104" s="72"/>
    </row>
    <row r="105" spans="10:23" x14ac:dyDescent="0.2">
      <c r="R105" s="74"/>
      <c r="S105" s="75"/>
      <c r="T105" s="75"/>
      <c r="U105" s="75"/>
      <c r="V105" s="76"/>
      <c r="W105" s="76"/>
    </row>
    <row r="106" spans="10:23" x14ac:dyDescent="0.2">
      <c r="R106" s="71"/>
      <c r="S106" s="73"/>
      <c r="T106" s="73"/>
      <c r="U106" s="73"/>
      <c r="V106" s="72"/>
      <c r="W106" s="72"/>
    </row>
    <row r="107" spans="10:23" x14ac:dyDescent="0.2">
      <c r="R107" s="74"/>
      <c r="S107" s="75"/>
      <c r="T107" s="75"/>
      <c r="U107" s="75"/>
      <c r="V107" s="76"/>
      <c r="W107" s="76"/>
    </row>
    <row r="108" spans="10:23" x14ac:dyDescent="0.2">
      <c r="R108" s="71"/>
      <c r="S108" s="73"/>
      <c r="T108" s="73"/>
      <c r="U108" s="73"/>
      <c r="V108" s="72"/>
      <c r="W108" s="72"/>
    </row>
    <row r="109" spans="10:23" x14ac:dyDescent="0.2">
      <c r="R109" s="74"/>
      <c r="S109" s="75"/>
      <c r="T109" s="75"/>
      <c r="U109" s="75"/>
      <c r="V109" s="76"/>
      <c r="W109" s="76"/>
    </row>
    <row r="110" spans="10:23" x14ac:dyDescent="0.2">
      <c r="R110" s="71"/>
      <c r="S110" s="73"/>
      <c r="T110" s="73"/>
      <c r="U110" s="73"/>
      <c r="V110" s="72"/>
      <c r="W110" s="72"/>
    </row>
    <row r="111" spans="10:23" x14ac:dyDescent="0.2">
      <c r="R111" s="74"/>
      <c r="S111" s="75"/>
      <c r="T111" s="75"/>
      <c r="U111" s="75"/>
      <c r="V111" s="76"/>
      <c r="W111" s="76"/>
    </row>
    <row r="112" spans="10:23" x14ac:dyDescent="0.2">
      <c r="R112" s="71"/>
      <c r="S112" s="79"/>
      <c r="T112" s="79"/>
      <c r="U112" s="79"/>
      <c r="V112" s="79"/>
      <c r="W112" s="79"/>
    </row>
    <row r="113" spans="18:23" x14ac:dyDescent="0.2">
      <c r="R113" s="78"/>
      <c r="S113" s="73"/>
      <c r="T113" s="73"/>
      <c r="U113" s="73"/>
      <c r="V113" s="77"/>
      <c r="W113" s="77"/>
    </row>
    <row r="114" spans="18:23" x14ac:dyDescent="0.2">
      <c r="R114" s="71"/>
      <c r="S114" s="73"/>
      <c r="T114" s="73"/>
      <c r="U114" s="73"/>
      <c r="V114" s="72"/>
      <c r="W114" s="72"/>
    </row>
    <row r="115" spans="18:23" x14ac:dyDescent="0.2">
      <c r="R115" s="74"/>
      <c r="S115" s="75"/>
      <c r="T115" s="75"/>
      <c r="U115" s="75"/>
      <c r="V115" s="76"/>
      <c r="W115" s="76"/>
    </row>
    <row r="116" spans="18:23" x14ac:dyDescent="0.2">
      <c r="R116" s="71"/>
      <c r="S116" s="73"/>
      <c r="T116" s="73"/>
      <c r="U116" s="73"/>
      <c r="V116" s="72"/>
      <c r="W116" s="77"/>
    </row>
    <row r="117" spans="18:23" x14ac:dyDescent="0.2">
      <c r="R117" s="78"/>
      <c r="S117" s="73"/>
      <c r="T117" s="73"/>
      <c r="U117" s="73"/>
      <c r="V117" s="77"/>
      <c r="W117" s="77"/>
    </row>
    <row r="118" spans="18:23" x14ac:dyDescent="0.2">
      <c r="R118" s="74"/>
      <c r="S118" s="75"/>
      <c r="T118" s="75"/>
      <c r="U118" s="75"/>
      <c r="V118" s="76"/>
      <c r="W118" s="76"/>
    </row>
    <row r="119" spans="18:23" x14ac:dyDescent="0.2">
      <c r="R119" s="71"/>
      <c r="S119" s="73"/>
      <c r="T119" s="73"/>
      <c r="U119" s="73"/>
      <c r="V119" s="72"/>
      <c r="W119" s="72"/>
    </row>
    <row r="120" spans="18:23" x14ac:dyDescent="0.2">
      <c r="R120" s="74"/>
      <c r="S120" s="75"/>
      <c r="T120" s="75"/>
      <c r="U120" s="75"/>
      <c r="V120" s="76"/>
      <c r="W120" s="76"/>
    </row>
    <row r="121" spans="18:23" x14ac:dyDescent="0.2">
      <c r="R121" s="71"/>
      <c r="S121" s="73"/>
      <c r="T121" s="73"/>
      <c r="U121" s="73"/>
      <c r="V121" s="72"/>
      <c r="W121" s="72"/>
    </row>
    <row r="122" spans="18:23" x14ac:dyDescent="0.2">
      <c r="R122" s="74"/>
      <c r="S122" s="75"/>
      <c r="T122" s="75"/>
      <c r="U122" s="75"/>
      <c r="V122" s="76"/>
      <c r="W122" s="76"/>
    </row>
    <row r="123" spans="18:23" x14ac:dyDescent="0.2">
      <c r="R123" s="71"/>
      <c r="S123" s="79"/>
      <c r="T123" s="79"/>
      <c r="U123" s="79"/>
      <c r="V123" s="79"/>
      <c r="W123" s="79"/>
    </row>
    <row r="124" spans="18:23" x14ac:dyDescent="0.2">
      <c r="R124" s="78"/>
      <c r="S124" s="73"/>
      <c r="T124" s="73"/>
      <c r="U124" s="73"/>
      <c r="V124" s="77"/>
      <c r="W124" s="77"/>
    </row>
    <row r="125" spans="18:23" x14ac:dyDescent="0.2">
      <c r="R125" s="71"/>
      <c r="S125" s="73"/>
      <c r="T125" s="73"/>
      <c r="U125" s="73"/>
      <c r="V125" s="72"/>
      <c r="W125" s="72"/>
    </row>
    <row r="126" spans="18:23" x14ac:dyDescent="0.2">
      <c r="R126" s="74"/>
      <c r="S126" s="75"/>
      <c r="T126" s="75"/>
      <c r="U126" s="75"/>
      <c r="V126" s="76"/>
      <c r="W126" s="76"/>
    </row>
    <row r="127" spans="18:23" x14ac:dyDescent="0.2">
      <c r="R127" s="71"/>
      <c r="S127" s="73"/>
      <c r="T127" s="73"/>
      <c r="U127" s="73"/>
      <c r="V127" s="72"/>
      <c r="W127" s="77"/>
    </row>
    <row r="128" spans="18:23" x14ac:dyDescent="0.2">
      <c r="R128" s="78"/>
      <c r="S128" s="73"/>
      <c r="T128" s="73"/>
      <c r="U128" s="73"/>
      <c r="V128" s="77"/>
      <c r="W128" s="77"/>
    </row>
    <row r="129" spans="18:23" x14ac:dyDescent="0.2">
      <c r="R129" s="74"/>
      <c r="S129" s="75"/>
      <c r="T129" s="75"/>
      <c r="U129" s="75"/>
      <c r="V129" s="76"/>
      <c r="W129" s="76"/>
    </row>
    <row r="130" spans="18:23" x14ac:dyDescent="0.2">
      <c r="R130" s="71"/>
      <c r="S130" s="73"/>
      <c r="T130" s="73"/>
      <c r="U130" s="73"/>
      <c r="V130" s="72"/>
      <c r="W130" s="72"/>
    </row>
    <row r="131" spans="18:23" x14ac:dyDescent="0.2">
      <c r="R131" s="74"/>
      <c r="S131" s="75"/>
      <c r="T131" s="75"/>
      <c r="U131" s="75"/>
      <c r="V131" s="76"/>
      <c r="W131" s="76"/>
    </row>
    <row r="132" spans="18:23" x14ac:dyDescent="0.2">
      <c r="R132" s="74"/>
      <c r="S132" s="75"/>
      <c r="T132" s="75"/>
      <c r="U132" s="75"/>
      <c r="V132" s="76"/>
      <c r="W132" s="76"/>
    </row>
    <row r="133" spans="18:23" x14ac:dyDescent="0.2">
      <c r="R133" s="63"/>
      <c r="S133" s="63"/>
      <c r="T133" s="63"/>
      <c r="U133" s="63"/>
      <c r="V133" s="63"/>
      <c r="W133" s="63"/>
    </row>
    <row r="134" spans="18:23" x14ac:dyDescent="0.2">
      <c r="R134" s="63"/>
      <c r="S134" s="63"/>
      <c r="T134" s="63"/>
      <c r="U134" s="63"/>
      <c r="V134" s="63"/>
      <c r="W134" s="63"/>
    </row>
    <row r="135" spans="18:23" x14ac:dyDescent="0.2">
      <c r="R135" s="63"/>
      <c r="S135" s="63"/>
      <c r="T135" s="63"/>
      <c r="U135" s="63"/>
      <c r="V135" s="63"/>
      <c r="W135" s="63"/>
    </row>
    <row r="136" spans="18:23" x14ac:dyDescent="0.2">
      <c r="R136" s="63"/>
      <c r="S136" s="63"/>
      <c r="T136" s="63"/>
      <c r="U136" s="63"/>
      <c r="V136" s="63"/>
      <c r="W136" s="63"/>
    </row>
    <row r="137" spans="18:23" x14ac:dyDescent="0.2">
      <c r="R137" s="63"/>
      <c r="S137" s="63"/>
      <c r="T137" s="63"/>
      <c r="U137" s="63"/>
      <c r="V137" s="63"/>
      <c r="W137" s="63"/>
    </row>
    <row r="138" spans="18:23" x14ac:dyDescent="0.2">
      <c r="R138" s="63"/>
      <c r="S138" s="63"/>
      <c r="T138" s="63"/>
      <c r="U138" s="63"/>
      <c r="V138" s="63"/>
      <c r="W138" s="63"/>
    </row>
    <row r="139" spans="18:23" x14ac:dyDescent="0.2">
      <c r="R139" s="63"/>
      <c r="S139" s="63"/>
      <c r="T139" s="63"/>
      <c r="U139" s="63"/>
      <c r="V139" s="63"/>
      <c r="W139" s="63"/>
    </row>
    <row r="140" spans="18:23" x14ac:dyDescent="0.2">
      <c r="R140" s="63"/>
      <c r="S140" s="63"/>
      <c r="T140" s="63"/>
      <c r="U140" s="63"/>
      <c r="V140" s="63"/>
      <c r="W140" s="63"/>
    </row>
    <row r="141" spans="18:23" x14ac:dyDescent="0.2">
      <c r="R141" s="63"/>
      <c r="S141" s="63"/>
      <c r="T141" s="63"/>
      <c r="U141" s="63"/>
      <c r="V141" s="63"/>
      <c r="W141" s="63"/>
    </row>
    <row r="142" spans="18:23" x14ac:dyDescent="0.2">
      <c r="R142" s="63"/>
      <c r="S142" s="63"/>
      <c r="T142" s="63"/>
      <c r="U142" s="63"/>
      <c r="V142" s="63"/>
      <c r="W142" s="63"/>
    </row>
    <row r="229" ht="25.5" customHeight="1" x14ac:dyDescent="0.2"/>
  </sheetData>
  <mergeCells count="5">
    <mergeCell ref="R2:W2"/>
    <mergeCell ref="Y2:AB2"/>
    <mergeCell ref="A1:I1"/>
    <mergeCell ref="K1:P1"/>
    <mergeCell ref="R1:W1"/>
  </mergeCells>
  <phoneticPr fontId="2" type="noConversion"/>
  <printOptions horizontalCentered="1" verticalCentered="1"/>
  <pageMargins left="0" right="0" top="0" bottom="0" header="0" footer="0"/>
  <pageSetup paperSize="9" scale="70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DE RIESGOS</vt:lpstr>
    </vt:vector>
  </TitlesOfParts>
  <Company>Natural Response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Analisis de Riesgos</dc:title>
  <dc:creator/>
  <cp:lastModifiedBy>Victor Gonzalez</cp:lastModifiedBy>
  <cp:lastPrinted>2007-09-02T20:56:29Z</cp:lastPrinted>
  <dcterms:created xsi:type="dcterms:W3CDTF">2004-01-04T01:47:24Z</dcterms:created>
  <dcterms:modified xsi:type="dcterms:W3CDTF">2014-07-21T03:49:35Z</dcterms:modified>
</cp:coreProperties>
</file>