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ofjk\Desktop\Hedge\option_hedge\"/>
    </mc:Choice>
  </mc:AlternateContent>
  <xr:revisionPtr revIDLastSave="0" documentId="13_ncr:1_{208C898C-8D7E-4108-A889-554760D1EF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Vertical" sheetId="7" r:id="rId2"/>
    <sheet name="TEST" sheetId="5" r:id="rId3"/>
    <sheet name="Hold to Expire" sheetId="2" r:id="rId4"/>
    <sheet name="Pnl&gt;=6" sheetId="3" r:id="rId5"/>
    <sheet name="Hold 1d" sheetId="4" r:id="rId6"/>
    <sheet name="某次vertical _te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7" l="1"/>
  <c r="L4" i="7"/>
  <c r="I4" i="7"/>
  <c r="I5" i="7"/>
  <c r="K5" i="7"/>
  <c r="H5" i="7"/>
  <c r="K4" i="7"/>
  <c r="H4" i="7"/>
  <c r="N10" i="1"/>
  <c r="O10" i="1" s="1"/>
  <c r="N9" i="1"/>
  <c r="O9" i="1"/>
  <c r="A6" i="6"/>
  <c r="A3" i="6"/>
  <c r="A2" i="6"/>
  <c r="A4" i="6" s="1"/>
  <c r="A5" i="6" s="1"/>
  <c r="N10" i="5"/>
  <c r="K10" i="5"/>
  <c r="H10" i="5"/>
  <c r="K6" i="5"/>
  <c r="H6" i="5"/>
  <c r="K3" i="5"/>
  <c r="H3" i="5"/>
  <c r="D2" i="5"/>
  <c r="S47" i="1"/>
  <c r="S42" i="1"/>
  <c r="T36" i="1"/>
  <c r="S36" i="1"/>
  <c r="T31" i="1"/>
  <c r="T26" i="1"/>
  <c r="S31" i="1"/>
  <c r="S26" i="1"/>
  <c r="S19" i="1"/>
  <c r="T19" i="1" s="1"/>
  <c r="L10" i="1"/>
  <c r="L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</futureMetadata>
  <valueMetadata count="1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</valueMetadata>
</metadata>
</file>

<file path=xl/sharedStrings.xml><?xml version="1.0" encoding="utf-8"?>
<sst xmlns="http://schemas.openxmlformats.org/spreadsheetml/2006/main" count="76" uniqueCount="71">
  <si>
    <t xml:space="preserve">sell call  TQQQ往上買   SQQQ往上買   10-15day +15%   SQQQ IV higher 10% than TQQQ </t>
  </si>
  <si>
    <t>sell put   TQQQ往下買   SQQQ往下買   10-15day -10%   SQQQ IV lower 10% than TQQQ</t>
  </si>
  <si>
    <t>Diagonal</t>
  </si>
  <si>
    <t>最糟糕的情況 開倉隔天就爆跳 一份大概虧50 適應性不錯</t>
  </si>
  <si>
    <t>給他盤個幾天 就算股價對sell call 不利 但是long 的部分能cover 也可能獲利</t>
  </si>
  <si>
    <t>Short 5%</t>
  </si>
  <si>
    <t>Long 10%</t>
  </si>
  <si>
    <t>6d/13d</t>
  </si>
  <si>
    <t>主要的風險因素 是STRIKE 之間的價格差距  5%似呼是最優解</t>
  </si>
  <si>
    <t>如果股價距離Long Strike 1.4% (用股價算不是strike)就可以平倉了  這時候虧損都能接受</t>
  </si>
  <si>
    <t xml:space="preserve">如果不信邪繼續放虧損大概是放大3倍 即便走回有利的方向 幫助也不大了 </t>
  </si>
  <si>
    <t>中大獎 最後一天才爆漲</t>
  </si>
  <si>
    <t>最抗壓的是5%價格差+1 expire</t>
  </si>
  <si>
    <t>1 Expire</t>
  </si>
  <si>
    <t>每一%虧損</t>
  </si>
  <si>
    <t>連續上漲再回落</t>
  </si>
  <si>
    <t>先盤整微跌在爆漲</t>
  </si>
  <si>
    <t>模擬驗證（常態/非對稱環境下都要測過）</t>
  </si>
  <si>
    <t>常態分布</t>
  </si>
  <si>
    <t>T分布+regime</t>
  </si>
  <si>
    <t>非對稱真實市場</t>
  </si>
  <si>
    <t>大概虧50-100就要平倉 不要凹單</t>
  </si>
  <si>
    <t>PUT</t>
  </si>
  <si>
    <t>CALL</t>
  </si>
  <si>
    <t>看跌</t>
  </si>
  <si>
    <t>看漲</t>
  </si>
  <si>
    <t>Theory:</t>
  </si>
  <si>
    <t>股市長期正回報 應該說人類的本能是不斷進步</t>
  </si>
  <si>
    <t>而這自然增長的具體年化數字是8%  在這隨機的結構中我們至少知道 一年能增長8%</t>
  </si>
  <si>
    <t>所以option 結構設計就是分散所有的回報與風險 竟可能平滑這調曲線 只拿8%收益</t>
  </si>
  <si>
    <t>Merton Jump Diffusion</t>
  </si>
  <si>
    <t>甚至跳躍擴散也能應對</t>
  </si>
  <si>
    <t>半年500次模擬</t>
  </si>
  <si>
    <t>隔天波動爆走  長天期起到很好的防禦作用</t>
  </si>
  <si>
    <t>跌過頭了 但我們沒受到懲罰 這是PERIUME 差不多造成的優勢</t>
  </si>
  <si>
    <t>70d TQQQ 一路暴跌 但我們反手賺了5% 多空適應好</t>
  </si>
  <si>
    <t>154D 終於賺滿600</t>
  </si>
  <si>
    <t>252d賺894 姑且算900</t>
  </si>
  <si>
    <t>手動決定是否平倉  CALL PUT 混搭</t>
  </si>
  <si>
    <t>偶數天call 基數天put</t>
  </si>
  <si>
    <t>1年500次模擬</t>
  </si>
  <si>
    <t>short call/long call</t>
  </si>
  <si>
    <t>先跌後漲 只要沒漲超過short call 收益越好</t>
  </si>
  <si>
    <t>call</t>
  </si>
  <si>
    <t>put</t>
  </si>
  <si>
    <t>先跌後漲有利</t>
  </si>
  <si>
    <t>先漲後跌有利</t>
  </si>
  <si>
    <t>一路漲就要注意SHORT 是不是快耗盡 就要平倉</t>
  </si>
  <si>
    <t>一路跌就要注意SHORT 是不是快耗盡 就要平倉</t>
  </si>
  <si>
    <t>252d賺910</t>
  </si>
  <si>
    <t>如果隔天5%波動就平倉了 這時後SHORT(5%我們的固定賣出)剛好打平 賭明天Pnl 會嚴重惡化 當然你也可能大賺 但沒必要</t>
  </si>
  <si>
    <t>放個幾天看平倉效果更好  主要依據是SHORT 的部位是否安全</t>
  </si>
  <si>
    <t xml:space="preserve">這裡的例子  股價最後還是在60附近  如果持現貨 EARN NOTHING </t>
  </si>
  <si>
    <t>1張 nominal amount is 6000  we can do 3 leverage 做3張</t>
  </si>
  <si>
    <t>然後止損很重要 一但惡化 虧200+是很容易的事  做3張就虧600  所以short的部位一但失去保護作用就立刻平倉</t>
  </si>
  <si>
    <t>如果有止損平均下來1年能賺1000</t>
  </si>
  <si>
    <t>大盤過去5年 平均是24%</t>
  </si>
  <si>
    <t>只要1天能賺6塊一禮拜30</t>
  </si>
  <si>
    <t>Long</t>
  </si>
  <si>
    <t>Short</t>
  </si>
  <si>
    <t>長天</t>
  </si>
  <si>
    <t>短天</t>
  </si>
  <si>
    <t xml:space="preserve"> </t>
  </si>
  <si>
    <t>195d</t>
  </si>
  <si>
    <t>1d</t>
  </si>
  <si>
    <t>某次NVDA vertical 雙邊紀錄  但是不小心跳掉了</t>
  </si>
  <si>
    <t>1y</t>
  </si>
  <si>
    <t>Call</t>
  </si>
  <si>
    <t>Put</t>
  </si>
  <si>
    <t>同到期</t>
  </si>
  <si>
    <t>1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</si>
</sst>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Dashed">
        <color rgb="FFFF0000"/>
      </left>
      <right/>
      <top style="mediumDashed">
        <color rgb="FFFF0000"/>
      </top>
      <bottom/>
      <diagonal/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>
      <left style="mediumDashed">
        <color rgb="FFFF0000"/>
      </left>
      <right/>
      <top/>
      <bottom/>
      <diagonal/>
    </border>
    <border>
      <left/>
      <right style="mediumDashed">
        <color rgb="FFFF0000"/>
      </right>
      <top/>
      <bottom/>
      <diagonal/>
    </border>
    <border>
      <left style="mediumDashed">
        <color rgb="FFFF0000"/>
      </left>
      <right/>
      <top/>
      <bottom style="mediumDashed">
        <color rgb="FFFF0000"/>
      </bottom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1" fontId="0" fillId="0" borderId="8" xfId="0" applyNumberFormat="1" applyBorder="1"/>
    <xf numFmtId="166" fontId="0" fillId="0" borderId="0" xfId="1" applyNumberFormat="1" applyFont="1"/>
    <xf numFmtId="9" fontId="0" fillId="0" borderId="0" xfId="2" applyFont="1"/>
    <xf numFmtId="0" fontId="2" fillId="0" borderId="0" xfId="0" applyFont="1"/>
    <xf numFmtId="2" fontId="0" fillId="0" borderId="0" xfId="0" applyNumberFormat="1"/>
    <xf numFmtId="0" fontId="3" fillId="2" borderId="0" xfId="0" applyFont="1" applyFill="1"/>
    <xf numFmtId="0" fontId="3" fillId="3" borderId="0" xfId="0" applyFont="1" applyFill="1"/>
    <xf numFmtId="2" fontId="0" fillId="0" borderId="7" xfId="0" applyNumberFormat="1" applyBorder="1"/>
    <xf numFmtId="0" fontId="0" fillId="4" borderId="0" xfId="0" applyFill="1"/>
    <xf numFmtId="0" fontId="0" fillId="3" borderId="0" xfId="0" applyFill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microsoft.com/office/2017/06/relationships/rdRichValueTypes" Target="richData/rdRichValueTypes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4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594360</xdr:colOff>
      <xdr:row>16</xdr:row>
      <xdr:rowOff>53340</xdr:rowOff>
    </xdr:from>
    <xdr:to>
      <xdr:col>17</xdr:col>
      <xdr:colOff>21975</xdr:colOff>
      <xdr:row>22</xdr:row>
      <xdr:rowOff>23009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7B57DD-CBB7-7FEA-15F8-60B17C1957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15" t="-15712" r="4903" b="15712"/>
        <a:stretch/>
      </xdr:blipFill>
      <xdr:spPr>
        <a:xfrm>
          <a:off x="3642360" y="2979420"/>
          <a:ext cx="6742815" cy="1066949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</xdr:colOff>
      <xdr:row>24</xdr:row>
      <xdr:rowOff>30480</xdr:rowOff>
    </xdr:from>
    <xdr:to>
      <xdr:col>17</xdr:col>
      <xdr:colOff>4743</xdr:colOff>
      <xdr:row>28</xdr:row>
      <xdr:rowOff>22961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DE9414F-E3C6-C581-141D-32A9D0A71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0460" y="4419600"/>
          <a:ext cx="6687483" cy="724001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</xdr:colOff>
      <xdr:row>29</xdr:row>
      <xdr:rowOff>22860</xdr:rowOff>
    </xdr:from>
    <xdr:to>
      <xdr:col>16</xdr:col>
      <xdr:colOff>528606</xdr:colOff>
      <xdr:row>33</xdr:row>
      <xdr:rowOff>129658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F3BE7C9-B146-213C-43F4-312AF27CA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0460" y="5326380"/>
          <a:ext cx="6601746" cy="83831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17</xdr:col>
      <xdr:colOff>58094</xdr:colOff>
      <xdr:row>38</xdr:row>
      <xdr:rowOff>165834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E23B1BF-FDFB-F1CD-DE09-C274059C7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6400800"/>
          <a:ext cx="6763694" cy="71447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40</xdr:row>
      <xdr:rowOff>7620</xdr:rowOff>
    </xdr:from>
    <xdr:to>
      <xdr:col>17</xdr:col>
      <xdr:colOff>189556</xdr:colOff>
      <xdr:row>43</xdr:row>
      <xdr:rowOff>116297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BFDB09E-FD8C-0247-2E84-BEFBA98821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65220" y="7322820"/>
          <a:ext cx="6887536" cy="657317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</xdr:colOff>
      <xdr:row>44</xdr:row>
      <xdr:rowOff>175260</xdr:rowOff>
    </xdr:from>
    <xdr:to>
      <xdr:col>17</xdr:col>
      <xdr:colOff>193364</xdr:colOff>
      <xdr:row>48</xdr:row>
      <xdr:rowOff>177267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C9504-459E-7D26-65A6-A29883318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88080" y="8221980"/>
          <a:ext cx="6868484" cy="733527"/>
        </a:xfrm>
        <a:prstGeom prst="rect">
          <a:avLst/>
        </a:prstGeom>
      </xdr:spPr>
    </xdr:pic>
    <xdr:clientData/>
  </xdr:twoCellAnchor>
  <xdr:twoCellAnchor editAs="oneCell">
    <xdr:from>
      <xdr:col>21</xdr:col>
      <xdr:colOff>8964</xdr:colOff>
      <xdr:row>17</xdr:row>
      <xdr:rowOff>35859</xdr:rowOff>
    </xdr:from>
    <xdr:to>
      <xdr:col>32</xdr:col>
      <xdr:colOff>38479</xdr:colOff>
      <xdr:row>21</xdr:row>
      <xdr:rowOff>80788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206F8B5-E611-AC2F-A18E-DD21315D0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810564" y="3083859"/>
          <a:ext cx="6735115" cy="762106"/>
        </a:xfrm>
        <a:prstGeom prst="rect">
          <a:avLst/>
        </a:prstGeom>
      </xdr:spPr>
    </xdr:pic>
    <xdr:clientData/>
  </xdr:twoCellAnchor>
  <xdr:twoCellAnchor editAs="oneCell">
    <xdr:from>
      <xdr:col>21</xdr:col>
      <xdr:colOff>26895</xdr:colOff>
      <xdr:row>24</xdr:row>
      <xdr:rowOff>0</xdr:rowOff>
    </xdr:from>
    <xdr:to>
      <xdr:col>32</xdr:col>
      <xdr:colOff>65936</xdr:colOff>
      <xdr:row>28</xdr:row>
      <xdr:rowOff>92562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FD8B752C-83CE-C72C-AA4E-EE979F53D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28495" y="4303059"/>
          <a:ext cx="6744641" cy="80973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30</xdr:row>
      <xdr:rowOff>44824</xdr:rowOff>
    </xdr:from>
    <xdr:to>
      <xdr:col>32</xdr:col>
      <xdr:colOff>191463</xdr:colOff>
      <xdr:row>34</xdr:row>
      <xdr:rowOff>146912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2E98A82-48D7-5645-22CB-8E7CC1A02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01600" y="5423648"/>
          <a:ext cx="6897063" cy="819264"/>
        </a:xfrm>
        <a:prstGeom prst="rect">
          <a:avLst/>
        </a:prstGeom>
      </xdr:spPr>
    </xdr:pic>
    <xdr:clientData/>
  </xdr:twoCellAnchor>
  <xdr:twoCellAnchor editAs="oneCell">
    <xdr:from>
      <xdr:col>21</xdr:col>
      <xdr:colOff>8965</xdr:colOff>
      <xdr:row>36</xdr:row>
      <xdr:rowOff>35860</xdr:rowOff>
    </xdr:from>
    <xdr:to>
      <xdr:col>32</xdr:col>
      <xdr:colOff>200428</xdr:colOff>
      <xdr:row>40</xdr:row>
      <xdr:rowOff>176053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57E396D4-43D2-3EEF-1A4F-986CBF134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810565" y="6490448"/>
          <a:ext cx="6897063" cy="857370"/>
        </a:xfrm>
        <a:prstGeom prst="rect">
          <a:avLst/>
        </a:prstGeom>
      </xdr:spPr>
    </xdr:pic>
    <xdr:clientData/>
  </xdr:twoCellAnchor>
  <xdr:twoCellAnchor editAs="oneCell">
    <xdr:from>
      <xdr:col>20</xdr:col>
      <xdr:colOff>600636</xdr:colOff>
      <xdr:row>43</xdr:row>
      <xdr:rowOff>71718</xdr:rowOff>
    </xdr:from>
    <xdr:to>
      <xdr:col>31</xdr:col>
      <xdr:colOff>582000</xdr:colOff>
      <xdr:row>47</xdr:row>
      <xdr:rowOff>88068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850BBF4-3057-7DE5-AE32-0EB927B63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792636" y="7781365"/>
          <a:ext cx="6982799" cy="733527"/>
        </a:xfrm>
        <a:prstGeom prst="rect">
          <a:avLst/>
        </a:prstGeom>
      </xdr:spPr>
    </xdr:pic>
    <xdr:clientData/>
  </xdr:twoCellAnchor>
  <xdr:twoCellAnchor editAs="oneCell">
    <xdr:from>
      <xdr:col>21</xdr:col>
      <xdr:colOff>26894</xdr:colOff>
      <xdr:row>49</xdr:row>
      <xdr:rowOff>71717</xdr:rowOff>
    </xdr:from>
    <xdr:to>
      <xdr:col>32</xdr:col>
      <xdr:colOff>113567</xdr:colOff>
      <xdr:row>53</xdr:row>
      <xdr:rowOff>107121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9D59E7A-13B3-F70A-6F45-023DDF34F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28494" y="8857129"/>
          <a:ext cx="6792273" cy="752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3</xdr:row>
      <xdr:rowOff>30480</xdr:rowOff>
    </xdr:from>
    <xdr:to>
      <xdr:col>24</xdr:col>
      <xdr:colOff>277178</xdr:colOff>
      <xdr:row>27</xdr:row>
      <xdr:rowOff>42524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D0329-288A-077F-F1B5-81ECA78B1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579120"/>
          <a:ext cx="6830378" cy="44011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7620</xdr:rowOff>
    </xdr:from>
    <xdr:to>
      <xdr:col>11</xdr:col>
      <xdr:colOff>334357</xdr:colOff>
      <xdr:row>27</xdr:row>
      <xdr:rowOff>76822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26635-4D7F-2AF1-FF14-B15A0E84B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56260"/>
          <a:ext cx="7039957" cy="44583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304800</xdr:colOff>
      <xdr:row>3</xdr:row>
      <xdr:rowOff>129540</xdr:rowOff>
    </xdr:from>
    <xdr:to>
      <xdr:col>24</xdr:col>
      <xdr:colOff>201031</xdr:colOff>
      <xdr:row>28</xdr:row>
      <xdr:rowOff>73020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DEA7ED-97A9-A1F4-ECC5-D8BAF7644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678180"/>
          <a:ext cx="7211431" cy="4515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68580</xdr:rowOff>
    </xdr:from>
    <xdr:to>
      <xdr:col>11</xdr:col>
      <xdr:colOff>305778</xdr:colOff>
      <xdr:row>28</xdr:row>
      <xdr:rowOff>99677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E88CF0-8564-1359-76D1-2C3BDCB6B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"/>
          <a:ext cx="7011378" cy="44202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419100</xdr:colOff>
      <xdr:row>3</xdr:row>
      <xdr:rowOff>38100</xdr:rowOff>
    </xdr:from>
    <xdr:to>
      <xdr:col>13</xdr:col>
      <xdr:colOff>528776</xdr:colOff>
      <xdr:row>36</xdr:row>
      <xdr:rowOff>160951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C14D1-BB27-2785-D2F7-ADFAB2346D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66" t="229" b="7428"/>
        <a:stretch/>
      </xdr:blipFill>
      <xdr:spPr>
        <a:xfrm>
          <a:off x="1028700" y="586740"/>
          <a:ext cx="7424876" cy="6157891"/>
        </a:xfrm>
        <a:prstGeom prst="rect">
          <a:avLst/>
        </a:prstGeom>
      </xdr:spPr>
    </xdr:pic>
    <xdr:clientData/>
  </xdr:twoCellAnchor>
  <xdr:twoCellAnchor editAs="oneCell">
    <xdr:from>
      <xdr:col>14</xdr:col>
      <xdr:colOff>373380</xdr:colOff>
      <xdr:row>3</xdr:row>
      <xdr:rowOff>30480</xdr:rowOff>
    </xdr:from>
    <xdr:to>
      <xdr:col>27</xdr:col>
      <xdr:colOff>145854</xdr:colOff>
      <xdr:row>39</xdr:row>
      <xdr:rowOff>134283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3B1F32-9F25-FF9D-FE03-5D6E4E071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07780" y="579120"/>
          <a:ext cx="7697274" cy="6687483"/>
        </a:xfrm>
        <a:prstGeom prst="rect">
          <a:avLst/>
        </a:prstGeom>
      </xdr:spPr>
    </xdr:pic>
    <xdr:clientData/>
  </xdr:twoCellAnchor>
  <xdr:twoCellAnchor editAs="oneCell">
    <xdr:from>
      <xdr:col>29</xdr:col>
      <xdr:colOff>10886</xdr:colOff>
      <xdr:row>3</xdr:row>
      <xdr:rowOff>54429</xdr:rowOff>
    </xdr:from>
    <xdr:to>
      <xdr:col>41</xdr:col>
      <xdr:colOff>211960</xdr:colOff>
      <xdr:row>35</xdr:row>
      <xdr:rowOff>96082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92262C-3A36-578D-B175-664C639D27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89286" y="609600"/>
          <a:ext cx="7516274" cy="5963482"/>
        </a:xfrm>
        <a:prstGeom prst="rect">
          <a:avLst/>
        </a:prstGeom>
      </xdr:spPr>
    </xdr:pic>
    <xdr:clientData/>
  </xdr:twoCellAnchor>
  <xdr:twoCellAnchor editAs="oneCell">
    <xdr:from>
      <xdr:col>14</xdr:col>
      <xdr:colOff>304800</xdr:colOff>
      <xdr:row>43</xdr:row>
      <xdr:rowOff>130629</xdr:rowOff>
    </xdr:from>
    <xdr:to>
      <xdr:col>27</xdr:col>
      <xdr:colOff>486906</xdr:colOff>
      <xdr:row>79</xdr:row>
      <xdr:rowOff>89371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18D102-44C2-688E-EEBB-25DB539A1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39200" y="8088086"/>
          <a:ext cx="8106906" cy="6620799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9"/>
  <sheetViews>
    <sheetView tabSelected="1" topLeftCell="D6" zoomScale="85" zoomScaleNormal="85" workbookViewId="0">
      <selection activeCell="O9" sqref="O9"/>
    </sheetView>
  </sheetViews>
  <sheetFormatPr defaultRowHeight="14.4" x14ac:dyDescent="0.3"/>
  <cols>
    <col min="21" max="21" width="13.21875" bestFit="1" customWidth="1"/>
  </cols>
  <sheetData>
    <row r="1" spans="1:25" x14ac:dyDescent="0.3">
      <c r="A1" t="s">
        <v>0</v>
      </c>
      <c r="V1" t="s">
        <v>26</v>
      </c>
    </row>
    <row r="2" spans="1:25" x14ac:dyDescent="0.3">
      <c r="A2" t="s">
        <v>1</v>
      </c>
      <c r="V2" t="s">
        <v>27</v>
      </c>
    </row>
    <row r="3" spans="1:25" x14ac:dyDescent="0.3">
      <c r="V3" t="s">
        <v>28</v>
      </c>
    </row>
    <row r="4" spans="1:25" x14ac:dyDescent="0.3">
      <c r="V4" t="s">
        <v>29</v>
      </c>
    </row>
    <row r="5" spans="1:25" x14ac:dyDescent="0.3">
      <c r="A5" t="s">
        <v>2</v>
      </c>
      <c r="H5" t="s">
        <v>8</v>
      </c>
      <c r="V5" t="s">
        <v>50</v>
      </c>
    </row>
    <row r="6" spans="1:25" ht="15" thickBot="1" x14ac:dyDescent="0.35">
      <c r="A6" t="s">
        <v>13</v>
      </c>
      <c r="B6" t="s">
        <v>7</v>
      </c>
      <c r="V6" t="s">
        <v>51</v>
      </c>
    </row>
    <row r="7" spans="1:25" x14ac:dyDescent="0.3">
      <c r="A7" t="s">
        <v>6</v>
      </c>
      <c r="H7" t="s">
        <v>12</v>
      </c>
      <c r="I7" t="e" vm="1">
        <v>#VALUE!</v>
      </c>
      <c r="J7" s="5"/>
      <c r="K7" s="6" t="s">
        <v>25</v>
      </c>
      <c r="L7" s="6"/>
      <c r="M7" s="6"/>
      <c r="N7" s="6" t="s">
        <v>24</v>
      </c>
      <c r="O7" s="7"/>
      <c r="V7" t="s">
        <v>43</v>
      </c>
      <c r="W7" t="s">
        <v>45</v>
      </c>
      <c r="Y7" t="s">
        <v>48</v>
      </c>
    </row>
    <row r="8" spans="1:25" x14ac:dyDescent="0.3">
      <c r="A8" t="s">
        <v>5</v>
      </c>
      <c r="J8" s="8"/>
      <c r="K8" t="s">
        <v>22</v>
      </c>
      <c r="N8" t="s">
        <v>23</v>
      </c>
      <c r="O8" s="9"/>
      <c r="U8" s="15"/>
      <c r="V8" t="s">
        <v>44</v>
      </c>
      <c r="W8" t="s">
        <v>46</v>
      </c>
      <c r="Y8" t="s">
        <v>47</v>
      </c>
    </row>
    <row r="9" spans="1:25" x14ac:dyDescent="0.3">
      <c r="A9" t="s">
        <v>3</v>
      </c>
      <c r="G9" t="e" vm="2">
        <v>#VALUE!</v>
      </c>
      <c r="J9" s="8">
        <v>208.5</v>
      </c>
      <c r="K9">
        <v>0.92</v>
      </c>
      <c r="L9" s="1">
        <f>$J$9*K9</f>
        <v>191.82000000000002</v>
      </c>
      <c r="N9" s="18">
        <f>1+3%*2</f>
        <v>1.06</v>
      </c>
      <c r="O9" s="10">
        <f>$J$9*N9</f>
        <v>221.01000000000002</v>
      </c>
      <c r="P9" s="19" t="s">
        <v>58</v>
      </c>
      <c r="Q9" t="s">
        <v>60</v>
      </c>
    </row>
    <row r="10" spans="1:25" ht="15" thickBot="1" x14ac:dyDescent="0.35">
      <c r="J10" s="11" t="s">
        <v>62</v>
      </c>
      <c r="K10" s="12">
        <v>0.96</v>
      </c>
      <c r="L10" s="13">
        <f>$J$9*K10</f>
        <v>200.16</v>
      </c>
      <c r="M10" s="12"/>
      <c r="N10" s="21">
        <f>1+3%</f>
        <v>1.03</v>
      </c>
      <c r="O10" s="14">
        <f>$J$9*N10</f>
        <v>214.755</v>
      </c>
      <c r="P10" s="20" t="s">
        <v>59</v>
      </c>
      <c r="Q10" t="s">
        <v>61</v>
      </c>
      <c r="V10" s="17" t="s">
        <v>54</v>
      </c>
    </row>
    <row r="11" spans="1:25" x14ac:dyDescent="0.3">
      <c r="A11" t="s">
        <v>4</v>
      </c>
      <c r="G11" t="e" vm="3">
        <v>#VALUE!</v>
      </c>
      <c r="V11" t="s">
        <v>55</v>
      </c>
    </row>
    <row r="12" spans="1:25" x14ac:dyDescent="0.3">
      <c r="M12" s="2"/>
      <c r="Q12" s="2"/>
    </row>
    <row r="13" spans="1:25" x14ac:dyDescent="0.3">
      <c r="A13" t="s">
        <v>9</v>
      </c>
      <c r="G13" t="e" vm="4">
        <v>#VALUE!</v>
      </c>
      <c r="K13" s="18"/>
      <c r="L13" s="1"/>
      <c r="N13" s="18"/>
      <c r="O13" s="1"/>
    </row>
    <row r="14" spans="1:25" ht="15" thickBot="1" x14ac:dyDescent="0.35">
      <c r="A14" t="s">
        <v>10</v>
      </c>
      <c r="G14" t="e" vm="5">
        <v>#VALUE!</v>
      </c>
      <c r="K14" s="21"/>
      <c r="L14" s="1"/>
      <c r="N14" s="21"/>
      <c r="O14" s="1"/>
    </row>
    <row r="15" spans="1:25" x14ac:dyDescent="0.3">
      <c r="A15" t="s">
        <v>21</v>
      </c>
    </row>
    <row r="16" spans="1:25" x14ac:dyDescent="0.3">
      <c r="A16" t="s">
        <v>11</v>
      </c>
      <c r="G16" t="e" vm="6">
        <v>#VALUE!</v>
      </c>
      <c r="L16" t="s">
        <v>15</v>
      </c>
      <c r="Y16" t="s">
        <v>16</v>
      </c>
    </row>
    <row r="18" spans="1:20" x14ac:dyDescent="0.3">
      <c r="T18" t="s">
        <v>14</v>
      </c>
    </row>
    <row r="19" spans="1:20" x14ac:dyDescent="0.3">
      <c r="A19" t="s">
        <v>33</v>
      </c>
      <c r="E19" t="e" vm="7">
        <v>#VALUE!</v>
      </c>
      <c r="S19">
        <f>117-137</f>
        <v>-20</v>
      </c>
      <c r="T19" s="4">
        <f>S19/5.65</f>
        <v>-3.5398230088495573</v>
      </c>
    </row>
    <row r="21" spans="1:20" x14ac:dyDescent="0.3">
      <c r="A21" t="s">
        <v>34</v>
      </c>
      <c r="E21" t="e" vm="8">
        <v>#VALUE!</v>
      </c>
    </row>
    <row r="23" spans="1:20" x14ac:dyDescent="0.3">
      <c r="A23" t="s">
        <v>41</v>
      </c>
      <c r="D23" t="e" vm="9">
        <v>#VALUE!</v>
      </c>
    </row>
    <row r="24" spans="1:20" x14ac:dyDescent="0.3">
      <c r="A24" t="s">
        <v>42</v>
      </c>
      <c r="D24" t="e" vm="10">
        <v>#VALUE!</v>
      </c>
      <c r="L24" s="1"/>
    </row>
    <row r="25" spans="1:20" x14ac:dyDescent="0.3">
      <c r="D25" t="e" vm="11">
        <v>#VALUE!</v>
      </c>
      <c r="L25" s="1"/>
      <c r="O25" s="1"/>
    </row>
    <row r="26" spans="1:20" x14ac:dyDescent="0.3">
      <c r="D26" t="e" vm="12">
        <v>#VALUE!</v>
      </c>
      <c r="L26" s="1"/>
      <c r="O26" s="1"/>
      <c r="S26">
        <f>228-273</f>
        <v>-45</v>
      </c>
      <c r="T26" s="4">
        <f>-25/3.52</f>
        <v>-7.1022727272727275</v>
      </c>
    </row>
    <row r="27" spans="1:20" x14ac:dyDescent="0.3">
      <c r="D27" t="e" vm="13">
        <v>#VALUE!</v>
      </c>
    </row>
    <row r="28" spans="1:20" x14ac:dyDescent="0.3">
      <c r="O28" s="1"/>
    </row>
    <row r="29" spans="1:20" x14ac:dyDescent="0.3">
      <c r="O29" s="1"/>
    </row>
    <row r="31" spans="1:20" x14ac:dyDescent="0.3">
      <c r="S31">
        <f>259-310</f>
        <v>-51</v>
      </c>
      <c r="T31" s="4">
        <f>-6/1.06</f>
        <v>-5.6603773584905657</v>
      </c>
    </row>
    <row r="32" spans="1:20" x14ac:dyDescent="0.3">
      <c r="N32" s="3"/>
    </row>
    <row r="35" spans="11:20" x14ac:dyDescent="0.3">
      <c r="K35" s="2"/>
    </row>
    <row r="36" spans="11:20" x14ac:dyDescent="0.3">
      <c r="S36">
        <f>312-376</f>
        <v>-64</v>
      </c>
      <c r="T36" s="4">
        <f>-13/1.5</f>
        <v>-8.6666666666666661</v>
      </c>
    </row>
    <row r="42" spans="11:20" x14ac:dyDescent="0.3">
      <c r="S42">
        <f>218-176</f>
        <v>42</v>
      </c>
    </row>
    <row r="47" spans="11:20" x14ac:dyDescent="0.3">
      <c r="S47">
        <f>202-153</f>
        <v>49</v>
      </c>
    </row>
    <row r="69" spans="30:30" x14ac:dyDescent="0.3">
      <c r="AD6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394D-B02A-424B-9711-4AF58E5E7EB0}">
  <dimension ref="F2:M9"/>
  <sheetViews>
    <sheetView workbookViewId="0">
      <selection activeCell="L11" sqref="L11"/>
    </sheetView>
  </sheetViews>
  <sheetFormatPr defaultRowHeight="14.4" x14ac:dyDescent="0.3"/>
  <sheetData>
    <row r="2" spans="6:13" x14ac:dyDescent="0.3">
      <c r="F2" t="s">
        <v>70</v>
      </c>
      <c r="H2" t="s">
        <v>69</v>
      </c>
    </row>
    <row r="3" spans="6:13" x14ac:dyDescent="0.3">
      <c r="F3" s="24">
        <v>0.04</v>
      </c>
      <c r="H3" t="s">
        <v>67</v>
      </c>
      <c r="K3" t="s">
        <v>68</v>
      </c>
    </row>
    <row r="4" spans="6:13" x14ac:dyDescent="0.3">
      <c r="G4">
        <v>122.5</v>
      </c>
      <c r="H4" s="18">
        <f>1+4%*2</f>
        <v>1.08</v>
      </c>
      <c r="I4" s="1">
        <f>$G$4*EXP($F$3*2)</f>
        <v>132.70266579018244</v>
      </c>
      <c r="K4" s="18">
        <f>1-4%*2</f>
        <v>0.92</v>
      </c>
      <c r="L4" s="1">
        <f>$G$4*EXP(-$F$3*2)</f>
        <v>113.08175243236288</v>
      </c>
      <c r="M4" s="22" t="s">
        <v>59</v>
      </c>
    </row>
    <row r="5" spans="6:13" ht="15" thickBot="1" x14ac:dyDescent="0.35">
      <c r="H5" s="21">
        <f>1+4%</f>
        <v>1.04</v>
      </c>
      <c r="I5" s="1">
        <f>$G$4*EXP($F$3)</f>
        <v>127.49931983856756</v>
      </c>
      <c r="K5" s="21">
        <f>1-4%</f>
        <v>0.96</v>
      </c>
      <c r="L5" s="1">
        <f>$G$4*EXP(-$F$3)</f>
        <v>117.69670629615959</v>
      </c>
      <c r="M5" s="23" t="s">
        <v>58</v>
      </c>
    </row>
    <row r="9" spans="6:13" x14ac:dyDescent="0.3">
      <c r="I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AFE4-4C05-4C3F-9E1A-B8564C37CBA3}">
  <dimension ref="A1:O18"/>
  <sheetViews>
    <sheetView workbookViewId="0">
      <selection activeCell="D2" sqref="D2"/>
    </sheetView>
  </sheetViews>
  <sheetFormatPr defaultRowHeight="14.4" x14ac:dyDescent="0.3"/>
  <cols>
    <col min="13" max="13" width="9.5546875" bestFit="1" customWidth="1"/>
  </cols>
  <sheetData>
    <row r="1" spans="1:15" x14ac:dyDescent="0.3">
      <c r="A1" t="s">
        <v>56</v>
      </c>
      <c r="D1" t="s">
        <v>57</v>
      </c>
      <c r="H1" t="s">
        <v>38</v>
      </c>
    </row>
    <row r="2" spans="1:15" x14ac:dyDescent="0.3">
      <c r="A2" s="3"/>
      <c r="B2" s="2"/>
      <c r="D2" s="1">
        <f>6000*(24%/252)</f>
        <v>5.7142857142857144</v>
      </c>
      <c r="H2" t="s">
        <v>35</v>
      </c>
      <c r="N2" t="s">
        <v>52</v>
      </c>
    </row>
    <row r="3" spans="1:15" x14ac:dyDescent="0.3">
      <c r="H3" s="16">
        <f>300/6000</f>
        <v>0.05</v>
      </c>
      <c r="I3" t="e" vm="14">
        <v>#VALUE!</v>
      </c>
      <c r="K3" s="16">
        <f>(24%/252)*70</f>
        <v>6.6666666666666666E-2</v>
      </c>
      <c r="N3" t="s">
        <v>53</v>
      </c>
    </row>
    <row r="5" spans="1:15" x14ac:dyDescent="0.3">
      <c r="H5" t="s">
        <v>36</v>
      </c>
    </row>
    <row r="6" spans="1:15" x14ac:dyDescent="0.3">
      <c r="H6" s="16">
        <f>604/6000</f>
        <v>0.10066666666666667</v>
      </c>
      <c r="I6" t="e" vm="15">
        <v>#VALUE!</v>
      </c>
      <c r="K6" s="16">
        <f>(24%/252)*154</f>
        <v>0.14666666666666667</v>
      </c>
    </row>
    <row r="9" spans="1:15" x14ac:dyDescent="0.3">
      <c r="H9" t="s">
        <v>37</v>
      </c>
      <c r="N9" t="s">
        <v>49</v>
      </c>
    </row>
    <row r="10" spans="1:15" x14ac:dyDescent="0.3">
      <c r="H10">
        <f>900/6000</f>
        <v>0.15</v>
      </c>
      <c r="I10" t="e" vm="16">
        <v>#VALUE!</v>
      </c>
      <c r="K10" s="16">
        <f>(24%/252)*252</f>
        <v>0.24</v>
      </c>
      <c r="N10">
        <f>900/6000</f>
        <v>0.15</v>
      </c>
      <c r="O10" t="e" vm="17">
        <v>#VALUE!</v>
      </c>
    </row>
    <row r="18" spans="13:15" x14ac:dyDescent="0.3">
      <c r="M18" s="18"/>
      <c r="O1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854C-42EA-4E2B-9F37-B91B14763D62}">
  <dimension ref="A1:S3"/>
  <sheetViews>
    <sheetView topLeftCell="B7" workbookViewId="0">
      <selection activeCell="AB36" sqref="C36:AB41"/>
    </sheetView>
  </sheetViews>
  <sheetFormatPr defaultRowHeight="14.4" x14ac:dyDescent="0.3"/>
  <sheetData>
    <row r="1" spans="1:19" x14ac:dyDescent="0.3">
      <c r="A1" t="s">
        <v>17</v>
      </c>
    </row>
    <row r="2" spans="1:19" x14ac:dyDescent="0.3">
      <c r="S2" t="s">
        <v>20</v>
      </c>
    </row>
    <row r="3" spans="1:19" x14ac:dyDescent="0.3">
      <c r="F3" t="s">
        <v>18</v>
      </c>
      <c r="S3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A1BF-6269-46DD-A551-E0DAA632C505}">
  <dimension ref="A1:S4"/>
  <sheetViews>
    <sheetView topLeftCell="A10" workbookViewId="0">
      <selection activeCell="S3" sqref="S3"/>
    </sheetView>
  </sheetViews>
  <sheetFormatPr defaultRowHeight="14.4" x14ac:dyDescent="0.3"/>
  <sheetData>
    <row r="1" spans="1:19" x14ac:dyDescent="0.3">
      <c r="A1" t="s">
        <v>17</v>
      </c>
    </row>
    <row r="2" spans="1:19" x14ac:dyDescent="0.3">
      <c r="A2" t="s">
        <v>31</v>
      </c>
    </row>
    <row r="3" spans="1:19" x14ac:dyDescent="0.3">
      <c r="S3" t="s">
        <v>30</v>
      </c>
    </row>
    <row r="4" spans="1:19" x14ac:dyDescent="0.3">
      <c r="E4" t="s"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2876-FC23-46D4-A062-B375625D97BC}">
  <dimension ref="H2:AI43"/>
  <sheetViews>
    <sheetView topLeftCell="D1" zoomScale="70" zoomScaleNormal="70" workbookViewId="0">
      <selection activeCell="S2" sqref="S2"/>
    </sheetView>
  </sheetViews>
  <sheetFormatPr defaultRowHeight="14.4" x14ac:dyDescent="0.3"/>
  <sheetData>
    <row r="2" spans="8:35" x14ac:dyDescent="0.3">
      <c r="H2" t="s">
        <v>30</v>
      </c>
      <c r="U2" t="s">
        <v>32</v>
      </c>
      <c r="AI2" t="s">
        <v>39</v>
      </c>
    </row>
    <row r="43" spans="20:20" x14ac:dyDescent="0.3">
      <c r="T43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0865-8EB9-46B5-821C-B6A0FD8E550D}">
  <dimension ref="A1:B6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65</v>
      </c>
    </row>
    <row r="2" spans="1:2" x14ac:dyDescent="0.3">
      <c r="A2">
        <f>3231</f>
        <v>3231</v>
      </c>
    </row>
    <row r="3" spans="1:2" x14ac:dyDescent="0.3">
      <c r="A3">
        <f>116.5*100</f>
        <v>11650</v>
      </c>
    </row>
    <row r="4" spans="1:2" x14ac:dyDescent="0.3">
      <c r="A4" s="16">
        <f>A2/A3</f>
        <v>0.27733905579399143</v>
      </c>
      <c r="B4" t="s">
        <v>63</v>
      </c>
    </row>
    <row r="5" spans="1:2" x14ac:dyDescent="0.3">
      <c r="A5" s="3">
        <f>A4/195</f>
        <v>1.4222515681743149E-3</v>
      </c>
      <c r="B5" t="s">
        <v>64</v>
      </c>
    </row>
    <row r="6" spans="1:2" x14ac:dyDescent="0.3">
      <c r="A6" s="16">
        <f>A5*252</f>
        <v>0.35840739517992737</v>
      </c>
      <c r="B6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Vertical</vt:lpstr>
      <vt:lpstr>TEST</vt:lpstr>
      <vt:lpstr>Hold to Expire</vt:lpstr>
      <vt:lpstr>Pnl&gt;=6</vt:lpstr>
      <vt:lpstr>Hold 1d</vt:lpstr>
      <vt:lpstr>某次vertical 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張銘仁</dc:creator>
  <cp:lastModifiedBy>Ming-Jen Chang</cp:lastModifiedBy>
  <dcterms:created xsi:type="dcterms:W3CDTF">2015-06-05T18:17:20Z</dcterms:created>
  <dcterms:modified xsi:type="dcterms:W3CDTF">2025-05-12T20:39:10Z</dcterms:modified>
</cp:coreProperties>
</file>