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Осн. хар-ки" sheetId="3" r:id="rId1"/>
    <sheet name="Анализ аналогов" sheetId="2" r:id="rId2"/>
    <sheet name="Доп. хар-ки" sheetId="4" r:id="rId3"/>
    <sheet name="Экономика" sheetId="5" r:id="rId4"/>
    <sheet name="График экономики" sheetId="6" r:id="rId5"/>
    <sheet name="Массы" sheetId="7" r:id="rId6"/>
    <sheet name="Двигатели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5" l="1"/>
  <c r="C29" i="5"/>
  <c r="C26" i="5" s="1"/>
  <c r="C24" i="5"/>
  <c r="C23" i="5"/>
  <c r="D21" i="2"/>
  <c r="D26" i="5" l="1"/>
  <c r="B6" i="6"/>
  <c r="C8" i="6"/>
  <c r="C6" i="6"/>
  <c r="C7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B9" i="5" l="1"/>
  <c r="C9" i="5" s="1"/>
  <c r="D9" i="5" s="1"/>
  <c r="B5" i="5"/>
  <c r="B4" i="5"/>
  <c r="B21" i="5"/>
  <c r="D25" i="5" s="1"/>
  <c r="C19" i="5" l="1"/>
  <c r="C11" i="5"/>
  <c r="D11" i="5" s="1"/>
  <c r="C10" i="5"/>
  <c r="D10" i="5" s="1"/>
  <c r="D23" i="5"/>
  <c r="B13" i="5"/>
  <c r="D24" i="5"/>
  <c r="C13" i="5" l="1"/>
  <c r="D13" i="5" s="1"/>
  <c r="B17" i="5"/>
  <c r="C17" i="5" s="1"/>
  <c r="C18" i="5" s="1"/>
  <c r="D19" i="5"/>
  <c r="C21" i="2"/>
  <c r="E21" i="2"/>
  <c r="F21" i="2"/>
  <c r="B21" i="2"/>
  <c r="F162" i="4"/>
  <c r="E162" i="4"/>
  <c r="D162" i="4"/>
  <c r="C162" i="4"/>
  <c r="B162" i="4"/>
  <c r="F145" i="4"/>
  <c r="E145" i="4"/>
  <c r="D145" i="4"/>
  <c r="C145" i="4"/>
  <c r="B145" i="4"/>
  <c r="F120" i="4"/>
  <c r="E120" i="4"/>
  <c r="D120" i="4"/>
  <c r="C120" i="4"/>
  <c r="B120" i="4"/>
  <c r="F119" i="4"/>
  <c r="E119" i="4"/>
  <c r="D119" i="4"/>
  <c r="C119" i="4"/>
  <c r="B119" i="4"/>
  <c r="F118" i="4"/>
  <c r="E118" i="4"/>
  <c r="D118" i="4"/>
  <c r="C118" i="4"/>
  <c r="B118" i="4"/>
  <c r="F116" i="4"/>
  <c r="E116" i="4"/>
  <c r="D116" i="4"/>
  <c r="C116" i="4"/>
  <c r="B116" i="4"/>
  <c r="F46" i="4"/>
  <c r="E46" i="4"/>
  <c r="D46" i="4"/>
  <c r="C46" i="4"/>
  <c r="B46" i="4"/>
  <c r="F45" i="4"/>
  <c r="E45" i="4"/>
  <c r="D45" i="4"/>
  <c r="C45" i="4"/>
  <c r="B45" i="4"/>
  <c r="F3" i="4"/>
  <c r="E3" i="4"/>
  <c r="D3" i="4"/>
  <c r="C3" i="4"/>
  <c r="B3" i="4"/>
  <c r="G7" i="5" l="1"/>
  <c r="C14" i="5"/>
  <c r="G6" i="5"/>
  <c r="C14" i="3"/>
  <c r="C47" i="4" s="1"/>
  <c r="D14" i="3"/>
  <c r="D47" i="4" s="1"/>
  <c r="E14" i="3"/>
  <c r="E47" i="4" s="1"/>
  <c r="F14" i="3"/>
  <c r="F47" i="4" s="1"/>
  <c r="C15" i="3"/>
  <c r="C48" i="4" s="1"/>
  <c r="D15" i="3"/>
  <c r="D48" i="4" s="1"/>
  <c r="E15" i="3"/>
  <c r="E48" i="4" s="1"/>
  <c r="F15" i="3"/>
  <c r="F48" i="4" s="1"/>
  <c r="B15" i="3"/>
  <c r="B48" i="4" s="1"/>
  <c r="B14" i="3"/>
  <c r="B47" i="4" s="1"/>
  <c r="D16" i="3"/>
  <c r="E16" i="3"/>
  <c r="F16" i="3"/>
  <c r="D18" i="5" l="1"/>
  <c r="D17" i="5"/>
  <c r="D14" i="5"/>
  <c r="C16" i="3"/>
  <c r="B16" i="3"/>
  <c r="C27" i="5" l="1"/>
  <c r="C30" i="5" s="1"/>
  <c r="D27" i="5"/>
  <c r="D28" i="5" l="1"/>
  <c r="D30" i="5"/>
  <c r="C28" i="5"/>
</calcChain>
</file>

<file path=xl/sharedStrings.xml><?xml version="1.0" encoding="utf-8"?>
<sst xmlns="http://schemas.openxmlformats.org/spreadsheetml/2006/main" count="1079" uniqueCount="426">
  <si>
    <t>16±1</t>
  </si>
  <si>
    <t>±15±1</t>
  </si>
  <si>
    <t>15±1</t>
  </si>
  <si>
    <t>Размах крыла, м</t>
  </si>
  <si>
    <t>L-410</t>
  </si>
  <si>
    <t>Ан-28</t>
  </si>
  <si>
    <t>DHC-6</t>
  </si>
  <si>
    <t>595x185</t>
  </si>
  <si>
    <t>720x320</t>
  </si>
  <si>
    <t>±14±1</t>
  </si>
  <si>
    <t>22±1</t>
  </si>
  <si>
    <t>Минимальное расстояние от конца лопасти винта до земли на стоянке, м</t>
  </si>
  <si>
    <t>-2°20'...-1°50'</t>
  </si>
  <si>
    <t>1°36'...-36'</t>
  </si>
  <si>
    <t>Ширина полосы для разворота</t>
  </si>
  <si>
    <t>Размер переднего колес, мм</t>
  </si>
  <si>
    <t>Размер основных колес, мм</t>
  </si>
  <si>
    <t>База:</t>
  </si>
  <si>
    <t>4.36, 4.4</t>
  </si>
  <si>
    <t xml:space="preserve">    при массе 4250 кг (центровка 22-27% САХ), м</t>
  </si>
  <si>
    <t xml:space="preserve">    при массе 6500 кг (центровка 25-33 % САХ), м</t>
  </si>
  <si>
    <t>Геометрические данные самолета:</t>
  </si>
  <si>
    <t>Длина самолета, м</t>
  </si>
  <si>
    <t>Высота пустого самолета, м</t>
  </si>
  <si>
    <t>Высота самолета при массе 6500 кг, м</t>
  </si>
  <si>
    <t>Стояночный угол самолета, град:</t>
  </si>
  <si>
    <t xml:space="preserve">    при массе 4250 кг (центровка 22-27%)</t>
  </si>
  <si>
    <t xml:space="preserve">    при массе 6500 кг (центровка 25-33 % САХ)</t>
  </si>
  <si>
    <t>Максимальный посадочный угол при клиренсе 200 мм, град</t>
  </si>
  <si>
    <t>Колея шасси, м</t>
  </si>
  <si>
    <t>Размеры пассажирской (грузовой) кабины, м</t>
  </si>
  <si>
    <t>5,26x1,74x1,6</t>
  </si>
  <si>
    <t>Фюзеляж:</t>
  </si>
  <si>
    <t xml:space="preserve">    при условной прочности грунта больше 490 кПа (5 кгс/см^2), м</t>
  </si>
  <si>
    <t xml:space="preserve">    при условной прочности грунта меньше 490 кПа (5 кгс/см^2), м</t>
  </si>
  <si>
    <t xml:space="preserve">    длина, м </t>
  </si>
  <si>
    <t xml:space="preserve">    ширина по порогу, м</t>
  </si>
  <si>
    <t xml:space="preserve">    ширина по задней кромке, м</t>
  </si>
  <si>
    <t xml:space="preserve">    максимальная ширина, м</t>
  </si>
  <si>
    <t xml:space="preserve">    максимальная высота, м</t>
  </si>
  <si>
    <t>Крыло:</t>
  </si>
  <si>
    <t xml:space="preserve">    размах, м</t>
  </si>
  <si>
    <t xml:space="preserve">    площадь, м^2</t>
  </si>
  <si>
    <t xml:space="preserve">    САХ, м</t>
  </si>
  <si>
    <t xml:space="preserve">    удлинение</t>
  </si>
  <si>
    <t xml:space="preserve">    сужение</t>
  </si>
  <si>
    <t xml:space="preserve">    стреловидность по передней кромке, град.</t>
  </si>
  <si>
    <t xml:space="preserve">    размах консоли шасси с обтекателями, м</t>
  </si>
  <si>
    <t>Горизонтальное оперение:</t>
  </si>
  <si>
    <t xml:space="preserve">    высота, м</t>
  </si>
  <si>
    <t>30±1</t>
  </si>
  <si>
    <t>±20±1</t>
  </si>
  <si>
    <t>Вертикальное оперение:</t>
  </si>
  <si>
    <t>Общие ограничения по эксплуатации:</t>
  </si>
  <si>
    <t>На самолетах, оборудованных KB радиостанциями, разрешается выполнение полетов по воздушным трассам, на которых разрывы радиосвязи в MB диапазоне не превышают 1 ч.</t>
  </si>
  <si>
    <t>от -50°С до 40°С</t>
  </si>
  <si>
    <t>до 98%</t>
  </si>
  <si>
    <t>Температура наружного воздуха у земли</t>
  </si>
  <si>
    <t>Максимальная высота аэродрома над уровнем моря, м</t>
  </si>
  <si>
    <t>При осадках в виде града полеты запрещаются.</t>
  </si>
  <si>
    <t>При наличии фактической грозовой деятельности по воздушной трассе или по маршруту полеты разрешаются только днем по ПВП.</t>
  </si>
  <si>
    <r>
      <t>Относительная влажность наружного воздуха</t>
    </r>
    <r>
      <rPr>
        <i/>
        <sz val="12"/>
        <color rgb="FF000000"/>
        <rFont val="Times New Roman"/>
        <family val="1"/>
        <charset val="204"/>
      </rPr>
      <t xml:space="preserve"> </t>
    </r>
    <r>
      <rPr>
        <sz val="12"/>
        <color rgb="FF000000"/>
        <rFont val="Times New Roman"/>
        <family val="1"/>
        <charset val="204"/>
      </rPr>
      <t>(при температуре 35 °С ± 5 °С)</t>
    </r>
  </si>
  <si>
    <t>Полеты в условиях обледенения при температуре наружного воздуха ниже минус 20 °с запрещаются.</t>
  </si>
  <si>
    <t xml:space="preserve">    для самолетов с кислородным оборудованием, м</t>
  </si>
  <si>
    <t xml:space="preserve">    для самолетов без кислородного оборудования, м</t>
  </si>
  <si>
    <t>Полеты разрешается; выполнять по воздушным трассам, местным воздушным линиям I и II категорий и установленным маршрутам, где связь на всем протяжении обеспечивается радиостанциями диапазона MB, а навигация при полете по ППП осуществляется по приводным радиостанциям.</t>
  </si>
  <si>
    <t>Абсолютная скорость ветра при рулении (для массы самолета больше 5000 кг), м/с</t>
  </si>
  <si>
    <t>Минимум для взлета - не ниже минимума для посадки на аэродроме вылета. Минимум для посадки смотри в табл 2.1 РЛЭ</t>
  </si>
  <si>
    <t>При высоте аэродрома больше 1500 м или температуре наружного воздуха больше 40 °С последовательные взлеты-посадки не допускаются.</t>
  </si>
  <si>
    <t xml:space="preserve">    при толщине снега 6-8 см</t>
  </si>
  <si>
    <t xml:space="preserve">    при толщине снега 9-20 см</t>
  </si>
  <si>
    <t xml:space="preserve">    при толщине снега 21-40 см</t>
  </si>
  <si>
    <t xml:space="preserve">    при толщине снега больше 40 см</t>
  </si>
  <si>
    <t>Эксплуатационная прочность уплотненного снега:</t>
  </si>
  <si>
    <t>650 кПа (6,5 кгс/см^2)</t>
  </si>
  <si>
    <t>800 кПа (8 кгс/см^2)</t>
  </si>
  <si>
    <t>850 кПа (8,5 кгс/см^2)</t>
  </si>
  <si>
    <t>Минимальная ширина заснеженных ВПП и ГВВП с размокшим верхним слоем, м</t>
  </si>
  <si>
    <t>Минимально допустимый коэффициент сцепления ИВПП</t>
  </si>
  <si>
    <t xml:space="preserve">    при продолжительности полета менее 30 мин от берега - при наличии на борту спасательных жилетов для всех пассажиров и членов экипажа</t>
  </si>
  <si>
    <t xml:space="preserve">    при продолжительности полета более 30 мин от берега - только при наличии на борту спасательных плотов, аварийных запасов и спасательных жилетов для всех пассажиров и членов экипажа</t>
  </si>
  <si>
    <t>Полеты над водными пространствами разрешаются:</t>
  </si>
  <si>
    <t xml:space="preserve">    Экипаж, чел.</t>
  </si>
  <si>
    <t xml:space="preserve">    Пассажиры, чел.</t>
  </si>
  <si>
    <t>Количество людей на борту:</t>
  </si>
  <si>
    <t>Максимальная взлетная масса, кг</t>
  </si>
  <si>
    <t>Максимальная рулежная масса, кг</t>
  </si>
  <si>
    <t>Максимальная посадочная масса, кг</t>
  </si>
  <si>
    <t>Максимальная масса заправляемого топлива (при р = 0,775 г/см^3)</t>
  </si>
  <si>
    <t>Максимальная масса коммерческой нагрузки, кг</t>
  </si>
  <si>
    <t>Максимальная удельная нагрузка на пол грузовой кабины:</t>
  </si>
  <si>
    <t>5,5 кН/м^2 (550 кгс/м^2)</t>
  </si>
  <si>
    <t>5,9 кН/м^2 (600 кгс/м^2)</t>
  </si>
  <si>
    <t>Диапазон эксплуатационных центровок:</t>
  </si>
  <si>
    <t>Центровка, при которой на земле возможно опрокидывание самолета на хвост</t>
  </si>
  <si>
    <r>
      <t xml:space="preserve">    предельно-передняя, </t>
    </r>
    <r>
      <rPr>
        <i/>
        <sz val="12"/>
        <color rgb="FF000000"/>
        <rFont val="Times New Roman"/>
        <family val="1"/>
        <charset val="204"/>
      </rPr>
      <t xml:space="preserve">% </t>
    </r>
    <r>
      <rPr>
        <sz val="12"/>
        <color rgb="FF000000"/>
        <rFont val="Times New Roman"/>
        <family val="1"/>
        <charset val="204"/>
      </rPr>
      <t>САХ</t>
    </r>
  </si>
  <si>
    <r>
      <t xml:space="preserve">    предельно-задняя, </t>
    </r>
    <r>
      <rPr>
        <i/>
        <sz val="12"/>
        <color rgb="FF000000"/>
        <rFont val="Times New Roman"/>
        <family val="1"/>
        <charset val="204"/>
      </rPr>
      <t xml:space="preserve">% </t>
    </r>
    <r>
      <rPr>
        <sz val="12"/>
        <color rgb="FF000000"/>
        <rFont val="Times New Roman"/>
        <family val="1"/>
        <charset val="204"/>
      </rPr>
      <t>САХ</t>
    </r>
  </si>
  <si>
    <t xml:space="preserve">    между шпангоутами №11-14 и 15-21</t>
  </si>
  <si>
    <t xml:space="preserve">    между шпангоутами №14-15</t>
  </si>
  <si>
    <t>Массовые характеристики:</t>
  </si>
  <si>
    <t>Минимальные скорости полета приведены в табл. 2.4 РЛЭ</t>
  </si>
  <si>
    <t xml:space="preserve">    при посадочной конфигурации с одним отказавшим двигателем (закрылки отклонены на 25°)</t>
  </si>
  <si>
    <t>Максимально допустимые скорости полета, км/ч</t>
  </si>
  <si>
    <t>Расчетная предельная скорость, км/ч</t>
  </si>
  <si>
    <t>Максимальная эксплуатационная скорость на высотах от 0 до 4200 м, км/ч</t>
  </si>
  <si>
    <t>Ограничения по маневрированию:</t>
  </si>
  <si>
    <t xml:space="preserve">    в полетной конфигурации</t>
  </si>
  <si>
    <t xml:space="preserve">    во взлетной и посадочной конфигурациях</t>
  </si>
  <si>
    <t>Максимальные эксплуатационные перегрузки:</t>
  </si>
  <si>
    <t>Минимальные эксплуатационные перегрузки:</t>
  </si>
  <si>
    <t xml:space="preserve">    в визуальном полете</t>
  </si>
  <si>
    <t xml:space="preserve">    в полете по приборам:</t>
  </si>
  <si>
    <t xml:space="preserve">      на взлете</t>
  </si>
  <si>
    <t xml:space="preserve">      при наборе высоты заданного эшелона, в крейсерском полете и при снижении до высоты круга</t>
  </si>
  <si>
    <t>Максимальные углы крена при разворотах, град.</t>
  </si>
  <si>
    <t xml:space="preserve">        выше 200 метров</t>
  </si>
  <si>
    <t xml:space="preserve">        ниже 200 метров до ВПП</t>
  </si>
  <si>
    <t xml:space="preserve">    в полете с отказавшим двигателем, в условиях обледения</t>
  </si>
  <si>
    <t>Характеристики штопора см. на стр. 113 РЛЭ</t>
  </si>
  <si>
    <t xml:space="preserve">    стреловидность по 25%, град.</t>
  </si>
  <si>
    <t>-</t>
  </si>
  <si>
    <t xml:space="preserve">    угол настройки корневого профиля, град.</t>
  </si>
  <si>
    <t>1°45'</t>
  </si>
  <si>
    <t xml:space="preserve">    аэродинамическая крутка, град.</t>
  </si>
  <si>
    <t xml:space="preserve">    геометрическая крутка, град.</t>
  </si>
  <si>
    <t>2x3,822</t>
  </si>
  <si>
    <t>2x1,45</t>
  </si>
  <si>
    <t>±20±2</t>
  </si>
  <si>
    <t>27±1</t>
  </si>
  <si>
    <t>14±1</t>
  </si>
  <si>
    <t>18±1</t>
  </si>
  <si>
    <t>42±1</t>
  </si>
  <si>
    <t>2x2,695</t>
  </si>
  <si>
    <t>2x0,44</t>
  </si>
  <si>
    <t>72°30'±2°</t>
  </si>
  <si>
    <t>Автомат крена:</t>
  </si>
  <si>
    <t xml:space="preserve">    отклонение, град.</t>
  </si>
  <si>
    <t>55±2</t>
  </si>
  <si>
    <t>2x0,245</t>
  </si>
  <si>
    <t>2x1,36</t>
  </si>
  <si>
    <t xml:space="preserve">    угол настройки стабилизатора, град.</t>
  </si>
  <si>
    <t>Элероны:</t>
  </si>
  <si>
    <t xml:space="preserve">    длина, м</t>
  </si>
  <si>
    <t xml:space="preserve">    отклонение, град.:</t>
  </si>
  <si>
    <t xml:space="preserve">      вверх</t>
  </si>
  <si>
    <t xml:space="preserve">      вниз</t>
  </si>
  <si>
    <t xml:space="preserve">    отклонение триммера элерона, град.</t>
  </si>
  <si>
    <t>Закрылки:</t>
  </si>
  <si>
    <t xml:space="preserve">    взлет, град.</t>
  </si>
  <si>
    <t xml:space="preserve">    посадка, град.</t>
  </si>
  <si>
    <t>2x4,83</t>
  </si>
  <si>
    <t>2x2,96</t>
  </si>
  <si>
    <t>Интерцепторы:</t>
  </si>
  <si>
    <t xml:space="preserve">    отклонение интерцепторов, град.</t>
  </si>
  <si>
    <t xml:space="preserve">      концевых</t>
  </si>
  <si>
    <t xml:space="preserve">      корневых</t>
  </si>
  <si>
    <t xml:space="preserve">    угол стреловидности на 25%, град.</t>
  </si>
  <si>
    <t xml:space="preserve">    угол поперечного V крыла, град.</t>
  </si>
  <si>
    <t>Руль высоты:</t>
  </si>
  <si>
    <t>2x1,58</t>
  </si>
  <si>
    <t xml:space="preserve">    отклонение триммеров руля высоты, град.</t>
  </si>
  <si>
    <t>10±1</t>
  </si>
  <si>
    <t xml:space="preserve">    площадь триммеров, м^2</t>
  </si>
  <si>
    <t>2x0,19</t>
  </si>
  <si>
    <t>Руль направления:</t>
  </si>
  <si>
    <t xml:space="preserve">    отклонение руля направления, град.</t>
  </si>
  <si>
    <t xml:space="preserve">      во внешнюю сторону</t>
  </si>
  <si>
    <t xml:space="preserve">      во внутреннюю сторону</t>
  </si>
  <si>
    <t xml:space="preserve">    отклонение триммеров рулей направления, град.</t>
  </si>
  <si>
    <t>17°-30°</t>
  </si>
  <si>
    <t>10°-1°</t>
  </si>
  <si>
    <t>10°-1°30'</t>
  </si>
  <si>
    <t>Размеры входного люка:</t>
  </si>
  <si>
    <t xml:space="preserve">    высота порога, м</t>
  </si>
  <si>
    <t>Размеры грузового люка:</t>
  </si>
  <si>
    <t>Размеры переднего аварийного выхода:</t>
  </si>
  <si>
    <t>Размеры аварийного выхода под крылом:</t>
  </si>
  <si>
    <t xml:space="preserve">    без концевых баков, кг</t>
  </si>
  <si>
    <t xml:space="preserve">    с концевыми баками, кг</t>
  </si>
  <si>
    <t>Основная стандартная масса пустого самолета со стандартной оснасткой:</t>
  </si>
  <si>
    <t xml:space="preserve">      при заходе на посадку:</t>
  </si>
  <si>
    <t>Максимальная высота полета:</t>
  </si>
  <si>
    <t>Винт:</t>
  </si>
  <si>
    <t>560 (750)</t>
  </si>
  <si>
    <t>490 (657)</t>
  </si>
  <si>
    <t>Двигатель:</t>
  </si>
  <si>
    <t xml:space="preserve">    Два двигателями модели WALTER M 601 E с винтами модели V 510</t>
  </si>
  <si>
    <t xml:space="preserve">    Турбовинтовой, с двумя валами, реверсным потоком и свободной турбиной</t>
  </si>
  <si>
    <t xml:space="preserve">    Мощность на валу, кВт (лс)</t>
  </si>
  <si>
    <t xml:space="preserve">      макс. взлетная</t>
  </si>
  <si>
    <t xml:space="preserve">      макс. продолжительная</t>
  </si>
  <si>
    <t xml:space="preserve">    Обороты</t>
  </si>
  <si>
    <t xml:space="preserve">      турбины газогенератора, об/мин</t>
  </si>
  <si>
    <t xml:space="preserve">      способ запуска</t>
  </si>
  <si>
    <t>эл. стартером</t>
  </si>
  <si>
    <t xml:space="preserve">      свободной турбины, об/мин</t>
  </si>
  <si>
    <t>по направлению вращения часовой стрелки</t>
  </si>
  <si>
    <t xml:space="preserve">    диаметр, м</t>
  </si>
  <si>
    <t xml:space="preserve">    число лопастей</t>
  </si>
  <si>
    <t xml:space="preserve">    направление вращения </t>
  </si>
  <si>
    <t xml:space="preserve"> 1 700 – 2 080</t>
  </si>
  <si>
    <t xml:space="preserve">    диапазон регулирования оборотов винта, об/мин</t>
  </si>
  <si>
    <t xml:space="preserve">    в заднем</t>
  </si>
  <si>
    <t>400 кг/м^2</t>
  </si>
  <si>
    <t xml:space="preserve">    в переднем </t>
  </si>
  <si>
    <t>Максимальная масса в багажнике (грузовом), кг</t>
  </si>
  <si>
    <t>100 (50)</t>
  </si>
  <si>
    <t>150 (100)</t>
  </si>
  <si>
    <t>Макс. габаритные размеры груза:</t>
  </si>
  <si>
    <t>Летные характеристики:</t>
  </si>
  <si>
    <t>Макс. масса груза в контейнере, кг</t>
  </si>
  <si>
    <t>Макс. масса груза без установки разделительной решетки, кг</t>
  </si>
  <si>
    <t>Макс. масса груза в одном участке при установке разделительной решетки, кг</t>
  </si>
  <si>
    <t xml:space="preserve">    длина и ширина:</t>
  </si>
  <si>
    <t xml:space="preserve">      без установки разделительной решетки, м</t>
  </si>
  <si>
    <t>2,28 x 1,1</t>
  </si>
  <si>
    <t xml:space="preserve">      при установке разделит. решетки (два участка)</t>
  </si>
  <si>
    <t>1,14 x 1,1</t>
  </si>
  <si>
    <t>Макс. удельная нагрузка на пол контейнера, кг/м^2</t>
  </si>
  <si>
    <t>Макс. высота полета при отказе топливных насосов, м</t>
  </si>
  <si>
    <t>Макс. допустимая высота полета, м</t>
  </si>
  <si>
    <t>Класс аэропорта</t>
  </si>
  <si>
    <t>Скорость посадки</t>
  </si>
  <si>
    <t>Скорость взлета</t>
  </si>
  <si>
    <t>Площадь крыла, м^2</t>
  </si>
  <si>
    <t xml:space="preserve">Максимально допустимая скорость ветра на взлете и посадке при отсутствии осадков см. </t>
  </si>
  <si>
    <t>в табл. 2.2</t>
  </si>
  <si>
    <t>на стр. 44</t>
  </si>
  <si>
    <t>750 кПа (7,5 кгс/см^2)</t>
  </si>
  <si>
    <t>Расчетная предельная маневрирования км/ч</t>
  </si>
  <si>
    <t xml:space="preserve">    при взлетной конфигурации (закрылки отклонены на ...°)</t>
  </si>
  <si>
    <t>200 (15)</t>
  </si>
  <si>
    <t>185 (40)</t>
  </si>
  <si>
    <t>250 (18)</t>
  </si>
  <si>
    <t>220 (40)</t>
  </si>
  <si>
    <t xml:space="preserve">    при посадочной конфигурации (закрылки отклонены на ...°)</t>
  </si>
  <si>
    <t xml:space="preserve">    для отклоненных интерцепторах</t>
  </si>
  <si>
    <t>Минимально допустимые скорости полета, км/ч</t>
  </si>
  <si>
    <t>Безопасные скорости полета, км/ч</t>
  </si>
  <si>
    <t xml:space="preserve">    при взлетной конфигурации (закрылки отклонены на 0°)</t>
  </si>
  <si>
    <t xml:space="preserve">    при взлетной конфигурации (закрылки отклонены на 18°)</t>
  </si>
  <si>
    <t xml:space="preserve">    при отклонении закрылков на 40°</t>
  </si>
  <si>
    <t xml:space="preserve">    при отклонении закрылков на 0°</t>
  </si>
  <si>
    <t xml:space="preserve">    при отклонении закрылков на 15°</t>
  </si>
  <si>
    <t xml:space="preserve">    при отклонении закрылков на 25°</t>
  </si>
  <si>
    <t>135-170</t>
  </si>
  <si>
    <t>120-150</t>
  </si>
  <si>
    <t>115-145</t>
  </si>
  <si>
    <t>115-140</t>
  </si>
  <si>
    <t xml:space="preserve">    минимальная, км/ч</t>
  </si>
  <si>
    <t xml:space="preserve">    максимальная, км/ч</t>
  </si>
  <si>
    <t>Год производства</t>
  </si>
  <si>
    <t>Полезная нагрузка, кг</t>
  </si>
  <si>
    <t>Масса топлива, кг</t>
  </si>
  <si>
    <t>САХ, м</t>
  </si>
  <si>
    <t>Удлинение</t>
  </si>
  <si>
    <t>Минимальная дистанция для посадки, м</t>
  </si>
  <si>
    <t>Максимальная дальность полета, км</t>
  </si>
  <si>
    <t>479,55 (652)</t>
  </si>
  <si>
    <t>Скороподъемность, м/с</t>
  </si>
  <si>
    <t>Масса пустого самолета, кг</t>
  </si>
  <si>
    <t>Нагрузка на крыло</t>
  </si>
  <si>
    <t>10,9 м^3</t>
  </si>
  <si>
    <t>460 (620) PT6A-34</t>
  </si>
  <si>
    <t>2,6 (HC-B3TN-3D)</t>
  </si>
  <si>
    <t>671 (900)</t>
  </si>
  <si>
    <t>Крейсерская скорость, км/ч</t>
  </si>
  <si>
    <t>Дальность полета при максимальной загрузке, км</t>
  </si>
  <si>
    <t>ТВД-10С</t>
  </si>
  <si>
    <t>Масса пустого, кг</t>
  </si>
  <si>
    <t>Снаряженная масса, кг</t>
  </si>
  <si>
    <t>Дистанция для посадки при максимальной взлетной массе, м</t>
  </si>
  <si>
    <t>2x800</t>
  </si>
  <si>
    <t>Мощность двигателей, лс</t>
  </si>
  <si>
    <t>Высота крейсера, м</t>
  </si>
  <si>
    <t>Потолок высоты, м</t>
  </si>
  <si>
    <t>2x620</t>
  </si>
  <si>
    <t>4990-5591</t>
  </si>
  <si>
    <t>2x1110</t>
  </si>
  <si>
    <t>2x950</t>
  </si>
  <si>
    <t>1x1200</t>
  </si>
  <si>
    <t>Экипаж (чел)</t>
  </si>
  <si>
    <t>Пассажировместимость (чел)</t>
  </si>
  <si>
    <t>Длина самолета (м)</t>
  </si>
  <si>
    <t>Высота (м)</t>
  </si>
  <si>
    <t>Размах крыла (м)</t>
  </si>
  <si>
    <t>Удлинение крыла</t>
  </si>
  <si>
    <t>Максимальная скорость (км/ч)</t>
  </si>
  <si>
    <t>Крейсерская скорость (км/ч)</t>
  </si>
  <si>
    <t>Скорость сваливания (км/ч)</t>
  </si>
  <si>
    <t>Максимальная дальность полета (км)</t>
  </si>
  <si>
    <t>Потолок (м)</t>
  </si>
  <si>
    <t>Потребная длина ВПП (м)</t>
  </si>
  <si>
    <t>Масса самолета (кг)</t>
  </si>
  <si>
    <t>Максимальная взлетная</t>
  </si>
  <si>
    <t xml:space="preserve">Масса пустого </t>
  </si>
  <si>
    <t>Масса топлива</t>
  </si>
  <si>
    <t>Масса целевой нагрузки</t>
  </si>
  <si>
    <t>Весовая отдача</t>
  </si>
  <si>
    <t>Силовая установка</t>
  </si>
  <si>
    <t>Тип и количество</t>
  </si>
  <si>
    <t>Наименование двигателя</t>
  </si>
  <si>
    <t>Мощность (л.с.)</t>
  </si>
  <si>
    <t>Энерговооруженность</t>
  </si>
  <si>
    <t>Максимальная эксплуатационная скорость, км/ч</t>
  </si>
  <si>
    <t>PC-12</t>
  </si>
  <si>
    <t>Cessna 408</t>
  </si>
  <si>
    <t>Предельно допустимая высота расположения аэродрома над уровнем моря, м</t>
  </si>
  <si>
    <t>Площадь крыла (м^2)</t>
  </si>
  <si>
    <t>Нагрузка на крыло (кг/м^2)</t>
  </si>
  <si>
    <t>2xТВД</t>
  </si>
  <si>
    <t>PZL-10S (ГТД-10)</t>
  </si>
  <si>
    <t>2x588 (2x800)</t>
  </si>
  <si>
    <t>1xТВД</t>
  </si>
  <si>
    <t>Pratt &amp; Whitney Canada PT6A-67P</t>
  </si>
  <si>
    <t>Pratt &amp; Whitney Canada PT6A-65SC</t>
  </si>
  <si>
    <t>Pratt &amp; Whitney Canada PT6A-27 или PT6A-34</t>
  </si>
  <si>
    <t>GE H80-200 или Walter M601</t>
  </si>
  <si>
    <t>2x607 (2x820)</t>
  </si>
  <si>
    <t>2x533 (2x715)</t>
  </si>
  <si>
    <t>2x671 (2x900)</t>
  </si>
  <si>
    <t>1x895 (1x1200)</t>
  </si>
  <si>
    <t>Фактор скидки закупок за количество</t>
  </si>
  <si>
    <t>Максимальная скорость полета, узлы</t>
  </si>
  <si>
    <t>Максимальная скорость полета, км/ч</t>
  </si>
  <si>
    <t>Вес пустого самолета, кг</t>
  </si>
  <si>
    <t>Вес структурного скелета, кг</t>
  </si>
  <si>
    <t>Лет для закрытия НИОКР, л</t>
  </si>
  <si>
    <t>Инженеров для закрытия НИОКР, чел.</t>
  </si>
  <si>
    <t>Количество самолетов за 5 лет, шт.</t>
  </si>
  <si>
    <t>Количество прототипов, шт.</t>
  </si>
  <si>
    <t>Цена продажи, $/ед.</t>
  </si>
  <si>
    <t>Авионика</t>
  </si>
  <si>
    <t>Проектирование и выполнение НИОКР</t>
  </si>
  <si>
    <t>Оснастка</t>
  </si>
  <si>
    <t>Постройка самолета</t>
  </si>
  <si>
    <t>Летные испытания</t>
  </si>
  <si>
    <t>Поддержка развития</t>
  </si>
  <si>
    <t>Постоянные издержки:</t>
  </si>
  <si>
    <t>Переменные издержки:</t>
  </si>
  <si>
    <t>Стоимость проверки качества</t>
  </si>
  <si>
    <t>Стоимость материалов</t>
  </si>
  <si>
    <t>Двигатели</t>
  </si>
  <si>
    <t>Винты</t>
  </si>
  <si>
    <t>Итого</t>
  </si>
  <si>
    <t>Инженер-проектировщик</t>
  </si>
  <si>
    <t>Инженер оснастки</t>
  </si>
  <si>
    <t>Инженер производства</t>
  </si>
  <si>
    <t>Ставка в час, $</t>
  </si>
  <si>
    <t>tср для производства единицы, ч</t>
  </si>
  <si>
    <t>Переменные издержки на единицу</t>
  </si>
  <si>
    <t>Минимальная цена продажи</t>
  </si>
  <si>
    <t>Продажи до безубыточности</t>
  </si>
  <si>
    <t>Затраты на страховку</t>
  </si>
  <si>
    <t>Инфляция</t>
  </si>
  <si>
    <t>Абсолютная масса</t>
  </si>
  <si>
    <t>Относительная масса</t>
  </si>
  <si>
    <t>Крыло</t>
  </si>
  <si>
    <t>Фюзеляж</t>
  </si>
  <si>
    <t>Оперение</t>
  </si>
  <si>
    <t>Шасси</t>
  </si>
  <si>
    <t>Оборудование и упр</t>
  </si>
  <si>
    <t>Полещная нагрузка</t>
  </si>
  <si>
    <t>Топливо</t>
  </si>
  <si>
    <t>Снаряжение и служебная нагрузка</t>
  </si>
  <si>
    <t>ЛМС-901 Байкал</t>
  </si>
  <si>
    <t>Cessna Sky Courier</t>
  </si>
  <si>
    <t>Beechcraft 1900</t>
  </si>
  <si>
    <t>Ан-2</t>
  </si>
  <si>
    <t>Ан-3</t>
  </si>
  <si>
    <t>Ми-8</t>
  </si>
  <si>
    <t>Ил-114-300</t>
  </si>
  <si>
    <t>Модель двигателя</t>
  </si>
  <si>
    <t>ВК-800С</t>
  </si>
  <si>
    <t>ТВД-10</t>
  </si>
  <si>
    <t>Вальтер М-601Е</t>
  </si>
  <si>
    <t>GE H85-200</t>
  </si>
  <si>
    <t>PT6A-65SC</t>
  </si>
  <si>
    <t>PT6A-67D</t>
  </si>
  <si>
    <t>АШ-62</t>
  </si>
  <si>
    <t>ТВД-20</t>
  </si>
  <si>
    <t>ТВ3-117ВМА-СБМ1В</t>
  </si>
  <si>
    <t>ТВ7-117СТ-01</t>
  </si>
  <si>
    <t>Мощность, кВт взлётная/крейсерская</t>
  </si>
  <si>
    <t>588/331</t>
  </si>
  <si>
    <t>706/574</t>
  </si>
  <si>
    <t>954/906</t>
  </si>
  <si>
    <t>725/603</t>
  </si>
  <si>
    <t>1011/864</t>
  </si>
  <si>
    <t>1839/1287</t>
  </si>
  <si>
    <t>Потребление топлива, кг/час</t>
  </si>
  <si>
    <t>190/130</t>
  </si>
  <si>
    <t>227/216</t>
  </si>
  <si>
    <t>200/185</t>
  </si>
  <si>
    <t>384/267</t>
  </si>
  <si>
    <t>Удельное потребление топлива кг/л.с.*час</t>
  </si>
  <si>
    <t>0.2375/0.29</t>
  </si>
  <si>
    <t>0.255/0.27</t>
  </si>
  <si>
    <t>0.3267</t>
  </si>
  <si>
    <t>0.24</t>
  </si>
  <si>
    <t>0.244</t>
  </si>
  <si>
    <t>0.2/0.2256</t>
  </si>
  <si>
    <t>0.23</t>
  </si>
  <si>
    <t>0.209</t>
  </si>
  <si>
    <t>0.2</t>
  </si>
  <si>
    <t>Габариты, м</t>
  </si>
  <si>
    <t>1*0.59*0.58</t>
  </si>
  <si>
    <t>2.06*0.9*0.555</t>
  </si>
  <si>
    <t>1.675*0.59*0.65</t>
  </si>
  <si>
    <t>1.68×0.59×0.65</t>
  </si>
  <si>
    <t>1.87*0.48*0.48</t>
  </si>
  <si>
    <t>1.89*0.47*0.47</t>
  </si>
  <si>
    <t>2.055*0.66*0.728</t>
  </si>
  <si>
    <t>2.15*0.94*0.89</t>
  </si>
  <si>
    <t>Масса, кг</t>
  </si>
  <si>
    <t>Количество, шт.</t>
  </si>
  <si>
    <t>Минимальная цена продажи, млн. руб.</t>
  </si>
  <si>
    <t>Затраты, млрд. руб.</t>
  </si>
  <si>
    <t>Рабочие часы, ч</t>
  </si>
  <si>
    <t>Доходы (214 млн. руб.), млрд. руб.</t>
  </si>
  <si>
    <t>Доходы (244 млн. руб.), млрд. руб.</t>
  </si>
  <si>
    <t>Стоимость, млн. руб</t>
  </si>
  <si>
    <t>Стоимость на самолет, млн. руб</t>
  </si>
  <si>
    <t>Стоимость, млн.руб</t>
  </si>
  <si>
    <t>Без скидки, млн. руб</t>
  </si>
  <si>
    <t>Со скидкой, млн. руб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</si>
</sst>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i/>
      <sz val="12"/>
      <color rgb="FF000000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rgb="FF202122"/>
      <name val="Times New Roman"/>
      <family val="1"/>
      <charset val="204"/>
    </font>
    <font>
      <sz val="12"/>
      <color rgb="FF1F1F1F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2" fontId="3" fillId="0" borderId="1" xfId="0" applyNumberFormat="1" applyFont="1" applyBorder="1" applyAlignment="1">
      <alignment horizontal="right" vertical="center"/>
    </xf>
    <xf numFmtId="164" fontId="3" fillId="0" borderId="1" xfId="0" applyNumberFormat="1" applyFont="1" applyBorder="1" applyAlignment="1">
      <alignment horizontal="right" vertical="center"/>
    </xf>
    <xf numFmtId="0" fontId="1" fillId="0" borderId="1" xfId="0" applyFont="1" applyBorder="1"/>
    <xf numFmtId="0" fontId="5" fillId="0" borderId="1" xfId="0" applyFont="1" applyBorder="1" applyAlignment="1">
      <alignment vertical="center"/>
    </xf>
    <xf numFmtId="0" fontId="2" fillId="0" borderId="1" xfId="0" applyFont="1" applyBorder="1"/>
    <xf numFmtId="0" fontId="4" fillId="0" borderId="1" xfId="0" applyFont="1" applyBorder="1"/>
    <xf numFmtId="0" fontId="3" fillId="0" borderId="1" xfId="0" quotePrefix="1" applyFont="1" applyBorder="1" applyAlignment="1">
      <alignment horizontal="right" vertical="center"/>
    </xf>
    <xf numFmtId="0" fontId="3" fillId="0" borderId="1" xfId="0" applyFont="1" applyBorder="1"/>
    <xf numFmtId="0" fontId="6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5" fillId="0" borderId="1" xfId="0" applyFont="1" applyBorder="1"/>
    <xf numFmtId="3" fontId="3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vertical="center" wrapText="1"/>
    </xf>
    <xf numFmtId="0" fontId="3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/>
    <xf numFmtId="0" fontId="6" fillId="0" borderId="1" xfId="0" applyFont="1" applyBorder="1"/>
    <xf numFmtId="164" fontId="3" fillId="0" borderId="1" xfId="0" applyNumberFormat="1" applyFont="1" applyBorder="1"/>
    <xf numFmtId="2" fontId="3" fillId="0" borderId="1" xfId="0" applyNumberFormat="1" applyFont="1" applyBorder="1"/>
    <xf numFmtId="2" fontId="5" fillId="0" borderId="1" xfId="0" applyNumberFormat="1" applyFont="1" applyBorder="1"/>
    <xf numFmtId="0" fontId="6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right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1" xfId="0" applyFont="1" applyFill="1" applyBorder="1" applyAlignment="1"/>
    <xf numFmtId="0" fontId="9" fillId="0" borderId="1" xfId="0" applyFont="1" applyFill="1" applyBorder="1" applyAlignment="1"/>
    <xf numFmtId="0" fontId="1" fillId="0" borderId="0" xfId="0" applyFont="1" applyFill="1" applyBorder="1" applyAlignment="1"/>
    <xf numFmtId="0" fontId="9" fillId="0" borderId="1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0" fontId="9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right" vertical="center"/>
    </xf>
    <xf numFmtId="0" fontId="1" fillId="0" borderId="1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3" fillId="0" borderId="0" xfId="0" applyFont="1" applyBorder="1"/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vertical="center" wrapText="1"/>
    </xf>
    <xf numFmtId="0" fontId="3" fillId="0" borderId="0" xfId="0" applyFont="1" applyAlignment="1">
      <alignment horizontal="center"/>
    </xf>
    <xf numFmtId="1" fontId="3" fillId="0" borderId="2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</a:t>
            </a:r>
            <a:r>
              <a:rPr lang="en-US" sz="1000"/>
              <a:t>min</a:t>
            </a:r>
            <a:r>
              <a:rPr lang="en-US"/>
              <a:t>(N)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'График экономики'!$A$3</c:f>
              <c:strCache>
                <c:ptCount val="1"/>
                <c:pt idx="0">
                  <c:v>Минимальная цена продажи, млн. руб.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'График экономики'!$B$2:$P$2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750</c:v>
                </c:pt>
                <c:pt idx="14">
                  <c:v>1000</c:v>
                </c:pt>
              </c:numCache>
            </c:numRef>
          </c:xVal>
          <c:yVal>
            <c:numRef>
              <c:f>'График экономики'!$B$3:$P$3</c:f>
              <c:numCache>
                <c:formatCode>General</c:formatCode>
                <c:ptCount val="15"/>
                <c:pt idx="0">
                  <c:v>482.87897703727572</c:v>
                </c:pt>
                <c:pt idx="1">
                  <c:v>351.92680287898497</c:v>
                </c:pt>
                <c:pt idx="2">
                  <c:v>301.46055842636576</c:v>
                </c:pt>
                <c:pt idx="3">
                  <c:v>273.65253156733348</c:v>
                </c:pt>
                <c:pt idx="4">
                  <c:v>255.67062997406393</c:v>
                </c:pt>
                <c:pt idx="5">
                  <c:v>229.34690673782202</c:v>
                </c:pt>
                <c:pt idx="6">
                  <c:v>214.61559690352928</c:v>
                </c:pt>
                <c:pt idx="7">
                  <c:v>198.08827095582743</c:v>
                </c:pt>
                <c:pt idx="8">
                  <c:v>188.73067713704302</c:v>
                </c:pt>
                <c:pt idx="9">
                  <c:v>182.55848104271038</c:v>
                </c:pt>
                <c:pt idx="10">
                  <c:v>178.11385062275235</c:v>
                </c:pt>
                <c:pt idx="11">
                  <c:v>172.03452037660014</c:v>
                </c:pt>
                <c:pt idx="12">
                  <c:v>167.99210395635035</c:v>
                </c:pt>
                <c:pt idx="13">
                  <c:v>161.87595677101547</c:v>
                </c:pt>
                <c:pt idx="14">
                  <c:v>158.32468803377299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17-4F96-A7B2-E7567708D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356568"/>
        <c:axId val="494353288"/>
      </c:scatterChart>
      <c:valAx>
        <c:axId val="494356568"/>
        <c:scaling>
          <c:orientation val="minMax"/>
          <c:max val="10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N, </a:t>
                </a:r>
                <a:r>
                  <a:rPr lang="ru-RU"/>
                  <a:t>шт.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4353288"/>
        <c:crosses val="autoZero"/>
        <c:crossBetween val="midCat"/>
        <c:majorUnit val="100"/>
        <c:minorUnit val="10"/>
      </c:valAx>
      <c:valAx>
        <c:axId val="494353288"/>
        <c:scaling>
          <c:orientation val="minMax"/>
          <c:max val="50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  <a:r>
                  <a:rPr lang="en-US" sz="800"/>
                  <a:t>min</a:t>
                </a:r>
                <a:r>
                  <a:rPr lang="ru-RU" sz="800"/>
                  <a:t>, млн. руб.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4356568"/>
        <c:crosses val="autoZero"/>
        <c:crossBetween val="midCat"/>
        <c:majorUnit val="50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</a:t>
            </a:r>
            <a:r>
              <a:rPr lang="en-US" sz="1000"/>
              <a:t>min</a:t>
            </a:r>
            <a:r>
              <a:rPr lang="en-US"/>
              <a:t>(N)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Затраты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'График экономики'!$B$5:$C$5</c:f>
              <c:numCache>
                <c:formatCode>0.00</c:formatCode>
                <c:ptCount val="2"/>
                <c:pt idx="0">
                  <c:v>0</c:v>
                </c:pt>
                <c:pt idx="1">
                  <c:v>150</c:v>
                </c:pt>
              </c:numCache>
            </c:numRef>
          </c:xVal>
          <c:yVal>
            <c:numRef>
              <c:f>'График экономики'!$B$7:$C$7</c:f>
              <c:numCache>
                <c:formatCode>0.00</c:formatCode>
                <c:ptCount val="2"/>
                <c:pt idx="0">
                  <c:v>0</c:v>
                </c:pt>
                <c:pt idx="1">
                  <c:v>32.155200000000001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E8-4658-ACEC-815E833D588D}"/>
            </c:ext>
          </c:extLst>
        </c:ser>
        <c:ser>
          <c:idx val="1"/>
          <c:order val="1"/>
          <c:tx>
            <c:v>P=214 млн. руб.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'График экономики'!$B$5:$C$5</c:f>
              <c:numCache>
                <c:formatCode>0.00</c:formatCode>
                <c:ptCount val="2"/>
                <c:pt idx="0">
                  <c:v>0</c:v>
                </c:pt>
                <c:pt idx="1">
                  <c:v>150</c:v>
                </c:pt>
              </c:numCache>
            </c:numRef>
          </c:xVal>
          <c:yVal>
            <c:numRef>
              <c:f>'График экономики'!$B$6:$C$6</c:f>
              <c:numCache>
                <c:formatCode>0.00</c:formatCode>
                <c:ptCount val="2"/>
                <c:pt idx="0">
                  <c:v>2.9186237479593702</c:v>
                </c:pt>
                <c:pt idx="1">
                  <c:v>29.713240643374114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E8-4658-ACEC-815E833D588D}"/>
            </c:ext>
          </c:extLst>
        </c:ser>
        <c:ser>
          <c:idx val="2"/>
          <c:order val="2"/>
          <c:tx>
            <c:v>P=244 млн. руб.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'График экономики'!$B$5:$C$5</c:f>
              <c:numCache>
                <c:formatCode>0.00</c:formatCode>
                <c:ptCount val="2"/>
                <c:pt idx="0">
                  <c:v>0</c:v>
                </c:pt>
                <c:pt idx="1">
                  <c:v>150</c:v>
                </c:pt>
              </c:numCache>
            </c:numRef>
          </c:xVal>
          <c:yVal>
            <c:numRef>
              <c:f>'График экономики'!$B$8:$C$8</c:f>
              <c:numCache>
                <c:formatCode>0.00</c:formatCode>
                <c:ptCount val="2"/>
                <c:pt idx="0">
                  <c:v>0</c:v>
                </c:pt>
                <c:pt idx="1">
                  <c:v>36.54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E8-4658-ACEC-815E833D5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356568"/>
        <c:axId val="494353288"/>
      </c:scatterChart>
      <c:valAx>
        <c:axId val="494356568"/>
        <c:scaling>
          <c:orientation val="minMax"/>
          <c:max val="1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N, </a:t>
                </a:r>
                <a:r>
                  <a:rPr lang="ru-RU"/>
                  <a:t>шт.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4353288"/>
        <c:crosses val="autoZero"/>
        <c:crossBetween val="midCat"/>
        <c:minorUnit val="2"/>
      </c:valAx>
      <c:valAx>
        <c:axId val="494353288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  <a:r>
                  <a:rPr lang="en-US" sz="800"/>
                  <a:t>min</a:t>
                </a:r>
                <a:r>
                  <a:rPr lang="ru-RU" sz="800"/>
                  <a:t>, млн. руб.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4356568"/>
        <c:crosses val="autoZero"/>
        <c:crossBetween val="midCat"/>
        <c:min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435429</xdr:colOff>
      <xdr:row>8</xdr:row>
      <xdr:rowOff>17253</xdr:rowOff>
    </xdr:from>
    <xdr:to>
      <xdr:col>15</xdr:col>
      <xdr:colOff>770187</xdr:colOff>
      <xdr:row>24</xdr:row>
      <xdr:rowOff>184219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25120</xdr:rowOff>
    </xdr:from>
    <xdr:to>
      <xdr:col>7</xdr:col>
      <xdr:colOff>401934</xdr:colOff>
      <xdr:row>24</xdr:row>
      <xdr:rowOff>184219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topLeftCell="A9" zoomScaleNormal="100" workbookViewId="0">
      <selection activeCell="H6" sqref="H6"/>
    </sheetView>
  </sheetViews>
  <sheetFormatPr defaultRowHeight="15.6" x14ac:dyDescent="0.3"/>
  <cols>
    <col min="1" max="1" width="62.88671875" style="2" bestFit="1" customWidth="1"/>
    <col min="2" max="6" width="12.21875" style="3" customWidth="1"/>
    <col min="7" max="16384" width="8.88671875" style="2"/>
  </cols>
  <sheetData>
    <row r="1" spans="1:6" x14ac:dyDescent="0.3">
      <c r="A1" s="17"/>
      <c r="B1" s="46" t="s">
        <v>5</v>
      </c>
      <c r="C1" s="46" t="s">
        <v>4</v>
      </c>
      <c r="D1" s="46" t="s">
        <v>6</v>
      </c>
      <c r="E1" s="46" t="s">
        <v>306</v>
      </c>
      <c r="F1" s="47" t="s">
        <v>305</v>
      </c>
    </row>
    <row r="2" spans="1:6" x14ac:dyDescent="0.3">
      <c r="A2" s="5" t="s">
        <v>85</v>
      </c>
      <c r="B2" s="6">
        <v>6530</v>
      </c>
      <c r="C2" s="6">
        <v>6600</v>
      </c>
      <c r="D2" s="6">
        <v>5670</v>
      </c>
      <c r="E2" s="6">
        <v>8618</v>
      </c>
      <c r="F2" s="6">
        <v>4740</v>
      </c>
    </row>
    <row r="3" spans="1:6" x14ac:dyDescent="0.3">
      <c r="A3" s="5" t="s">
        <v>253</v>
      </c>
      <c r="B3" s="6">
        <v>1450</v>
      </c>
      <c r="C3" s="6">
        <v>1300</v>
      </c>
      <c r="D3" s="6">
        <v>1296</v>
      </c>
      <c r="E3" s="8">
        <v>2189</v>
      </c>
      <c r="F3" s="6">
        <v>1200</v>
      </c>
    </row>
    <row r="4" spans="1:6" x14ac:dyDescent="0.3">
      <c r="A4" s="5" t="s">
        <v>252</v>
      </c>
      <c r="B4" s="6">
        <v>1800</v>
      </c>
      <c r="C4" s="6">
        <v>1800</v>
      </c>
      <c r="D4" s="6">
        <v>2720</v>
      </c>
      <c r="E4" s="6">
        <v>2722</v>
      </c>
      <c r="F4" s="6">
        <v>1014</v>
      </c>
    </row>
    <row r="5" spans="1:6" x14ac:dyDescent="0.3">
      <c r="A5" s="5" t="s">
        <v>269</v>
      </c>
      <c r="B5" s="6">
        <v>3800</v>
      </c>
      <c r="C5" s="6">
        <v>4050</v>
      </c>
      <c r="D5" s="6">
        <v>3363</v>
      </c>
      <c r="E5" s="6" t="s">
        <v>277</v>
      </c>
      <c r="F5" s="6">
        <v>3402</v>
      </c>
    </row>
    <row r="6" spans="1:6" x14ac:dyDescent="0.3">
      <c r="A6" s="5" t="s">
        <v>270</v>
      </c>
      <c r="B6" s="6">
        <v>4550</v>
      </c>
      <c r="C6" s="6">
        <v>4950</v>
      </c>
      <c r="D6" s="6">
        <v>4600</v>
      </c>
      <c r="E6" s="6">
        <v>6000</v>
      </c>
      <c r="F6" s="6">
        <v>4000</v>
      </c>
    </row>
    <row r="7" spans="1:6" x14ac:dyDescent="0.3">
      <c r="A7" s="5"/>
      <c r="B7" s="6"/>
      <c r="C7" s="6"/>
      <c r="D7" s="6"/>
      <c r="E7" s="6"/>
      <c r="F7" s="6"/>
    </row>
    <row r="8" spans="1:6" x14ac:dyDescent="0.3">
      <c r="A8" s="5" t="s">
        <v>257</v>
      </c>
      <c r="B8" s="6">
        <v>1250</v>
      </c>
      <c r="C8" s="6">
        <v>1500</v>
      </c>
      <c r="D8" s="6">
        <v>1600</v>
      </c>
      <c r="E8" s="6">
        <v>1700</v>
      </c>
      <c r="F8" s="6">
        <v>3218</v>
      </c>
    </row>
    <row r="9" spans="1:6" x14ac:dyDescent="0.3">
      <c r="A9" s="5" t="s">
        <v>267</v>
      </c>
      <c r="B9" s="6">
        <v>700</v>
      </c>
      <c r="C9" s="6">
        <v>950</v>
      </c>
      <c r="D9" s="6">
        <v>950</v>
      </c>
      <c r="E9" s="6">
        <v>900</v>
      </c>
      <c r="F9" s="6">
        <v>2600</v>
      </c>
    </row>
    <row r="10" spans="1:6" x14ac:dyDescent="0.3">
      <c r="A10" s="5"/>
      <c r="B10" s="6"/>
      <c r="C10" s="6"/>
      <c r="D10" s="6"/>
      <c r="E10" s="6"/>
      <c r="F10" s="6"/>
    </row>
    <row r="11" spans="1:6" x14ac:dyDescent="0.3">
      <c r="A11" s="5" t="s">
        <v>22</v>
      </c>
      <c r="B11" s="6">
        <v>13.1</v>
      </c>
      <c r="C11" s="6">
        <v>14.42</v>
      </c>
      <c r="D11" s="6">
        <v>15.77</v>
      </c>
      <c r="E11" s="6">
        <v>16.8</v>
      </c>
      <c r="F11" s="6">
        <v>14.4</v>
      </c>
    </row>
    <row r="12" spans="1:6" x14ac:dyDescent="0.3">
      <c r="A12" s="5" t="s">
        <v>3</v>
      </c>
      <c r="B12" s="6">
        <v>22.06</v>
      </c>
      <c r="C12" s="6">
        <v>19.98</v>
      </c>
      <c r="D12" s="6">
        <v>19.809999999999999</v>
      </c>
      <c r="E12" s="6">
        <v>22.02</v>
      </c>
      <c r="F12" s="6">
        <v>16.28</v>
      </c>
    </row>
    <row r="13" spans="1:6" x14ac:dyDescent="0.3">
      <c r="A13" s="5" t="s">
        <v>224</v>
      </c>
      <c r="B13" s="6">
        <v>39.72</v>
      </c>
      <c r="C13" s="6">
        <v>34.86</v>
      </c>
      <c r="D13" s="6">
        <v>39.020000000000003</v>
      </c>
      <c r="E13" s="6">
        <v>40.97</v>
      </c>
      <c r="F13" s="6">
        <v>25.81</v>
      </c>
    </row>
    <row r="14" spans="1:6" x14ac:dyDescent="0.3">
      <c r="A14" s="5" t="s">
        <v>254</v>
      </c>
      <c r="B14" s="9">
        <f>B13/B12</f>
        <v>1.8005439709882141</v>
      </c>
      <c r="C14" s="9">
        <f>C13/C12</f>
        <v>1.7447447447447446</v>
      </c>
      <c r="D14" s="9">
        <f>D13/D12</f>
        <v>1.9697122665320548</v>
      </c>
      <c r="E14" s="9">
        <f>E13/E12</f>
        <v>1.860581289736603</v>
      </c>
      <c r="F14" s="9">
        <f>F13/F12</f>
        <v>1.5853808353808352</v>
      </c>
    </row>
    <row r="15" spans="1:6" x14ac:dyDescent="0.3">
      <c r="A15" s="5" t="s">
        <v>255</v>
      </c>
      <c r="B15" s="10">
        <f>B12*B12/B13</f>
        <v>12.251852970795568</v>
      </c>
      <c r="C15" s="10">
        <f>C12*C12/C13</f>
        <v>11.451531841652324</v>
      </c>
      <c r="D15" s="10">
        <f>D12*D12/D13</f>
        <v>10.057306509482315</v>
      </c>
      <c r="E15" s="10">
        <f>E12*E12/E13</f>
        <v>11.835010983646571</v>
      </c>
      <c r="F15" s="10">
        <f>F12*F12/F13</f>
        <v>10.268826036419993</v>
      </c>
    </row>
    <row r="16" spans="1:6" x14ac:dyDescent="0.3">
      <c r="A16" s="5" t="s">
        <v>261</v>
      </c>
      <c r="B16" s="10">
        <f>B2/B13</f>
        <v>164.40080563947635</v>
      </c>
      <c r="C16" s="10">
        <f>C2/C13</f>
        <v>189.32874354561102</v>
      </c>
      <c r="D16" s="10">
        <f>D2/D13</f>
        <v>145.31009738595591</v>
      </c>
      <c r="E16" s="10">
        <f>E2/E13</f>
        <v>210.34903587991212</v>
      </c>
      <c r="F16" s="10">
        <f>F2/F13</f>
        <v>183.64974815962805</v>
      </c>
    </row>
    <row r="17" spans="1:10" x14ac:dyDescent="0.3">
      <c r="A17" s="5"/>
      <c r="B17" s="6"/>
      <c r="C17" s="6"/>
      <c r="D17" s="6"/>
      <c r="E17" s="6"/>
      <c r="F17" s="6"/>
    </row>
    <row r="18" spans="1:10" x14ac:dyDescent="0.3">
      <c r="A18" s="5" t="s">
        <v>266</v>
      </c>
      <c r="B18" s="6">
        <v>325</v>
      </c>
      <c r="C18" s="6">
        <v>405</v>
      </c>
      <c r="D18" s="6">
        <v>315</v>
      </c>
      <c r="E18" s="6">
        <v>390</v>
      </c>
      <c r="F18" s="6">
        <v>500</v>
      </c>
    </row>
    <row r="19" spans="1:10" x14ac:dyDescent="0.3">
      <c r="A19" s="11" t="s">
        <v>304</v>
      </c>
      <c r="B19" s="6">
        <v>355</v>
      </c>
      <c r="C19" s="6">
        <v>430</v>
      </c>
      <c r="D19" s="6">
        <v>325</v>
      </c>
      <c r="E19" s="6">
        <v>400</v>
      </c>
      <c r="F19" s="6">
        <v>528</v>
      </c>
    </row>
    <row r="20" spans="1:10" x14ac:dyDescent="0.3">
      <c r="A20" s="12" t="s">
        <v>223</v>
      </c>
      <c r="B20" s="6"/>
      <c r="C20" s="6"/>
      <c r="D20" s="6"/>
      <c r="E20" s="6"/>
      <c r="F20" s="6"/>
    </row>
    <row r="21" spans="1:10" x14ac:dyDescent="0.3">
      <c r="A21" s="5" t="s">
        <v>249</v>
      </c>
      <c r="B21" s="6">
        <v>130</v>
      </c>
      <c r="C21" s="6">
        <v>125</v>
      </c>
      <c r="D21" s="6">
        <v>115</v>
      </c>
      <c r="E21" s="6">
        <v>135</v>
      </c>
      <c r="F21" s="6">
        <v>140</v>
      </c>
    </row>
    <row r="22" spans="1:10" x14ac:dyDescent="0.3">
      <c r="A22" s="5" t="s">
        <v>250</v>
      </c>
      <c r="B22" s="6">
        <v>150</v>
      </c>
      <c r="C22" s="6">
        <v>145</v>
      </c>
      <c r="D22" s="6">
        <v>130</v>
      </c>
      <c r="E22" s="6">
        <v>150</v>
      </c>
      <c r="F22" s="6">
        <v>160</v>
      </c>
    </row>
    <row r="23" spans="1:10" x14ac:dyDescent="0.3">
      <c r="A23" s="12" t="s">
        <v>222</v>
      </c>
      <c r="B23" s="6"/>
      <c r="C23" s="6"/>
      <c r="D23" s="6"/>
      <c r="E23" s="6"/>
      <c r="F23" s="6"/>
    </row>
    <row r="24" spans="1:10" x14ac:dyDescent="0.3">
      <c r="A24" s="5" t="s">
        <v>249</v>
      </c>
      <c r="B24" s="6">
        <v>115</v>
      </c>
      <c r="C24" s="6">
        <v>110</v>
      </c>
      <c r="D24" s="6">
        <v>105</v>
      </c>
      <c r="E24" s="6">
        <v>120</v>
      </c>
      <c r="F24" s="6">
        <v>120</v>
      </c>
    </row>
    <row r="25" spans="1:10" x14ac:dyDescent="0.3">
      <c r="A25" s="5" t="s">
        <v>250</v>
      </c>
      <c r="B25" s="6">
        <v>135</v>
      </c>
      <c r="C25" s="6">
        <v>130</v>
      </c>
      <c r="D25" s="6">
        <v>120</v>
      </c>
      <c r="E25" s="6">
        <v>140</v>
      </c>
      <c r="F25" s="6">
        <v>140</v>
      </c>
    </row>
    <row r="26" spans="1:10" x14ac:dyDescent="0.3">
      <c r="A26" s="5" t="s">
        <v>259</v>
      </c>
      <c r="B26" s="6">
        <v>7</v>
      </c>
      <c r="C26" s="6">
        <v>5.5</v>
      </c>
      <c r="D26" s="6">
        <v>6</v>
      </c>
      <c r="E26" s="6">
        <v>5</v>
      </c>
      <c r="F26" s="6">
        <v>9.1</v>
      </c>
    </row>
    <row r="27" spans="1:10" x14ac:dyDescent="0.3">
      <c r="A27" s="5"/>
      <c r="B27" s="6"/>
      <c r="C27" s="6"/>
      <c r="D27" s="6"/>
      <c r="E27" s="6"/>
      <c r="F27" s="6"/>
    </row>
    <row r="28" spans="1:10" x14ac:dyDescent="0.3">
      <c r="A28" s="5" t="s">
        <v>256</v>
      </c>
      <c r="B28" s="6">
        <v>550</v>
      </c>
      <c r="C28" s="6">
        <v>450</v>
      </c>
      <c r="D28" s="6">
        <v>400</v>
      </c>
      <c r="E28" s="6">
        <v>600</v>
      </c>
      <c r="F28" s="6">
        <v>500</v>
      </c>
    </row>
    <row r="29" spans="1:10" x14ac:dyDescent="0.3">
      <c r="A29" s="5" t="s">
        <v>271</v>
      </c>
      <c r="B29" s="6">
        <v>700</v>
      </c>
      <c r="C29" s="6">
        <v>600</v>
      </c>
      <c r="D29" s="6">
        <v>600</v>
      </c>
      <c r="E29" s="6">
        <v>800</v>
      </c>
      <c r="F29" s="6">
        <v>700</v>
      </c>
    </row>
    <row r="30" spans="1:10" x14ac:dyDescent="0.3">
      <c r="A30" s="5"/>
      <c r="B30" s="6"/>
      <c r="C30" s="6"/>
      <c r="D30" s="6"/>
      <c r="E30" s="6"/>
      <c r="F30" s="6"/>
    </row>
    <row r="31" spans="1:10" x14ac:dyDescent="0.3">
      <c r="A31" s="5" t="s">
        <v>275</v>
      </c>
      <c r="B31" s="6">
        <v>7500</v>
      </c>
      <c r="C31" s="6">
        <v>6100</v>
      </c>
      <c r="D31" s="6">
        <v>7620</v>
      </c>
      <c r="E31" s="6">
        <v>7600</v>
      </c>
      <c r="F31" s="6">
        <v>9144</v>
      </c>
    </row>
    <row r="32" spans="1:10" x14ac:dyDescent="0.3">
      <c r="A32" s="5" t="s">
        <v>274</v>
      </c>
      <c r="B32" s="6">
        <v>4500</v>
      </c>
      <c r="C32" s="6">
        <v>3750</v>
      </c>
      <c r="D32" s="6">
        <v>4000</v>
      </c>
      <c r="E32" s="6">
        <v>5250</v>
      </c>
      <c r="F32" s="6">
        <v>8500</v>
      </c>
      <c r="J32" s="4"/>
    </row>
    <row r="33" spans="1:10" x14ac:dyDescent="0.3">
      <c r="A33" s="5" t="s">
        <v>273</v>
      </c>
      <c r="B33" s="6" t="s">
        <v>279</v>
      </c>
      <c r="C33" s="6" t="s">
        <v>272</v>
      </c>
      <c r="D33" s="6" t="s">
        <v>276</v>
      </c>
      <c r="E33" s="6" t="s">
        <v>278</v>
      </c>
      <c r="F33" s="6" t="s">
        <v>280</v>
      </c>
    </row>
    <row r="34" spans="1:10" x14ac:dyDescent="0.3">
      <c r="A34" s="5"/>
      <c r="B34" s="6"/>
      <c r="C34" s="6"/>
      <c r="D34" s="6"/>
      <c r="E34" s="6"/>
      <c r="F34" s="6"/>
      <c r="J34" s="4"/>
    </row>
    <row r="35" spans="1:10" x14ac:dyDescent="0.3">
      <c r="A35" s="5" t="s">
        <v>251</v>
      </c>
      <c r="B35" s="6">
        <v>1969</v>
      </c>
      <c r="C35" s="6">
        <v>1969</v>
      </c>
      <c r="D35" s="6">
        <v>1965</v>
      </c>
      <c r="E35" s="6">
        <v>2020</v>
      </c>
      <c r="F35" s="6">
        <v>1991</v>
      </c>
    </row>
    <row r="36" spans="1:10" x14ac:dyDescent="0.3">
      <c r="A36" s="5" t="s">
        <v>221</v>
      </c>
      <c r="B36" s="6">
        <v>4</v>
      </c>
      <c r="C36" s="6">
        <v>4</v>
      </c>
      <c r="D36" s="6">
        <v>4</v>
      </c>
      <c r="E36" s="6">
        <v>4</v>
      </c>
      <c r="F36" s="6">
        <v>3</v>
      </c>
      <c r="J36" s="4"/>
    </row>
    <row r="38" spans="1:10" x14ac:dyDescent="0.3">
      <c r="J38" s="4"/>
    </row>
    <row r="162" spans="7:7" x14ac:dyDescent="0.3">
      <c r="G162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zoomScaleNormal="100" workbookViewId="0">
      <selection activeCell="K7" sqref="K7"/>
    </sheetView>
  </sheetViews>
  <sheetFormatPr defaultRowHeight="15.6" x14ac:dyDescent="0.3"/>
  <cols>
    <col min="1" max="1" width="37.44140625" style="1" bestFit="1" customWidth="1"/>
    <col min="2" max="2" width="15.33203125" style="1" bestFit="1" customWidth="1"/>
    <col min="3" max="3" width="16" style="1" bestFit="1" customWidth="1"/>
    <col min="4" max="4" width="15.77734375" style="1" bestFit="1" customWidth="1"/>
    <col min="5" max="6" width="15.21875" style="1" bestFit="1" customWidth="1"/>
    <col min="7" max="16384" width="8.88671875" style="1"/>
  </cols>
  <sheetData>
    <row r="1" spans="1:6" x14ac:dyDescent="0.3">
      <c r="A1" s="36"/>
      <c r="B1" s="37" t="s">
        <v>5</v>
      </c>
      <c r="C1" s="37" t="s">
        <v>4</v>
      </c>
      <c r="D1" s="37" t="s">
        <v>6</v>
      </c>
      <c r="E1" s="37" t="s">
        <v>306</v>
      </c>
      <c r="F1" s="38" t="s">
        <v>305</v>
      </c>
    </row>
    <row r="2" spans="1:6" x14ac:dyDescent="0.3">
      <c r="A2" s="39" t="s">
        <v>281</v>
      </c>
      <c r="B2" s="29">
        <v>2</v>
      </c>
      <c r="C2" s="29">
        <v>2</v>
      </c>
      <c r="D2" s="29">
        <v>2</v>
      </c>
      <c r="E2" s="29">
        <v>2</v>
      </c>
      <c r="F2" s="29">
        <v>2</v>
      </c>
    </row>
    <row r="3" spans="1:6" x14ac:dyDescent="0.3">
      <c r="A3" s="39" t="s">
        <v>282</v>
      </c>
      <c r="B3" s="29">
        <v>17</v>
      </c>
      <c r="C3" s="29">
        <v>19</v>
      </c>
      <c r="D3" s="29">
        <v>19</v>
      </c>
      <c r="E3" s="29">
        <v>19</v>
      </c>
      <c r="F3" s="29">
        <v>9</v>
      </c>
    </row>
    <row r="4" spans="1:6" x14ac:dyDescent="0.3">
      <c r="A4" s="39" t="s">
        <v>283</v>
      </c>
      <c r="B4" s="30">
        <v>13.1</v>
      </c>
      <c r="C4" s="30">
        <v>14.42</v>
      </c>
      <c r="D4" s="30">
        <v>15.77</v>
      </c>
      <c r="E4" s="30">
        <v>16.8</v>
      </c>
      <c r="F4" s="30">
        <v>14.4</v>
      </c>
    </row>
    <row r="5" spans="1:6" x14ac:dyDescent="0.3">
      <c r="A5" s="39" t="s">
        <v>284</v>
      </c>
      <c r="B5" s="29">
        <v>4.9000000000000004</v>
      </c>
      <c r="C5" s="29">
        <v>5.83</v>
      </c>
      <c r="D5" s="29">
        <v>5.94</v>
      </c>
      <c r="E5" s="29">
        <v>6.02</v>
      </c>
      <c r="F5" s="29">
        <v>4.26</v>
      </c>
    </row>
    <row r="6" spans="1:6" x14ac:dyDescent="0.3">
      <c r="A6" s="39" t="s">
        <v>285</v>
      </c>
      <c r="B6" s="30">
        <v>22.06</v>
      </c>
      <c r="C6" s="30">
        <v>19.98</v>
      </c>
      <c r="D6" s="30">
        <v>19.809999999999999</v>
      </c>
      <c r="E6" s="30">
        <v>22.02</v>
      </c>
      <c r="F6" s="30">
        <v>16.28</v>
      </c>
    </row>
    <row r="7" spans="1:6" x14ac:dyDescent="0.3">
      <c r="A7" s="39" t="s">
        <v>308</v>
      </c>
      <c r="B7" s="30">
        <v>39.72</v>
      </c>
      <c r="C7" s="30">
        <v>34.86</v>
      </c>
      <c r="D7" s="30">
        <v>39.020000000000003</v>
      </c>
      <c r="E7" s="30">
        <v>40.97</v>
      </c>
      <c r="F7" s="30">
        <v>25.81</v>
      </c>
    </row>
    <row r="8" spans="1:6" x14ac:dyDescent="0.3">
      <c r="A8" s="39" t="s">
        <v>286</v>
      </c>
      <c r="B8" s="31">
        <v>12.251852970795568</v>
      </c>
      <c r="C8" s="31">
        <v>11.451531841652324</v>
      </c>
      <c r="D8" s="31">
        <v>10.057306509482315</v>
      </c>
      <c r="E8" s="31">
        <v>11.835010983646571</v>
      </c>
      <c r="F8" s="31">
        <v>10.268826036419993</v>
      </c>
    </row>
    <row r="9" spans="1:6" x14ac:dyDescent="0.3">
      <c r="A9" s="39" t="s">
        <v>309</v>
      </c>
      <c r="B9" s="32">
        <v>164.40080563947635</v>
      </c>
      <c r="C9" s="32">
        <v>189.32874354561102</v>
      </c>
      <c r="D9" s="32">
        <v>145.31009738595591</v>
      </c>
      <c r="E9" s="32">
        <v>210.34903587991212</v>
      </c>
      <c r="F9" s="32">
        <v>183.64974815962805</v>
      </c>
    </row>
    <row r="10" spans="1:6" x14ac:dyDescent="0.3">
      <c r="A10" s="39" t="s">
        <v>287</v>
      </c>
      <c r="B10" s="30">
        <v>355</v>
      </c>
      <c r="C10" s="30">
        <v>430</v>
      </c>
      <c r="D10" s="30">
        <v>325</v>
      </c>
      <c r="E10" s="30">
        <v>400</v>
      </c>
      <c r="F10" s="30">
        <v>528</v>
      </c>
    </row>
    <row r="11" spans="1:6" x14ac:dyDescent="0.3">
      <c r="A11" s="39" t="s">
        <v>288</v>
      </c>
      <c r="B11" s="30">
        <v>325</v>
      </c>
      <c r="C11" s="30">
        <v>405</v>
      </c>
      <c r="D11" s="30">
        <v>315</v>
      </c>
      <c r="E11" s="30">
        <v>390</v>
      </c>
      <c r="F11" s="30">
        <v>500</v>
      </c>
    </row>
    <row r="12" spans="1:6" x14ac:dyDescent="0.3">
      <c r="A12" s="39" t="s">
        <v>289</v>
      </c>
      <c r="B12" s="29">
        <v>115</v>
      </c>
      <c r="C12" s="29">
        <v>120</v>
      </c>
      <c r="D12" s="29">
        <v>93</v>
      </c>
      <c r="E12" s="29">
        <v>175</v>
      </c>
      <c r="F12" s="29">
        <v>130</v>
      </c>
    </row>
    <row r="13" spans="1:6" x14ac:dyDescent="0.3">
      <c r="A13" s="39" t="s">
        <v>290</v>
      </c>
      <c r="B13" s="30">
        <v>1250</v>
      </c>
      <c r="C13" s="30">
        <v>1500</v>
      </c>
      <c r="D13" s="30">
        <v>1600</v>
      </c>
      <c r="E13" s="30">
        <v>1700</v>
      </c>
      <c r="F13" s="30">
        <v>3218</v>
      </c>
    </row>
    <row r="14" spans="1:6" x14ac:dyDescent="0.3">
      <c r="A14" s="39" t="s">
        <v>291</v>
      </c>
      <c r="B14" s="30">
        <v>7500</v>
      </c>
      <c r="C14" s="30">
        <v>6100</v>
      </c>
      <c r="D14" s="30">
        <v>7620</v>
      </c>
      <c r="E14" s="30">
        <v>7600</v>
      </c>
      <c r="F14" s="30">
        <v>9144</v>
      </c>
    </row>
    <row r="15" spans="1:6" x14ac:dyDescent="0.3">
      <c r="A15" s="39" t="s">
        <v>292</v>
      </c>
      <c r="B15" s="29">
        <v>450</v>
      </c>
      <c r="C15" s="29">
        <v>600</v>
      </c>
      <c r="D15" s="29">
        <v>366</v>
      </c>
      <c r="E15" s="29">
        <v>1100</v>
      </c>
      <c r="F15" s="29">
        <v>800</v>
      </c>
    </row>
    <row r="16" spans="1:6" x14ac:dyDescent="0.3">
      <c r="A16" s="33" t="s">
        <v>293</v>
      </c>
      <c r="B16" s="33"/>
      <c r="C16" s="33"/>
      <c r="D16" s="33"/>
      <c r="E16" s="33"/>
      <c r="F16" s="33"/>
    </row>
    <row r="17" spans="1:6" x14ac:dyDescent="0.3">
      <c r="A17" s="39" t="s">
        <v>294</v>
      </c>
      <c r="B17" s="30">
        <v>6530</v>
      </c>
      <c r="C17" s="30">
        <v>6600</v>
      </c>
      <c r="D17" s="30">
        <v>5670</v>
      </c>
      <c r="E17" s="30">
        <v>8618</v>
      </c>
      <c r="F17" s="30">
        <v>4740</v>
      </c>
    </row>
    <row r="18" spans="1:6" x14ac:dyDescent="0.3">
      <c r="A18" s="39" t="s">
        <v>295</v>
      </c>
      <c r="B18" s="30">
        <v>3800</v>
      </c>
      <c r="C18" s="30">
        <v>4050</v>
      </c>
      <c r="D18" s="30">
        <v>3363</v>
      </c>
      <c r="E18" s="30" t="s">
        <v>277</v>
      </c>
      <c r="F18" s="30">
        <v>3402</v>
      </c>
    </row>
    <row r="19" spans="1:6" x14ac:dyDescent="0.3">
      <c r="A19" s="39" t="s">
        <v>296</v>
      </c>
      <c r="B19" s="30">
        <v>1450</v>
      </c>
      <c r="C19" s="30">
        <v>1300</v>
      </c>
      <c r="D19" s="30">
        <v>1296</v>
      </c>
      <c r="E19" s="34">
        <v>2189</v>
      </c>
      <c r="F19" s="30">
        <v>1200</v>
      </c>
    </row>
    <row r="20" spans="1:6" x14ac:dyDescent="0.3">
      <c r="A20" s="39" t="s">
        <v>297</v>
      </c>
      <c r="B20" s="30">
        <v>1800</v>
      </c>
      <c r="C20" s="30">
        <v>1800</v>
      </c>
      <c r="D20" s="30">
        <v>2720</v>
      </c>
      <c r="E20" s="30">
        <v>2722</v>
      </c>
      <c r="F20" s="30">
        <v>1014</v>
      </c>
    </row>
    <row r="21" spans="1:6" x14ac:dyDescent="0.3">
      <c r="A21" s="39" t="s">
        <v>298</v>
      </c>
      <c r="B21" s="35">
        <f>B20/B17</f>
        <v>0.27565084226646247</v>
      </c>
      <c r="C21" s="35">
        <f t="shared" ref="C21:F21" si="0">C20/C17</f>
        <v>0.27272727272727271</v>
      </c>
      <c r="D21" s="35">
        <f>D20/D17</f>
        <v>0.47971781305114636</v>
      </c>
      <c r="E21" s="35">
        <f t="shared" si="0"/>
        <v>0.3158505453701555</v>
      </c>
      <c r="F21" s="35">
        <f t="shared" si="0"/>
        <v>0.21392405063291139</v>
      </c>
    </row>
    <row r="22" spans="1:6" x14ac:dyDescent="0.3">
      <c r="A22" s="33" t="s">
        <v>299</v>
      </c>
      <c r="B22" s="33"/>
      <c r="C22" s="33"/>
      <c r="D22" s="33"/>
      <c r="E22" s="33"/>
      <c r="F22" s="33"/>
    </row>
    <row r="23" spans="1:6" x14ac:dyDescent="0.3">
      <c r="A23" s="39" t="s">
        <v>300</v>
      </c>
      <c r="B23" s="29" t="s">
        <v>310</v>
      </c>
      <c r="C23" s="29" t="s">
        <v>310</v>
      </c>
      <c r="D23" s="29" t="s">
        <v>310</v>
      </c>
      <c r="E23" s="29" t="s">
        <v>310</v>
      </c>
      <c r="F23" s="29" t="s">
        <v>313</v>
      </c>
    </row>
    <row r="24" spans="1:6" ht="62.4" x14ac:dyDescent="0.3">
      <c r="A24" s="39" t="s">
        <v>301</v>
      </c>
      <c r="B24" s="40" t="s">
        <v>311</v>
      </c>
      <c r="C24" s="40" t="s">
        <v>317</v>
      </c>
      <c r="D24" s="40" t="s">
        <v>316</v>
      </c>
      <c r="E24" s="40" t="s">
        <v>315</v>
      </c>
      <c r="F24" s="40" t="s">
        <v>314</v>
      </c>
    </row>
    <row r="25" spans="1:6" x14ac:dyDescent="0.3">
      <c r="A25" s="39" t="s">
        <v>302</v>
      </c>
      <c r="B25" s="30" t="s">
        <v>312</v>
      </c>
      <c r="C25" s="30" t="s">
        <v>318</v>
      </c>
      <c r="D25" s="30" t="s">
        <v>319</v>
      </c>
      <c r="E25" s="30" t="s">
        <v>320</v>
      </c>
      <c r="F25" s="30" t="s">
        <v>321</v>
      </c>
    </row>
    <row r="26" spans="1:6" x14ac:dyDescent="0.3">
      <c r="A26" s="39" t="s">
        <v>303</v>
      </c>
      <c r="B26" s="29">
        <v>46.4</v>
      </c>
      <c r="C26" s="29">
        <v>47.5</v>
      </c>
      <c r="D26" s="29">
        <v>42.5</v>
      </c>
      <c r="E26" s="29">
        <v>52.5</v>
      </c>
      <c r="F26" s="29">
        <v>77.5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9"/>
  <sheetViews>
    <sheetView topLeftCell="A13" zoomScale="88" zoomScaleNormal="100" workbookViewId="0">
      <selection activeCell="A40" sqref="A40"/>
    </sheetView>
  </sheetViews>
  <sheetFormatPr defaultRowHeight="15.6" x14ac:dyDescent="0.3"/>
  <cols>
    <col min="1" max="1" width="89" style="1" customWidth="1"/>
    <col min="2" max="2" width="24.5546875" style="1" bestFit="1" customWidth="1"/>
    <col min="3" max="3" width="43.44140625" style="1" bestFit="1" customWidth="1"/>
    <col min="4" max="4" width="18.77734375" style="1" bestFit="1" customWidth="1"/>
    <col min="5" max="5" width="10.6640625" style="1" bestFit="1" customWidth="1"/>
    <col min="6" max="6" width="6.5546875" style="1" bestFit="1" customWidth="1"/>
    <col min="7" max="16384" width="8.88671875" style="1"/>
  </cols>
  <sheetData>
    <row r="1" spans="1:6" x14ac:dyDescent="0.3">
      <c r="A1" s="5"/>
      <c r="B1" s="46" t="s">
        <v>5</v>
      </c>
      <c r="C1" s="46" t="s">
        <v>4</v>
      </c>
      <c r="D1" s="46" t="s">
        <v>6</v>
      </c>
      <c r="E1" s="46" t="s">
        <v>306</v>
      </c>
      <c r="F1" s="47" t="s">
        <v>305</v>
      </c>
    </row>
    <row r="2" spans="1:6" x14ac:dyDescent="0.3">
      <c r="A2" s="17" t="s">
        <v>21</v>
      </c>
      <c r="B2" s="6"/>
      <c r="C2" s="6"/>
      <c r="D2" s="6"/>
      <c r="E2" s="6"/>
      <c r="F2" s="6"/>
    </row>
    <row r="3" spans="1:6" x14ac:dyDescent="0.3">
      <c r="A3" s="5" t="s">
        <v>22</v>
      </c>
      <c r="B3" s="6">
        <f>'Осн. хар-ки'!B11</f>
        <v>13.1</v>
      </c>
      <c r="C3" s="6">
        <f>'Осн. хар-ки'!C11</f>
        <v>14.42</v>
      </c>
      <c r="D3" s="6">
        <f>'Осн. хар-ки'!D11</f>
        <v>15.77</v>
      </c>
      <c r="E3" s="6">
        <f>'Осн. хар-ки'!E11</f>
        <v>16.8</v>
      </c>
      <c r="F3" s="6">
        <f>'Осн. хар-ки'!F11</f>
        <v>14.4</v>
      </c>
    </row>
    <row r="4" spans="1:6" x14ac:dyDescent="0.3">
      <c r="A4" s="5" t="s">
        <v>23</v>
      </c>
      <c r="B4" s="6">
        <v>4.9000000000000004</v>
      </c>
      <c r="C4" s="6">
        <v>5.83</v>
      </c>
      <c r="D4" s="6">
        <v>6.02</v>
      </c>
      <c r="E4" s="6" t="s">
        <v>120</v>
      </c>
      <c r="F4" s="6" t="s">
        <v>120</v>
      </c>
    </row>
    <row r="5" spans="1:6" x14ac:dyDescent="0.3">
      <c r="A5" s="5" t="s">
        <v>24</v>
      </c>
      <c r="B5" s="6">
        <v>4.54</v>
      </c>
      <c r="C5" s="6" t="s">
        <v>120</v>
      </c>
      <c r="D5" s="6" t="s">
        <v>120</v>
      </c>
      <c r="E5" s="6" t="s">
        <v>120</v>
      </c>
      <c r="F5" s="6" t="s">
        <v>120</v>
      </c>
    </row>
    <row r="6" spans="1:6" x14ac:dyDescent="0.3">
      <c r="A6" s="18" t="s">
        <v>25</v>
      </c>
      <c r="B6" s="6"/>
      <c r="C6" s="6"/>
      <c r="D6" s="6"/>
      <c r="E6" s="6"/>
      <c r="F6" s="6"/>
    </row>
    <row r="7" spans="1:6" x14ac:dyDescent="0.3">
      <c r="A7" s="19" t="s">
        <v>26</v>
      </c>
      <c r="B7" s="20" t="s">
        <v>12</v>
      </c>
      <c r="C7" s="6" t="s">
        <v>120</v>
      </c>
      <c r="D7" s="6" t="s">
        <v>120</v>
      </c>
      <c r="E7" s="6" t="s">
        <v>120</v>
      </c>
      <c r="F7" s="6" t="s">
        <v>120</v>
      </c>
    </row>
    <row r="8" spans="1:6" x14ac:dyDescent="0.3">
      <c r="A8" s="21" t="s">
        <v>27</v>
      </c>
      <c r="B8" s="20" t="s">
        <v>13</v>
      </c>
      <c r="C8" s="6" t="s">
        <v>120</v>
      </c>
      <c r="D8" s="6" t="s">
        <v>120</v>
      </c>
      <c r="E8" s="6" t="s">
        <v>120</v>
      </c>
      <c r="F8" s="6" t="s">
        <v>120</v>
      </c>
    </row>
    <row r="9" spans="1:6" x14ac:dyDescent="0.3">
      <c r="A9" s="5" t="s">
        <v>28</v>
      </c>
      <c r="B9" s="6">
        <v>9</v>
      </c>
      <c r="C9" s="6" t="s">
        <v>120</v>
      </c>
      <c r="D9" s="6" t="s">
        <v>120</v>
      </c>
      <c r="E9" s="6" t="s">
        <v>120</v>
      </c>
      <c r="F9" s="6" t="s">
        <v>120</v>
      </c>
    </row>
    <row r="10" spans="1:6" x14ac:dyDescent="0.3">
      <c r="A10" s="19" t="s">
        <v>11</v>
      </c>
      <c r="B10" s="6">
        <v>1</v>
      </c>
      <c r="C10" s="6" t="s">
        <v>120</v>
      </c>
      <c r="D10" s="6" t="s">
        <v>120</v>
      </c>
      <c r="E10" s="6" t="s">
        <v>120</v>
      </c>
      <c r="F10" s="6" t="s">
        <v>120</v>
      </c>
    </row>
    <row r="11" spans="1:6" x14ac:dyDescent="0.3">
      <c r="A11" s="2"/>
      <c r="B11" s="3"/>
      <c r="C11" s="3"/>
      <c r="D11" s="3"/>
      <c r="E11" s="3"/>
      <c r="F11" s="3"/>
    </row>
    <row r="12" spans="1:6" ht="16.2" x14ac:dyDescent="0.3">
      <c r="A12" s="22" t="s">
        <v>32</v>
      </c>
      <c r="B12" s="6"/>
      <c r="C12" s="6"/>
      <c r="D12" s="6"/>
      <c r="E12" s="6"/>
      <c r="F12" s="6"/>
    </row>
    <row r="13" spans="1:6" x14ac:dyDescent="0.3">
      <c r="A13" s="5" t="s">
        <v>35</v>
      </c>
      <c r="B13" s="6">
        <v>12.68</v>
      </c>
      <c r="C13" s="6" t="s">
        <v>120</v>
      </c>
      <c r="D13" s="6" t="s">
        <v>120</v>
      </c>
      <c r="E13" s="6" t="s">
        <v>120</v>
      </c>
      <c r="F13" s="6" t="s">
        <v>120</v>
      </c>
    </row>
    <row r="14" spans="1:6" x14ac:dyDescent="0.3">
      <c r="A14" s="5" t="s">
        <v>38</v>
      </c>
      <c r="B14" s="6">
        <v>1.9</v>
      </c>
      <c r="C14" s="6" t="s">
        <v>120</v>
      </c>
      <c r="D14" s="6" t="s">
        <v>120</v>
      </c>
      <c r="E14" s="6" t="s">
        <v>120</v>
      </c>
      <c r="F14" s="6" t="s">
        <v>120</v>
      </c>
    </row>
    <row r="15" spans="1:6" x14ac:dyDescent="0.3">
      <c r="A15" s="5" t="s">
        <v>39</v>
      </c>
      <c r="B15" s="6">
        <v>2.14</v>
      </c>
      <c r="C15" s="6" t="s">
        <v>120</v>
      </c>
      <c r="D15" s="6" t="s">
        <v>120</v>
      </c>
      <c r="E15" s="6" t="s">
        <v>120</v>
      </c>
      <c r="F15" s="6" t="s">
        <v>120</v>
      </c>
    </row>
    <row r="16" spans="1:6" x14ac:dyDescent="0.3">
      <c r="A16" s="19" t="s">
        <v>30</v>
      </c>
      <c r="B16" s="6" t="s">
        <v>31</v>
      </c>
      <c r="C16" s="6" t="s">
        <v>120</v>
      </c>
      <c r="D16" s="6" t="s">
        <v>262</v>
      </c>
      <c r="E16" s="6" t="s">
        <v>120</v>
      </c>
      <c r="F16" s="6" t="s">
        <v>120</v>
      </c>
    </row>
    <row r="17" spans="1:6" x14ac:dyDescent="0.3">
      <c r="A17" s="18" t="s">
        <v>172</v>
      </c>
      <c r="B17" s="6"/>
      <c r="C17" s="6"/>
      <c r="D17" s="6"/>
      <c r="E17" s="6"/>
      <c r="F17" s="6"/>
    </row>
    <row r="18" spans="1:6" x14ac:dyDescent="0.3">
      <c r="A18" s="19" t="s">
        <v>35</v>
      </c>
      <c r="B18" s="6">
        <v>2.4</v>
      </c>
      <c r="C18" s="6">
        <v>1.46</v>
      </c>
      <c r="D18" s="6" t="s">
        <v>120</v>
      </c>
      <c r="E18" s="6" t="s">
        <v>120</v>
      </c>
      <c r="F18" s="6" t="s">
        <v>120</v>
      </c>
    </row>
    <row r="19" spans="1:6" x14ac:dyDescent="0.3">
      <c r="A19" s="19" t="s">
        <v>36</v>
      </c>
      <c r="B19" s="6">
        <v>1.4</v>
      </c>
      <c r="C19" s="6">
        <v>0.8</v>
      </c>
      <c r="D19" s="6" t="s">
        <v>120</v>
      </c>
      <c r="E19" s="6" t="s">
        <v>120</v>
      </c>
      <c r="F19" s="6" t="s">
        <v>120</v>
      </c>
    </row>
    <row r="20" spans="1:6" x14ac:dyDescent="0.3">
      <c r="A20" s="21" t="s">
        <v>37</v>
      </c>
      <c r="B20" s="6">
        <v>1</v>
      </c>
      <c r="C20" s="6" t="s">
        <v>120</v>
      </c>
      <c r="D20" s="6" t="s">
        <v>120</v>
      </c>
      <c r="E20" s="6" t="s">
        <v>120</v>
      </c>
      <c r="F20" s="6" t="s">
        <v>120</v>
      </c>
    </row>
    <row r="21" spans="1:6" x14ac:dyDescent="0.3">
      <c r="A21" s="5" t="s">
        <v>173</v>
      </c>
      <c r="B21" s="6" t="s">
        <v>120</v>
      </c>
      <c r="C21" s="6">
        <v>0.79200000000000004</v>
      </c>
      <c r="D21" s="6" t="s">
        <v>120</v>
      </c>
      <c r="E21" s="6" t="s">
        <v>120</v>
      </c>
      <c r="F21" s="6" t="s">
        <v>120</v>
      </c>
    </row>
    <row r="22" spans="1:6" x14ac:dyDescent="0.3">
      <c r="A22" s="18" t="s">
        <v>174</v>
      </c>
      <c r="B22" s="6"/>
      <c r="C22" s="6"/>
      <c r="D22" s="6"/>
      <c r="E22" s="6"/>
      <c r="F22" s="6"/>
    </row>
    <row r="23" spans="1:6" x14ac:dyDescent="0.3">
      <c r="A23" s="19" t="s">
        <v>35</v>
      </c>
      <c r="B23" s="6">
        <v>2.4</v>
      </c>
      <c r="C23" s="6">
        <v>1.46</v>
      </c>
      <c r="D23" s="6" t="s">
        <v>120</v>
      </c>
      <c r="E23" s="6" t="s">
        <v>120</v>
      </c>
      <c r="F23" s="6" t="s">
        <v>120</v>
      </c>
    </row>
    <row r="24" spans="1:6" x14ac:dyDescent="0.3">
      <c r="A24" s="19" t="s">
        <v>36</v>
      </c>
      <c r="B24" s="6">
        <v>1.4</v>
      </c>
      <c r="C24" s="6">
        <v>1.25</v>
      </c>
      <c r="D24" s="6" t="s">
        <v>120</v>
      </c>
      <c r="E24" s="6" t="s">
        <v>120</v>
      </c>
      <c r="F24" s="6" t="s">
        <v>120</v>
      </c>
    </row>
    <row r="25" spans="1:6" x14ac:dyDescent="0.3">
      <c r="A25" s="5" t="s">
        <v>173</v>
      </c>
      <c r="B25" s="6" t="s">
        <v>120</v>
      </c>
      <c r="C25" s="6">
        <v>0.79200000000000004</v>
      </c>
      <c r="D25" s="6" t="s">
        <v>120</v>
      </c>
      <c r="E25" s="6" t="s">
        <v>120</v>
      </c>
      <c r="F25" s="6" t="s">
        <v>120</v>
      </c>
    </row>
    <row r="26" spans="1:6" x14ac:dyDescent="0.3">
      <c r="A26" s="18" t="s">
        <v>175</v>
      </c>
      <c r="B26" s="6"/>
      <c r="C26" s="6"/>
      <c r="D26" s="6"/>
      <c r="E26" s="6"/>
      <c r="F26" s="6"/>
    </row>
    <row r="27" spans="1:6" x14ac:dyDescent="0.3">
      <c r="A27" s="19" t="s">
        <v>35</v>
      </c>
      <c r="B27" s="6" t="s">
        <v>120</v>
      </c>
      <c r="C27" s="6">
        <v>0.97</v>
      </c>
      <c r="D27" s="6" t="s">
        <v>120</v>
      </c>
      <c r="E27" s="6" t="s">
        <v>120</v>
      </c>
      <c r="F27" s="6" t="s">
        <v>120</v>
      </c>
    </row>
    <row r="28" spans="1:6" x14ac:dyDescent="0.3">
      <c r="A28" s="19" t="s">
        <v>36</v>
      </c>
      <c r="B28" s="6" t="s">
        <v>120</v>
      </c>
      <c r="C28" s="6">
        <v>0.66500000000000004</v>
      </c>
      <c r="D28" s="6" t="s">
        <v>120</v>
      </c>
      <c r="E28" s="6" t="s">
        <v>120</v>
      </c>
      <c r="F28" s="6" t="s">
        <v>120</v>
      </c>
    </row>
    <row r="29" spans="1:6" x14ac:dyDescent="0.3">
      <c r="A29" s="5" t="s">
        <v>173</v>
      </c>
      <c r="B29" s="6" t="s">
        <v>120</v>
      </c>
      <c r="C29" s="6">
        <v>0.872</v>
      </c>
      <c r="D29" s="6" t="s">
        <v>120</v>
      </c>
      <c r="E29" s="6" t="s">
        <v>120</v>
      </c>
      <c r="F29" s="6" t="s">
        <v>120</v>
      </c>
    </row>
    <row r="30" spans="1:6" x14ac:dyDescent="0.3">
      <c r="A30" s="18" t="s">
        <v>176</v>
      </c>
      <c r="B30" s="6"/>
      <c r="C30" s="6"/>
      <c r="D30" s="6"/>
      <c r="E30" s="6"/>
      <c r="F30" s="6"/>
    </row>
    <row r="31" spans="1:6" x14ac:dyDescent="0.3">
      <c r="A31" s="19" t="s">
        <v>35</v>
      </c>
      <c r="B31" s="6" t="s">
        <v>120</v>
      </c>
      <c r="C31" s="6">
        <v>0.73</v>
      </c>
      <c r="D31" s="6" t="s">
        <v>120</v>
      </c>
      <c r="E31" s="6" t="s">
        <v>120</v>
      </c>
      <c r="F31" s="6" t="s">
        <v>120</v>
      </c>
    </row>
    <row r="32" spans="1:6" x14ac:dyDescent="0.3">
      <c r="A32" s="19" t="s">
        <v>36</v>
      </c>
      <c r="B32" s="6" t="s">
        <v>120</v>
      </c>
      <c r="C32" s="6">
        <v>0.51</v>
      </c>
      <c r="D32" s="6" t="s">
        <v>120</v>
      </c>
      <c r="E32" s="6" t="s">
        <v>120</v>
      </c>
      <c r="F32" s="6" t="s">
        <v>120</v>
      </c>
    </row>
    <row r="33" spans="1:6" x14ac:dyDescent="0.3">
      <c r="A33" s="5" t="s">
        <v>173</v>
      </c>
      <c r="B33" s="6" t="s">
        <v>120</v>
      </c>
      <c r="C33" s="6">
        <v>1.3819999999999999</v>
      </c>
      <c r="D33" s="6" t="s">
        <v>120</v>
      </c>
      <c r="E33" s="6" t="s">
        <v>120</v>
      </c>
      <c r="F33" s="6" t="s">
        <v>120</v>
      </c>
    </row>
    <row r="34" spans="1:6" x14ac:dyDescent="0.3">
      <c r="A34" s="5" t="s">
        <v>29</v>
      </c>
      <c r="B34" s="6">
        <v>3.4049999999999998</v>
      </c>
      <c r="C34" s="6" t="s">
        <v>120</v>
      </c>
      <c r="D34" s="6" t="s">
        <v>120</v>
      </c>
      <c r="E34" s="6" t="s">
        <v>120</v>
      </c>
      <c r="F34" s="6" t="s">
        <v>120</v>
      </c>
    </row>
    <row r="35" spans="1:6" x14ac:dyDescent="0.3">
      <c r="A35" s="12" t="s">
        <v>17</v>
      </c>
      <c r="B35" s="6"/>
      <c r="C35" s="6"/>
      <c r="D35" s="6"/>
      <c r="E35" s="6"/>
      <c r="F35" s="6"/>
    </row>
    <row r="36" spans="1:6" x14ac:dyDescent="0.3">
      <c r="A36" s="19" t="s">
        <v>19</v>
      </c>
      <c r="B36" s="6" t="s">
        <v>18</v>
      </c>
      <c r="C36" s="6" t="s">
        <v>120</v>
      </c>
      <c r="D36" s="6" t="s">
        <v>120</v>
      </c>
      <c r="E36" s="6" t="s">
        <v>120</v>
      </c>
      <c r="F36" s="6" t="s">
        <v>120</v>
      </c>
    </row>
    <row r="37" spans="1:6" x14ac:dyDescent="0.3">
      <c r="A37" s="21" t="s">
        <v>20</v>
      </c>
      <c r="B37" s="6"/>
      <c r="C37" s="6" t="s">
        <v>120</v>
      </c>
      <c r="D37" s="6" t="s">
        <v>120</v>
      </c>
      <c r="E37" s="6" t="s">
        <v>120</v>
      </c>
      <c r="F37" s="6" t="s">
        <v>120</v>
      </c>
    </row>
    <row r="38" spans="1:6" x14ac:dyDescent="0.3">
      <c r="A38" s="5" t="s">
        <v>16</v>
      </c>
      <c r="B38" s="6" t="s">
        <v>8</v>
      </c>
      <c r="C38" s="6" t="s">
        <v>120</v>
      </c>
      <c r="D38" s="6" t="s">
        <v>120</v>
      </c>
      <c r="E38" s="6" t="s">
        <v>120</v>
      </c>
      <c r="F38" s="6" t="s">
        <v>120</v>
      </c>
    </row>
    <row r="39" spans="1:6" x14ac:dyDescent="0.3">
      <c r="A39" s="5" t="s">
        <v>15</v>
      </c>
      <c r="B39" s="6" t="s">
        <v>7</v>
      </c>
      <c r="C39" s="6" t="s">
        <v>120</v>
      </c>
      <c r="D39" s="6" t="s">
        <v>120</v>
      </c>
      <c r="E39" s="6" t="s">
        <v>120</v>
      </c>
      <c r="F39" s="6" t="s">
        <v>120</v>
      </c>
    </row>
    <row r="40" spans="1:6" x14ac:dyDescent="0.3">
      <c r="A40" s="12" t="s">
        <v>14</v>
      </c>
      <c r="B40" s="6"/>
      <c r="C40" s="6"/>
      <c r="D40" s="6"/>
      <c r="E40" s="6"/>
      <c r="F40" s="6"/>
    </row>
    <row r="41" spans="1:6" x14ac:dyDescent="0.3">
      <c r="A41" s="11" t="s">
        <v>33</v>
      </c>
      <c r="B41" s="6">
        <v>14</v>
      </c>
      <c r="C41" s="6" t="s">
        <v>120</v>
      </c>
      <c r="D41" s="6" t="s">
        <v>120</v>
      </c>
      <c r="E41" s="6" t="s">
        <v>120</v>
      </c>
      <c r="F41" s="6" t="s">
        <v>120</v>
      </c>
    </row>
    <row r="42" spans="1:6" x14ac:dyDescent="0.3">
      <c r="A42" s="11" t="s">
        <v>34</v>
      </c>
      <c r="B42" s="6">
        <v>19</v>
      </c>
      <c r="C42" s="6" t="s">
        <v>120</v>
      </c>
      <c r="D42" s="6" t="s">
        <v>120</v>
      </c>
      <c r="E42" s="6" t="s">
        <v>120</v>
      </c>
      <c r="F42" s="6" t="s">
        <v>120</v>
      </c>
    </row>
    <row r="43" spans="1:6" x14ac:dyDescent="0.3">
      <c r="A43" s="2"/>
      <c r="B43" s="3"/>
      <c r="C43" s="3"/>
      <c r="D43" s="3"/>
      <c r="E43" s="3"/>
      <c r="F43" s="3"/>
    </row>
    <row r="44" spans="1:6" ht="16.2" x14ac:dyDescent="0.3">
      <c r="A44" s="22" t="s">
        <v>40</v>
      </c>
      <c r="B44" s="6"/>
      <c r="C44" s="6"/>
      <c r="D44" s="6"/>
      <c r="E44" s="6"/>
      <c r="F44" s="6"/>
    </row>
    <row r="45" spans="1:6" x14ac:dyDescent="0.3">
      <c r="A45" s="5" t="s">
        <v>41</v>
      </c>
      <c r="B45" s="6">
        <f>'Осн. хар-ки'!B12</f>
        <v>22.06</v>
      </c>
      <c r="C45" s="6">
        <f>'Осн. хар-ки'!C12</f>
        <v>19.98</v>
      </c>
      <c r="D45" s="6">
        <f>'Осн. хар-ки'!D12</f>
        <v>19.809999999999999</v>
      </c>
      <c r="E45" s="6">
        <f>'Осн. хар-ки'!E12</f>
        <v>22.02</v>
      </c>
      <c r="F45" s="6">
        <f>'Осн. хар-ки'!F12</f>
        <v>16.28</v>
      </c>
    </row>
    <row r="46" spans="1:6" x14ac:dyDescent="0.3">
      <c r="A46" s="5" t="s">
        <v>42</v>
      </c>
      <c r="B46" s="6">
        <f>'Осн. хар-ки'!B13</f>
        <v>39.72</v>
      </c>
      <c r="C46" s="6">
        <f>'Осн. хар-ки'!C13</f>
        <v>34.86</v>
      </c>
      <c r="D46" s="6">
        <f>'Осн. хар-ки'!D13</f>
        <v>39.020000000000003</v>
      </c>
      <c r="E46" s="6">
        <f>'Осн. хар-ки'!E13</f>
        <v>40.97</v>
      </c>
      <c r="F46" s="6">
        <f>'Осн. хар-ки'!F13</f>
        <v>25.81</v>
      </c>
    </row>
    <row r="47" spans="1:6" x14ac:dyDescent="0.3">
      <c r="A47" s="5" t="s">
        <v>43</v>
      </c>
      <c r="B47" s="9">
        <f>'Осн. хар-ки'!B14</f>
        <v>1.8005439709882141</v>
      </c>
      <c r="C47" s="9">
        <f>'Осн. хар-ки'!C14</f>
        <v>1.7447447447447446</v>
      </c>
      <c r="D47" s="9">
        <f>'Осн. хар-ки'!D14</f>
        <v>1.9697122665320548</v>
      </c>
      <c r="E47" s="9">
        <f>'Осн. хар-ки'!E14</f>
        <v>1.860581289736603</v>
      </c>
      <c r="F47" s="9">
        <f>'Осн. хар-ки'!F14</f>
        <v>1.5853808353808352</v>
      </c>
    </row>
    <row r="48" spans="1:6" x14ac:dyDescent="0.3">
      <c r="A48" s="5" t="s">
        <v>44</v>
      </c>
      <c r="B48" s="10">
        <f>'Осн. хар-ки'!B15</f>
        <v>12.251852970795568</v>
      </c>
      <c r="C48" s="10">
        <f>'Осн. хар-ки'!C15</f>
        <v>11.451531841652324</v>
      </c>
      <c r="D48" s="10">
        <f>'Осн. хар-ки'!D15</f>
        <v>10.057306509482315</v>
      </c>
      <c r="E48" s="10">
        <f>'Осн. хар-ки'!E15</f>
        <v>11.835010983646571</v>
      </c>
      <c r="F48" s="10">
        <f>'Осн. хар-ки'!F15</f>
        <v>10.268826036419993</v>
      </c>
    </row>
    <row r="49" spans="1:6" x14ac:dyDescent="0.3">
      <c r="A49" s="5" t="s">
        <v>45</v>
      </c>
      <c r="B49" s="6">
        <v>2</v>
      </c>
      <c r="C49" s="6" t="s">
        <v>120</v>
      </c>
      <c r="D49" s="6" t="s">
        <v>120</v>
      </c>
      <c r="E49" s="6" t="s">
        <v>120</v>
      </c>
      <c r="F49" s="6" t="s">
        <v>120</v>
      </c>
    </row>
    <row r="50" spans="1:6" x14ac:dyDescent="0.3">
      <c r="A50" s="5" t="s">
        <v>46</v>
      </c>
      <c r="B50" s="6">
        <v>4</v>
      </c>
      <c r="C50" s="6" t="s">
        <v>120</v>
      </c>
      <c r="D50" s="6" t="s">
        <v>120</v>
      </c>
      <c r="E50" s="6" t="s">
        <v>120</v>
      </c>
      <c r="F50" s="6" t="s">
        <v>120</v>
      </c>
    </row>
    <row r="51" spans="1:6" x14ac:dyDescent="0.3">
      <c r="A51" s="5" t="s">
        <v>119</v>
      </c>
      <c r="B51" s="6" t="s">
        <v>120</v>
      </c>
      <c r="C51" s="6">
        <v>0</v>
      </c>
      <c r="D51" s="6" t="s">
        <v>120</v>
      </c>
      <c r="E51" s="6" t="s">
        <v>120</v>
      </c>
      <c r="F51" s="6" t="s">
        <v>120</v>
      </c>
    </row>
    <row r="52" spans="1:6" x14ac:dyDescent="0.3">
      <c r="A52" s="5" t="s">
        <v>47</v>
      </c>
      <c r="B52" s="6">
        <v>3.21</v>
      </c>
      <c r="C52" s="6" t="s">
        <v>120</v>
      </c>
      <c r="D52" s="6" t="s">
        <v>120</v>
      </c>
      <c r="E52" s="6" t="s">
        <v>120</v>
      </c>
      <c r="F52" s="6" t="s">
        <v>120</v>
      </c>
    </row>
    <row r="53" spans="1:6" x14ac:dyDescent="0.3">
      <c r="A53" s="5" t="s">
        <v>121</v>
      </c>
      <c r="B53" s="6" t="s">
        <v>120</v>
      </c>
      <c r="C53" s="6">
        <v>2</v>
      </c>
      <c r="D53" s="6" t="s">
        <v>120</v>
      </c>
      <c r="E53" s="6" t="s">
        <v>120</v>
      </c>
      <c r="F53" s="6" t="s">
        <v>120</v>
      </c>
    </row>
    <row r="54" spans="1:6" x14ac:dyDescent="0.3">
      <c r="A54" s="5" t="s">
        <v>157</v>
      </c>
      <c r="B54" s="6" t="s">
        <v>120</v>
      </c>
      <c r="C54" s="20" t="s">
        <v>122</v>
      </c>
      <c r="D54" s="6" t="s">
        <v>120</v>
      </c>
      <c r="E54" s="6" t="s">
        <v>120</v>
      </c>
      <c r="F54" s="6" t="s">
        <v>120</v>
      </c>
    </row>
    <row r="55" spans="1:6" x14ac:dyDescent="0.3">
      <c r="A55" s="5" t="s">
        <v>123</v>
      </c>
      <c r="B55" s="6" t="s">
        <v>120</v>
      </c>
      <c r="C55" s="6">
        <v>0</v>
      </c>
      <c r="D55" s="6" t="s">
        <v>120</v>
      </c>
      <c r="E55" s="6" t="s">
        <v>120</v>
      </c>
      <c r="F55" s="6" t="s">
        <v>120</v>
      </c>
    </row>
    <row r="56" spans="1:6" x14ac:dyDescent="0.3">
      <c r="A56" s="5" t="s">
        <v>124</v>
      </c>
      <c r="B56" s="6" t="s">
        <v>120</v>
      </c>
      <c r="C56" s="6">
        <v>-2.8</v>
      </c>
      <c r="D56" s="6" t="s">
        <v>120</v>
      </c>
      <c r="E56" s="6" t="s">
        <v>120</v>
      </c>
      <c r="F56" s="6" t="s">
        <v>120</v>
      </c>
    </row>
    <row r="57" spans="1:6" x14ac:dyDescent="0.3">
      <c r="A57" s="12" t="s">
        <v>141</v>
      </c>
      <c r="B57" s="6"/>
      <c r="C57" s="6"/>
      <c r="D57" s="6"/>
      <c r="E57" s="6"/>
      <c r="F57" s="6"/>
    </row>
    <row r="58" spans="1:6" x14ac:dyDescent="0.3">
      <c r="A58" s="5" t="s">
        <v>142</v>
      </c>
      <c r="B58" s="6" t="s">
        <v>120</v>
      </c>
      <c r="C58" s="6" t="s">
        <v>125</v>
      </c>
      <c r="D58" s="6" t="s">
        <v>120</v>
      </c>
      <c r="E58" s="6" t="s">
        <v>120</v>
      </c>
      <c r="F58" s="6" t="s">
        <v>120</v>
      </c>
    </row>
    <row r="59" spans="1:6" x14ac:dyDescent="0.3">
      <c r="A59" s="5" t="s">
        <v>42</v>
      </c>
      <c r="B59" s="6" t="s">
        <v>120</v>
      </c>
      <c r="C59" s="6" t="s">
        <v>126</v>
      </c>
      <c r="D59" s="6" t="s">
        <v>120</v>
      </c>
      <c r="E59" s="6" t="s">
        <v>120</v>
      </c>
      <c r="F59" s="6" t="s">
        <v>120</v>
      </c>
    </row>
    <row r="60" spans="1:6" x14ac:dyDescent="0.3">
      <c r="A60" s="19" t="s">
        <v>143</v>
      </c>
      <c r="B60" s="6"/>
      <c r="C60" s="6"/>
      <c r="D60" s="6"/>
      <c r="E60" s="6"/>
      <c r="F60" s="6"/>
    </row>
    <row r="61" spans="1:6" x14ac:dyDescent="0.3">
      <c r="A61" s="5" t="s">
        <v>144</v>
      </c>
      <c r="B61" s="6" t="s">
        <v>10</v>
      </c>
      <c r="C61" s="6" t="s">
        <v>128</v>
      </c>
      <c r="D61" s="6" t="s">
        <v>120</v>
      </c>
      <c r="E61" s="6" t="s">
        <v>120</v>
      </c>
      <c r="F61" s="6" t="s">
        <v>120</v>
      </c>
    </row>
    <row r="62" spans="1:6" x14ac:dyDescent="0.3">
      <c r="A62" s="5" t="s">
        <v>145</v>
      </c>
      <c r="B62" s="6" t="s">
        <v>0</v>
      </c>
      <c r="C62" s="6" t="s">
        <v>129</v>
      </c>
      <c r="D62" s="6" t="s">
        <v>120</v>
      </c>
      <c r="E62" s="6" t="s">
        <v>120</v>
      </c>
      <c r="F62" s="6" t="s">
        <v>120</v>
      </c>
    </row>
    <row r="63" spans="1:6" x14ac:dyDescent="0.3">
      <c r="A63" s="5" t="s">
        <v>146</v>
      </c>
      <c r="B63" s="6" t="s">
        <v>9</v>
      </c>
      <c r="C63" s="6" t="s">
        <v>127</v>
      </c>
      <c r="D63" s="6"/>
      <c r="E63" s="6"/>
      <c r="F63" s="6"/>
    </row>
    <row r="64" spans="1:6" x14ac:dyDescent="0.3">
      <c r="A64" s="5" t="s">
        <v>144</v>
      </c>
      <c r="B64" s="6" t="s">
        <v>120</v>
      </c>
      <c r="C64" s="6" t="s">
        <v>120</v>
      </c>
      <c r="D64" s="6" t="s">
        <v>120</v>
      </c>
      <c r="E64" s="6" t="s">
        <v>120</v>
      </c>
      <c r="F64" s="6" t="s">
        <v>120</v>
      </c>
    </row>
    <row r="65" spans="1:6" x14ac:dyDescent="0.3">
      <c r="A65" s="5" t="s">
        <v>145</v>
      </c>
      <c r="B65" s="6" t="s">
        <v>120</v>
      </c>
      <c r="C65" s="6" t="s">
        <v>120</v>
      </c>
      <c r="D65" s="6" t="s">
        <v>120</v>
      </c>
      <c r="E65" s="6" t="s">
        <v>120</v>
      </c>
      <c r="F65" s="6" t="s">
        <v>120</v>
      </c>
    </row>
    <row r="66" spans="1:6" x14ac:dyDescent="0.3">
      <c r="A66" s="12" t="s">
        <v>147</v>
      </c>
      <c r="B66" s="6"/>
      <c r="C66" s="6"/>
      <c r="D66" s="6"/>
      <c r="E66" s="6"/>
      <c r="F66" s="6"/>
    </row>
    <row r="67" spans="1:6" x14ac:dyDescent="0.3">
      <c r="A67" s="5" t="s">
        <v>142</v>
      </c>
      <c r="B67" s="6" t="s">
        <v>120</v>
      </c>
      <c r="C67" s="6" t="s">
        <v>150</v>
      </c>
      <c r="D67" s="6" t="s">
        <v>120</v>
      </c>
      <c r="E67" s="6" t="s">
        <v>120</v>
      </c>
      <c r="F67" s="6" t="s">
        <v>120</v>
      </c>
    </row>
    <row r="68" spans="1:6" x14ac:dyDescent="0.3">
      <c r="A68" s="5" t="s">
        <v>42</v>
      </c>
      <c r="B68" s="6" t="s">
        <v>120</v>
      </c>
      <c r="C68" s="6" t="s">
        <v>151</v>
      </c>
      <c r="D68" s="6" t="s">
        <v>120</v>
      </c>
      <c r="E68" s="6" t="s">
        <v>120</v>
      </c>
      <c r="F68" s="6" t="s">
        <v>120</v>
      </c>
    </row>
    <row r="69" spans="1:6" x14ac:dyDescent="0.3">
      <c r="A69" s="5" t="s">
        <v>148</v>
      </c>
      <c r="B69" s="6">
        <v>15</v>
      </c>
      <c r="C69" s="6" t="s">
        <v>130</v>
      </c>
      <c r="D69" s="6" t="s">
        <v>120</v>
      </c>
      <c r="E69" s="6" t="s">
        <v>120</v>
      </c>
      <c r="F69" s="6" t="s">
        <v>120</v>
      </c>
    </row>
    <row r="70" spans="1:6" x14ac:dyDescent="0.3">
      <c r="A70" s="5" t="s">
        <v>149</v>
      </c>
      <c r="B70" s="6">
        <v>40</v>
      </c>
      <c r="C70" s="6" t="s">
        <v>131</v>
      </c>
      <c r="D70" s="6" t="s">
        <v>120</v>
      </c>
      <c r="E70" s="6" t="s">
        <v>120</v>
      </c>
      <c r="F70" s="6" t="s">
        <v>120</v>
      </c>
    </row>
    <row r="71" spans="1:6" x14ac:dyDescent="0.3">
      <c r="A71" s="12" t="s">
        <v>152</v>
      </c>
      <c r="B71" s="6"/>
      <c r="C71" s="6"/>
      <c r="D71" s="6"/>
      <c r="E71" s="6"/>
      <c r="F71" s="6"/>
    </row>
    <row r="72" spans="1:6" x14ac:dyDescent="0.3">
      <c r="A72" s="5" t="s">
        <v>142</v>
      </c>
      <c r="B72" s="6" t="s">
        <v>120</v>
      </c>
      <c r="C72" s="6" t="s">
        <v>132</v>
      </c>
      <c r="D72" s="6" t="s">
        <v>120</v>
      </c>
      <c r="E72" s="6" t="s">
        <v>120</v>
      </c>
      <c r="F72" s="6" t="s">
        <v>120</v>
      </c>
    </row>
    <row r="73" spans="1:6" x14ac:dyDescent="0.3">
      <c r="A73" s="5" t="s">
        <v>42</v>
      </c>
      <c r="B73" s="6" t="s">
        <v>120</v>
      </c>
      <c r="C73" s="6" t="s">
        <v>133</v>
      </c>
      <c r="D73" s="6" t="s">
        <v>120</v>
      </c>
      <c r="E73" s="6" t="s">
        <v>120</v>
      </c>
      <c r="F73" s="6" t="s">
        <v>120</v>
      </c>
    </row>
    <row r="74" spans="1:6" x14ac:dyDescent="0.3">
      <c r="A74" s="11" t="s">
        <v>153</v>
      </c>
      <c r="B74" s="7"/>
      <c r="C74" s="20"/>
      <c r="D74" s="6"/>
      <c r="E74" s="6"/>
      <c r="F74" s="6"/>
    </row>
    <row r="75" spans="1:6" x14ac:dyDescent="0.3">
      <c r="A75" s="5" t="s">
        <v>154</v>
      </c>
      <c r="B75" s="7">
        <v>60</v>
      </c>
      <c r="C75" s="20" t="s">
        <v>134</v>
      </c>
      <c r="D75" s="6" t="s">
        <v>120</v>
      </c>
      <c r="E75" s="6" t="s">
        <v>120</v>
      </c>
      <c r="F75" s="6" t="s">
        <v>120</v>
      </c>
    </row>
    <row r="76" spans="1:6" x14ac:dyDescent="0.3">
      <c r="A76" s="11" t="s">
        <v>155</v>
      </c>
      <c r="B76" s="6">
        <v>45</v>
      </c>
      <c r="C76" s="20" t="s">
        <v>134</v>
      </c>
      <c r="D76" s="6" t="s">
        <v>120</v>
      </c>
      <c r="E76" s="6" t="s">
        <v>120</v>
      </c>
      <c r="F76" s="6" t="s">
        <v>120</v>
      </c>
    </row>
    <row r="77" spans="1:6" x14ac:dyDescent="0.3">
      <c r="A77" s="12" t="s">
        <v>135</v>
      </c>
      <c r="B77" s="6"/>
      <c r="C77" s="6"/>
      <c r="D77" s="6"/>
      <c r="E77" s="6"/>
      <c r="F77" s="6"/>
    </row>
    <row r="78" spans="1:6" x14ac:dyDescent="0.3">
      <c r="A78" s="5" t="s">
        <v>35</v>
      </c>
      <c r="B78" s="6" t="s">
        <v>120</v>
      </c>
      <c r="C78" s="6" t="s">
        <v>139</v>
      </c>
      <c r="D78" s="6" t="s">
        <v>120</v>
      </c>
      <c r="E78" s="6" t="s">
        <v>120</v>
      </c>
      <c r="F78" s="6" t="s">
        <v>120</v>
      </c>
    </row>
    <row r="79" spans="1:6" x14ac:dyDescent="0.3">
      <c r="A79" s="5" t="s">
        <v>42</v>
      </c>
      <c r="B79" s="6" t="s">
        <v>120</v>
      </c>
      <c r="C79" s="6" t="s">
        <v>138</v>
      </c>
      <c r="D79" s="6" t="s">
        <v>120</v>
      </c>
      <c r="E79" s="6" t="s">
        <v>120</v>
      </c>
      <c r="F79" s="6" t="s">
        <v>120</v>
      </c>
    </row>
    <row r="80" spans="1:6" x14ac:dyDescent="0.3">
      <c r="A80" s="5" t="s">
        <v>136</v>
      </c>
      <c r="B80" s="6" t="s">
        <v>120</v>
      </c>
      <c r="C80" s="20" t="s">
        <v>137</v>
      </c>
      <c r="D80" s="6" t="s">
        <v>120</v>
      </c>
      <c r="E80" s="6" t="s">
        <v>120</v>
      </c>
      <c r="F80" s="6" t="s">
        <v>120</v>
      </c>
    </row>
    <row r="81" spans="1:6" x14ac:dyDescent="0.3">
      <c r="A81" s="12" t="s">
        <v>48</v>
      </c>
      <c r="B81" s="7"/>
      <c r="C81" s="6"/>
      <c r="D81" s="6"/>
      <c r="E81" s="6"/>
      <c r="F81" s="6"/>
    </row>
    <row r="82" spans="1:6" x14ac:dyDescent="0.3">
      <c r="A82" s="11" t="s">
        <v>41</v>
      </c>
      <c r="B82" s="7">
        <v>5.14</v>
      </c>
      <c r="C82" s="6">
        <v>6.7359999999999998</v>
      </c>
      <c r="D82" s="6" t="s">
        <v>120</v>
      </c>
      <c r="E82" s="6" t="s">
        <v>120</v>
      </c>
      <c r="F82" s="6" t="s">
        <v>120</v>
      </c>
    </row>
    <row r="83" spans="1:6" x14ac:dyDescent="0.3">
      <c r="A83" s="16" t="s">
        <v>42</v>
      </c>
      <c r="B83" s="7">
        <v>8.85</v>
      </c>
      <c r="C83" s="6">
        <v>9.56</v>
      </c>
      <c r="D83" s="6" t="s">
        <v>120</v>
      </c>
      <c r="E83" s="6" t="s">
        <v>120</v>
      </c>
      <c r="F83" s="6" t="s">
        <v>120</v>
      </c>
    </row>
    <row r="84" spans="1:6" x14ac:dyDescent="0.3">
      <c r="A84" s="5" t="s">
        <v>156</v>
      </c>
      <c r="B84" s="6" t="s">
        <v>120</v>
      </c>
      <c r="C84" s="6">
        <v>5</v>
      </c>
      <c r="D84" s="6" t="s">
        <v>120</v>
      </c>
      <c r="E84" s="6" t="s">
        <v>120</v>
      </c>
      <c r="F84" s="6" t="s">
        <v>120</v>
      </c>
    </row>
    <row r="85" spans="1:6" x14ac:dyDescent="0.3">
      <c r="A85" s="5" t="s">
        <v>157</v>
      </c>
      <c r="B85" s="6" t="s">
        <v>120</v>
      </c>
      <c r="C85" s="6">
        <v>7</v>
      </c>
      <c r="D85" s="6" t="s">
        <v>120</v>
      </c>
      <c r="E85" s="6" t="s">
        <v>120</v>
      </c>
      <c r="F85" s="6" t="s">
        <v>120</v>
      </c>
    </row>
    <row r="86" spans="1:6" x14ac:dyDescent="0.3">
      <c r="A86" s="5" t="s">
        <v>44</v>
      </c>
      <c r="B86" s="6" t="s">
        <v>120</v>
      </c>
      <c r="C86" s="6">
        <v>4.79</v>
      </c>
      <c r="D86" s="6" t="s">
        <v>120</v>
      </c>
      <c r="E86" s="6" t="s">
        <v>120</v>
      </c>
      <c r="F86" s="6" t="s">
        <v>120</v>
      </c>
    </row>
    <row r="87" spans="1:6" x14ac:dyDescent="0.3">
      <c r="A87" s="5" t="s">
        <v>43</v>
      </c>
      <c r="B87" s="6" t="s">
        <v>120</v>
      </c>
      <c r="C87" s="6">
        <v>1.4690000000000001</v>
      </c>
      <c r="D87" s="6" t="s">
        <v>120</v>
      </c>
      <c r="E87" s="6" t="s">
        <v>120</v>
      </c>
      <c r="F87" s="6" t="s">
        <v>120</v>
      </c>
    </row>
    <row r="88" spans="1:6" x14ac:dyDescent="0.3">
      <c r="A88" s="5" t="s">
        <v>140</v>
      </c>
      <c r="B88" s="6" t="s">
        <v>120</v>
      </c>
      <c r="C88" s="6">
        <v>2</v>
      </c>
      <c r="D88" s="6" t="s">
        <v>120</v>
      </c>
      <c r="E88" s="6" t="s">
        <v>120</v>
      </c>
      <c r="F88" s="6" t="s">
        <v>120</v>
      </c>
    </row>
    <row r="89" spans="1:6" x14ac:dyDescent="0.3">
      <c r="A89" s="12" t="s">
        <v>158</v>
      </c>
      <c r="B89" s="6"/>
      <c r="C89" s="6"/>
      <c r="D89" s="6"/>
      <c r="E89" s="6"/>
      <c r="F89" s="6"/>
    </row>
    <row r="90" spans="1:6" x14ac:dyDescent="0.3">
      <c r="A90" s="5" t="s">
        <v>42</v>
      </c>
      <c r="B90" s="6" t="s">
        <v>120</v>
      </c>
      <c r="C90" s="6" t="s">
        <v>159</v>
      </c>
      <c r="D90" s="6" t="s">
        <v>120</v>
      </c>
      <c r="E90" s="6" t="s">
        <v>120</v>
      </c>
      <c r="F90" s="6" t="s">
        <v>120</v>
      </c>
    </row>
    <row r="91" spans="1:6" x14ac:dyDescent="0.3">
      <c r="A91" s="11" t="s">
        <v>136</v>
      </c>
      <c r="B91" s="7"/>
      <c r="C91" s="6"/>
      <c r="D91" s="6"/>
      <c r="E91" s="6"/>
      <c r="F91" s="6"/>
    </row>
    <row r="92" spans="1:6" x14ac:dyDescent="0.3">
      <c r="A92" s="16" t="s">
        <v>144</v>
      </c>
      <c r="B92" s="7" t="s">
        <v>50</v>
      </c>
      <c r="C92" s="7" t="s">
        <v>50</v>
      </c>
      <c r="D92" s="6" t="s">
        <v>120</v>
      </c>
      <c r="E92" s="6" t="s">
        <v>120</v>
      </c>
      <c r="F92" s="6" t="s">
        <v>120</v>
      </c>
    </row>
    <row r="93" spans="1:6" x14ac:dyDescent="0.3">
      <c r="A93" s="11" t="s">
        <v>145</v>
      </c>
      <c r="B93" s="7" t="s">
        <v>2</v>
      </c>
      <c r="C93" s="7" t="s">
        <v>129</v>
      </c>
      <c r="D93" s="6" t="s">
        <v>120</v>
      </c>
      <c r="E93" s="6" t="s">
        <v>120</v>
      </c>
      <c r="F93" s="6" t="s">
        <v>120</v>
      </c>
    </row>
    <row r="94" spans="1:6" x14ac:dyDescent="0.3">
      <c r="A94" s="5" t="s">
        <v>162</v>
      </c>
      <c r="B94" s="6" t="s">
        <v>120</v>
      </c>
      <c r="C94" s="6" t="s">
        <v>163</v>
      </c>
      <c r="D94" s="6" t="s">
        <v>120</v>
      </c>
      <c r="E94" s="6" t="s">
        <v>120</v>
      </c>
      <c r="F94" s="6" t="s">
        <v>120</v>
      </c>
    </row>
    <row r="95" spans="1:6" x14ac:dyDescent="0.3">
      <c r="A95" s="5" t="s">
        <v>160</v>
      </c>
      <c r="B95" s="7"/>
      <c r="C95" s="6"/>
      <c r="D95" s="6" t="s">
        <v>120</v>
      </c>
      <c r="E95" s="6" t="s">
        <v>120</v>
      </c>
      <c r="F95" s="6" t="s">
        <v>120</v>
      </c>
    </row>
    <row r="96" spans="1:6" x14ac:dyDescent="0.3">
      <c r="A96" s="5" t="s">
        <v>145</v>
      </c>
      <c r="B96" s="7" t="s">
        <v>51</v>
      </c>
      <c r="C96" s="7" t="s">
        <v>161</v>
      </c>
      <c r="D96" s="6" t="s">
        <v>120</v>
      </c>
      <c r="E96" s="6" t="s">
        <v>120</v>
      </c>
      <c r="F96" s="6" t="s">
        <v>120</v>
      </c>
    </row>
    <row r="97" spans="1:6" x14ac:dyDescent="0.3">
      <c r="A97" s="5" t="s">
        <v>144</v>
      </c>
      <c r="B97" s="7" t="s">
        <v>51</v>
      </c>
      <c r="C97" s="7" t="s">
        <v>0</v>
      </c>
      <c r="D97" s="6" t="s">
        <v>120</v>
      </c>
      <c r="E97" s="6" t="s">
        <v>120</v>
      </c>
      <c r="F97" s="6" t="s">
        <v>120</v>
      </c>
    </row>
    <row r="98" spans="1:6" x14ac:dyDescent="0.3">
      <c r="A98" s="23" t="s">
        <v>52</v>
      </c>
      <c r="B98" s="7"/>
      <c r="C98" s="6"/>
      <c r="D98" s="6"/>
      <c r="E98" s="6"/>
      <c r="F98" s="6"/>
    </row>
    <row r="99" spans="1:6" x14ac:dyDescent="0.3">
      <c r="A99" s="11" t="s">
        <v>49</v>
      </c>
      <c r="B99" s="7">
        <v>2.87</v>
      </c>
      <c r="C99" s="6">
        <v>3.31</v>
      </c>
      <c r="D99" s="6" t="s">
        <v>120</v>
      </c>
      <c r="E99" s="6" t="s">
        <v>120</v>
      </c>
      <c r="F99" s="6" t="s">
        <v>120</v>
      </c>
    </row>
    <row r="100" spans="1:6" x14ac:dyDescent="0.3">
      <c r="A100" s="16" t="s">
        <v>42</v>
      </c>
      <c r="B100" s="7">
        <v>10</v>
      </c>
      <c r="C100" s="6">
        <v>7.3</v>
      </c>
      <c r="D100" s="6" t="s">
        <v>120</v>
      </c>
      <c r="E100" s="6" t="s">
        <v>120</v>
      </c>
      <c r="F100" s="6" t="s">
        <v>120</v>
      </c>
    </row>
    <row r="101" spans="1:6" x14ac:dyDescent="0.3">
      <c r="A101" s="5" t="s">
        <v>156</v>
      </c>
      <c r="B101" s="6" t="s">
        <v>120</v>
      </c>
      <c r="C101" s="6">
        <v>35</v>
      </c>
      <c r="D101" s="6" t="s">
        <v>120</v>
      </c>
      <c r="E101" s="6" t="s">
        <v>120</v>
      </c>
      <c r="F101" s="6" t="s">
        <v>120</v>
      </c>
    </row>
    <row r="102" spans="1:6" x14ac:dyDescent="0.3">
      <c r="A102" s="5" t="s">
        <v>44</v>
      </c>
      <c r="B102" s="6" t="s">
        <v>120</v>
      </c>
      <c r="C102" s="6">
        <v>1.5</v>
      </c>
      <c r="D102" s="6" t="s">
        <v>120</v>
      </c>
      <c r="E102" s="6" t="s">
        <v>120</v>
      </c>
      <c r="F102" s="6" t="s">
        <v>120</v>
      </c>
    </row>
    <row r="103" spans="1:6" x14ac:dyDescent="0.3">
      <c r="A103" s="5" t="s">
        <v>43</v>
      </c>
      <c r="B103" s="6" t="s">
        <v>120</v>
      </c>
      <c r="C103" s="6">
        <v>2.2850000000000001</v>
      </c>
      <c r="D103" s="6" t="s">
        <v>120</v>
      </c>
      <c r="E103" s="6" t="s">
        <v>120</v>
      </c>
      <c r="F103" s="6" t="s">
        <v>120</v>
      </c>
    </row>
    <row r="104" spans="1:6" x14ac:dyDescent="0.3">
      <c r="A104" s="14" t="s">
        <v>164</v>
      </c>
      <c r="B104" s="6"/>
      <c r="C104" s="6"/>
      <c r="D104" s="6"/>
      <c r="E104" s="6"/>
      <c r="F104" s="6"/>
    </row>
    <row r="105" spans="1:6" x14ac:dyDescent="0.3">
      <c r="A105" s="5" t="s">
        <v>42</v>
      </c>
      <c r="B105" s="6" t="s">
        <v>120</v>
      </c>
      <c r="C105" s="6">
        <v>2.81</v>
      </c>
      <c r="D105" s="6" t="s">
        <v>120</v>
      </c>
      <c r="E105" s="6" t="s">
        <v>120</v>
      </c>
      <c r="F105" s="6" t="s">
        <v>120</v>
      </c>
    </row>
    <row r="106" spans="1:6" x14ac:dyDescent="0.3">
      <c r="A106" s="5" t="s">
        <v>165</v>
      </c>
      <c r="B106" s="7"/>
      <c r="C106" s="6"/>
      <c r="D106" s="6"/>
      <c r="E106" s="6"/>
      <c r="F106" s="6"/>
    </row>
    <row r="107" spans="1:6" x14ac:dyDescent="0.3">
      <c r="A107" s="11" t="s">
        <v>166</v>
      </c>
      <c r="B107" s="7" t="s">
        <v>10</v>
      </c>
      <c r="C107" s="20" t="s">
        <v>169</v>
      </c>
      <c r="D107" s="6" t="s">
        <v>120</v>
      </c>
      <c r="E107" s="6" t="s">
        <v>120</v>
      </c>
      <c r="F107" s="6" t="s">
        <v>120</v>
      </c>
    </row>
    <row r="108" spans="1:6" x14ac:dyDescent="0.3">
      <c r="A108" s="16" t="s">
        <v>167</v>
      </c>
      <c r="B108" s="7" t="s">
        <v>0</v>
      </c>
      <c r="C108" s="20" t="s">
        <v>169</v>
      </c>
      <c r="D108" s="6" t="s">
        <v>120</v>
      </c>
      <c r="E108" s="6" t="s">
        <v>120</v>
      </c>
      <c r="F108" s="6" t="s">
        <v>120</v>
      </c>
    </row>
    <row r="109" spans="1:6" x14ac:dyDescent="0.3">
      <c r="A109" s="5" t="s">
        <v>162</v>
      </c>
      <c r="B109" s="6" t="s">
        <v>120</v>
      </c>
      <c r="C109" s="6">
        <v>0.43</v>
      </c>
      <c r="D109" s="6" t="s">
        <v>120</v>
      </c>
      <c r="E109" s="6" t="s">
        <v>120</v>
      </c>
      <c r="F109" s="6" t="s">
        <v>120</v>
      </c>
    </row>
    <row r="110" spans="1:6" x14ac:dyDescent="0.3">
      <c r="A110" s="11" t="s">
        <v>168</v>
      </c>
      <c r="B110" s="7"/>
      <c r="C110" s="6"/>
      <c r="D110" s="6"/>
      <c r="E110" s="6"/>
      <c r="F110" s="6"/>
    </row>
    <row r="111" spans="1:6" x14ac:dyDescent="0.3">
      <c r="A111" s="5" t="s">
        <v>166</v>
      </c>
      <c r="B111" s="7" t="s">
        <v>1</v>
      </c>
      <c r="C111" s="20" t="s">
        <v>170</v>
      </c>
      <c r="D111" s="6" t="s">
        <v>120</v>
      </c>
      <c r="E111" s="6" t="s">
        <v>120</v>
      </c>
      <c r="F111" s="6" t="s">
        <v>120</v>
      </c>
    </row>
    <row r="112" spans="1:6" x14ac:dyDescent="0.3">
      <c r="A112" s="5" t="s">
        <v>167</v>
      </c>
      <c r="B112" s="7" t="s">
        <v>1</v>
      </c>
      <c r="C112" s="20" t="s">
        <v>171</v>
      </c>
      <c r="D112" s="6" t="s">
        <v>120</v>
      </c>
      <c r="E112" s="6" t="s">
        <v>120</v>
      </c>
      <c r="F112" s="6" t="s">
        <v>120</v>
      </c>
    </row>
    <row r="113" spans="1:6" x14ac:dyDescent="0.3">
      <c r="A113" s="2"/>
      <c r="B113" s="3"/>
      <c r="C113" s="3"/>
      <c r="D113" s="3"/>
      <c r="E113" s="3"/>
      <c r="F113" s="3"/>
    </row>
    <row r="114" spans="1:6" x14ac:dyDescent="0.3">
      <c r="A114" s="17" t="s">
        <v>99</v>
      </c>
      <c r="B114" s="6"/>
      <c r="C114" s="6"/>
      <c r="D114" s="6"/>
      <c r="E114" s="6"/>
      <c r="F114" s="6"/>
    </row>
    <row r="115" spans="1:6" x14ac:dyDescent="0.3">
      <c r="A115" s="21" t="s">
        <v>86</v>
      </c>
      <c r="B115" s="20">
        <v>6530</v>
      </c>
      <c r="C115" s="6">
        <v>6600</v>
      </c>
      <c r="D115" s="6">
        <v>5670</v>
      </c>
      <c r="E115" s="6" t="s">
        <v>120</v>
      </c>
      <c r="F115" s="6" t="s">
        <v>120</v>
      </c>
    </row>
    <row r="116" spans="1:6" x14ac:dyDescent="0.3">
      <c r="A116" s="5" t="s">
        <v>85</v>
      </c>
      <c r="B116" s="20">
        <f>'Осн. хар-ки'!B2</f>
        <v>6530</v>
      </c>
      <c r="C116" s="20">
        <f>'Осн. хар-ки'!C2</f>
        <v>6600</v>
      </c>
      <c r="D116" s="20">
        <f>'Осн. хар-ки'!D2</f>
        <v>5670</v>
      </c>
      <c r="E116" s="20">
        <f>'Осн. хар-ки'!E2</f>
        <v>8618</v>
      </c>
      <c r="F116" s="20">
        <f>'Осн. хар-ки'!F2</f>
        <v>4740</v>
      </c>
    </row>
    <row r="117" spans="1:6" x14ac:dyDescent="0.3">
      <c r="A117" s="21" t="s">
        <v>87</v>
      </c>
      <c r="B117" s="6">
        <v>6500</v>
      </c>
      <c r="C117" s="6">
        <v>6200</v>
      </c>
      <c r="D117" s="6">
        <v>5579</v>
      </c>
      <c r="E117" s="6" t="s">
        <v>120</v>
      </c>
      <c r="F117" s="6" t="s">
        <v>120</v>
      </c>
    </row>
    <row r="118" spans="1:6" x14ac:dyDescent="0.3">
      <c r="A118" s="11" t="s">
        <v>88</v>
      </c>
      <c r="B118" s="7">
        <f>'Осн. хар-ки'!B3</f>
        <v>1450</v>
      </c>
      <c r="C118" s="7">
        <f>'Осн. хар-ки'!C3</f>
        <v>1300</v>
      </c>
      <c r="D118" s="7">
        <f>'Осн. хар-ки'!D3</f>
        <v>1296</v>
      </c>
      <c r="E118" s="7">
        <f>'Осн. хар-ки'!E3</f>
        <v>2189</v>
      </c>
      <c r="F118" s="7">
        <f>'Осн. хар-ки'!F3</f>
        <v>1200</v>
      </c>
    </row>
    <row r="119" spans="1:6" x14ac:dyDescent="0.3">
      <c r="A119" s="16" t="s">
        <v>89</v>
      </c>
      <c r="B119" s="7">
        <f>'Осн. хар-ки'!B4</f>
        <v>1800</v>
      </c>
      <c r="C119" s="7">
        <f>'Осн. хар-ки'!C4</f>
        <v>1800</v>
      </c>
      <c r="D119" s="7">
        <f>'Осн. хар-ки'!D4</f>
        <v>2720</v>
      </c>
      <c r="E119" s="7">
        <f>'Осн. хар-ки'!E4</f>
        <v>2722</v>
      </c>
      <c r="F119" s="7">
        <f>'Осн. хар-ки'!F4</f>
        <v>1014</v>
      </c>
    </row>
    <row r="120" spans="1:6" x14ac:dyDescent="0.3">
      <c r="A120" s="5" t="s">
        <v>260</v>
      </c>
      <c r="B120" s="6">
        <f>'Осн. хар-ки'!B5</f>
        <v>3800</v>
      </c>
      <c r="C120" s="6">
        <f>'Осн. хар-ки'!C5</f>
        <v>4050</v>
      </c>
      <c r="D120" s="6">
        <f>'Осн. хар-ки'!D5</f>
        <v>3363</v>
      </c>
      <c r="E120" s="6" t="str">
        <f>'Осн. хар-ки'!E5</f>
        <v>4990-5591</v>
      </c>
      <c r="F120" s="6">
        <f>'Осн. хар-ки'!F5</f>
        <v>3402</v>
      </c>
    </row>
    <row r="121" spans="1:6" x14ac:dyDescent="0.3">
      <c r="A121" s="11" t="s">
        <v>179</v>
      </c>
      <c r="B121" s="6"/>
      <c r="C121" s="6"/>
      <c r="D121" s="6"/>
      <c r="E121" s="6"/>
      <c r="F121" s="6"/>
    </row>
    <row r="122" spans="1:6" x14ac:dyDescent="0.3">
      <c r="A122" s="11" t="s">
        <v>177</v>
      </c>
      <c r="B122" s="6" t="s">
        <v>120</v>
      </c>
      <c r="C122" s="24">
        <v>3960</v>
      </c>
      <c r="D122" s="6">
        <v>3377</v>
      </c>
      <c r="E122" s="6" t="s">
        <v>120</v>
      </c>
      <c r="F122" s="6" t="s">
        <v>120</v>
      </c>
    </row>
    <row r="123" spans="1:6" x14ac:dyDescent="0.3">
      <c r="A123" s="11" t="s">
        <v>178</v>
      </c>
      <c r="B123" s="6" t="s">
        <v>120</v>
      </c>
      <c r="C123" s="6">
        <v>4020</v>
      </c>
      <c r="D123" s="6" t="s">
        <v>120</v>
      </c>
      <c r="E123" s="6" t="s">
        <v>120</v>
      </c>
      <c r="F123" s="6" t="s">
        <v>120</v>
      </c>
    </row>
    <row r="124" spans="1:6" x14ac:dyDescent="0.3">
      <c r="A124" s="14" t="s">
        <v>90</v>
      </c>
      <c r="B124" s="7"/>
      <c r="C124" s="6"/>
      <c r="D124" s="6"/>
      <c r="E124" s="6"/>
      <c r="F124" s="6"/>
    </row>
    <row r="125" spans="1:6" x14ac:dyDescent="0.3">
      <c r="A125" s="11" t="s">
        <v>98</v>
      </c>
      <c r="B125" s="7" t="s">
        <v>92</v>
      </c>
      <c r="C125" s="6" t="s">
        <v>203</v>
      </c>
      <c r="D125" s="6" t="s">
        <v>120</v>
      </c>
      <c r="E125" s="6" t="s">
        <v>120</v>
      </c>
      <c r="F125" s="6" t="s">
        <v>120</v>
      </c>
    </row>
    <row r="126" spans="1:6" x14ac:dyDescent="0.3">
      <c r="A126" s="21" t="s">
        <v>97</v>
      </c>
      <c r="B126" s="7" t="s">
        <v>91</v>
      </c>
      <c r="C126" s="6" t="s">
        <v>203</v>
      </c>
      <c r="D126" s="6" t="s">
        <v>120</v>
      </c>
      <c r="E126" s="6" t="s">
        <v>120</v>
      </c>
      <c r="F126" s="6" t="s">
        <v>120</v>
      </c>
    </row>
    <row r="127" spans="1:6" x14ac:dyDescent="0.3">
      <c r="A127" s="12" t="s">
        <v>205</v>
      </c>
      <c r="B127" s="6">
        <v>200</v>
      </c>
      <c r="C127" s="6"/>
      <c r="D127" s="6"/>
      <c r="E127" s="6"/>
      <c r="F127" s="6"/>
    </row>
    <row r="128" spans="1:6" x14ac:dyDescent="0.3">
      <c r="A128" s="5" t="s">
        <v>204</v>
      </c>
      <c r="B128" s="6" t="s">
        <v>120</v>
      </c>
      <c r="C128" s="6" t="s">
        <v>206</v>
      </c>
      <c r="D128" s="6" t="s">
        <v>120</v>
      </c>
      <c r="E128" s="6" t="s">
        <v>120</v>
      </c>
      <c r="F128" s="6" t="s">
        <v>120</v>
      </c>
    </row>
    <row r="129" spans="1:6" x14ac:dyDescent="0.3">
      <c r="A129" s="5" t="s">
        <v>202</v>
      </c>
      <c r="B129" s="6" t="s">
        <v>120</v>
      </c>
      <c r="C129" s="6" t="s">
        <v>207</v>
      </c>
      <c r="D129" s="6" t="s">
        <v>120</v>
      </c>
      <c r="E129" s="6" t="s">
        <v>120</v>
      </c>
      <c r="F129" s="6" t="s">
        <v>120</v>
      </c>
    </row>
    <row r="130" spans="1:6" x14ac:dyDescent="0.3">
      <c r="A130" s="11" t="s">
        <v>210</v>
      </c>
      <c r="B130" s="6" t="s">
        <v>120</v>
      </c>
      <c r="C130" s="24">
        <v>1000</v>
      </c>
      <c r="D130" s="6" t="s">
        <v>120</v>
      </c>
      <c r="E130" s="6" t="s">
        <v>120</v>
      </c>
      <c r="F130" s="6" t="s">
        <v>120</v>
      </c>
    </row>
    <row r="131" spans="1:6" x14ac:dyDescent="0.3">
      <c r="A131" s="11" t="s">
        <v>211</v>
      </c>
      <c r="B131" s="6" t="s">
        <v>120</v>
      </c>
      <c r="C131" s="6">
        <v>500</v>
      </c>
      <c r="D131" s="6" t="s">
        <v>120</v>
      </c>
      <c r="E131" s="6" t="s">
        <v>120</v>
      </c>
      <c r="F131" s="6" t="s">
        <v>120</v>
      </c>
    </row>
    <row r="132" spans="1:6" x14ac:dyDescent="0.3">
      <c r="A132" s="11" t="s">
        <v>212</v>
      </c>
      <c r="B132" s="6" t="s">
        <v>120</v>
      </c>
      <c r="C132" s="6">
        <v>500</v>
      </c>
      <c r="D132" s="6" t="s">
        <v>120</v>
      </c>
      <c r="E132" s="6" t="s">
        <v>120</v>
      </c>
      <c r="F132" s="6" t="s">
        <v>120</v>
      </c>
    </row>
    <row r="133" spans="1:6" x14ac:dyDescent="0.3">
      <c r="A133" s="11" t="s">
        <v>218</v>
      </c>
      <c r="B133" s="6" t="s">
        <v>120</v>
      </c>
      <c r="C133" s="6">
        <v>400</v>
      </c>
      <c r="D133" s="6" t="s">
        <v>120</v>
      </c>
      <c r="E133" s="6" t="s">
        <v>120</v>
      </c>
      <c r="F133" s="6" t="s">
        <v>120</v>
      </c>
    </row>
    <row r="134" spans="1:6" x14ac:dyDescent="0.3">
      <c r="A134" s="14" t="s">
        <v>208</v>
      </c>
      <c r="B134" s="6"/>
      <c r="C134" s="6"/>
      <c r="D134" s="6"/>
      <c r="E134" s="6"/>
      <c r="F134" s="6"/>
    </row>
    <row r="135" spans="1:6" x14ac:dyDescent="0.3">
      <c r="A135" s="11" t="s">
        <v>49</v>
      </c>
      <c r="B135" s="6" t="s">
        <v>120</v>
      </c>
      <c r="C135" s="6">
        <v>1</v>
      </c>
      <c r="D135" s="6" t="s">
        <v>120</v>
      </c>
      <c r="E135" s="6" t="s">
        <v>120</v>
      </c>
      <c r="F135" s="6" t="s">
        <v>120</v>
      </c>
    </row>
    <row r="136" spans="1:6" x14ac:dyDescent="0.3">
      <c r="A136" s="11" t="s">
        <v>213</v>
      </c>
      <c r="B136" s="6"/>
      <c r="C136" s="6"/>
      <c r="D136" s="6"/>
      <c r="E136" s="6"/>
      <c r="F136" s="6"/>
    </row>
    <row r="137" spans="1:6" x14ac:dyDescent="0.3">
      <c r="A137" s="11" t="s">
        <v>216</v>
      </c>
      <c r="B137" s="6" t="s">
        <v>120</v>
      </c>
      <c r="C137" s="6" t="s">
        <v>217</v>
      </c>
      <c r="D137" s="6" t="s">
        <v>120</v>
      </c>
      <c r="E137" s="6" t="s">
        <v>120</v>
      </c>
      <c r="F137" s="6" t="s">
        <v>120</v>
      </c>
    </row>
    <row r="138" spans="1:6" x14ac:dyDescent="0.3">
      <c r="A138" s="11" t="s">
        <v>214</v>
      </c>
      <c r="B138" s="6" t="s">
        <v>120</v>
      </c>
      <c r="C138" s="6" t="s">
        <v>215</v>
      </c>
      <c r="D138" s="6" t="s">
        <v>120</v>
      </c>
      <c r="E138" s="6" t="s">
        <v>120</v>
      </c>
      <c r="F138" s="6" t="s">
        <v>120</v>
      </c>
    </row>
    <row r="139" spans="1:6" x14ac:dyDescent="0.3">
      <c r="A139" s="25" t="s">
        <v>93</v>
      </c>
      <c r="B139" s="6"/>
      <c r="C139" s="6"/>
      <c r="D139" s="6"/>
      <c r="E139" s="6"/>
      <c r="F139" s="6"/>
    </row>
    <row r="140" spans="1:6" x14ac:dyDescent="0.3">
      <c r="A140" s="11" t="s">
        <v>95</v>
      </c>
      <c r="B140" s="26">
        <v>22</v>
      </c>
      <c r="C140" s="6" t="s">
        <v>120</v>
      </c>
      <c r="D140" s="6" t="s">
        <v>120</v>
      </c>
      <c r="E140" s="6" t="s">
        <v>120</v>
      </c>
      <c r="F140" s="6" t="s">
        <v>120</v>
      </c>
    </row>
    <row r="141" spans="1:6" x14ac:dyDescent="0.3">
      <c r="A141" s="11" t="s">
        <v>96</v>
      </c>
      <c r="B141" s="6">
        <v>33</v>
      </c>
      <c r="C141" s="6" t="s">
        <v>120</v>
      </c>
      <c r="D141" s="6" t="s">
        <v>120</v>
      </c>
      <c r="E141" s="6" t="s">
        <v>120</v>
      </c>
      <c r="F141" s="6" t="s">
        <v>120</v>
      </c>
    </row>
    <row r="142" spans="1:6" x14ac:dyDescent="0.3">
      <c r="A142" s="11" t="s">
        <v>94</v>
      </c>
      <c r="B142" s="6">
        <v>50</v>
      </c>
      <c r="C142" s="6" t="s">
        <v>120</v>
      </c>
      <c r="D142" s="6" t="s">
        <v>120</v>
      </c>
      <c r="E142" s="6" t="s">
        <v>120</v>
      </c>
      <c r="F142" s="6" t="s">
        <v>120</v>
      </c>
    </row>
    <row r="143" spans="1:6" x14ac:dyDescent="0.3">
      <c r="A143" s="2"/>
      <c r="B143" s="3"/>
      <c r="C143" s="3"/>
      <c r="D143" s="3"/>
      <c r="E143" s="3"/>
      <c r="F143" s="3"/>
    </row>
    <row r="144" spans="1:6" x14ac:dyDescent="0.3">
      <c r="A144" s="17" t="s">
        <v>209</v>
      </c>
      <c r="B144" s="6"/>
      <c r="C144" s="6"/>
      <c r="D144" s="6"/>
      <c r="E144" s="6"/>
      <c r="F144" s="6"/>
    </row>
    <row r="145" spans="1:6" x14ac:dyDescent="0.3">
      <c r="A145" s="11" t="s">
        <v>104</v>
      </c>
      <c r="B145" s="6">
        <f>'Осн. хар-ки'!B19</f>
        <v>355</v>
      </c>
      <c r="C145" s="6">
        <f>'Осн. хар-ки'!C19</f>
        <v>430</v>
      </c>
      <c r="D145" s="6">
        <f>'Осн. хар-ки'!D19</f>
        <v>325</v>
      </c>
      <c r="E145" s="6">
        <f>'Осн. хар-ки'!E19</f>
        <v>400</v>
      </c>
      <c r="F145" s="6">
        <f>'Осн. хар-ки'!F19</f>
        <v>528</v>
      </c>
    </row>
    <row r="146" spans="1:6" x14ac:dyDescent="0.3">
      <c r="A146" s="16" t="s">
        <v>103</v>
      </c>
      <c r="B146" s="6" t="s">
        <v>120</v>
      </c>
      <c r="C146" s="6" t="s">
        <v>120</v>
      </c>
      <c r="D146" s="6"/>
      <c r="E146" s="6"/>
      <c r="F146" s="6"/>
    </row>
    <row r="147" spans="1:6" x14ac:dyDescent="0.3">
      <c r="A147" s="5" t="s">
        <v>229</v>
      </c>
      <c r="B147" s="6" t="s">
        <v>120</v>
      </c>
      <c r="C147" s="6">
        <v>265</v>
      </c>
      <c r="D147" s="6" t="s">
        <v>120</v>
      </c>
      <c r="E147" s="6" t="s">
        <v>120</v>
      </c>
      <c r="F147" s="6" t="s">
        <v>120</v>
      </c>
    </row>
    <row r="148" spans="1:6" x14ac:dyDescent="0.3">
      <c r="A148" s="14" t="s">
        <v>102</v>
      </c>
      <c r="B148" s="6"/>
      <c r="C148" s="6"/>
      <c r="D148" s="6"/>
      <c r="E148" s="6"/>
      <c r="F148" s="6"/>
    </row>
    <row r="149" spans="1:6" x14ac:dyDescent="0.3">
      <c r="A149" s="11" t="s">
        <v>230</v>
      </c>
      <c r="B149" s="6" t="s">
        <v>231</v>
      </c>
      <c r="C149" s="6" t="s">
        <v>233</v>
      </c>
      <c r="D149" s="6" t="s">
        <v>120</v>
      </c>
      <c r="E149" s="6" t="s">
        <v>120</v>
      </c>
      <c r="F149" s="6" t="s">
        <v>120</v>
      </c>
    </row>
    <row r="150" spans="1:6" x14ac:dyDescent="0.3">
      <c r="A150" s="11" t="s">
        <v>235</v>
      </c>
      <c r="B150" s="6" t="s">
        <v>232</v>
      </c>
      <c r="C150" s="6" t="s">
        <v>234</v>
      </c>
      <c r="D150" s="6" t="s">
        <v>120</v>
      </c>
      <c r="E150" s="6" t="s">
        <v>120</v>
      </c>
      <c r="F150" s="6" t="s">
        <v>120</v>
      </c>
    </row>
    <row r="151" spans="1:6" x14ac:dyDescent="0.3">
      <c r="A151" s="11" t="s">
        <v>101</v>
      </c>
      <c r="B151" s="6">
        <v>195</v>
      </c>
      <c r="C151" s="6" t="s">
        <v>120</v>
      </c>
      <c r="D151" s="6" t="s">
        <v>120</v>
      </c>
      <c r="E151" s="6" t="s">
        <v>120</v>
      </c>
      <c r="F151" s="6" t="s">
        <v>120</v>
      </c>
    </row>
    <row r="152" spans="1:6" x14ac:dyDescent="0.3">
      <c r="A152" s="11" t="s">
        <v>236</v>
      </c>
      <c r="B152" s="6">
        <v>180</v>
      </c>
      <c r="C152" s="6">
        <v>190</v>
      </c>
      <c r="D152" s="6" t="s">
        <v>120</v>
      </c>
      <c r="E152" s="6" t="s">
        <v>120</v>
      </c>
      <c r="F152" s="6" t="s">
        <v>120</v>
      </c>
    </row>
    <row r="153" spans="1:6" x14ac:dyDescent="0.3">
      <c r="A153" s="14" t="s">
        <v>237</v>
      </c>
      <c r="B153" s="6"/>
      <c r="C153" s="6"/>
      <c r="D153" s="6"/>
      <c r="E153" s="6"/>
      <c r="F153" s="6"/>
    </row>
    <row r="154" spans="1:6" x14ac:dyDescent="0.3">
      <c r="A154" s="11" t="s">
        <v>242</v>
      </c>
      <c r="B154" s="6" t="s">
        <v>245</v>
      </c>
      <c r="C154" s="6">
        <v>135</v>
      </c>
      <c r="D154" s="6" t="s">
        <v>120</v>
      </c>
      <c r="E154" s="6" t="s">
        <v>120</v>
      </c>
      <c r="F154" s="6" t="s">
        <v>120</v>
      </c>
    </row>
    <row r="155" spans="1:6" x14ac:dyDescent="0.3">
      <c r="A155" s="11" t="s">
        <v>243</v>
      </c>
      <c r="B155" s="6" t="s">
        <v>246</v>
      </c>
      <c r="C155" s="6">
        <v>135</v>
      </c>
      <c r="D155" s="6" t="s">
        <v>120</v>
      </c>
      <c r="E155" s="6" t="s">
        <v>120</v>
      </c>
      <c r="F155" s="6" t="s">
        <v>120</v>
      </c>
    </row>
    <row r="156" spans="1:6" x14ac:dyDescent="0.3">
      <c r="A156" s="11" t="s">
        <v>244</v>
      </c>
      <c r="B156" s="6" t="s">
        <v>247</v>
      </c>
      <c r="C156" s="6">
        <v>135</v>
      </c>
      <c r="D156" s="6" t="s">
        <v>120</v>
      </c>
      <c r="E156" s="6" t="s">
        <v>120</v>
      </c>
      <c r="F156" s="6" t="s">
        <v>120</v>
      </c>
    </row>
    <row r="157" spans="1:6" x14ac:dyDescent="0.3">
      <c r="A157" s="11" t="s">
        <v>241</v>
      </c>
      <c r="B157" s="6" t="s">
        <v>248</v>
      </c>
      <c r="C157" s="6">
        <v>135</v>
      </c>
      <c r="D157" s="6" t="s">
        <v>120</v>
      </c>
      <c r="E157" s="6" t="s">
        <v>120</v>
      </c>
      <c r="F157" s="6" t="s">
        <v>120</v>
      </c>
    </row>
    <row r="158" spans="1:6" x14ac:dyDescent="0.3">
      <c r="A158" s="14" t="s">
        <v>238</v>
      </c>
      <c r="B158" s="6"/>
      <c r="C158" s="6"/>
      <c r="D158" s="6"/>
      <c r="E158" s="6"/>
      <c r="F158" s="6"/>
    </row>
    <row r="159" spans="1:6" x14ac:dyDescent="0.3">
      <c r="A159" s="11" t="s">
        <v>239</v>
      </c>
      <c r="B159" s="6" t="s">
        <v>120</v>
      </c>
      <c r="C159" s="6">
        <v>175</v>
      </c>
      <c r="D159" s="6" t="s">
        <v>120</v>
      </c>
      <c r="E159" s="6" t="s">
        <v>120</v>
      </c>
      <c r="F159" s="6" t="s">
        <v>120</v>
      </c>
    </row>
    <row r="160" spans="1:6" x14ac:dyDescent="0.3">
      <c r="A160" s="11" t="s">
        <v>240</v>
      </c>
      <c r="B160" s="6" t="s">
        <v>120</v>
      </c>
      <c r="C160" s="6">
        <v>155</v>
      </c>
      <c r="D160" s="6" t="s">
        <v>120</v>
      </c>
      <c r="E160" s="6" t="s">
        <v>120</v>
      </c>
      <c r="F160" s="6" t="s">
        <v>120</v>
      </c>
    </row>
    <row r="161" spans="1:6" x14ac:dyDescent="0.3">
      <c r="A161" s="11" t="s">
        <v>100</v>
      </c>
      <c r="B161" s="6"/>
      <c r="C161" s="6"/>
      <c r="D161" s="6"/>
      <c r="E161" s="6"/>
      <c r="F161" s="6"/>
    </row>
    <row r="162" spans="1:6" x14ac:dyDescent="0.3">
      <c r="A162" s="11" t="s">
        <v>220</v>
      </c>
      <c r="B162" s="6">
        <f>'Осн. хар-ки'!B31</f>
        <v>7500</v>
      </c>
      <c r="C162" s="6">
        <f>'Осн. хар-ки'!C31</f>
        <v>6100</v>
      </c>
      <c r="D162" s="6">
        <f>'Осн. хар-ки'!D31</f>
        <v>7620</v>
      </c>
      <c r="E162" s="6">
        <f>'Осн. хар-ки'!E31</f>
        <v>7600</v>
      </c>
      <c r="F162" s="6">
        <f>'Осн. хар-ки'!F31</f>
        <v>9144</v>
      </c>
    </row>
    <row r="163" spans="1:6" x14ac:dyDescent="0.3">
      <c r="A163" s="16" t="s">
        <v>219</v>
      </c>
      <c r="B163" s="6" t="s">
        <v>120</v>
      </c>
      <c r="C163" s="6">
        <v>4000</v>
      </c>
      <c r="D163" s="6" t="s">
        <v>120</v>
      </c>
      <c r="E163" s="6" t="s">
        <v>120</v>
      </c>
      <c r="F163" s="6" t="s">
        <v>120</v>
      </c>
    </row>
    <row r="164" spans="1:6" x14ac:dyDescent="0.3">
      <c r="A164" s="11" t="s">
        <v>307</v>
      </c>
      <c r="B164" s="6" t="s">
        <v>120</v>
      </c>
      <c r="C164" s="6">
        <v>4000</v>
      </c>
      <c r="D164" s="6" t="s">
        <v>120</v>
      </c>
      <c r="E164" s="6" t="s">
        <v>120</v>
      </c>
      <c r="F164" s="6" t="s">
        <v>120</v>
      </c>
    </row>
    <row r="165" spans="1:6" x14ac:dyDescent="0.3">
      <c r="A165" s="2"/>
      <c r="B165" s="3"/>
      <c r="C165" s="3"/>
      <c r="D165" s="3"/>
      <c r="E165" s="3"/>
      <c r="F165" s="3"/>
    </row>
    <row r="166" spans="1:6" x14ac:dyDescent="0.3">
      <c r="A166" s="17" t="s">
        <v>185</v>
      </c>
      <c r="B166" s="6"/>
      <c r="C166" s="6"/>
      <c r="D166" s="6"/>
      <c r="E166" s="6"/>
      <c r="F166" s="6"/>
    </row>
    <row r="167" spans="1:6" x14ac:dyDescent="0.3">
      <c r="A167" s="11" t="s">
        <v>186</v>
      </c>
      <c r="B167" s="7" t="s">
        <v>268</v>
      </c>
      <c r="C167" s="6" t="s">
        <v>120</v>
      </c>
      <c r="D167" s="6" t="s">
        <v>120</v>
      </c>
      <c r="E167" s="6" t="s">
        <v>120</v>
      </c>
      <c r="F167" s="6" t="s">
        <v>120</v>
      </c>
    </row>
    <row r="168" spans="1:6" x14ac:dyDescent="0.3">
      <c r="A168" s="16" t="s">
        <v>187</v>
      </c>
      <c r="B168" s="7" t="s">
        <v>120</v>
      </c>
      <c r="C168" s="6" t="s">
        <v>120</v>
      </c>
      <c r="D168" s="6" t="s">
        <v>120</v>
      </c>
      <c r="E168" s="6" t="s">
        <v>120</v>
      </c>
      <c r="F168" s="6" t="s">
        <v>120</v>
      </c>
    </row>
    <row r="169" spans="1:6" x14ac:dyDescent="0.3">
      <c r="A169" s="11" t="s">
        <v>188</v>
      </c>
      <c r="B169" s="6"/>
      <c r="C169" s="6"/>
      <c r="D169" s="6"/>
      <c r="E169" s="6"/>
      <c r="F169" s="6"/>
    </row>
    <row r="170" spans="1:6" x14ac:dyDescent="0.3">
      <c r="A170" s="16" t="s">
        <v>189</v>
      </c>
      <c r="B170" s="6">
        <v>960</v>
      </c>
      <c r="C170" s="7" t="s">
        <v>183</v>
      </c>
      <c r="D170" s="6" t="s">
        <v>258</v>
      </c>
      <c r="E170" s="6" t="s">
        <v>265</v>
      </c>
      <c r="F170" s="6" t="s">
        <v>120</v>
      </c>
    </row>
    <row r="171" spans="1:6" x14ac:dyDescent="0.3">
      <c r="A171" s="11" t="s">
        <v>190</v>
      </c>
      <c r="B171" s="6" t="s">
        <v>120</v>
      </c>
      <c r="C171" s="7" t="s">
        <v>184</v>
      </c>
      <c r="D171" s="6" t="s">
        <v>263</v>
      </c>
      <c r="E171" s="6" t="s">
        <v>120</v>
      </c>
      <c r="F171" s="6" t="s">
        <v>120</v>
      </c>
    </row>
    <row r="172" spans="1:6" x14ac:dyDescent="0.3">
      <c r="A172" s="11" t="s">
        <v>191</v>
      </c>
      <c r="B172" s="6"/>
      <c r="C172" s="7"/>
      <c r="D172" s="6"/>
      <c r="E172" s="6"/>
      <c r="F172" s="6"/>
    </row>
    <row r="173" spans="1:6" x14ac:dyDescent="0.3">
      <c r="A173" s="21" t="s">
        <v>192</v>
      </c>
      <c r="B173" s="6" t="s">
        <v>120</v>
      </c>
      <c r="C173" s="20">
        <v>36660</v>
      </c>
      <c r="D173" s="6">
        <v>38100</v>
      </c>
      <c r="E173" s="6" t="s">
        <v>120</v>
      </c>
      <c r="F173" s="6" t="s">
        <v>120</v>
      </c>
    </row>
    <row r="174" spans="1:6" x14ac:dyDescent="0.3">
      <c r="A174" s="11" t="s">
        <v>195</v>
      </c>
      <c r="B174" s="6" t="s">
        <v>120</v>
      </c>
      <c r="C174" s="7">
        <v>31023</v>
      </c>
      <c r="D174" s="6" t="s">
        <v>120</v>
      </c>
      <c r="E174" s="6" t="s">
        <v>120</v>
      </c>
      <c r="F174" s="6" t="s">
        <v>120</v>
      </c>
    </row>
    <row r="175" spans="1:6" x14ac:dyDescent="0.3">
      <c r="A175" s="16" t="s">
        <v>193</v>
      </c>
      <c r="B175" s="6" t="s">
        <v>120</v>
      </c>
      <c r="C175" s="7" t="s">
        <v>194</v>
      </c>
      <c r="D175" s="6" t="s">
        <v>120</v>
      </c>
      <c r="E175" s="6" t="s">
        <v>120</v>
      </c>
      <c r="F175" s="6" t="s">
        <v>120</v>
      </c>
    </row>
    <row r="176" spans="1:6" x14ac:dyDescent="0.3">
      <c r="A176" s="13" t="s">
        <v>182</v>
      </c>
      <c r="B176" s="6"/>
      <c r="C176" s="6"/>
      <c r="D176" s="6"/>
      <c r="E176" s="6"/>
      <c r="F176" s="6"/>
    </row>
    <row r="177" spans="1:6" x14ac:dyDescent="0.3">
      <c r="A177" s="11" t="s">
        <v>197</v>
      </c>
      <c r="B177" s="7" t="s">
        <v>120</v>
      </c>
      <c r="C177" s="6">
        <v>2.2999999999999998</v>
      </c>
      <c r="D177" s="6" t="s">
        <v>264</v>
      </c>
      <c r="E177" s="6" t="s">
        <v>120</v>
      </c>
      <c r="F177" s="6" t="s">
        <v>120</v>
      </c>
    </row>
    <row r="178" spans="1:6" x14ac:dyDescent="0.3">
      <c r="A178" s="11" t="s">
        <v>198</v>
      </c>
      <c r="B178" s="7" t="s">
        <v>120</v>
      </c>
      <c r="C178" s="6">
        <v>5</v>
      </c>
      <c r="D178" s="6" t="s">
        <v>120</v>
      </c>
      <c r="E178" s="6" t="s">
        <v>120</v>
      </c>
      <c r="F178" s="6" t="s">
        <v>120</v>
      </c>
    </row>
    <row r="179" spans="1:6" x14ac:dyDescent="0.3">
      <c r="A179" s="11" t="s">
        <v>199</v>
      </c>
      <c r="B179" s="7" t="s">
        <v>120</v>
      </c>
      <c r="C179" s="6" t="s">
        <v>196</v>
      </c>
      <c r="D179" s="6" t="s">
        <v>120</v>
      </c>
      <c r="E179" s="6" t="s">
        <v>120</v>
      </c>
      <c r="F179" s="6" t="s">
        <v>120</v>
      </c>
    </row>
    <row r="180" spans="1:6" x14ac:dyDescent="0.3">
      <c r="A180" s="11" t="s">
        <v>201</v>
      </c>
      <c r="B180" s="7" t="s">
        <v>120</v>
      </c>
      <c r="C180" s="6" t="s">
        <v>200</v>
      </c>
      <c r="D180" s="6" t="s">
        <v>120</v>
      </c>
      <c r="E180" s="6" t="s">
        <v>120</v>
      </c>
      <c r="F180" s="6" t="s">
        <v>120</v>
      </c>
    </row>
    <row r="181" spans="1:6" x14ac:dyDescent="0.3">
      <c r="A181" s="2"/>
      <c r="B181" s="3"/>
      <c r="C181" s="3"/>
      <c r="D181" s="3"/>
      <c r="E181" s="3"/>
      <c r="F181" s="3"/>
    </row>
    <row r="182" spans="1:6" x14ac:dyDescent="0.3">
      <c r="A182" s="27" t="s">
        <v>53</v>
      </c>
      <c r="B182" s="20"/>
      <c r="C182" s="6"/>
      <c r="D182" s="6"/>
      <c r="E182" s="6"/>
      <c r="F182" s="6"/>
    </row>
    <row r="183" spans="1:6" x14ac:dyDescent="0.3">
      <c r="A183" s="11" t="s">
        <v>57</v>
      </c>
      <c r="B183" s="7" t="s">
        <v>55</v>
      </c>
      <c r="C183" s="6" t="s">
        <v>120</v>
      </c>
      <c r="D183" s="6" t="s">
        <v>120</v>
      </c>
      <c r="E183" s="6" t="s">
        <v>120</v>
      </c>
      <c r="F183" s="6" t="s">
        <v>120</v>
      </c>
    </row>
    <row r="184" spans="1:6" x14ac:dyDescent="0.3">
      <c r="A184" s="11" t="s">
        <v>61</v>
      </c>
      <c r="B184" s="7" t="s">
        <v>56</v>
      </c>
      <c r="C184" s="6" t="s">
        <v>120</v>
      </c>
      <c r="D184" s="6" t="s">
        <v>120</v>
      </c>
      <c r="E184" s="6" t="s">
        <v>120</v>
      </c>
      <c r="F184" s="6" t="s">
        <v>120</v>
      </c>
    </row>
    <row r="185" spans="1:6" x14ac:dyDescent="0.3">
      <c r="A185" s="11" t="s">
        <v>62</v>
      </c>
      <c r="B185" s="6"/>
      <c r="C185" s="6" t="s">
        <v>120</v>
      </c>
      <c r="D185" s="6" t="s">
        <v>120</v>
      </c>
      <c r="E185" s="6" t="s">
        <v>120</v>
      </c>
      <c r="F185" s="6" t="s">
        <v>120</v>
      </c>
    </row>
    <row r="186" spans="1:6" x14ac:dyDescent="0.3">
      <c r="A186" s="11" t="s">
        <v>60</v>
      </c>
      <c r="B186" s="7"/>
      <c r="C186" s="6" t="s">
        <v>120</v>
      </c>
      <c r="D186" s="6" t="s">
        <v>120</v>
      </c>
      <c r="E186" s="6" t="s">
        <v>120</v>
      </c>
      <c r="F186" s="6" t="s">
        <v>120</v>
      </c>
    </row>
    <row r="187" spans="1:6" x14ac:dyDescent="0.3">
      <c r="A187" s="11" t="s">
        <v>59</v>
      </c>
      <c r="B187" s="7"/>
      <c r="C187" s="6" t="s">
        <v>120</v>
      </c>
      <c r="D187" s="6" t="s">
        <v>120</v>
      </c>
      <c r="E187" s="6" t="s">
        <v>120</v>
      </c>
      <c r="F187" s="6" t="s">
        <v>120</v>
      </c>
    </row>
    <row r="188" spans="1:6" x14ac:dyDescent="0.3">
      <c r="A188" s="11" t="s">
        <v>58</v>
      </c>
      <c r="B188" s="7">
        <v>2600</v>
      </c>
      <c r="C188" s="6" t="s">
        <v>120</v>
      </c>
      <c r="D188" s="6" t="s">
        <v>120</v>
      </c>
      <c r="E188" s="6" t="s">
        <v>120</v>
      </c>
      <c r="F188" s="6" t="s">
        <v>120</v>
      </c>
    </row>
    <row r="189" spans="1:6" x14ac:dyDescent="0.3">
      <c r="A189" s="14" t="s">
        <v>181</v>
      </c>
      <c r="B189" s="7"/>
      <c r="C189" s="6"/>
      <c r="D189" s="6"/>
      <c r="E189" s="6"/>
      <c r="F189" s="6"/>
    </row>
    <row r="190" spans="1:6" x14ac:dyDescent="0.3">
      <c r="A190" s="11" t="s">
        <v>64</v>
      </c>
      <c r="B190" s="7">
        <v>3000</v>
      </c>
      <c r="C190" s="6" t="s">
        <v>120</v>
      </c>
      <c r="D190" s="6" t="s">
        <v>120</v>
      </c>
      <c r="E190" s="6" t="s">
        <v>120</v>
      </c>
      <c r="F190" s="6" t="s">
        <v>120</v>
      </c>
    </row>
    <row r="191" spans="1:6" x14ac:dyDescent="0.3">
      <c r="A191" s="11" t="s">
        <v>63</v>
      </c>
      <c r="B191" s="7">
        <v>4200</v>
      </c>
      <c r="C191" s="6" t="s">
        <v>120</v>
      </c>
      <c r="D191" s="6" t="s">
        <v>120</v>
      </c>
      <c r="E191" s="6" t="s">
        <v>120</v>
      </c>
      <c r="F191" s="6" t="s">
        <v>120</v>
      </c>
    </row>
    <row r="192" spans="1:6" x14ac:dyDescent="0.3">
      <c r="A192" s="11" t="s">
        <v>65</v>
      </c>
      <c r="B192" s="7"/>
      <c r="C192" s="6" t="s">
        <v>120</v>
      </c>
      <c r="D192" s="6" t="s">
        <v>120</v>
      </c>
      <c r="E192" s="6" t="s">
        <v>120</v>
      </c>
      <c r="F192" s="6" t="s">
        <v>120</v>
      </c>
    </row>
    <row r="193" spans="1:6" x14ac:dyDescent="0.3">
      <c r="A193" s="11" t="s">
        <v>54</v>
      </c>
      <c r="B193" s="7"/>
      <c r="C193" s="6" t="s">
        <v>120</v>
      </c>
      <c r="D193" s="6" t="s">
        <v>120</v>
      </c>
      <c r="E193" s="6" t="s">
        <v>120</v>
      </c>
      <c r="F193" s="6" t="s">
        <v>120</v>
      </c>
    </row>
    <row r="194" spans="1:6" x14ac:dyDescent="0.3">
      <c r="A194" s="11" t="s">
        <v>67</v>
      </c>
      <c r="B194" s="6"/>
      <c r="C194" s="6" t="s">
        <v>120</v>
      </c>
      <c r="D194" s="6" t="s">
        <v>120</v>
      </c>
      <c r="E194" s="6" t="s">
        <v>120</v>
      </c>
      <c r="F194" s="6" t="s">
        <v>120</v>
      </c>
    </row>
    <row r="195" spans="1:6" x14ac:dyDescent="0.3">
      <c r="A195" s="11" t="s">
        <v>66</v>
      </c>
      <c r="B195" s="6">
        <v>20</v>
      </c>
      <c r="C195" s="6" t="s">
        <v>120</v>
      </c>
      <c r="D195" s="6" t="s">
        <v>120</v>
      </c>
      <c r="E195" s="6" t="s">
        <v>120</v>
      </c>
      <c r="F195" s="6" t="s">
        <v>120</v>
      </c>
    </row>
    <row r="196" spans="1:6" x14ac:dyDescent="0.3">
      <c r="A196" s="11" t="s">
        <v>225</v>
      </c>
      <c r="B196" s="6" t="s">
        <v>226</v>
      </c>
      <c r="C196" s="6" t="s">
        <v>227</v>
      </c>
      <c r="D196" s="6" t="s">
        <v>120</v>
      </c>
      <c r="E196" s="6" t="s">
        <v>120</v>
      </c>
      <c r="F196" s="6" t="s">
        <v>120</v>
      </c>
    </row>
    <row r="197" spans="1:6" x14ac:dyDescent="0.3">
      <c r="A197" s="14" t="s">
        <v>73</v>
      </c>
      <c r="B197" s="6"/>
      <c r="C197" s="6"/>
      <c r="D197" s="6"/>
      <c r="E197" s="6"/>
      <c r="F197" s="6"/>
    </row>
    <row r="198" spans="1:6" x14ac:dyDescent="0.3">
      <c r="A198" s="11" t="s">
        <v>69</v>
      </c>
      <c r="B198" s="28" t="s">
        <v>74</v>
      </c>
      <c r="C198" s="28" t="s">
        <v>74</v>
      </c>
      <c r="D198" s="6" t="s">
        <v>120</v>
      </c>
      <c r="E198" s="6" t="s">
        <v>120</v>
      </c>
      <c r="F198" s="6" t="s">
        <v>120</v>
      </c>
    </row>
    <row r="199" spans="1:6" x14ac:dyDescent="0.3">
      <c r="A199" s="11" t="s">
        <v>70</v>
      </c>
      <c r="B199" s="28" t="s">
        <v>228</v>
      </c>
      <c r="C199" s="28" t="s">
        <v>228</v>
      </c>
      <c r="D199" s="6" t="s">
        <v>120</v>
      </c>
      <c r="E199" s="6" t="s">
        <v>120</v>
      </c>
      <c r="F199" s="6" t="s">
        <v>120</v>
      </c>
    </row>
    <row r="200" spans="1:6" x14ac:dyDescent="0.3">
      <c r="A200" s="11" t="s">
        <v>71</v>
      </c>
      <c r="B200" s="28" t="s">
        <v>75</v>
      </c>
      <c r="C200" s="28" t="s">
        <v>75</v>
      </c>
      <c r="D200" s="6" t="s">
        <v>120</v>
      </c>
      <c r="E200" s="6" t="s">
        <v>120</v>
      </c>
      <c r="F200" s="6" t="s">
        <v>120</v>
      </c>
    </row>
    <row r="201" spans="1:6" x14ac:dyDescent="0.3">
      <c r="A201" s="11" t="s">
        <v>72</v>
      </c>
      <c r="B201" s="28" t="s">
        <v>76</v>
      </c>
      <c r="C201" s="28" t="s">
        <v>76</v>
      </c>
      <c r="D201" s="6" t="s">
        <v>120</v>
      </c>
      <c r="E201" s="6" t="s">
        <v>120</v>
      </c>
      <c r="F201" s="6" t="s">
        <v>120</v>
      </c>
    </row>
    <row r="202" spans="1:6" x14ac:dyDescent="0.3">
      <c r="A202" s="11" t="s">
        <v>77</v>
      </c>
      <c r="B202" s="6">
        <v>40</v>
      </c>
      <c r="C202" s="6" t="s">
        <v>120</v>
      </c>
      <c r="D202" s="6" t="s">
        <v>120</v>
      </c>
      <c r="E202" s="6" t="s">
        <v>120</v>
      </c>
      <c r="F202" s="6" t="s">
        <v>120</v>
      </c>
    </row>
    <row r="203" spans="1:6" x14ac:dyDescent="0.3">
      <c r="A203" s="16" t="s">
        <v>78</v>
      </c>
      <c r="B203" s="6">
        <v>0.3</v>
      </c>
      <c r="C203" s="6">
        <v>0.2</v>
      </c>
      <c r="D203" s="6" t="s">
        <v>120</v>
      </c>
      <c r="E203" s="6" t="s">
        <v>120</v>
      </c>
      <c r="F203" s="6" t="s">
        <v>120</v>
      </c>
    </row>
    <row r="204" spans="1:6" x14ac:dyDescent="0.3">
      <c r="A204" s="11" t="s">
        <v>68</v>
      </c>
      <c r="B204" s="6"/>
      <c r="C204" s="6" t="s">
        <v>120</v>
      </c>
      <c r="D204" s="6" t="s">
        <v>120</v>
      </c>
      <c r="E204" s="6" t="s">
        <v>120</v>
      </c>
      <c r="F204" s="6" t="s">
        <v>120</v>
      </c>
    </row>
    <row r="205" spans="1:6" x14ac:dyDescent="0.3">
      <c r="A205" s="14" t="s">
        <v>81</v>
      </c>
      <c r="B205" s="6"/>
      <c r="C205" s="6"/>
      <c r="D205" s="6"/>
      <c r="E205" s="6"/>
      <c r="F205" s="6"/>
    </row>
    <row r="206" spans="1:6" x14ac:dyDescent="0.3">
      <c r="A206" s="11" t="s">
        <v>80</v>
      </c>
      <c r="B206" s="6"/>
      <c r="C206" s="6" t="s">
        <v>120</v>
      </c>
      <c r="D206" s="6" t="s">
        <v>120</v>
      </c>
      <c r="E206" s="6" t="s">
        <v>120</v>
      </c>
      <c r="F206" s="6" t="s">
        <v>120</v>
      </c>
    </row>
    <row r="207" spans="1:6" x14ac:dyDescent="0.3">
      <c r="A207" s="11" t="s">
        <v>79</v>
      </c>
      <c r="B207" s="6"/>
      <c r="C207" s="6" t="s">
        <v>120</v>
      </c>
      <c r="D207" s="6" t="s">
        <v>120</v>
      </c>
      <c r="E207" s="6" t="s">
        <v>120</v>
      </c>
      <c r="F207" s="6" t="s">
        <v>120</v>
      </c>
    </row>
    <row r="208" spans="1:6" x14ac:dyDescent="0.3">
      <c r="B208" s="3"/>
      <c r="C208" s="3"/>
      <c r="D208" s="3"/>
      <c r="E208" s="3"/>
      <c r="F208" s="3"/>
    </row>
    <row r="209" spans="1:6" x14ac:dyDescent="0.3">
      <c r="A209" s="12" t="s">
        <v>84</v>
      </c>
      <c r="B209" s="6"/>
      <c r="C209" s="6"/>
      <c r="D209" s="6"/>
      <c r="E209" s="6"/>
      <c r="F209" s="6"/>
    </row>
    <row r="210" spans="1:6" x14ac:dyDescent="0.3">
      <c r="A210" s="16" t="s">
        <v>82</v>
      </c>
      <c r="B210" s="6">
        <v>2</v>
      </c>
      <c r="C210" s="6" t="s">
        <v>120</v>
      </c>
      <c r="D210" s="6" t="s">
        <v>120</v>
      </c>
      <c r="E210" s="6" t="s">
        <v>120</v>
      </c>
      <c r="F210" s="6" t="s">
        <v>120</v>
      </c>
    </row>
    <row r="211" spans="1:6" x14ac:dyDescent="0.3">
      <c r="A211" s="11" t="s">
        <v>83</v>
      </c>
      <c r="B211" s="6">
        <v>17</v>
      </c>
      <c r="C211" s="6" t="s">
        <v>120</v>
      </c>
      <c r="D211" s="6" t="s">
        <v>120</v>
      </c>
      <c r="E211" s="6" t="s">
        <v>120</v>
      </c>
      <c r="F211" s="6" t="s">
        <v>120</v>
      </c>
    </row>
    <row r="212" spans="1:6" x14ac:dyDescent="0.3">
      <c r="A212" s="2"/>
      <c r="B212" s="3"/>
      <c r="C212" s="3"/>
      <c r="D212" s="3"/>
      <c r="E212" s="3"/>
      <c r="F212" s="3"/>
    </row>
    <row r="213" spans="1:6" x14ac:dyDescent="0.3">
      <c r="A213" s="13" t="s">
        <v>105</v>
      </c>
      <c r="B213" s="6"/>
      <c r="C213" s="6"/>
      <c r="D213" s="6"/>
      <c r="E213" s="6"/>
      <c r="F213" s="6"/>
    </row>
    <row r="214" spans="1:6" x14ac:dyDescent="0.3">
      <c r="A214" s="14" t="s">
        <v>108</v>
      </c>
      <c r="B214" s="6"/>
      <c r="C214" s="6"/>
      <c r="D214" s="6"/>
      <c r="E214" s="6"/>
      <c r="F214" s="6"/>
    </row>
    <row r="215" spans="1:6" x14ac:dyDescent="0.3">
      <c r="A215" s="11" t="s">
        <v>106</v>
      </c>
      <c r="B215" s="6">
        <v>3</v>
      </c>
      <c r="C215" s="6">
        <v>3.1</v>
      </c>
      <c r="D215" s="6" t="s">
        <v>120</v>
      </c>
      <c r="E215" s="6" t="s">
        <v>120</v>
      </c>
      <c r="F215" s="6" t="s">
        <v>120</v>
      </c>
    </row>
    <row r="216" spans="1:6" x14ac:dyDescent="0.3">
      <c r="A216" s="11" t="s">
        <v>107</v>
      </c>
      <c r="B216" s="6">
        <v>2</v>
      </c>
      <c r="C216" s="6">
        <v>2</v>
      </c>
      <c r="D216" s="6" t="s">
        <v>120</v>
      </c>
      <c r="E216" s="6" t="s">
        <v>120</v>
      </c>
      <c r="F216" s="6" t="s">
        <v>120</v>
      </c>
    </row>
    <row r="217" spans="1:6" x14ac:dyDescent="0.3">
      <c r="A217" s="14" t="s">
        <v>109</v>
      </c>
      <c r="B217" s="6"/>
      <c r="C217" s="6"/>
      <c r="D217" s="15"/>
      <c r="E217" s="15"/>
      <c r="F217" s="15"/>
    </row>
    <row r="218" spans="1:6" x14ac:dyDescent="0.3">
      <c r="A218" s="11" t="s">
        <v>106</v>
      </c>
      <c r="B218" s="6">
        <v>-1</v>
      </c>
      <c r="C218" s="6">
        <v>-1.24</v>
      </c>
      <c r="D218" s="6" t="s">
        <v>120</v>
      </c>
      <c r="E218" s="6" t="s">
        <v>120</v>
      </c>
      <c r="F218" s="6" t="s">
        <v>120</v>
      </c>
    </row>
    <row r="219" spans="1:6" x14ac:dyDescent="0.3">
      <c r="A219" s="11" t="s">
        <v>107</v>
      </c>
      <c r="B219" s="6">
        <v>0</v>
      </c>
      <c r="C219" s="6">
        <v>0</v>
      </c>
      <c r="D219" s="6" t="s">
        <v>120</v>
      </c>
      <c r="E219" s="6" t="s">
        <v>120</v>
      </c>
      <c r="F219" s="6" t="s">
        <v>120</v>
      </c>
    </row>
    <row r="220" spans="1:6" x14ac:dyDescent="0.3">
      <c r="A220" s="14" t="s">
        <v>114</v>
      </c>
      <c r="B220" s="6"/>
      <c r="C220" s="6"/>
      <c r="D220" s="6"/>
      <c r="E220" s="6"/>
      <c r="F220" s="6"/>
    </row>
    <row r="221" spans="1:6" x14ac:dyDescent="0.3">
      <c r="A221" s="16" t="s">
        <v>110</v>
      </c>
      <c r="B221" s="6">
        <v>30</v>
      </c>
      <c r="C221" s="6" t="s">
        <v>120</v>
      </c>
      <c r="D221" s="6" t="s">
        <v>120</v>
      </c>
      <c r="E221" s="6" t="s">
        <v>120</v>
      </c>
      <c r="F221" s="6" t="s">
        <v>120</v>
      </c>
    </row>
    <row r="222" spans="1:6" x14ac:dyDescent="0.3">
      <c r="A222" s="11" t="s">
        <v>111</v>
      </c>
      <c r="B222" s="6"/>
      <c r="C222" s="6"/>
      <c r="D222" s="6"/>
      <c r="E222" s="6"/>
      <c r="F222" s="6"/>
    </row>
    <row r="223" spans="1:6" x14ac:dyDescent="0.3">
      <c r="A223" s="16" t="s">
        <v>112</v>
      </c>
      <c r="B223" s="6">
        <v>15</v>
      </c>
      <c r="C223" s="6" t="s">
        <v>120</v>
      </c>
      <c r="D223" s="6" t="s">
        <v>120</v>
      </c>
      <c r="E223" s="6" t="s">
        <v>120</v>
      </c>
      <c r="F223" s="6" t="s">
        <v>120</v>
      </c>
    </row>
    <row r="224" spans="1:6" x14ac:dyDescent="0.3">
      <c r="A224" s="11" t="s">
        <v>113</v>
      </c>
      <c r="B224" s="6">
        <v>30</v>
      </c>
      <c r="C224" s="6" t="s">
        <v>120</v>
      </c>
      <c r="D224" s="6" t="s">
        <v>120</v>
      </c>
      <c r="E224" s="6" t="s">
        <v>120</v>
      </c>
      <c r="F224" s="6" t="s">
        <v>120</v>
      </c>
    </row>
    <row r="225" spans="1:6" x14ac:dyDescent="0.3">
      <c r="A225" s="16" t="s">
        <v>180</v>
      </c>
      <c r="B225" s="6"/>
      <c r="C225" s="6"/>
      <c r="D225" s="6"/>
      <c r="E225" s="6"/>
      <c r="F225" s="6"/>
    </row>
    <row r="226" spans="1:6" x14ac:dyDescent="0.3">
      <c r="A226" s="11" t="s">
        <v>115</v>
      </c>
      <c r="B226" s="6">
        <v>25</v>
      </c>
      <c r="C226" s="6" t="s">
        <v>120</v>
      </c>
      <c r="D226" s="6" t="s">
        <v>120</v>
      </c>
      <c r="E226" s="6" t="s">
        <v>120</v>
      </c>
      <c r="F226" s="6" t="s">
        <v>120</v>
      </c>
    </row>
    <row r="227" spans="1:6" x14ac:dyDescent="0.3">
      <c r="A227" s="16" t="s">
        <v>116</v>
      </c>
      <c r="B227" s="6">
        <v>15</v>
      </c>
      <c r="C227" s="6" t="s">
        <v>120</v>
      </c>
      <c r="D227" s="6" t="s">
        <v>120</v>
      </c>
      <c r="E227" s="6" t="s">
        <v>120</v>
      </c>
      <c r="F227" s="6" t="s">
        <v>120</v>
      </c>
    </row>
    <row r="228" spans="1:6" x14ac:dyDescent="0.3">
      <c r="A228" s="11" t="s">
        <v>117</v>
      </c>
      <c r="B228" s="6">
        <v>15</v>
      </c>
      <c r="C228" s="6" t="s">
        <v>120</v>
      </c>
      <c r="D228" s="6" t="s">
        <v>120</v>
      </c>
      <c r="E228" s="6" t="s">
        <v>120</v>
      </c>
      <c r="F228" s="6" t="s">
        <v>120</v>
      </c>
    </row>
    <row r="229" spans="1:6" x14ac:dyDescent="0.3">
      <c r="A229" s="16" t="s">
        <v>118</v>
      </c>
      <c r="B229" s="6"/>
      <c r="C229" s="6"/>
      <c r="D229" s="6"/>
      <c r="E229" s="6"/>
      <c r="F229" s="6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zoomScale="59" workbookViewId="0">
      <selection activeCell="A8" sqref="A8:D30"/>
    </sheetView>
  </sheetViews>
  <sheetFormatPr defaultRowHeight="15.6" x14ac:dyDescent="0.3"/>
  <cols>
    <col min="1" max="1" width="39.33203125" style="1" bestFit="1" customWidth="1"/>
    <col min="2" max="2" width="12.21875" style="1" customWidth="1"/>
    <col min="3" max="3" width="15.44140625" style="1" customWidth="1"/>
    <col min="4" max="4" width="26.88671875" style="1" customWidth="1"/>
    <col min="5" max="5" width="8.88671875" style="1"/>
    <col min="6" max="6" width="38.44140625" style="1" bestFit="1" customWidth="1"/>
    <col min="7" max="7" width="25.77734375" style="1" bestFit="1" customWidth="1"/>
    <col min="8" max="8" width="19.109375" style="1" bestFit="1" customWidth="1"/>
    <col min="9" max="9" width="23.33203125" style="1" bestFit="1" customWidth="1"/>
    <col min="10" max="16384" width="8.88671875" style="1"/>
  </cols>
  <sheetData>
    <row r="1" spans="1:9" x14ac:dyDescent="0.3">
      <c r="A1" s="16" t="s">
        <v>325</v>
      </c>
      <c r="B1" s="16">
        <v>3720</v>
      </c>
      <c r="F1" s="16"/>
      <c r="G1" s="16" t="s">
        <v>345</v>
      </c>
      <c r="H1" s="16" t="s">
        <v>346</v>
      </c>
      <c r="I1" s="16" t="s">
        <v>347</v>
      </c>
    </row>
    <row r="2" spans="1:9" x14ac:dyDescent="0.3">
      <c r="A2" s="16" t="s">
        <v>324</v>
      </c>
      <c r="B2" s="16">
        <v>280</v>
      </c>
      <c r="F2" s="16" t="s">
        <v>348</v>
      </c>
      <c r="G2" s="43">
        <v>92</v>
      </c>
      <c r="H2" s="43">
        <v>61</v>
      </c>
      <c r="I2" s="43">
        <v>53</v>
      </c>
    </row>
    <row r="3" spans="1:9" x14ac:dyDescent="0.3">
      <c r="F3" s="16" t="s">
        <v>354</v>
      </c>
      <c r="G3" s="44">
        <v>1.4</v>
      </c>
    </row>
    <row r="4" spans="1:9" x14ac:dyDescent="0.3">
      <c r="A4" s="16" t="s">
        <v>326</v>
      </c>
      <c r="B4" s="41">
        <f>B1*0.7</f>
        <v>2604</v>
      </c>
      <c r="H4" s="65"/>
      <c r="I4" s="65"/>
    </row>
    <row r="5" spans="1:9" x14ac:dyDescent="0.3">
      <c r="A5" s="16" t="s">
        <v>323</v>
      </c>
      <c r="B5" s="41">
        <f>B2*0.53995685010426</f>
        <v>151.18791802919279</v>
      </c>
      <c r="F5" s="16" t="s">
        <v>327</v>
      </c>
      <c r="G5" s="16">
        <v>5</v>
      </c>
    </row>
    <row r="6" spans="1:9" x14ac:dyDescent="0.3">
      <c r="F6" s="16" t="s">
        <v>328</v>
      </c>
      <c r="G6" s="44">
        <f>B9/(G5*40*48)</f>
        <v>10.999266950004834</v>
      </c>
    </row>
    <row r="7" spans="1:9" x14ac:dyDescent="0.3">
      <c r="F7" s="16" t="s">
        <v>349</v>
      </c>
      <c r="G7" s="41">
        <f>B17/B20</f>
        <v>4573.7058650889994</v>
      </c>
    </row>
    <row r="8" spans="1:9" ht="31.2" x14ac:dyDescent="0.3">
      <c r="A8" s="17" t="s">
        <v>338</v>
      </c>
      <c r="B8" s="64" t="s">
        <v>418</v>
      </c>
      <c r="C8" s="64" t="s">
        <v>421</v>
      </c>
      <c r="D8" s="64" t="s">
        <v>422</v>
      </c>
    </row>
    <row r="9" spans="1:9" x14ac:dyDescent="0.3">
      <c r="A9" s="16" t="s">
        <v>333</v>
      </c>
      <c r="B9" s="41">
        <f>0.0396*POWER(B4,0.791)*POWER(B5,1.526)*POWER(B20,0.183)*1*1*1*1</f>
        <v>105592.9627200464</v>
      </c>
      <c r="C9" s="41">
        <f>B9*G2*G3*97.44/1000000</f>
        <v>1325.2204034224421</v>
      </c>
      <c r="D9" s="43">
        <f>C9/B20</f>
        <v>8.834802689482947</v>
      </c>
    </row>
    <row r="10" spans="1:9" x14ac:dyDescent="0.3">
      <c r="A10" s="16" t="s">
        <v>337</v>
      </c>
      <c r="B10" s="16"/>
      <c r="C10" s="41">
        <f>0.06458*POWER(B4,0.873)*POWER(B5,1.89)*POWER(B12,0.346)*G3*97.44/1000000</f>
        <v>206.70241620213113</v>
      </c>
      <c r="D10" s="43">
        <f>C10/B20</f>
        <v>1.3780161080142075</v>
      </c>
    </row>
    <row r="11" spans="1:9" x14ac:dyDescent="0.3">
      <c r="A11" s="16" t="s">
        <v>336</v>
      </c>
      <c r="B11" s="16"/>
      <c r="C11" s="41">
        <f>0.009646*POWER(B4,1.16)*POWER(B5,1.3718)*POWER(B12,1.281)*G3*5*97.44/1000000</f>
        <v>584.78927702620854</v>
      </c>
      <c r="D11" s="43">
        <f>C11/B20</f>
        <v>3.8985951801747234</v>
      </c>
    </row>
    <row r="12" spans="1:9" x14ac:dyDescent="0.3">
      <c r="A12" s="23" t="s">
        <v>330</v>
      </c>
      <c r="B12" s="23">
        <v>6</v>
      </c>
      <c r="C12" s="16"/>
      <c r="D12" s="16"/>
    </row>
    <row r="13" spans="1:9" x14ac:dyDescent="0.3">
      <c r="A13" s="16" t="s">
        <v>334</v>
      </c>
      <c r="B13" s="41">
        <f>1.0032*POWER(B4,0.764)*POWER(B5,0.899)*POWER(B20,0.178)*POWER(B20/60,0.066)*1*1*1*1</f>
        <v>96367.674205394811</v>
      </c>
      <c r="C13" s="41">
        <f>B13*H2*G3*97.44/1000000</f>
        <v>801.91165130859133</v>
      </c>
      <c r="D13" s="43">
        <f>C13/B20</f>
        <v>5.3460776753906085</v>
      </c>
    </row>
    <row r="14" spans="1:9" x14ac:dyDescent="0.3">
      <c r="A14" s="42" t="s">
        <v>344</v>
      </c>
      <c r="B14" s="16"/>
      <c r="C14" s="41">
        <f>SUM(C9:C13)</f>
        <v>2918.6237479593733</v>
      </c>
      <c r="D14" s="43">
        <f>SUM(D9:D13)</f>
        <v>19.457491653062487</v>
      </c>
    </row>
    <row r="16" spans="1:9" ht="31.2" x14ac:dyDescent="0.3">
      <c r="A16" s="17" t="s">
        <v>339</v>
      </c>
      <c r="B16" s="64" t="s">
        <v>418</v>
      </c>
      <c r="C16" s="64" t="s">
        <v>423</v>
      </c>
      <c r="D16" s="64" t="s">
        <v>422</v>
      </c>
    </row>
    <row r="17" spans="1:4" x14ac:dyDescent="0.3">
      <c r="A17" s="16" t="s">
        <v>335</v>
      </c>
      <c r="B17" s="41">
        <f>9.6613*POWER(B4,0.74)*POWER(B5,0.543)*POWER(B20,0.524)*1*1*1</f>
        <v>686055.87976334989</v>
      </c>
      <c r="C17" s="41">
        <f>B17*I2*G3*97.44/1000000</f>
        <v>4960.2169413712481</v>
      </c>
      <c r="D17" s="43">
        <f>C17/$B$20</f>
        <v>33.06811294247499</v>
      </c>
    </row>
    <row r="18" spans="1:4" x14ac:dyDescent="0.3">
      <c r="A18" s="16" t="s">
        <v>340</v>
      </c>
      <c r="B18" s="16"/>
      <c r="C18" s="41">
        <f>0.13*C17</f>
        <v>644.82820237826229</v>
      </c>
      <c r="D18" s="43">
        <f>C18/$B$20</f>
        <v>4.2988546825217488</v>
      </c>
    </row>
    <row r="19" spans="1:4" x14ac:dyDescent="0.3">
      <c r="A19" s="16" t="s">
        <v>341</v>
      </c>
      <c r="B19" s="16"/>
      <c r="C19" s="41">
        <f>24.9896*POWER(B4,0.689)*POWER(B5,0.624)*POWER(B20,0.792)*G3*97.44/1000000</f>
        <v>932.1465356652983</v>
      </c>
      <c r="D19" s="43">
        <f>C19/$B$20</f>
        <v>6.2143102377686557</v>
      </c>
    </row>
    <row r="20" spans="1:4" x14ac:dyDescent="0.3">
      <c r="A20" s="23" t="s">
        <v>329</v>
      </c>
      <c r="B20" s="23">
        <v>150</v>
      </c>
      <c r="C20" s="16"/>
      <c r="D20" s="16"/>
    </row>
    <row r="21" spans="1:4" x14ac:dyDescent="0.3">
      <c r="A21" s="23" t="s">
        <v>322</v>
      </c>
      <c r="B21" s="45">
        <f>POWER(0.95,1.4427*LN(B20))</f>
        <v>0.69018803797234507</v>
      </c>
      <c r="C21" s="16"/>
      <c r="D21" s="16"/>
    </row>
    <row r="22" spans="1:4" ht="31.2" x14ac:dyDescent="0.3">
      <c r="A22" s="16"/>
      <c r="B22" s="16"/>
      <c r="C22" s="63" t="s">
        <v>424</v>
      </c>
      <c r="D22" s="63" t="s">
        <v>425</v>
      </c>
    </row>
    <row r="23" spans="1:4" x14ac:dyDescent="0.3">
      <c r="A23" s="16" t="s">
        <v>332</v>
      </c>
      <c r="B23" s="16"/>
      <c r="C23" s="41">
        <f>100000*G3*97.44/1000000</f>
        <v>13.6416</v>
      </c>
      <c r="D23" s="41">
        <f>C23*$B$21</f>
        <v>9.4152691388035432</v>
      </c>
    </row>
    <row r="24" spans="1:4" x14ac:dyDescent="0.3">
      <c r="A24" s="16" t="s">
        <v>342</v>
      </c>
      <c r="B24" s="16"/>
      <c r="C24" s="41">
        <f>377.4*2*800*G3*97.44/1000000</f>
        <v>82.373437440000004</v>
      </c>
      <c r="D24" s="41">
        <f>C24*$B$21</f>
        <v>56.853161167751317</v>
      </c>
    </row>
    <row r="25" spans="1:4" x14ac:dyDescent="0.3">
      <c r="A25" s="16" t="s">
        <v>343</v>
      </c>
      <c r="B25" s="16"/>
      <c r="C25" s="41">
        <f>19000*G3*97.44/1000000</f>
        <v>2.591904</v>
      </c>
      <c r="D25" s="41">
        <f>C25*$B$21</f>
        <v>1.788901136372673</v>
      </c>
    </row>
    <row r="26" spans="1:4" x14ac:dyDescent="0.3">
      <c r="A26" s="16" t="s">
        <v>353</v>
      </c>
      <c r="B26" s="16"/>
      <c r="C26" s="41">
        <f>C29*0.17</f>
        <v>36.44256</v>
      </c>
      <c r="D26" s="41">
        <f>C29*0.17</f>
        <v>36.44256</v>
      </c>
    </row>
    <row r="27" spans="1:4" x14ac:dyDescent="0.3">
      <c r="A27" s="16" t="s">
        <v>350</v>
      </c>
      <c r="B27" s="16"/>
      <c r="C27" s="41">
        <f>SUM(C23:C25)+SUM(D17:D19)+C26</f>
        <v>178.6307793027654</v>
      </c>
      <c r="D27" s="41">
        <f>SUM(D23:D25)+SUM(D17:D19)+D26</f>
        <v>148.08116930569292</v>
      </c>
    </row>
    <row r="28" spans="1:4" x14ac:dyDescent="0.3">
      <c r="A28" s="16" t="s">
        <v>351</v>
      </c>
      <c r="B28" s="16"/>
      <c r="C28" s="41">
        <f>C27+D14</f>
        <v>198.08827095582788</v>
      </c>
      <c r="D28" s="41">
        <f>D27+D14</f>
        <v>167.5386609587554</v>
      </c>
    </row>
    <row r="29" spans="1:4" x14ac:dyDescent="0.3">
      <c r="A29" s="16" t="s">
        <v>331</v>
      </c>
      <c r="B29" s="16"/>
      <c r="C29" s="66">
        <f>2200000*97.44/1000000</f>
        <v>214.36799999999999</v>
      </c>
      <c r="D29" s="67"/>
    </row>
    <row r="30" spans="1:4" x14ac:dyDescent="0.3">
      <c r="A30" s="16" t="s">
        <v>352</v>
      </c>
      <c r="B30" s="16"/>
      <c r="C30" s="41">
        <f>(C14)/(C29-C27)</f>
        <v>81.669018771379214</v>
      </c>
      <c r="D30" s="41">
        <f>(C14)/(C29-D27)</f>
        <v>44.030220141600978</v>
      </c>
    </row>
  </sheetData>
  <mergeCells count="2">
    <mergeCell ref="H4:I4"/>
    <mergeCell ref="C29:D29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8"/>
  <sheetViews>
    <sheetView zoomScale="98" workbookViewId="0">
      <selection activeCell="B5" sqref="B5"/>
    </sheetView>
  </sheetViews>
  <sheetFormatPr defaultRowHeight="15.6" x14ac:dyDescent="0.3"/>
  <cols>
    <col min="1" max="1" width="38.77734375" style="1" bestFit="1" customWidth="1"/>
    <col min="2" max="11" width="13.33203125" style="1" bestFit="1" customWidth="1"/>
    <col min="12" max="12" width="12.109375" style="1" bestFit="1" customWidth="1"/>
    <col min="13" max="15" width="13.33203125" style="1" bestFit="1" customWidth="1"/>
    <col min="16" max="16" width="12.109375" style="1" bestFit="1" customWidth="1"/>
    <col min="17" max="16384" width="8.88671875" style="1"/>
  </cols>
  <sheetData>
    <row r="2" spans="1:17" x14ac:dyDescent="0.3">
      <c r="A2" s="16" t="s">
        <v>415</v>
      </c>
      <c r="B2" s="16">
        <v>10</v>
      </c>
      <c r="C2" s="16">
        <v>20</v>
      </c>
      <c r="D2" s="16">
        <v>30</v>
      </c>
      <c r="E2" s="16">
        <v>40</v>
      </c>
      <c r="F2" s="16">
        <v>50</v>
      </c>
      <c r="G2" s="16">
        <v>75</v>
      </c>
      <c r="H2" s="16">
        <v>100</v>
      </c>
      <c r="I2" s="16">
        <v>150</v>
      </c>
      <c r="J2" s="16">
        <v>200</v>
      </c>
      <c r="K2" s="16">
        <v>250</v>
      </c>
      <c r="L2" s="16">
        <v>300</v>
      </c>
      <c r="M2" s="16">
        <v>400</v>
      </c>
      <c r="N2" s="16">
        <v>500</v>
      </c>
      <c r="O2" s="16">
        <v>750</v>
      </c>
      <c r="P2" s="16">
        <v>1000</v>
      </c>
    </row>
    <row r="3" spans="1:17" x14ac:dyDescent="0.3">
      <c r="A3" s="16" t="s">
        <v>416</v>
      </c>
      <c r="B3" s="16">
        <f>4955654.52624462*97.44/1000000</f>
        <v>482.87897703727572</v>
      </c>
      <c r="C3" s="16">
        <f>3611728.27256758*97.44/1000000</f>
        <v>351.92680287898497</v>
      </c>
      <c r="D3" s="16">
        <f>3093807.04460556*97.44/1000000</f>
        <v>301.46055842636576</v>
      </c>
      <c r="E3" s="16">
        <f>2808420.89046935*97.44/1000000</f>
        <v>273.65253156733348</v>
      </c>
      <c r="F3" s="16">
        <f>2623877.56541527*97.44/1000000</f>
        <v>255.67062997406393</v>
      </c>
      <c r="G3" s="16">
        <f>2353724.41233397*97.44/1000000</f>
        <v>229.34690673782202</v>
      </c>
      <c r="H3" s="16">
        <f>2202541.01912489*97.44/1000000</f>
        <v>214.61559690352928</v>
      </c>
      <c r="I3" s="16">
        <f>2032925.60504749*97.44/1000000</f>
        <v>198.08827095582743</v>
      </c>
      <c r="J3" s="16">
        <f>1936891.18572499*97.44/1000000</f>
        <v>188.73067713704302</v>
      </c>
      <c r="K3" s="16">
        <f>1873547.62974867*97.44/1000000</f>
        <v>182.55848104271038</v>
      </c>
      <c r="L3" s="16">
        <f>1827933.60655534*97.44/1000000</f>
        <v>178.11385062275235</v>
      </c>
      <c r="M3" s="16">
        <f>1765543.10731322*97.44/1000000</f>
        <v>172.03452037660014</v>
      </c>
      <c r="N3" s="16">
        <f>1724056.89610376*97.44/1000000</f>
        <v>167.99210395635035</v>
      </c>
      <c r="O3" s="16">
        <f>1661288.55471075*97.44/1000000</f>
        <v>161.87595677101547</v>
      </c>
      <c r="P3" s="16">
        <f>1624842.85748946*97.44/1000000</f>
        <v>158.32468803377299</v>
      </c>
      <c r="Q3" s="62"/>
    </row>
    <row r="5" spans="1:17" x14ac:dyDescent="0.3">
      <c r="A5" s="16"/>
      <c r="B5" s="44">
        <v>0</v>
      </c>
      <c r="C5" s="44">
        <v>150</v>
      </c>
    </row>
    <row r="6" spans="1:17" x14ac:dyDescent="0.3">
      <c r="A6" s="16" t="s">
        <v>417</v>
      </c>
      <c r="B6" s="44">
        <f>29953035.180207*97.44/1000000000</f>
        <v>2.9186237479593702</v>
      </c>
      <c r="C6" s="44">
        <f>(29953035.180207+1833238.70384611*C5)*97.44/1000000000</f>
        <v>29.713240643374114</v>
      </c>
    </row>
    <row r="7" spans="1:17" x14ac:dyDescent="0.3">
      <c r="A7" s="16" t="s">
        <v>419</v>
      </c>
      <c r="B7" s="44">
        <v>0</v>
      </c>
      <c r="C7" s="44">
        <f>2200000*C5*97.44/1000000000</f>
        <v>32.155200000000001</v>
      </c>
    </row>
    <row r="8" spans="1:17" x14ac:dyDescent="0.3">
      <c r="A8" s="16" t="s">
        <v>420</v>
      </c>
      <c r="B8" s="44">
        <v>0</v>
      </c>
      <c r="C8" s="44">
        <f>2.5*C5*97.44/1000</f>
        <v>36.54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/>
  </sheetViews>
  <sheetFormatPr defaultRowHeight="15.6" x14ac:dyDescent="0.3"/>
  <cols>
    <col min="1" max="1" width="34.5546875" style="1" bestFit="1" customWidth="1"/>
    <col min="2" max="2" width="19" style="1" bestFit="1" customWidth="1"/>
    <col min="3" max="3" width="21.77734375" style="1" bestFit="1" customWidth="1"/>
    <col min="4" max="16384" width="8.88671875" style="1"/>
  </cols>
  <sheetData>
    <row r="1" spans="1:3" x14ac:dyDescent="0.3">
      <c r="A1" s="16" t="s">
        <v>85</v>
      </c>
      <c r="B1" s="16">
        <v>6200</v>
      </c>
    </row>
    <row r="3" spans="1:3" x14ac:dyDescent="0.3">
      <c r="A3" s="16"/>
      <c r="B3" s="16" t="s">
        <v>355</v>
      </c>
      <c r="C3" s="16" t="s">
        <v>356</v>
      </c>
    </row>
    <row r="4" spans="1:3" x14ac:dyDescent="0.3">
      <c r="A4" s="16" t="s">
        <v>357</v>
      </c>
      <c r="B4" s="41">
        <v>911.4</v>
      </c>
      <c r="C4" s="16">
        <v>0.14699999999999999</v>
      </c>
    </row>
    <row r="5" spans="1:3" x14ac:dyDescent="0.3">
      <c r="A5" s="16" t="s">
        <v>358</v>
      </c>
      <c r="B5" s="41">
        <v>1066.3999999999999</v>
      </c>
      <c r="C5" s="16">
        <v>0.17199999999999999</v>
      </c>
    </row>
    <row r="6" spans="1:3" x14ac:dyDescent="0.3">
      <c r="A6" s="16" t="s">
        <v>359</v>
      </c>
      <c r="B6" s="41">
        <v>124</v>
      </c>
      <c r="C6" s="16">
        <v>0.02</v>
      </c>
    </row>
    <row r="7" spans="1:3" x14ac:dyDescent="0.3">
      <c r="A7" s="16" t="s">
        <v>360</v>
      </c>
      <c r="B7" s="41">
        <v>80.599999999999994</v>
      </c>
      <c r="C7" s="16">
        <v>1.2999999999999999E-2</v>
      </c>
    </row>
    <row r="8" spans="1:3" x14ac:dyDescent="0.3">
      <c r="A8" s="16" t="s">
        <v>299</v>
      </c>
      <c r="B8" s="41">
        <v>657.19999999999993</v>
      </c>
      <c r="C8" s="16">
        <v>0.106</v>
      </c>
    </row>
    <row r="9" spans="1:3" x14ac:dyDescent="0.3">
      <c r="A9" s="16" t="s">
        <v>361</v>
      </c>
      <c r="B9" s="41">
        <v>254.20000000000002</v>
      </c>
      <c r="C9" s="16">
        <v>4.1000000000000002E-2</v>
      </c>
    </row>
    <row r="10" spans="1:3" x14ac:dyDescent="0.3">
      <c r="A10" s="16" t="s">
        <v>362</v>
      </c>
      <c r="B10" s="41">
        <v>1797.9999999999998</v>
      </c>
      <c r="C10" s="16">
        <v>0.28999999999999998</v>
      </c>
    </row>
    <row r="11" spans="1:3" x14ac:dyDescent="0.3">
      <c r="A11" s="16" t="s">
        <v>363</v>
      </c>
      <c r="B11" s="41">
        <v>706.80000000000007</v>
      </c>
      <c r="C11" s="16">
        <v>0.114</v>
      </c>
    </row>
    <row r="12" spans="1:3" x14ac:dyDescent="0.3">
      <c r="A12" s="16" t="s">
        <v>364</v>
      </c>
      <c r="B12" s="41">
        <v>601.4</v>
      </c>
      <c r="C12" s="16">
        <v>9.7000000000000003E-2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workbookViewId="0"/>
  </sheetViews>
  <sheetFormatPr defaultColWidth="28.6640625" defaultRowHeight="15.6" x14ac:dyDescent="0.3"/>
  <cols>
    <col min="1" max="1" width="42.44140625" style="54" bestFit="1" customWidth="1"/>
    <col min="2" max="2" width="17.44140625" style="61" bestFit="1" customWidth="1"/>
    <col min="3" max="3" width="15.33203125" style="61" bestFit="1" customWidth="1"/>
    <col min="4" max="4" width="16.6640625" style="61" bestFit="1" customWidth="1"/>
    <col min="5" max="5" width="15.6640625" style="61" bestFit="1" customWidth="1"/>
    <col min="6" max="6" width="19.109375" style="61" bestFit="1" customWidth="1"/>
    <col min="7" max="7" width="16" style="61" bestFit="1" customWidth="1"/>
    <col min="8" max="8" width="10.77734375" style="54" bestFit="1" customWidth="1"/>
    <col min="9" max="9" width="9.44140625" style="54" bestFit="1" customWidth="1"/>
    <col min="10" max="10" width="22.109375" style="54" bestFit="1" customWidth="1"/>
    <col min="11" max="11" width="15.33203125" style="54" bestFit="1" customWidth="1"/>
    <col min="12" max="16384" width="28.6640625" style="54"/>
  </cols>
  <sheetData>
    <row r="1" spans="1:11" x14ac:dyDescent="0.3">
      <c r="A1" s="48"/>
      <c r="B1" s="49" t="s">
        <v>365</v>
      </c>
      <c r="C1" s="49" t="s">
        <v>5</v>
      </c>
      <c r="D1" s="50" t="s">
        <v>4</v>
      </c>
      <c r="E1" s="51"/>
      <c r="F1" s="49" t="s">
        <v>366</v>
      </c>
      <c r="G1" s="49" t="s">
        <v>367</v>
      </c>
      <c r="H1" s="52" t="s">
        <v>368</v>
      </c>
      <c r="I1" s="52" t="s">
        <v>369</v>
      </c>
      <c r="J1" s="52" t="s">
        <v>370</v>
      </c>
      <c r="K1" s="53" t="s">
        <v>371</v>
      </c>
    </row>
    <row r="2" spans="1:11" x14ac:dyDescent="0.3">
      <c r="A2" s="48" t="s">
        <v>372</v>
      </c>
      <c r="B2" s="49" t="s">
        <v>373</v>
      </c>
      <c r="C2" s="49" t="s">
        <v>374</v>
      </c>
      <c r="D2" s="55" t="s">
        <v>375</v>
      </c>
      <c r="E2" s="55" t="s">
        <v>376</v>
      </c>
      <c r="F2" s="56" t="s">
        <v>377</v>
      </c>
      <c r="G2" s="56" t="s">
        <v>378</v>
      </c>
      <c r="H2" s="52" t="s">
        <v>379</v>
      </c>
      <c r="I2" s="52" t="s">
        <v>380</v>
      </c>
      <c r="J2" s="57" t="s">
        <v>381</v>
      </c>
      <c r="K2" s="52" t="s">
        <v>382</v>
      </c>
    </row>
    <row r="3" spans="1:11" x14ac:dyDescent="0.3">
      <c r="A3" s="48" t="s">
        <v>383</v>
      </c>
      <c r="B3" s="49" t="s">
        <v>384</v>
      </c>
      <c r="C3" s="49" t="s">
        <v>385</v>
      </c>
      <c r="D3" s="55">
        <v>551</v>
      </c>
      <c r="E3" s="49">
        <v>634</v>
      </c>
      <c r="F3" s="49">
        <v>828</v>
      </c>
      <c r="G3" s="49" t="s">
        <v>386</v>
      </c>
      <c r="H3" s="53" t="s">
        <v>387</v>
      </c>
      <c r="I3" s="52" t="s">
        <v>388</v>
      </c>
      <c r="J3" s="52" t="s">
        <v>389</v>
      </c>
      <c r="K3" s="52">
        <v>2206</v>
      </c>
    </row>
    <row r="4" spans="1:11" x14ac:dyDescent="0.3">
      <c r="A4" s="48" t="s">
        <v>390</v>
      </c>
      <c r="B4" s="49" t="s">
        <v>391</v>
      </c>
      <c r="C4" s="49" t="s">
        <v>392</v>
      </c>
      <c r="D4" s="55">
        <v>245</v>
      </c>
      <c r="E4" s="58" t="s">
        <v>120</v>
      </c>
      <c r="F4" s="49">
        <v>311</v>
      </c>
      <c r="G4" s="49">
        <v>317</v>
      </c>
      <c r="H4" s="52" t="s">
        <v>393</v>
      </c>
      <c r="I4" s="52">
        <v>330</v>
      </c>
      <c r="J4" s="52" t="s">
        <v>394</v>
      </c>
      <c r="K4" s="52">
        <v>600</v>
      </c>
    </row>
    <row r="5" spans="1:11" x14ac:dyDescent="0.3">
      <c r="A5" s="48" t="s">
        <v>395</v>
      </c>
      <c r="B5" s="49" t="s">
        <v>396</v>
      </c>
      <c r="C5" s="49" t="s">
        <v>397</v>
      </c>
      <c r="D5" s="55" t="s">
        <v>398</v>
      </c>
      <c r="E5" s="59" t="s">
        <v>120</v>
      </c>
      <c r="F5" s="49" t="s">
        <v>399</v>
      </c>
      <c r="G5" s="49" t="s">
        <v>400</v>
      </c>
      <c r="H5" s="52" t="s">
        <v>401</v>
      </c>
      <c r="I5" s="52" t="s">
        <v>402</v>
      </c>
      <c r="J5" s="52" t="s">
        <v>403</v>
      </c>
      <c r="K5" s="52" t="s">
        <v>404</v>
      </c>
    </row>
    <row r="6" spans="1:11" x14ac:dyDescent="0.3">
      <c r="A6" s="48" t="s">
        <v>405</v>
      </c>
      <c r="B6" s="49" t="s">
        <v>406</v>
      </c>
      <c r="C6" s="49" t="s">
        <v>407</v>
      </c>
      <c r="D6" s="49" t="s">
        <v>408</v>
      </c>
      <c r="E6" s="55" t="s">
        <v>409</v>
      </c>
      <c r="F6" s="49" t="s">
        <v>410</v>
      </c>
      <c r="G6" s="49" t="s">
        <v>411</v>
      </c>
      <c r="H6" s="60"/>
      <c r="I6" s="60"/>
      <c r="J6" s="52" t="s">
        <v>412</v>
      </c>
      <c r="K6" s="52" t="s">
        <v>413</v>
      </c>
    </row>
    <row r="7" spans="1:11" x14ac:dyDescent="0.3">
      <c r="A7" s="48" t="s">
        <v>414</v>
      </c>
      <c r="B7" s="49">
        <v>140</v>
      </c>
      <c r="C7" s="49">
        <v>230</v>
      </c>
      <c r="D7" s="49">
        <v>200</v>
      </c>
      <c r="E7" s="49">
        <v>202</v>
      </c>
      <c r="F7" s="49">
        <v>235</v>
      </c>
      <c r="G7" s="49">
        <v>234</v>
      </c>
      <c r="H7" s="53">
        <v>567</v>
      </c>
      <c r="I7" s="60"/>
      <c r="J7" s="52">
        <v>295</v>
      </c>
      <c r="K7" s="53">
        <v>500</v>
      </c>
    </row>
    <row r="12" spans="1:11" x14ac:dyDescent="0.3">
      <c r="F12" s="54"/>
      <c r="G12" s="54"/>
    </row>
    <row r="13" spans="1:11" x14ac:dyDescent="0.3">
      <c r="F13" s="54"/>
      <c r="G13" s="5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Осн. хар-ки</vt:lpstr>
      <vt:lpstr>Анализ аналогов</vt:lpstr>
      <vt:lpstr>Доп. хар-ки</vt:lpstr>
      <vt:lpstr>Экономика</vt:lpstr>
      <vt:lpstr>График экономики</vt:lpstr>
      <vt:lpstr>Массы</vt:lpstr>
      <vt:lpstr>Двигатели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2024-11-03T06:48:55Z</dcterms:modified>
</cp:coreProperties>
</file>