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w folder\QuantLib\Analytics\"/>
    </mc:Choice>
  </mc:AlternateContent>
  <bookViews>
    <workbookView xWindow="120" yWindow="30" windowWidth="19020" windowHeight="11895"/>
  </bookViews>
  <sheets>
    <sheet name="NPV" sheetId="1" r:id="rId1"/>
    <sheet name="Calibration_HW" sheetId="2" r:id="rId2"/>
  </sheets>
  <externalReferences>
    <externalReference r:id="rId3"/>
  </externalReferences>
  <definedNames>
    <definedName name="Trigger">NPV!$D$2</definedName>
  </definedNames>
  <calcPr calcId="152511"/>
</workbook>
</file>

<file path=xl/calcChain.xml><?xml version="1.0" encoding="utf-8"?>
<calcChain xmlns="http://schemas.openxmlformats.org/spreadsheetml/2006/main">
  <c r="C5" i="2" l="1"/>
  <c r="C3" i="2"/>
  <c r="D5" i="1"/>
  <c r="E5" i="1"/>
  <c r="I8" i="2"/>
  <c r="I7" i="2"/>
  <c r="I6" i="2"/>
  <c r="D6" i="1"/>
  <c r="I4" i="2"/>
  <c r="I5" i="2"/>
  <c r="C4" i="2"/>
  <c r="D23" i="1"/>
  <c r="D10" i="1"/>
  <c r="D11" i="1" l="1"/>
  <c r="D12" i="1"/>
  <c r="D24" i="1"/>
  <c r="D26" i="1"/>
  <c r="D25" i="1"/>
  <c r="G35" i="1" a="1"/>
  <c r="G20" i="1"/>
  <c r="C2" i="2"/>
  <c r="J7" i="2"/>
  <c r="J4" i="2"/>
  <c r="J8" i="2"/>
  <c r="G19" i="1"/>
  <c r="D27" i="1" s="1"/>
  <c r="D28" i="1" s="1"/>
  <c r="J6" i="2"/>
  <c r="J5" i="2"/>
  <c r="K5" i="2"/>
  <c r="L5" i="2" s="1"/>
  <c r="K6" i="2"/>
  <c r="L6" i="2" s="1"/>
  <c r="K8" i="2"/>
  <c r="K7" i="2"/>
  <c r="K4" i="2"/>
  <c r="L7" i="2"/>
  <c r="L4" i="2"/>
  <c r="L8" i="2"/>
  <c r="C7" i="2" s="1"/>
  <c r="D29" i="1"/>
  <c r="M8" i="2"/>
  <c r="N8" i="2" s="1"/>
  <c r="M4" i="2"/>
  <c r="N4" i="2" s="1"/>
  <c r="M7" i="2"/>
  <c r="N7" i="2" s="1"/>
  <c r="C11" i="2"/>
  <c r="D44" i="1"/>
  <c r="C13" i="2"/>
  <c r="C14" i="2"/>
  <c r="C12" i="2"/>
  <c r="M5" i="2"/>
  <c r="N5" i="2" s="1"/>
  <c r="M6" i="2"/>
  <c r="N6" i="2" s="1"/>
  <c r="D34" i="1"/>
  <c r="D38" i="1"/>
  <c r="O6" i="2" l="1"/>
  <c r="O5" i="2"/>
  <c r="O7" i="2"/>
  <c r="O4" i="2"/>
  <c r="O8" i="2"/>
  <c r="D35" i="1"/>
  <c r="G36" i="1"/>
  <c r="G35" i="1"/>
  <c r="G38" i="1"/>
  <c r="G40" i="1"/>
  <c r="G39" i="1"/>
  <c r="G37" i="1"/>
  <c r="D39" i="1"/>
  <c r="D36" i="1" l="1"/>
  <c r="D40" i="1"/>
  <c r="D42" i="1"/>
  <c r="D43" i="1"/>
  <c r="D45" i="1"/>
  <c r="D46" i="1"/>
</calcChain>
</file>

<file path=xl/sharedStrings.xml><?xml version="1.0" encoding="utf-8"?>
<sst xmlns="http://schemas.openxmlformats.org/spreadsheetml/2006/main" count="82" uniqueCount="74">
  <si>
    <t>trigger</t>
  </si>
  <si>
    <t>today's date</t>
  </si>
  <si>
    <t>calendar</t>
  </si>
  <si>
    <t>TARGET</t>
  </si>
  <si>
    <t>settlement date</t>
  </si>
  <si>
    <t>set evaluation date</t>
  </si>
  <si>
    <t>rhTermStructure</t>
  </si>
  <si>
    <t>Annual</t>
  </si>
  <si>
    <t>Unadjusted</t>
  </si>
  <si>
    <t>Modified Following</t>
  </si>
  <si>
    <t>30/360 (Eurobond Basis)</t>
  </si>
  <si>
    <t>type</t>
  </si>
  <si>
    <t>Payer</t>
  </si>
  <si>
    <t>indexSixMonths</t>
  </si>
  <si>
    <t>startDate</t>
  </si>
  <si>
    <t>maturity</t>
  </si>
  <si>
    <t>fixedSchedule</t>
  </si>
  <si>
    <t>floatSchedule</t>
  </si>
  <si>
    <t>swap</t>
  </si>
  <si>
    <t>pricing engine</t>
  </si>
  <si>
    <t>setPricingEngine</t>
  </si>
  <si>
    <t>fixedATMRate</t>
  </si>
  <si>
    <t>fixedOTMRate</t>
  </si>
  <si>
    <t>fixedITMRate</t>
  </si>
  <si>
    <t>atmSwap</t>
  </si>
  <si>
    <t>otmSwap</t>
  </si>
  <si>
    <t>itmSwap</t>
  </si>
  <si>
    <t>bermudanExercise</t>
  </si>
  <si>
    <t>swaption</t>
  </si>
  <si>
    <t>engine</t>
  </si>
  <si>
    <t>set pricing engine</t>
  </si>
  <si>
    <t>NPV</t>
  </si>
  <si>
    <t>modelHW</t>
  </si>
  <si>
    <t>om</t>
  </si>
  <si>
    <t>quote</t>
  </si>
  <si>
    <t>vol</t>
  </si>
  <si>
    <t>maturities</t>
  </si>
  <si>
    <t>period</t>
  </si>
  <si>
    <t>swaptions</t>
  </si>
  <si>
    <t>engines</t>
  </si>
  <si>
    <t>set</t>
  </si>
  <si>
    <t>npv</t>
  </si>
  <si>
    <t>implied</t>
  </si>
  <si>
    <t>diff</t>
  </si>
  <si>
    <t>EndCriteria</t>
  </si>
  <si>
    <t>calibrate</t>
  </si>
  <si>
    <t>Constraint</t>
  </si>
  <si>
    <t>risk premium</t>
  </si>
  <si>
    <t>sigma</t>
  </si>
  <si>
    <t>mean reverting speed</t>
  </si>
  <si>
    <t>short rate limit value</t>
  </si>
  <si>
    <t>H&amp;W Calibrated parameters</t>
  </si>
  <si>
    <t>Flat Rate Value</t>
  </si>
  <si>
    <t>FlatRateQuote</t>
  </si>
  <si>
    <t>Flat Forward</t>
  </si>
  <si>
    <t>Term Structure</t>
  </si>
  <si>
    <t>dummyRate</t>
  </si>
  <si>
    <t>Frequency</t>
  </si>
  <si>
    <t>Convention</t>
  </si>
  <si>
    <t>DayCounter</t>
  </si>
  <si>
    <t>Fixed Leg</t>
  </si>
  <si>
    <t>Floating Leg</t>
  </si>
  <si>
    <t>6M</t>
  </si>
  <si>
    <t>accrual start dates</t>
  </si>
  <si>
    <t xml:space="preserve">Vanilla Swap </t>
  </si>
  <si>
    <t>Bermudian Swaption</t>
  </si>
  <si>
    <t>1Y</t>
  </si>
  <si>
    <t>5Y</t>
  </si>
  <si>
    <t>2Y</t>
  </si>
  <si>
    <t>3Y</t>
  </si>
  <si>
    <t>4Y</t>
  </si>
  <si>
    <t>Period</t>
  </si>
  <si>
    <t>Maturity</t>
  </si>
  <si>
    <t>6 years co-terminal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</si>
</sst>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dd\-mmm\-yyyy"/>
    <numFmt numFmtId="166" formatCode="_(* #,##0.0000_);_(* \(#,##0.0000\);_(* &quot;-&quot;??_);_(@_)"/>
    <numFmt numFmtId="167" formatCode="_(* #,##0.0000000_);_(* \(#,##0.0000000\);_(* &quot;-&quot;??_);_(@_)"/>
    <numFmt numFmtId="168" formatCode="0.0000%"/>
    <numFmt numFmtId="169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4" borderId="1" xfId="0" applyFont="1" applyFill="1" applyBorder="1"/>
    <xf numFmtId="165" fontId="2" fillId="2" borderId="1" xfId="0" applyNumberFormat="1" applyFont="1" applyFill="1" applyBorder="1"/>
    <xf numFmtId="0" fontId="2" fillId="4" borderId="5" xfId="0" applyFont="1" applyFill="1" applyBorder="1"/>
    <xf numFmtId="165" fontId="2" fillId="0" borderId="5" xfId="0" applyNumberFormat="1" applyFont="1" applyBorder="1"/>
    <xf numFmtId="0" fontId="2" fillId="0" borderId="5" xfId="0" applyFont="1" applyBorder="1"/>
    <xf numFmtId="0" fontId="2" fillId="4" borderId="6" xfId="0" applyFont="1" applyFill="1" applyBorder="1"/>
    <xf numFmtId="0" fontId="2" fillId="0" borderId="6" xfId="0" quotePrefix="1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2" fillId="4" borderId="4" xfId="0" applyFont="1" applyFill="1" applyBorder="1"/>
    <xf numFmtId="0" fontId="2" fillId="4" borderId="2" xfId="0" applyFont="1" applyFill="1" applyBorder="1" applyAlignment="1">
      <alignment horizontal="centerContinuous" vertical="center"/>
    </xf>
    <xf numFmtId="0" fontId="2" fillId="4" borderId="3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8" fontId="2" fillId="0" borderId="6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8" fontId="2" fillId="0" borderId="4" xfId="0" applyNumberFormat="1" applyFont="1" applyBorder="1"/>
    <xf numFmtId="168" fontId="2" fillId="0" borderId="5" xfId="0" applyNumberFormat="1" applyFont="1" applyBorder="1"/>
    <xf numFmtId="168" fontId="2" fillId="0" borderId="6" xfId="0" applyNumberFormat="1" applyFont="1" applyBorder="1"/>
    <xf numFmtId="165" fontId="2" fillId="0" borderId="5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66" fontId="2" fillId="0" borderId="6" xfId="1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165" fontId="2" fillId="0" borderId="0" xfId="0" applyNumberFormat="1" applyFont="1" applyBorder="1"/>
    <xf numFmtId="0" fontId="2" fillId="0" borderId="12" xfId="0" applyFont="1" applyBorder="1"/>
    <xf numFmtId="0" fontId="2" fillId="0" borderId="13" xfId="0" applyFont="1" applyBorder="1"/>
    <xf numFmtId="165" fontId="2" fillId="0" borderId="13" xfId="0" applyNumberFormat="1" applyFont="1" applyBorder="1"/>
    <xf numFmtId="0" fontId="2" fillId="0" borderId="14" xfId="0" applyFont="1" applyBorder="1"/>
    <xf numFmtId="0" fontId="2" fillId="4" borderId="15" xfId="0" applyFont="1" applyFill="1" applyBorder="1" applyAlignment="1">
      <alignment horizontal="centerContinuous" vertical="center"/>
    </xf>
    <xf numFmtId="165" fontId="2" fillId="0" borderId="6" xfId="0" applyNumberFormat="1" applyFont="1" applyBorder="1"/>
    <xf numFmtId="166" fontId="2" fillId="2" borderId="1" xfId="1" applyNumberFormat="1" applyFont="1" applyFill="1" applyBorder="1"/>
    <xf numFmtId="0" fontId="2" fillId="5" borderId="0" xfId="0" applyFont="1" applyFill="1"/>
    <xf numFmtId="0" fontId="2" fillId="2" borderId="1" xfId="0" applyFont="1" applyFill="1" applyBorder="1"/>
    <xf numFmtId="166" fontId="2" fillId="0" borderId="4" xfId="1" applyNumberFormat="1" applyFont="1" applyBorder="1"/>
    <xf numFmtId="166" fontId="2" fillId="0" borderId="5" xfId="1" applyNumberFormat="1" applyFont="1" applyBorder="1"/>
    <xf numFmtId="166" fontId="2" fillId="0" borderId="1" xfId="1" applyNumberFormat="1" applyFont="1" applyBorder="1"/>
    <xf numFmtId="166" fontId="2" fillId="3" borderId="1" xfId="1" applyNumberFormat="1" applyFont="1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167" fontId="2" fillId="3" borderId="4" xfId="1" applyNumberFormat="1" applyFont="1" applyFill="1" applyBorder="1"/>
    <xf numFmtId="167" fontId="2" fillId="0" borderId="4" xfId="1" applyNumberFormat="1" applyFont="1" applyBorder="1"/>
    <xf numFmtId="167" fontId="2" fillId="3" borderId="5" xfId="1" applyNumberFormat="1" applyFont="1" applyFill="1" applyBorder="1"/>
    <xf numFmtId="167" fontId="2" fillId="0" borderId="5" xfId="1" applyNumberFormat="1" applyFont="1" applyBorder="1"/>
    <xf numFmtId="167" fontId="2" fillId="3" borderId="6" xfId="1" applyNumberFormat="1" applyFont="1" applyFill="1" applyBorder="1"/>
    <xf numFmtId="167" fontId="2" fillId="0" borderId="6" xfId="1" applyNumberFormat="1" applyFont="1" applyBorder="1"/>
    <xf numFmtId="169" fontId="2" fillId="0" borderId="4" xfId="0" applyNumberFormat="1" applyFont="1" applyBorder="1"/>
    <xf numFmtId="169" fontId="2" fillId="0" borderId="5" xfId="0" applyNumberFormat="1" applyFont="1" applyBorder="1"/>
    <xf numFmtId="169" fontId="2" fillId="0" borderId="6" xfId="0" applyNumberFormat="1" applyFont="1" applyBorder="1"/>
    <xf numFmtId="0" fontId="2" fillId="5" borderId="0" xfId="0" applyFont="1" applyFill="1" applyBorder="1"/>
    <xf numFmtId="0" fontId="3" fillId="5" borderId="0" xfId="0" applyFont="1" applyFill="1" applyAlignment="1">
      <alignment horizontal="center"/>
    </xf>
    <xf numFmtId="168" fontId="2" fillId="6" borderId="4" xfId="0" quotePrefix="1" applyNumberFormat="1" applyFont="1" applyFill="1" applyBorder="1" applyAlignment="1">
      <alignment horizontal="right"/>
    </xf>
    <xf numFmtId="0" fontId="2" fillId="6" borderId="5" xfId="0" applyFont="1" applyFill="1" applyBorder="1" applyAlignment="1">
      <alignment horizontal="right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"/>
      <sheetName val="data"/>
      <sheetName val="utility"/>
    </sheetNames>
    <sheetDataSet>
      <sheetData sheetId="0">
        <row r="1">
          <cell r="B1" t="str">
            <v>USD OIS#0008</v>
          </cell>
          <cell r="E1" t="str">
            <v>Sibor 3M#0008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showGridLines="0" tabSelected="1" workbookViewId="0">
      <selection activeCell="D20" sqref="D20"/>
    </sheetView>
  </sheetViews>
  <sheetFormatPr defaultRowHeight="11.25" x14ac:dyDescent="0.2"/>
  <cols>
    <col min="1" max="2" width="2.7109375" style="44" customWidth="1"/>
    <col min="3" max="3" width="20.28515625" style="44" bestFit="1" customWidth="1"/>
    <col min="4" max="4" width="24.42578125" style="44" bestFit="1" customWidth="1"/>
    <col min="5" max="5" width="2.7109375" style="44" customWidth="1"/>
    <col min="6" max="6" width="15.5703125" style="44" bestFit="1" customWidth="1"/>
    <col min="7" max="7" width="20.28515625" style="44" bestFit="1" customWidth="1"/>
    <col min="8" max="8" width="2.7109375" style="44" customWidth="1"/>
    <col min="9" max="16384" width="9.140625" style="44"/>
  </cols>
  <sheetData>
    <row r="2" spans="2:8" x14ac:dyDescent="0.2">
      <c r="C2" s="2" t="s">
        <v>0</v>
      </c>
      <c r="D2" s="3"/>
    </row>
    <row r="3" spans="2:8" x14ac:dyDescent="0.2">
      <c r="C3" s="4" t="s">
        <v>1</v>
      </c>
      <c r="D3" s="23">
        <v>37302</v>
      </c>
    </row>
    <row r="4" spans="2:8" x14ac:dyDescent="0.2">
      <c r="C4" s="4" t="s">
        <v>2</v>
      </c>
      <c r="D4" s="9" t="s">
        <v>3</v>
      </c>
    </row>
    <row r="5" spans="2:8" x14ac:dyDescent="0.2">
      <c r="C5" s="4" t="s">
        <v>4</v>
      </c>
      <c r="D5" s="23">
        <f>_xll.qlCalendarAdvance($D$4,$D$3,"2D","mf",TRUE,Trigger)</f>
        <v>37306</v>
      </c>
      <c r="E5" s="44" t="str">
        <f>_xll.ohRangeRetrieveError(D5)</f>
        <v/>
      </c>
    </row>
    <row r="6" spans="2:8" x14ac:dyDescent="0.2">
      <c r="C6" s="7" t="s">
        <v>5</v>
      </c>
      <c r="D6" s="8" t="b">
        <f>_xll.qlSettingsSetEvaluationDate(D3,Trigger)</f>
        <v>1</v>
      </c>
    </row>
    <row r="8" spans="2:8" x14ac:dyDescent="0.2">
      <c r="C8" s="13" t="s">
        <v>55</v>
      </c>
      <c r="D8" s="14"/>
    </row>
    <row r="9" spans="2:8" x14ac:dyDescent="0.2">
      <c r="C9" s="12" t="s">
        <v>52</v>
      </c>
      <c r="D9" s="63">
        <v>4.8758250000000003E-2</v>
      </c>
    </row>
    <row r="10" spans="2:8" x14ac:dyDescent="0.2">
      <c r="C10" s="4" t="s">
        <v>53</v>
      </c>
      <c r="D10" s="64" t="str">
        <f>_xll.qlSimpleQuote(C10,D9,,,D6)</f>
        <v>FlatRateQuote#0007</v>
      </c>
    </row>
    <row r="11" spans="2:8" x14ac:dyDescent="0.2">
      <c r="C11" s="4" t="s">
        <v>54</v>
      </c>
      <c r="D11" s="15" t="str">
        <f>[1]curve!$E$1</f>
        <v>Sibor 3M#0008</v>
      </c>
    </row>
    <row r="12" spans="2:8" x14ac:dyDescent="0.2">
      <c r="C12" s="7" t="s">
        <v>6</v>
      </c>
      <c r="D12" s="16" t="str">
        <f>_xll.qlRelinkableHandleYieldTermStructure(C12,D11)</f>
        <v>rhTermStructure#0009</v>
      </c>
    </row>
    <row r="14" spans="2:8" x14ac:dyDescent="0.2">
      <c r="B14" s="13" t="s">
        <v>64</v>
      </c>
      <c r="C14" s="41"/>
      <c r="D14" s="41"/>
      <c r="E14" s="41"/>
      <c r="F14" s="41"/>
      <c r="G14" s="41"/>
      <c r="H14" s="14"/>
    </row>
    <row r="15" spans="2:8" x14ac:dyDescent="0.2">
      <c r="B15" s="30"/>
      <c r="C15" s="31"/>
      <c r="D15" s="31"/>
      <c r="E15" s="31"/>
      <c r="F15" s="31"/>
      <c r="G15" s="31"/>
      <c r="H15" s="32"/>
    </row>
    <row r="16" spans="2:8" x14ac:dyDescent="0.2">
      <c r="B16" s="33"/>
      <c r="C16" s="13" t="s">
        <v>60</v>
      </c>
      <c r="D16" s="14"/>
      <c r="E16" s="34"/>
      <c r="F16" s="13" t="s">
        <v>61</v>
      </c>
      <c r="G16" s="14"/>
      <c r="H16" s="35"/>
    </row>
    <row r="17" spans="2:8" x14ac:dyDescent="0.2">
      <c r="B17" s="33"/>
      <c r="C17" s="12" t="s">
        <v>57</v>
      </c>
      <c r="D17" s="18" t="s">
        <v>7</v>
      </c>
      <c r="E17" s="34"/>
      <c r="F17" s="12" t="s">
        <v>57</v>
      </c>
      <c r="G17" s="18" t="s">
        <v>62</v>
      </c>
      <c r="H17" s="35"/>
    </row>
    <row r="18" spans="2:8" x14ac:dyDescent="0.2">
      <c r="B18" s="33"/>
      <c r="C18" s="4" t="s">
        <v>58</v>
      </c>
      <c r="D18" s="9" t="s">
        <v>8</v>
      </c>
      <c r="E18" s="34"/>
      <c r="F18" s="4" t="s">
        <v>58</v>
      </c>
      <c r="G18" s="6" t="s">
        <v>9</v>
      </c>
      <c r="H18" s="35"/>
    </row>
    <row r="19" spans="2:8" x14ac:dyDescent="0.2">
      <c r="B19" s="33"/>
      <c r="C19" s="4" t="s">
        <v>59</v>
      </c>
      <c r="D19" s="19" t="s">
        <v>10</v>
      </c>
      <c r="E19" s="34"/>
      <c r="F19" s="4" t="s">
        <v>59</v>
      </c>
      <c r="G19" s="19" t="str">
        <f>_xll.qlInterestRateIndexDayCounter(G20)</f>
        <v>Actual/360</v>
      </c>
      <c r="H19" s="35"/>
    </row>
    <row r="20" spans="2:8" x14ac:dyDescent="0.2">
      <c r="B20" s="33"/>
      <c r="C20" s="7" t="s">
        <v>56</v>
      </c>
      <c r="D20" s="17">
        <v>2.9999999999999997E-4</v>
      </c>
      <c r="E20" s="34"/>
      <c r="F20" s="7" t="s">
        <v>13</v>
      </c>
      <c r="G20" s="11" t="str">
        <f>_xll.qlEuribor(F20,$G$17,D12)</f>
        <v>indexSixMonths#0009</v>
      </c>
      <c r="H20" s="35"/>
    </row>
    <row r="21" spans="2:8" x14ac:dyDescent="0.2">
      <c r="B21" s="33"/>
      <c r="C21" s="34"/>
      <c r="D21" s="34"/>
      <c r="E21" s="34"/>
      <c r="F21" s="34"/>
      <c r="G21" s="34"/>
      <c r="H21" s="35"/>
    </row>
    <row r="22" spans="2:8" x14ac:dyDescent="0.2">
      <c r="B22" s="33"/>
      <c r="C22" s="12" t="s">
        <v>11</v>
      </c>
      <c r="D22" s="18" t="s">
        <v>12</v>
      </c>
      <c r="E22" s="34"/>
      <c r="F22" s="34"/>
      <c r="G22" s="34"/>
      <c r="H22" s="35"/>
    </row>
    <row r="23" spans="2:8" x14ac:dyDescent="0.2">
      <c r="B23" s="33"/>
      <c r="C23" s="4" t="s">
        <v>14</v>
      </c>
      <c r="D23" s="24">
        <f>_xll.qlCalendarAdvance(D4,D5,"1Y","mf",,D6)</f>
        <v>37671</v>
      </c>
      <c r="E23" s="34"/>
      <c r="F23" s="34"/>
      <c r="G23" s="34"/>
      <c r="H23" s="35"/>
    </row>
    <row r="24" spans="2:8" x14ac:dyDescent="0.2">
      <c r="B24" s="33"/>
      <c r="C24" s="4" t="s">
        <v>15</v>
      </c>
      <c r="D24" s="24">
        <f>_xll.qlCalendarAdvance(D4,D23,"5Y","mf",,D6)</f>
        <v>39497</v>
      </c>
      <c r="E24" s="34"/>
      <c r="F24" s="34"/>
      <c r="G24" s="34"/>
      <c r="H24" s="35"/>
    </row>
    <row r="25" spans="2:8" x14ac:dyDescent="0.2">
      <c r="B25" s="33"/>
      <c r="C25" s="4" t="s">
        <v>16</v>
      </c>
      <c r="D25" s="15" t="str">
        <f>_xll.qlSchedule(C25,D23,D24,"1Y",D4,D18,D18,"Forward")</f>
        <v>fixedSchedule#0007</v>
      </c>
      <c r="E25" s="34"/>
      <c r="F25" s="34"/>
      <c r="G25" s="34"/>
      <c r="H25" s="35"/>
    </row>
    <row r="26" spans="2:8" x14ac:dyDescent="0.2">
      <c r="B26" s="33"/>
      <c r="C26" s="4" t="s">
        <v>17</v>
      </c>
      <c r="D26" s="15" t="str">
        <f>_xll.qlSchedule(C26,D23,D24,"6M",D4,G18,G18,"Forward")</f>
        <v>floatSchedule#0007</v>
      </c>
      <c r="E26" s="34"/>
      <c r="F26" s="34"/>
      <c r="G26" s="34"/>
      <c r="H26" s="35"/>
    </row>
    <row r="27" spans="2:8" x14ac:dyDescent="0.2">
      <c r="B27" s="33"/>
      <c r="C27" s="4" t="s">
        <v>18</v>
      </c>
      <c r="D27" s="15" t="str">
        <f>_xll.qlVanillaSwap(C27,"Payer",1000,D25,D20,D19,D26,G20,0,G19)</f>
        <v>swap#0043</v>
      </c>
      <c r="E27" s="34"/>
      <c r="F27" s="34"/>
      <c r="G27" s="34"/>
      <c r="H27" s="35"/>
    </row>
    <row r="28" spans="2:8" x14ac:dyDescent="0.2">
      <c r="B28" s="33"/>
      <c r="C28" s="4" t="s">
        <v>19</v>
      </c>
      <c r="D28" s="15" t="str">
        <f>_xll.qlDiscountingSwapEngine(,[1]curve!$B$1,,,,,D27)</f>
        <v>obj_0001b#0012</v>
      </c>
      <c r="E28" s="34"/>
      <c r="F28" s="34"/>
      <c r="G28" s="34"/>
      <c r="H28" s="35"/>
    </row>
    <row r="29" spans="2:8" x14ac:dyDescent="0.2">
      <c r="B29" s="33"/>
      <c r="C29" s="7" t="s">
        <v>20</v>
      </c>
      <c r="D29" s="11" t="b">
        <f>_xll.qlInstrumentSetPricingEngine(D27,D28)</f>
        <v>1</v>
      </c>
      <c r="E29" s="34"/>
      <c r="F29" s="34"/>
      <c r="G29" s="1"/>
      <c r="H29" s="35"/>
    </row>
    <row r="30" spans="2:8" x14ac:dyDescent="0.2">
      <c r="B30" s="37"/>
      <c r="C30" s="38"/>
      <c r="D30" s="38"/>
      <c r="E30" s="38"/>
      <c r="F30" s="38"/>
      <c r="G30" s="38"/>
      <c r="H30" s="40"/>
    </row>
    <row r="32" spans="2:8" x14ac:dyDescent="0.2">
      <c r="B32" s="13" t="s">
        <v>65</v>
      </c>
      <c r="C32" s="41"/>
      <c r="D32" s="41"/>
      <c r="E32" s="41"/>
      <c r="F32" s="41"/>
      <c r="G32" s="41"/>
      <c r="H32" s="14"/>
    </row>
    <row r="33" spans="2:8" x14ac:dyDescent="0.2">
      <c r="B33" s="30"/>
      <c r="C33" s="31"/>
      <c r="D33" s="31"/>
      <c r="E33" s="31"/>
      <c r="F33" s="31"/>
      <c r="G33" s="31"/>
      <c r="H33" s="32"/>
    </row>
    <row r="34" spans="2:8" x14ac:dyDescent="0.2">
      <c r="B34" s="33"/>
      <c r="C34" s="12" t="s">
        <v>21</v>
      </c>
      <c r="D34" s="20" t="e">
        <f>_xll.qlVanillaSwapFairRate(D27,D29)</f>
        <v>#NUM!</v>
      </c>
      <c r="E34" s="34"/>
      <c r="F34" s="34"/>
      <c r="G34" s="2" t="s">
        <v>63</v>
      </c>
      <c r="H34" s="35"/>
    </row>
    <row r="35" spans="2:8" x14ac:dyDescent="0.2">
      <c r="B35" s="33"/>
      <c r="C35" s="4" t="s">
        <v>22</v>
      </c>
      <c r="D35" s="21" t="e">
        <f>D34*1.2</f>
        <v>#NUM!</v>
      </c>
      <c r="E35" s="34"/>
      <c r="F35" s="34"/>
      <c r="G35" s="5">
        <f t="array" ref="G35:G40">_xll.qlScheduleDates(D25)</f>
        <v>37671</v>
      </c>
      <c r="H35" s="35"/>
    </row>
    <row r="36" spans="2:8" x14ac:dyDescent="0.2">
      <c r="B36" s="33"/>
      <c r="C36" s="7" t="s">
        <v>23</v>
      </c>
      <c r="D36" s="22" t="e">
        <f>D35*0.8</f>
        <v>#NUM!</v>
      </c>
      <c r="E36" s="34"/>
      <c r="F36" s="34"/>
      <c r="G36" s="5">
        <v>38036</v>
      </c>
      <c r="H36" s="35"/>
    </row>
    <row r="37" spans="2:8" x14ac:dyDescent="0.2">
      <c r="B37" s="33"/>
      <c r="C37" s="34"/>
      <c r="D37" s="34"/>
      <c r="E37" s="34"/>
      <c r="F37" s="34"/>
      <c r="G37" s="5">
        <v>38402</v>
      </c>
      <c r="H37" s="35"/>
    </row>
    <row r="38" spans="2:8" x14ac:dyDescent="0.2">
      <c r="B38" s="33"/>
      <c r="C38" s="12" t="s">
        <v>24</v>
      </c>
      <c r="D38" s="26" t="e">
        <f>_xll.qlVanillaSwap(C38,"payer",1000,$D$25,D34,$D$19,$D$26,$G$20,0,$G$19)</f>
        <v>#NUM!</v>
      </c>
      <c r="E38" s="34"/>
      <c r="F38" s="34"/>
      <c r="G38" s="5">
        <v>38767</v>
      </c>
      <c r="H38" s="35"/>
    </row>
    <row r="39" spans="2:8" x14ac:dyDescent="0.2">
      <c r="B39" s="33"/>
      <c r="C39" s="4" t="s">
        <v>25</v>
      </c>
      <c r="D39" s="27" t="e">
        <f>_xll.qlVanillaSwap(C39,"payer",1000,$D$25,D35,$D$19,$D$26,$G$20,0,$G$19)</f>
        <v>#NUM!</v>
      </c>
      <c r="E39" s="34"/>
      <c r="F39" s="34"/>
      <c r="G39" s="5">
        <v>39132</v>
      </c>
      <c r="H39" s="35"/>
    </row>
    <row r="40" spans="2:8" x14ac:dyDescent="0.2">
      <c r="B40" s="33"/>
      <c r="C40" s="7" t="s">
        <v>26</v>
      </c>
      <c r="D40" s="28" t="e">
        <f>_xll.qlVanillaSwap(C40,"payer",1000,$D$25,D36,$D$19,$D$26,$G$20,0,$G$19)</f>
        <v>#NUM!</v>
      </c>
      <c r="E40" s="34"/>
      <c r="F40" s="34"/>
      <c r="G40" s="42">
        <v>39497</v>
      </c>
      <c r="H40" s="35"/>
    </row>
    <row r="41" spans="2:8" x14ac:dyDescent="0.2">
      <c r="B41" s="33"/>
      <c r="C41" s="34"/>
      <c r="D41" s="34"/>
      <c r="E41" s="34"/>
      <c r="F41" s="34"/>
      <c r="G41" s="1"/>
      <c r="H41" s="35"/>
    </row>
    <row r="42" spans="2:8" x14ac:dyDescent="0.2">
      <c r="B42" s="33"/>
      <c r="C42" s="12" t="s">
        <v>27</v>
      </c>
      <c r="D42" s="25" t="str">
        <f>_xll.qlBermudanExercise(C42,G35:G39,,,Trigger)</f>
        <v>bermudanExercise#0007</v>
      </c>
      <c r="E42" s="34"/>
      <c r="F42" s="34"/>
      <c r="G42" s="36"/>
      <c r="H42" s="35"/>
    </row>
    <row r="43" spans="2:8" x14ac:dyDescent="0.2">
      <c r="B43" s="33"/>
      <c r="C43" s="4" t="s">
        <v>28</v>
      </c>
      <c r="D43" s="15" t="e">
        <f>_xll.qlSwaption(,D38,D42,"Physical")</f>
        <v>#VALUE!</v>
      </c>
      <c r="E43" s="34"/>
      <c r="F43" s="34"/>
      <c r="G43" s="36"/>
      <c r="H43" s="35"/>
    </row>
    <row r="44" spans="2:8" x14ac:dyDescent="0.2">
      <c r="B44" s="33"/>
      <c r="C44" s="4" t="s">
        <v>29</v>
      </c>
      <c r="D44" s="15" t="str">
        <f>_xll.qlTreeSwaptionEngine(,Calibration_HW!$C$2,50,,Calibration_HW!C7)</f>
        <v>obj_00017#0009</v>
      </c>
      <c r="E44" s="34"/>
      <c r="F44" s="34"/>
      <c r="G44" s="36"/>
      <c r="H44" s="35"/>
    </row>
    <row r="45" spans="2:8" x14ac:dyDescent="0.2">
      <c r="B45" s="33"/>
      <c r="C45" s="4" t="s">
        <v>30</v>
      </c>
      <c r="D45" s="6" t="e">
        <f>_xll.qlInstrumentSetPricingEngine(D43,D44)</f>
        <v>#VALUE!</v>
      </c>
      <c r="E45" s="34"/>
      <c r="F45" s="34"/>
      <c r="G45" s="36"/>
      <c r="H45" s="35"/>
    </row>
    <row r="46" spans="2:8" x14ac:dyDescent="0.2">
      <c r="B46" s="33"/>
      <c r="C46" s="2" t="s">
        <v>31</v>
      </c>
      <c r="D46" s="43" t="e">
        <f>_xll.qlInstrumentNPV(D43,D45)</f>
        <v>#VALUE!</v>
      </c>
      <c r="E46" s="34"/>
      <c r="F46" s="34"/>
      <c r="G46" s="36"/>
      <c r="H46" s="35"/>
    </row>
    <row r="47" spans="2:8" x14ac:dyDescent="0.2">
      <c r="B47" s="37"/>
      <c r="C47" s="38"/>
      <c r="D47" s="38"/>
      <c r="E47" s="38"/>
      <c r="F47" s="38"/>
      <c r="G47" s="39"/>
      <c r="H47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showGridLines="0" workbookViewId="0">
      <selection activeCell="H30" sqref="H30"/>
    </sheetView>
  </sheetViews>
  <sheetFormatPr defaultRowHeight="11.25" x14ac:dyDescent="0.2"/>
  <cols>
    <col min="1" max="1" width="2.7109375" style="44" customWidth="1"/>
    <col min="2" max="2" width="23.42578125" style="44" bestFit="1" customWidth="1"/>
    <col min="3" max="3" width="15.140625" style="44" bestFit="1" customWidth="1"/>
    <col min="4" max="4" width="2.7109375" style="44" customWidth="1"/>
    <col min="5" max="5" width="4.5703125" style="44" customWidth="1"/>
    <col min="6" max="6" width="12" style="44" bestFit="1" customWidth="1"/>
    <col min="7" max="11" width="15.140625" style="44" customWidth="1"/>
    <col min="12" max="12" width="9.140625" style="44"/>
    <col min="13" max="13" width="9" style="44" bestFit="1" customWidth="1"/>
    <col min="14" max="14" width="12" style="44" bestFit="1" customWidth="1"/>
    <col min="15" max="15" width="10" style="44" bestFit="1" customWidth="1"/>
    <col min="16" max="16" width="11.5703125" style="44" bestFit="1" customWidth="1"/>
    <col min="17" max="17" width="15.5703125" style="44" bestFit="1" customWidth="1"/>
    <col min="18" max="18" width="16.85546875" style="44" bestFit="1" customWidth="1"/>
    <col min="19" max="16384" width="9.140625" style="44"/>
  </cols>
  <sheetData>
    <row r="2" spans="2:17" x14ac:dyDescent="0.2">
      <c r="B2" s="12" t="s">
        <v>32</v>
      </c>
      <c r="C2" s="10" t="str">
        <f>_xll.qlHullWhite(B2,NPV!D12,0.1,0.01,,Trigger)</f>
        <v>modelHW#0009</v>
      </c>
      <c r="D2" s="61"/>
      <c r="F2" s="62"/>
      <c r="G2" s="62"/>
      <c r="H2" s="62"/>
      <c r="I2" s="62"/>
      <c r="L2" s="62"/>
      <c r="M2" s="62"/>
      <c r="N2" s="62"/>
      <c r="O2" s="62"/>
      <c r="P2" s="62"/>
      <c r="Q2" s="62"/>
    </row>
    <row r="3" spans="2:17" x14ac:dyDescent="0.2">
      <c r="B3" s="4" t="s">
        <v>33</v>
      </c>
      <c r="C3" s="6" t="str">
        <f>_xll.qlLevenbergMarquardt(B3,,,,,Trigger)</f>
        <v>om#0007</v>
      </c>
      <c r="D3" s="61"/>
      <c r="F3" s="51" t="s">
        <v>36</v>
      </c>
      <c r="G3" s="51" t="s">
        <v>37</v>
      </c>
      <c r="H3" s="51" t="s">
        <v>34</v>
      </c>
      <c r="I3" s="51" t="s">
        <v>35</v>
      </c>
      <c r="J3" s="51" t="s">
        <v>38</v>
      </c>
      <c r="K3" s="51" t="s">
        <v>39</v>
      </c>
      <c r="L3" s="51" t="s">
        <v>40</v>
      </c>
      <c r="M3" s="51" t="s">
        <v>41</v>
      </c>
      <c r="N3" s="51" t="s">
        <v>42</v>
      </c>
      <c r="O3" s="51" t="s">
        <v>43</v>
      </c>
    </row>
    <row r="4" spans="2:17" x14ac:dyDescent="0.2">
      <c r="B4" s="4" t="s">
        <v>44</v>
      </c>
      <c r="C4" s="6" t="str">
        <f>_xll.qlEndCriteria(,400,100,0.00000001,0.00000001,0.00000001,,Trigger)</f>
        <v>obj_00008#0007</v>
      </c>
      <c r="D4" s="61"/>
      <c r="F4" s="10" t="s">
        <v>66</v>
      </c>
      <c r="G4" s="10" t="s">
        <v>67</v>
      </c>
      <c r="H4" s="52">
        <v>0.1148</v>
      </c>
      <c r="I4" s="10" t="str">
        <f>_xll.qlSimpleQuote(,H4,,,Trigger)</f>
        <v>obj_00005#0007</v>
      </c>
      <c r="J4" s="10" t="str">
        <f>_xll.qlSwaptionHelper(,F4,G4,I4,NPV!$G$20,"6M","Actual/360","Actual/360",NPV!$D$12)</f>
        <v>obj_00015#0009</v>
      </c>
      <c r="K4" s="10" t="str">
        <f>_xll.qlJamshidianSwaptionEngine(,$C$2,,,$C$2)</f>
        <v>obj_0000b#0009</v>
      </c>
      <c r="L4" s="10" t="b">
        <f>_xll.qlCalibrationHelperSetPricingEngine(J4,K4)</f>
        <v>1</v>
      </c>
      <c r="M4" s="46">
        <f>_xll.qlSwaptionHelperModelValue(J4,$C$7)</f>
        <v>2.8484777185185236E-4</v>
      </c>
      <c r="N4" s="53">
        <f>_xll.qlCalibrationHelperImpliedVolatility(J4,M4,0.0001,1000,0.05,0.5)</f>
        <v>5.1036880588081521E-2</v>
      </c>
      <c r="O4" s="58">
        <f>N4-H4</f>
        <v>-6.3763119411918479E-2</v>
      </c>
    </row>
    <row r="5" spans="2:17" x14ac:dyDescent="0.2">
      <c r="B5" s="7" t="s">
        <v>46</v>
      </c>
      <c r="C5" s="11" t="str">
        <f>_xll.qlNoConstraint(,,Trigger)</f>
        <v>obj_00000#0007</v>
      </c>
      <c r="D5" s="61"/>
      <c r="F5" s="6" t="s">
        <v>68</v>
      </c>
      <c r="G5" s="6" t="s">
        <v>70</v>
      </c>
      <c r="H5" s="54">
        <v>0.1108</v>
      </c>
      <c r="I5" s="6" t="str">
        <f>_xll.qlSimpleQuote(,H5,,,Trigger)</f>
        <v>obj_00007#0007</v>
      </c>
      <c r="J5" s="6" t="str">
        <f>_xll.qlSwaptionHelper(,F5,G5,I5,NPV!$G$20,"6M","Actual/360","Actual/360",NPV!$D$12)</f>
        <v>obj_0000d#0009</v>
      </c>
      <c r="K5" s="6" t="str">
        <f>_xll.qlJamshidianSwaptionEngine(,$C$2,,,$C$2)</f>
        <v>obj_00014#0009</v>
      </c>
      <c r="L5" s="6" t="b">
        <f>_xll.qlCalibrationHelperSetPricingEngine(J5,K5)</f>
        <v>1</v>
      </c>
      <c r="M5" s="47">
        <f>_xll.qlSwaptionHelperModelValue(J5,$C$7)</f>
        <v>3.2258837284162358E-4</v>
      </c>
      <c r="N5" s="55">
        <f>_xll.qlCalibrationHelperImpliedVolatility(J5,M5,0.0001,1000,0.05,0.5)</f>
        <v>8.6006943290163604E-2</v>
      </c>
      <c r="O5" s="59">
        <f>N5-H5</f>
        <v>-2.4793056709836392E-2</v>
      </c>
    </row>
    <row r="6" spans="2:17" x14ac:dyDescent="0.2">
      <c r="F6" s="6" t="s">
        <v>69</v>
      </c>
      <c r="G6" s="6" t="s">
        <v>69</v>
      </c>
      <c r="H6" s="54">
        <v>0.107</v>
      </c>
      <c r="I6" s="6" t="str">
        <f>_xll.qlSimpleQuote(,H6,,,Trigger)</f>
        <v>obj_00004#0007</v>
      </c>
      <c r="J6" s="6" t="str">
        <f>_xll.qlSwaptionHelper(,F6,G6,I6,NPV!$G$20,"6M","Actual/360","Actual/360",NPV!$D$12)</f>
        <v>obj_00010#0009</v>
      </c>
      <c r="K6" s="6" t="str">
        <f>_xll.qlJamshidianSwaptionEngine(,$C$2,,,$C$2)</f>
        <v>obj_00013#0009</v>
      </c>
      <c r="L6" s="6" t="b">
        <f>_xll.qlCalibrationHelperSetPricingEngine(J6,K6)</f>
        <v>1</v>
      </c>
      <c r="M6" s="47">
        <f>_xll.qlSwaptionHelperModelValue(J6,$C$7)</f>
        <v>2.963425361465434E-4</v>
      </c>
      <c r="N6" s="55">
        <f>_xll.qlCalibrationHelperImpliedVolatility(J6,M6,0.0001,1000,0.05,0.5)</f>
        <v>0.11481622609049173</v>
      </c>
      <c r="O6" s="59">
        <f>N6-H6</f>
        <v>7.8162260904917347E-3</v>
      </c>
    </row>
    <row r="7" spans="2:17" x14ac:dyDescent="0.2">
      <c r="B7" s="2" t="s">
        <v>45</v>
      </c>
      <c r="C7" s="45" t="b">
        <f>_xll.qlOneFactorAffineModelCalibrate(C2,J4:J8,C3,C4,C5,,,_xll.ohTrigger(L4:L8))</f>
        <v>1</v>
      </c>
      <c r="F7" s="6" t="s">
        <v>70</v>
      </c>
      <c r="G7" s="6" t="s">
        <v>68</v>
      </c>
      <c r="H7" s="54">
        <v>0.1021</v>
      </c>
      <c r="I7" s="6" t="str">
        <f>_xll.qlSimpleQuote(,H7,,,Trigger)</f>
        <v>obj_00003#0007</v>
      </c>
      <c r="J7" s="6" t="str">
        <f>_xll.qlSwaptionHelper(,F7,G7,I7,NPV!$G$20,"6M","Actual/360","Actual/360",NPV!$D$12)</f>
        <v>obj_00016#0009</v>
      </c>
      <c r="K7" s="6" t="str">
        <f>_xll.qlJamshidianSwaptionEngine(,$C$2,,,$C$2)</f>
        <v>obj_0000e#0009</v>
      </c>
      <c r="L7" s="6" t="b">
        <f>_xll.qlCalibrationHelperSetPricingEngine(J7,K7)</f>
        <v>1</v>
      </c>
      <c r="M7" s="47">
        <f>_xll.qlSwaptionHelperModelValue(J7,$C$7)</f>
        <v>2.2851526383595825E-4</v>
      </c>
      <c r="N7" s="55">
        <f>_xll.qlCalibrationHelperImpliedVolatility(J7,M7,0.0001,1000,0.05,0.5)</f>
        <v>0.13034191848417614</v>
      </c>
      <c r="O7" s="59">
        <f>N7-H7</f>
        <v>2.8241918484176148E-2</v>
      </c>
    </row>
    <row r="8" spans="2:17" x14ac:dyDescent="0.2">
      <c r="F8" s="11" t="s">
        <v>67</v>
      </c>
      <c r="G8" s="11" t="s">
        <v>66</v>
      </c>
      <c r="H8" s="56">
        <v>0.1</v>
      </c>
      <c r="I8" s="11" t="str">
        <f>_xll.qlSimpleQuote(,H8,,,Trigger)</f>
        <v>obj_00002#0007</v>
      </c>
      <c r="J8" s="11" t="str">
        <f>_xll.qlSwaptionHelper(,F8,G8,I8,NPV!$G$20,"6M","Actual/360","Actual/360",NPV!$D$12)</f>
        <v>obj_00011#0009</v>
      </c>
      <c r="K8" s="11" t="str">
        <f>_xll.qlJamshidianSwaptionEngine(,$C$2,,,$C$2)</f>
        <v>obj_0000f#0009</v>
      </c>
      <c r="L8" s="11" t="b">
        <f>_xll.qlCalibrationHelperSetPricingEngine(J8,K8)</f>
        <v>1</v>
      </c>
      <c r="M8" s="29">
        <f>_xll.qlSwaptionHelperModelValue(J8,$C$7)</f>
        <v>1.2750190265346692E-4</v>
      </c>
      <c r="N8" s="57">
        <f>_xll.qlCalibrationHelperImpliedVolatility(J8,M8,0.0001,1000,0.05,0.5)</f>
        <v>0.10010395532447559</v>
      </c>
      <c r="O8" s="60">
        <f>N8-H8</f>
        <v>1.0395532447558808E-4</v>
      </c>
    </row>
    <row r="10" spans="2:17" x14ac:dyDescent="0.2">
      <c r="B10" s="13" t="s">
        <v>51</v>
      </c>
      <c r="C10" s="14"/>
    </row>
    <row r="11" spans="2:17" x14ac:dyDescent="0.2">
      <c r="B11" s="12" t="s">
        <v>49</v>
      </c>
      <c r="C11" s="10">
        <f>_xll.qlVasicekA(C2,$C$7)</f>
        <v>4.9688012285187353E-3</v>
      </c>
      <c r="D11" s="61"/>
    </row>
    <row r="12" spans="2:17" x14ac:dyDescent="0.2">
      <c r="B12" s="4" t="s">
        <v>50</v>
      </c>
      <c r="C12" s="6">
        <f>_xll.qlVasicekB(C2,$C$7)</f>
        <v>0</v>
      </c>
      <c r="D12" s="61"/>
    </row>
    <row r="13" spans="2:17" x14ac:dyDescent="0.2">
      <c r="B13" s="4" t="s">
        <v>47</v>
      </c>
      <c r="C13" s="6">
        <f>_xll.qlVasicekLambda(C2,$C$7)</f>
        <v>0</v>
      </c>
      <c r="D13" s="61"/>
      <c r="G13" s="13" t="s">
        <v>71</v>
      </c>
      <c r="H13" s="41"/>
      <c r="I13" s="41"/>
      <c r="J13" s="41"/>
      <c r="K13" s="14"/>
    </row>
    <row r="14" spans="2:17" x14ac:dyDescent="0.2">
      <c r="B14" s="7" t="s">
        <v>48</v>
      </c>
      <c r="C14" s="11">
        <f>_xll.qlVasicekSigma(C2,$C$7)</f>
        <v>1.4514210908983774E-4</v>
      </c>
      <c r="D14" s="61"/>
      <c r="F14" s="2" t="s">
        <v>72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</row>
    <row r="15" spans="2:17" x14ac:dyDescent="0.2">
      <c r="F15" s="2">
        <v>1</v>
      </c>
      <c r="G15" s="48">
        <v>0.14899999999999999</v>
      </c>
      <c r="H15" s="48">
        <v>0.13400000000000001</v>
      </c>
      <c r="I15" s="48">
        <v>0.12280000000000001</v>
      </c>
      <c r="J15" s="48">
        <v>0.11890000000000001</v>
      </c>
      <c r="K15" s="49">
        <v>0.1148</v>
      </c>
    </row>
    <row r="16" spans="2:17" x14ac:dyDescent="0.2">
      <c r="F16" s="2">
        <v>2</v>
      </c>
      <c r="G16" s="48">
        <v>0.129</v>
      </c>
      <c r="H16" s="48">
        <v>0.1201</v>
      </c>
      <c r="I16" s="48">
        <v>0.11459999999999999</v>
      </c>
      <c r="J16" s="49">
        <v>0.1108</v>
      </c>
      <c r="K16" s="48">
        <v>0.104</v>
      </c>
    </row>
    <row r="17" spans="6:11" x14ac:dyDescent="0.2">
      <c r="F17" s="2">
        <v>3</v>
      </c>
      <c r="G17" s="48">
        <v>0.1149</v>
      </c>
      <c r="H17" s="48">
        <v>0.11119999999999999</v>
      </c>
      <c r="I17" s="49">
        <v>0.107</v>
      </c>
      <c r="J17" s="48">
        <v>0.10100000000000001</v>
      </c>
      <c r="K17" s="48">
        <v>9.5699999999999993E-2</v>
      </c>
    </row>
    <row r="18" spans="6:11" x14ac:dyDescent="0.2">
      <c r="F18" s="2">
        <v>4</v>
      </c>
      <c r="G18" s="48">
        <v>0.1047</v>
      </c>
      <c r="H18" s="49">
        <v>0.1021</v>
      </c>
      <c r="I18" s="48">
        <v>9.8000000000000004E-2</v>
      </c>
      <c r="J18" s="48">
        <v>9.5100000000000004E-2</v>
      </c>
      <c r="K18" s="48">
        <v>0.127</v>
      </c>
    </row>
    <row r="19" spans="6:11" x14ac:dyDescent="0.2">
      <c r="F19" s="2">
        <v>5</v>
      </c>
      <c r="G19" s="49">
        <v>0.1</v>
      </c>
      <c r="H19" s="48">
        <v>9.5000000000000001E-2</v>
      </c>
      <c r="I19" s="48">
        <v>0.09</v>
      </c>
      <c r="J19" s="48">
        <v>0.123</v>
      </c>
      <c r="K19" s="48">
        <v>0.11600000000000001</v>
      </c>
    </row>
    <row r="21" spans="6:11" x14ac:dyDescent="0.2">
      <c r="G21" s="50"/>
      <c r="H21" s="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NPV</vt:lpstr>
      <vt:lpstr>Calibration_HW</vt:lpstr>
      <vt:lpstr>Trigger</vt:lpstr>
    </vt:vector>
  </TitlesOfParts>
  <Company>Banca IMI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admin</cp:lastModifiedBy>
  <dcterms:created xsi:type="dcterms:W3CDTF">2015-10-09T08:41:17Z</dcterms:created>
  <dcterms:modified xsi:type="dcterms:W3CDTF">2019-01-27T15:07:45Z</dcterms:modified>
</cp:coreProperties>
</file>