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327"/>
  <workbookPr/>
  <mc:AlternateContent xmlns:mc="http://schemas.openxmlformats.org/markup-compatibility/2006">
    <mc:Choice Requires="x15">
      <x15ac:absPath xmlns:x15ac="http://schemas.microsoft.com/office/spreadsheetml/2010/11/ac" url="https://stucqnueducn-my.sharepoint.com/personal/2021051615087_stu_cqnu_edu_cn/Documents/跑团/"/>
    </mc:Choice>
  </mc:AlternateContent>
  <xr:revisionPtr revIDLastSave="39" documentId="11_052DAE518A8F48D3987540679DD780EF261B755C" xr6:coauthVersionLast="47" xr6:coauthVersionMax="47" xr10:uidLastSave="{16C58FCA-2B22-4AF3-92B9-C327081E094A}"/>
  <workbookProtection workbookPassword="E0FB" lockStructure="1"/>
  <bookViews>
    <workbookView xWindow="-110" yWindow="-110" windowWidth="25820" windowHeight="15500" tabRatio="727" xr2:uid="{00000000-000D-0000-FFFF-FFFF00000000}"/>
  </bookViews>
  <sheets>
    <sheet name="人物卡" sheetId="2" r:id="rId1"/>
    <sheet name="附表" sheetId="7" state="hidden" r:id="rId2"/>
    <sheet name="成长经历" sheetId="15" r:id="rId3"/>
    <sheet name="简化卡 骰娘导入" sheetId="3" r:id="rId4"/>
    <sheet name="职业列表" sheetId="4" r:id="rId5"/>
    <sheet name="成长表（测试）" sheetId="5" state="hidden" r:id="rId6"/>
    <sheet name="本职技能" sheetId="6" state="hidden" r:id="rId7"/>
    <sheet name="技能注释" sheetId="8" r:id="rId8"/>
    <sheet name="属性注释" sheetId="9" r:id="rId9"/>
    <sheet name="资产及物价参考" sheetId="10" r:id="rId10"/>
    <sheet name="武器列表 战斗" sheetId="11" r:id="rId11"/>
    <sheet name="防具表 载具表" sheetId="12" r:id="rId12"/>
    <sheet name="疯狂表" sheetId="13" r:id="rId13"/>
    <sheet name="更新说明" sheetId="14" r:id="rId14"/>
    <sheet name="成长表展开教学" sheetId="16" r:id="rId15"/>
  </sheets>
  <externalReferences>
    <externalReference r:id="rId16"/>
  </externalReferences>
  <definedNames>
    <definedName name="_xlnm._FilterDatabase" localSheetId="0" hidden="1">人物卡!$DC$154:$DQ$154</definedName>
    <definedName name="APP">人物卡!$BZ$11</definedName>
    <definedName name="APPA">人物卡!$BZ$12</definedName>
    <definedName name="apple">人物卡!#REF!</definedName>
    <definedName name="arti">人物卡!$CM$57</definedName>
    <definedName name="arting">人物卡!$CA$57</definedName>
    <definedName name="blast">人物卡!$BQ$39</definedName>
    <definedName name="Blasting">人物卡!$BE$39</definedName>
    <definedName name="BMI">附表!$I$63</definedName>
    <definedName name="CON">人物卡!$BT$11</definedName>
    <definedName name="CONA">人物卡!$BT$12</definedName>
    <definedName name="dbf">人物卡!$BQ$63</definedName>
    <definedName name="dbfg">人物卡!$BG$63</definedName>
    <definedName name="dbfi">人物卡!$BQ$64</definedName>
    <definedName name="dbfig">人物卡!$BG$64</definedName>
    <definedName name="dbo">人物卡!$BQ$60</definedName>
    <definedName name="dbog">人物卡!$BG$60</definedName>
    <definedName name="dbt">人物卡!$BQ$61</definedName>
    <definedName name="dbtg">人物卡!$BG$61</definedName>
    <definedName name="dbth">人物卡!$BQ$62</definedName>
    <definedName name="dbthg">人物卡!$BG$62</definedName>
    <definedName name="DEX">人物卡!$BZ$9</definedName>
    <definedName name="DEXA">人物卡!$BZ$10</definedName>
    <definedName name="EDU">人物卡!$CF$11</definedName>
    <definedName name="EDUA">人物卡!$CF$12</definedName>
    <definedName name="elmaing">人物卡!$BE$36</definedName>
    <definedName name="fight">人物卡!$BQ$59</definedName>
    <definedName name="fighting">人物卡!$BG$59</definedName>
    <definedName name="hp">人物卡!$BD$19</definedName>
    <definedName name="INT">人物卡!$BZ$13</definedName>
    <definedName name="INTA">人物卡!$BZ$14</definedName>
    <definedName name="Luck">人物卡!$CF$13</definedName>
    <definedName name="LuckA">人物卡!$CF$14</definedName>
    <definedName name="mema">人物卡!$BQ$35</definedName>
    <definedName name="memaing">人物卡!$BE$35</definedName>
    <definedName name="MP">人物卡!$BV$19</definedName>
    <definedName name="pistol">人物卡!$CM$59</definedName>
    <definedName name="pistoling">人物卡!$CC$59</definedName>
    <definedName name="POW">人物卡!$CF$9</definedName>
    <definedName name="POWA">人物卡!$CF$10</definedName>
    <definedName name="SAN">人物卡!$BM$19</definedName>
    <definedName name="shf">人物卡!$CM$63</definedName>
    <definedName name="shfg">人物卡!$CC$63</definedName>
    <definedName name="shfi">人物卡!$CM$64</definedName>
    <definedName name="shfig">人物卡!$CC$64</definedName>
    <definedName name="sho">人物卡!$CM$60</definedName>
    <definedName name="shog">人物卡!$CC$60</definedName>
    <definedName name="sht">人物卡!$CM$61</definedName>
    <definedName name="shtg">人物卡!$CC$61</definedName>
    <definedName name="shth">人物卡!$CM$62</definedName>
    <definedName name="shthg">人物卡!$CC$62</definedName>
    <definedName name="SIZ">人物卡!$BT$13</definedName>
    <definedName name="SIZA">人物卡!$BT$14</definedName>
    <definedName name="STR">人物卡!$BT$9</definedName>
    <definedName name="STRA">人物卡!$BT$10</definedName>
    <definedName name="throw">人物卡!$CM$58</definedName>
    <definedName name="throwing">人物卡!$CA$58</definedName>
    <definedName name="阿尔巴尼亚">附表!$BI$109:$EJ$109</definedName>
    <definedName name="阿尔及利亚">附表!$BI$136:$EJ$136</definedName>
    <definedName name="阿富汗">附表!$BI$48:$EJ$48</definedName>
    <definedName name="阿根廷">附表!$BI$220:$EJ$220</definedName>
    <definedName name="阿拉伯联合酋长国">附表!$BI$50:$EJ$50</definedName>
    <definedName name="阿曼">附表!$BI$54:$EJ$54</definedName>
    <definedName name="阿塞拜疆">附表!$BI$59:$EJ$59</definedName>
    <definedName name="埃及">附表!$BI$131:$EJ$131</definedName>
    <definedName name="埃塞俄比亚">附表!$BI$140:$EJ$140</definedName>
    <definedName name="爱尔兰">附表!$BI$93:$EJ$93</definedName>
    <definedName name="爱沙尼亚">附表!$BI$83:$EJ$83</definedName>
    <definedName name="安道尔">附表!$BI$99:$EJ$99</definedName>
    <definedName name="安哥拉">附表!$BI$182:$EJ$182</definedName>
    <definedName name="奥地利">附表!$BI$125:$EJ$125</definedName>
    <definedName name="巴基斯坦">附表!$BI$38:$EJ$38</definedName>
    <definedName name="巴拉圭">附表!$BI$221:$EJ$221</definedName>
    <definedName name="巴勒斯坦">附表!$BI$61:$EJ$61</definedName>
    <definedName name="巴林">附表!$BI$53:$EJ$53</definedName>
    <definedName name="巴拿马">附表!$BI$204:$EJ$204</definedName>
    <definedName name="巴西">附表!$BI$218:$EJ$218</definedName>
    <definedName name="白俄罗斯">附表!$BI$86:$EJ$86</definedName>
    <definedName name="百慕大群岛">附表!$BI$207:$EJ$207</definedName>
    <definedName name="保加利亚">附表!$BI$116:$EJ$116</definedName>
    <definedName name="贝宁">附表!$BI$165:$EJ$165</definedName>
    <definedName name="比利时">附表!$BI$95:$EJ$95</definedName>
    <definedName name="冰岛">附表!$BI$78:$EJ$78</definedName>
    <definedName name="波兰">附表!$BI$121:$EJ$121</definedName>
    <definedName name="波斯尼亚和黑塞哥维那">附表!$BI$111:$EJ$111</definedName>
    <definedName name="玻利维亚">附表!$BI$217:$EJ$217</definedName>
    <definedName name="伯利兹">附表!$BI$199:$EJ$199</definedName>
    <definedName name="博茨瓦纳">附表!$BI$180:$EJ$180</definedName>
    <definedName name="不丹">附表!$BI$41:$EJ$41</definedName>
    <definedName name="布基纳法索">附表!$BI$156:$EJ$156</definedName>
    <definedName name="布隆迪">附表!$BI$148:$EJ$148</definedName>
    <definedName name="朝鲜">附表!$BI$20:$EJ$20</definedName>
    <definedName name="赤道几内亚">附表!$BI$173:$EJ$173</definedName>
    <definedName name="丹麦">附表!$BI$79:$EJ$79</definedName>
    <definedName name="德国">附表!$BI$120:$EJ$120</definedName>
    <definedName name="东帝汶">附表!$BI$34:$EJ$34</definedName>
    <definedName name="多哥">附表!$BI$164:$EJ$164</definedName>
    <definedName name="俄罗斯">附表!$BI$87:$EJ$87</definedName>
    <definedName name="厄瓜多尔">附表!$BI$215:$EJ$215</definedName>
    <definedName name="厄立特里亚">附表!$BI$141:$EJ$141</definedName>
    <definedName name="法国">附表!$BI$97:$EJ$97</definedName>
    <definedName name="法罗群岛">附表!$BI$80:$EJ$80</definedName>
    <definedName name="法属圭亚那">附表!$BI$214:$EJ$214</definedName>
    <definedName name="梵蒂冈">附表!$BI$103:$EJ$103</definedName>
    <definedName name="菲律宾">附表!$BI$32:$EJ$32</definedName>
    <definedName name="芬兰">附表!$BI$75:$EJ$75</definedName>
    <definedName name="佛得角">附表!$BI$159:$EJ$159</definedName>
    <definedName name="福克兰群岛">附表!$BI$223:$EJ$223</definedName>
    <definedName name="冈比亚">附表!$BI$154:$EJ$154</definedName>
    <definedName name="刚果_布">附表!$BI$175:$EJ$175</definedName>
    <definedName name="刚果_金">附表!$BI$176:$EJ$176</definedName>
    <definedName name="哥伦比亚">附表!$BI$210:$EJ$210</definedName>
    <definedName name="哥斯达黎加">附表!$BI$203:$EJ$203</definedName>
    <definedName name="格陵兰">附表!$BI$205:$EJ$205</definedName>
    <definedName name="格鲁吉亚">附表!$BI$57:$EJ$57</definedName>
    <definedName name="圭亚那">附表!$BI$212:$EJ$212</definedName>
    <definedName name="国家">附表!$BH$14:$BH$224</definedName>
    <definedName name="哈萨克斯坦">附表!$BI$67:$EJ$67</definedName>
    <definedName name="韩国">附表!$BI$19:$EJ$19</definedName>
    <definedName name="荷兰">附表!$BI$94:$EJ$94</definedName>
    <definedName name="黑山">附表!$BI$114:$EJ$114</definedName>
    <definedName name="洪都拉斯">附表!$BI$201:$EJ$201</definedName>
    <definedName name="吉布提">附表!$BI$143:$EJ$143</definedName>
    <definedName name="吉尔吉斯斯坦">附表!$BI$68:$EJ$68</definedName>
    <definedName name="几内亚">附表!$BI$157:$EJ$157</definedName>
    <definedName name="几内亚比绍">附表!$BI$158:$EJ$158</definedName>
    <definedName name="加拿大">附表!$BI$195:$EJ$195</definedName>
    <definedName name="加纳">附表!$BI$163:$EJ$163</definedName>
    <definedName name="加蓬">附表!$BI$174:$EJ$174</definedName>
    <definedName name="柬埔寨">附表!$BI$26:$EJ$26</definedName>
    <definedName name="捷克">附表!$BI$122:$EJ$122</definedName>
    <definedName name="津巴布韦">附表!$BI$189:$EJ$189</definedName>
    <definedName name="喀麦隆">附表!$BI$172:$EJ$172</definedName>
    <definedName name="卡塔尔">附表!$BI$52:$EJ$52</definedName>
    <definedName name="科摩罗">附表!$BI$191:$EJ$191</definedName>
    <definedName name="科特迪瓦">附表!$BI$162:$EJ$162</definedName>
    <definedName name="科威特">附表!$BI$51:$EJ$51</definedName>
    <definedName name="克罗地亚">附表!$BI$112:$EJ$112</definedName>
    <definedName name="肯尼亚">附表!$BI$144:$EJ$144</definedName>
    <definedName name="拉脱维亚">附表!$BI$84:$EJ$84</definedName>
    <definedName name="莱索托">附表!$BI$185:$EJ$185</definedName>
    <definedName name="老挝">附表!$BI$25:$EJ$25</definedName>
    <definedName name="黎巴嫩">附表!$BI$63:$EJ$63</definedName>
    <definedName name="立陶宛">附表!$BI$85:$EJ$85</definedName>
    <definedName name="利比里亚">附表!$BI$161:$EJ$161</definedName>
    <definedName name="利比亚">附表!$BI$134:$EJ$134</definedName>
    <definedName name="列支敦士登">附表!$BI$127:$EJ$127</definedName>
    <definedName name="卢森堡">附表!$BI$96:$EJ$96</definedName>
    <definedName name="卢旺达">附表!$BI$147:$EJ$147</definedName>
    <definedName name="罗马尼亚">附表!$BI$117:$EJ$117</definedName>
    <definedName name="马达加斯加">附表!$BI$190:$EJ$190</definedName>
    <definedName name="马尔代夫">附表!$BI$43:$EJ$43</definedName>
    <definedName name="马耳他">附表!$BI$105:$EJ$105</definedName>
    <definedName name="马拉维">附表!$BI$186:$EJ$186</definedName>
    <definedName name="马来西亚">附表!$BI$29:$EJ$29</definedName>
    <definedName name="马里">附表!$BI$155:$EJ$155</definedName>
    <definedName name="马其顿">附表!$BI$110:$EJ$110</definedName>
    <definedName name="毛里求斯">附表!$BI$192:$EJ$192</definedName>
    <definedName name="毛里塔尼亚">附表!$BI$152:$EJ$152</definedName>
    <definedName name="美国">附表!$BI$196:$EJ$196</definedName>
    <definedName name="蒙古">附表!$BI$21:$EJ$21</definedName>
    <definedName name="孟加拉国">附表!$BI$39:$EJ$39</definedName>
    <definedName name="秘鲁">附表!$BI$216:$EJ$216</definedName>
    <definedName name="缅甸">附表!$BI$28:$EJ$28</definedName>
    <definedName name="摩尔多瓦">附表!$BI$89:$EJ$89</definedName>
    <definedName name="摩洛哥">附表!$BI$137:$EJ$137</definedName>
    <definedName name="摩纳哥">附表!$BI$98:$EJ$98</definedName>
    <definedName name="莫桑比克">附表!$BI$187:$EJ$187</definedName>
    <definedName name="墨西哥">附表!$BI$197:$EJ$197</definedName>
    <definedName name="纳米比亚">附表!$BI$181:$EJ$181</definedName>
    <definedName name="南非共和国">附表!$BI$183:$EJ$183</definedName>
    <definedName name="南乔治亚岛和南桑威奇群岛">附表!$BI$224:$EJ$224</definedName>
    <definedName name="南苏丹">附表!$BI$133:$EJ$133</definedName>
    <definedName name="尼加拉瓜">附表!$BI$202:$EJ$202</definedName>
    <definedName name="尼泊尔">附表!$BI$40:$EJ$40</definedName>
    <definedName name="尼日尔">附表!$BI$166:$EJ$166</definedName>
    <definedName name="尼日利亚">附表!$BI$167:$EJ$167</definedName>
    <definedName name="挪威">附表!$BI$77:$EJ$77</definedName>
    <definedName name="葡萄牙">附表!$BI$107:$EJ$107</definedName>
    <definedName name="日本">附表!$BI$18:$EJ$18</definedName>
    <definedName name="瑞典">附表!$BI$76:$EJ$76</definedName>
    <definedName name="瑞士">附表!$BI$126:$EJ$126</definedName>
    <definedName name="萨尔瓦多">附表!$BI$200:$EJ$200</definedName>
    <definedName name="塞尔维亚">附表!$BI$115:$EJ$115</definedName>
    <definedName name="塞拉利昂">附表!$BI$160:$EJ$160</definedName>
    <definedName name="塞内加尔">附表!$BI$153:$EJ$153</definedName>
    <definedName name="塞舌尔">附表!$BI$149:$EJ$149</definedName>
    <definedName name="沙特阿拉伯">附表!$BI$49:$EJ$49</definedName>
    <definedName name="圣多美和普林西比">附表!$BI$177:$EJ$177</definedName>
    <definedName name="圣马力诺">附表!$BI$104:$EJ$104</definedName>
    <definedName name="圣皮埃尔和密克隆群岛">附表!$BI$206:$EJ$206</definedName>
    <definedName name="斯里兰卡">附表!$BI$42:$EJ$42</definedName>
    <definedName name="斯洛伐克">附表!$BI$123:$EJ$123</definedName>
    <definedName name="斯洛文尼亚">附表!$BI$113:$EJ$113</definedName>
    <definedName name="斯威士兰">附表!$BI$184:$EJ$184</definedName>
    <definedName name="苏丹">附表!$BI$132:$EJ$132</definedName>
    <definedName name="苏里南">附表!$BI$213:$EJ$213</definedName>
    <definedName name="索马里">附表!$BI$142:$EJ$142</definedName>
    <definedName name="塔吉克斯坦">附表!$BI$69:$EJ$69</definedName>
    <definedName name="泰国">附表!$BI$27:$EJ$27</definedName>
    <definedName name="坦桑尼亚">附表!$BI$145:$EJ$145</definedName>
    <definedName name="突尼斯">附表!$BI$135:$EJ$135</definedName>
    <definedName name="土耳其">附表!$BI$56:$EJ$56</definedName>
    <definedName name="土库曼斯坦">附表!$BI$71:$EJ$71</definedName>
    <definedName name="危地马拉">附表!$BI$198:$EJ$198</definedName>
    <definedName name="委内瑞拉">附表!$BI$211:$EJ$211</definedName>
    <definedName name="文莱">附表!$BI$33:$EJ$33</definedName>
    <definedName name="乌干达">附表!$BI$146:$EJ$146</definedName>
    <definedName name="乌克兰">附表!$BI$88:$EJ$88</definedName>
    <definedName name="乌拉圭">附表!$BI$222:$EJ$222</definedName>
    <definedName name="乌兹别克斯坦">附表!$BI$70:$EJ$70</definedName>
    <definedName name="西班牙">附表!$BI$106:$EJ$106</definedName>
    <definedName name="希腊">附表!$BI$108:$EJ$108</definedName>
    <definedName name="新加坡">附表!$BI$30:$EJ$30</definedName>
    <definedName name="匈牙利">附表!$BI$124:$EJ$124</definedName>
    <definedName name="叙利亚">附表!$BI$62:$EJ$62</definedName>
    <definedName name="亚美尼亚">附表!$BI$58:$EJ$58</definedName>
    <definedName name="也门">附表!$BI$55:$EJ$55</definedName>
    <definedName name="伊拉克">附表!$BI$47:$EJ$47</definedName>
    <definedName name="伊朗">附表!$BI$46:$EJ$46</definedName>
    <definedName name="以色列">附表!$BI$60:$EJ$60</definedName>
    <definedName name="意大利">附表!$BI$102:$EJ$102</definedName>
    <definedName name="印度">附表!$BI$37:$EJ$37</definedName>
    <definedName name="印度尼西亚">附表!$BI$31:$EJ$31</definedName>
    <definedName name="英国">附表!$BI$92:$EJ$92</definedName>
    <definedName name="约旦">附表!$BI$64:$EJ$64</definedName>
    <definedName name="越南">附表!$BI$24:$EJ$24</definedName>
    <definedName name="赞比亚">附表!$BI$188:$EJ$188</definedName>
    <definedName name="乍得">附表!$BI$170:$EJ$170</definedName>
    <definedName name="智利">附表!$BI$219:$EJ$219</definedName>
    <definedName name="中非共和国">附表!$BI$171:$EJ$171</definedName>
    <definedName name="中国">附表!$BI$17:$EJ$17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B9" i="2" l="1"/>
  <c r="BK16" i="2"/>
  <c r="G17" i="13"/>
  <c r="D17" i="13"/>
  <c r="M205" i="11"/>
  <c r="S201" i="11"/>
  <c r="Q201" i="11"/>
  <c r="O201" i="11"/>
  <c r="K22" i="11"/>
  <c r="K21" i="11"/>
  <c r="K18" i="11"/>
  <c r="U1" i="11"/>
  <c r="V118" i="11" s="1"/>
  <c r="Q216" i="10"/>
  <c r="Q215" i="10"/>
  <c r="Q214" i="10"/>
  <c r="Q213" i="10"/>
  <c r="V212" i="10"/>
  <c r="Q212" i="10"/>
  <c r="V211" i="10"/>
  <c r="Q211" i="10"/>
  <c r="V210" i="10"/>
  <c r="Q210" i="10"/>
  <c r="V209" i="10"/>
  <c r="Q209" i="10"/>
  <c r="V208" i="10"/>
  <c r="Q208" i="10"/>
  <c r="V207" i="10"/>
  <c r="V206" i="10"/>
  <c r="V205" i="10"/>
  <c r="V204" i="10"/>
  <c r="K204" i="10"/>
  <c r="V203" i="10"/>
  <c r="V202" i="10"/>
  <c r="V201" i="10"/>
  <c r="V200" i="10"/>
  <c r="V199" i="10"/>
  <c r="V198" i="10"/>
  <c r="K198" i="10"/>
  <c r="V197" i="10"/>
  <c r="K197" i="10"/>
  <c r="V196" i="10"/>
  <c r="Q196" i="10"/>
  <c r="K196" i="10"/>
  <c r="V195" i="10"/>
  <c r="Q195" i="10"/>
  <c r="K195" i="10"/>
  <c r="V194" i="10"/>
  <c r="Q194" i="10"/>
  <c r="K194" i="10"/>
  <c r="V193" i="10"/>
  <c r="Q193" i="10"/>
  <c r="K193" i="10"/>
  <c r="V192" i="10"/>
  <c r="Q192" i="10"/>
  <c r="K192" i="10"/>
  <c r="V191" i="10"/>
  <c r="V190" i="10"/>
  <c r="K190" i="10"/>
  <c r="V189" i="10"/>
  <c r="K189" i="10"/>
  <c r="E189" i="10"/>
  <c r="Q188" i="10"/>
  <c r="K188" i="10"/>
  <c r="Q187" i="10"/>
  <c r="E187" i="10"/>
  <c r="Q186" i="10"/>
  <c r="K186" i="10"/>
  <c r="V185" i="10"/>
  <c r="Q185" i="10"/>
  <c r="K185" i="10"/>
  <c r="V184" i="10"/>
  <c r="Q184" i="10"/>
  <c r="K184" i="10"/>
  <c r="E184" i="10"/>
  <c r="V183" i="10"/>
  <c r="Q183" i="10"/>
  <c r="V182" i="10"/>
  <c r="Q182" i="10"/>
  <c r="V181" i="10"/>
  <c r="Q181" i="10"/>
  <c r="V180" i="10"/>
  <c r="Q180" i="10"/>
  <c r="K180" i="10"/>
  <c r="V179" i="10"/>
  <c r="Q179" i="10"/>
  <c r="K179" i="10"/>
  <c r="V178" i="10"/>
  <c r="K178" i="10"/>
  <c r="V177" i="10"/>
  <c r="Q177" i="10"/>
  <c r="K177" i="10"/>
  <c r="E177" i="10"/>
  <c r="V176" i="10"/>
  <c r="Q176" i="10"/>
  <c r="K176" i="10"/>
  <c r="E176" i="10"/>
  <c r="V175" i="10"/>
  <c r="Q175" i="10"/>
  <c r="K175" i="10"/>
  <c r="E175" i="10"/>
  <c r="V174" i="10"/>
  <c r="Q174" i="10"/>
  <c r="E174" i="10"/>
  <c r="V173" i="10"/>
  <c r="Q173" i="10"/>
  <c r="K173" i="10"/>
  <c r="E173" i="10"/>
  <c r="V172" i="10"/>
  <c r="Q172" i="10"/>
  <c r="E172" i="10"/>
  <c r="V171" i="10"/>
  <c r="Q171" i="10"/>
  <c r="K171" i="10"/>
  <c r="V170" i="10"/>
  <c r="Q170" i="10"/>
  <c r="K170" i="10"/>
  <c r="V169" i="10"/>
  <c r="Q169" i="10"/>
  <c r="K169" i="10"/>
  <c r="V168" i="10"/>
  <c r="Q168" i="10"/>
  <c r="K168" i="10"/>
  <c r="E168" i="10"/>
  <c r="V167" i="10"/>
  <c r="Q167" i="10"/>
  <c r="K167" i="10"/>
  <c r="E167" i="10"/>
  <c r="Q166" i="10"/>
  <c r="E166" i="10"/>
  <c r="Q165" i="10"/>
  <c r="E165" i="10"/>
  <c r="V164" i="10"/>
  <c r="Q164" i="10"/>
  <c r="E164" i="10"/>
  <c r="V163" i="10"/>
  <c r="Q163" i="10"/>
  <c r="K163" i="10"/>
  <c r="E163" i="10"/>
  <c r="V162" i="10"/>
  <c r="Q162" i="10"/>
  <c r="K162" i="10"/>
  <c r="E162" i="10"/>
  <c r="V161" i="10"/>
  <c r="Q161" i="10"/>
  <c r="K161" i="10"/>
  <c r="E161" i="10"/>
  <c r="V160" i="10"/>
  <c r="Q160" i="10"/>
  <c r="K160" i="10"/>
  <c r="E160" i="10"/>
  <c r="V159" i="10"/>
  <c r="Q159" i="10"/>
  <c r="V158" i="10"/>
  <c r="Q158" i="10"/>
  <c r="K158" i="10"/>
  <c r="E158" i="10"/>
  <c r="V157" i="10"/>
  <c r="Q157" i="10"/>
  <c r="E157" i="10"/>
  <c r="Q156" i="10"/>
  <c r="V155" i="10"/>
  <c r="Q155" i="10"/>
  <c r="V154" i="10"/>
  <c r="Q154" i="10"/>
  <c r="V153" i="10"/>
  <c r="Q153" i="10"/>
  <c r="E153" i="10"/>
  <c r="V152" i="10"/>
  <c r="Q152" i="10"/>
  <c r="E152" i="10"/>
  <c r="Q151" i="10"/>
  <c r="E151" i="10"/>
  <c r="Q150" i="10"/>
  <c r="K150" i="10"/>
  <c r="E150" i="10"/>
  <c r="Q149" i="10"/>
  <c r="K149" i="10"/>
  <c r="E149" i="10"/>
  <c r="V148" i="10"/>
  <c r="Q148" i="10"/>
  <c r="E148" i="10"/>
  <c r="V147" i="10"/>
  <c r="Q147" i="10"/>
  <c r="E147" i="10"/>
  <c r="V146" i="10"/>
  <c r="Q146" i="10"/>
  <c r="V145" i="10"/>
  <c r="E145" i="10"/>
  <c r="V144" i="10"/>
  <c r="E144" i="10"/>
  <c r="V143" i="10"/>
  <c r="E143" i="10"/>
  <c r="V142" i="10"/>
  <c r="E142" i="10"/>
  <c r="V141" i="10"/>
  <c r="E141" i="10"/>
  <c r="V140" i="10"/>
  <c r="E140" i="10"/>
  <c r="V139" i="10"/>
  <c r="E139" i="10"/>
  <c r="V138" i="10"/>
  <c r="E138" i="10"/>
  <c r="V137" i="10"/>
  <c r="E137" i="10"/>
  <c r="V136" i="10"/>
  <c r="E136" i="10"/>
  <c r="V135" i="10"/>
  <c r="E135" i="10"/>
  <c r="V134" i="10"/>
  <c r="Q134" i="10"/>
  <c r="E134" i="10"/>
  <c r="V133" i="10"/>
  <c r="Q133" i="10"/>
  <c r="E133" i="10"/>
  <c r="V132" i="10"/>
  <c r="Q132" i="10"/>
  <c r="E132" i="10"/>
  <c r="Q131" i="10"/>
  <c r="K131" i="10"/>
  <c r="E131" i="10"/>
  <c r="K130" i="10"/>
  <c r="E130" i="10"/>
  <c r="K129" i="10"/>
  <c r="V128" i="10"/>
  <c r="AA127" i="10"/>
  <c r="V127" i="10"/>
  <c r="Q127" i="10"/>
  <c r="K127" i="10"/>
  <c r="AA126" i="10"/>
  <c r="V126" i="10"/>
  <c r="Q126" i="10"/>
  <c r="K126" i="10"/>
  <c r="AA125" i="10"/>
  <c r="V125" i="10"/>
  <c r="Q125" i="10"/>
  <c r="K125" i="10"/>
  <c r="E125" i="10"/>
  <c r="AA124" i="10"/>
  <c r="Q124" i="10"/>
  <c r="E124" i="10"/>
  <c r="AA123" i="10"/>
  <c r="Q123" i="10"/>
  <c r="K123" i="10"/>
  <c r="E123" i="10"/>
  <c r="Q122" i="10"/>
  <c r="K122" i="10"/>
  <c r="E122" i="10"/>
  <c r="AA121" i="10"/>
  <c r="V121" i="10"/>
  <c r="Q121" i="10"/>
  <c r="K121" i="10"/>
  <c r="E121" i="10"/>
  <c r="AA120" i="10"/>
  <c r="V120" i="10"/>
  <c r="Q120" i="10"/>
  <c r="E120" i="10"/>
  <c r="AA119" i="10"/>
  <c r="V119" i="10"/>
  <c r="Q119" i="10"/>
  <c r="K119" i="10"/>
  <c r="E119" i="10"/>
  <c r="V118" i="10"/>
  <c r="Q118" i="10"/>
  <c r="K118" i="10"/>
  <c r="E118" i="10"/>
  <c r="V117" i="10"/>
  <c r="Q117" i="10"/>
  <c r="K117" i="10"/>
  <c r="E117" i="10"/>
  <c r="V116" i="10"/>
  <c r="Q116" i="10"/>
  <c r="K116" i="10"/>
  <c r="E116" i="10"/>
  <c r="AA115" i="10"/>
  <c r="V115" i="10"/>
  <c r="Q115" i="10"/>
  <c r="K115" i="10"/>
  <c r="E115" i="10"/>
  <c r="AA114" i="10"/>
  <c r="V114" i="10"/>
  <c r="Q114" i="10"/>
  <c r="K114" i="10"/>
  <c r="E114" i="10"/>
  <c r="AA113" i="10"/>
  <c r="V113" i="10"/>
  <c r="Q113" i="10"/>
  <c r="K113" i="10"/>
  <c r="E113" i="10"/>
  <c r="V112" i="10"/>
  <c r="Q112" i="10"/>
  <c r="K112" i="10"/>
  <c r="E112" i="10"/>
  <c r="V111" i="10"/>
  <c r="Q111" i="10"/>
  <c r="K111" i="10"/>
  <c r="E111" i="10"/>
  <c r="V110" i="10"/>
  <c r="Q110" i="10"/>
  <c r="E110" i="10"/>
  <c r="V109" i="10"/>
  <c r="Q109" i="10"/>
  <c r="K109" i="10"/>
  <c r="E109" i="10"/>
  <c r="V108" i="10"/>
  <c r="K108" i="10"/>
  <c r="E108" i="10"/>
  <c r="V107" i="10"/>
  <c r="K107" i="10"/>
  <c r="E107" i="10"/>
  <c r="V106" i="10"/>
  <c r="K106" i="10"/>
  <c r="E106" i="10"/>
  <c r="V105" i="10"/>
  <c r="Q105" i="10"/>
  <c r="V104" i="10"/>
  <c r="Q104" i="10"/>
  <c r="K104" i="10"/>
  <c r="E104" i="10"/>
  <c r="V103" i="10"/>
  <c r="Q103" i="10"/>
  <c r="K103" i="10"/>
  <c r="E103" i="10"/>
  <c r="V102" i="10"/>
  <c r="Q102" i="10"/>
  <c r="K102" i="10"/>
  <c r="E102" i="10"/>
  <c r="Q101" i="10"/>
  <c r="K101" i="10"/>
  <c r="E101" i="10"/>
  <c r="K100" i="10"/>
  <c r="E100" i="10"/>
  <c r="Q99" i="10"/>
  <c r="K99" i="10"/>
  <c r="E99" i="10"/>
  <c r="V98" i="10"/>
  <c r="Q98" i="10"/>
  <c r="K98" i="10"/>
  <c r="V97" i="10"/>
  <c r="Q97" i="10"/>
  <c r="K97" i="10"/>
  <c r="E97" i="10"/>
  <c r="V96" i="10"/>
  <c r="Q96" i="10"/>
  <c r="K96" i="10"/>
  <c r="E96" i="10"/>
  <c r="V95" i="10"/>
  <c r="Q95" i="10"/>
  <c r="K95" i="10"/>
  <c r="E95" i="10"/>
  <c r="V94" i="10"/>
  <c r="Q94" i="10"/>
  <c r="K94" i="10"/>
  <c r="E94" i="10"/>
  <c r="V93" i="10"/>
  <c r="Q93" i="10"/>
  <c r="K93" i="10"/>
  <c r="E93" i="10"/>
  <c r="A17" i="9"/>
  <c r="A16" i="9"/>
  <c r="A15" i="9"/>
  <c r="A14" i="9"/>
  <c r="A13" i="9"/>
  <c r="A12" i="9"/>
  <c r="A10" i="9"/>
  <c r="A9" i="9"/>
  <c r="A8" i="9"/>
  <c r="A7" i="9"/>
  <c r="A2" i="9"/>
  <c r="B40" i="8"/>
  <c r="H25" i="8"/>
  <c r="B25" i="8"/>
  <c r="K11" i="8"/>
  <c r="I11" i="8"/>
  <c r="B11" i="8"/>
  <c r="I4" i="8"/>
  <c r="G4" i="8"/>
  <c r="E4" i="8"/>
  <c r="C85" i="6"/>
  <c r="C84" i="6"/>
  <c r="C83" i="6"/>
  <c r="C82" i="6"/>
  <c r="C81" i="6"/>
  <c r="C80" i="6"/>
  <c r="C79" i="6"/>
  <c r="C76" i="6"/>
  <c r="C75" i="6"/>
  <c r="C74" i="6"/>
  <c r="C73" i="6"/>
  <c r="C72" i="6"/>
  <c r="C69" i="6"/>
  <c r="C68" i="6"/>
  <c r="C67" i="6"/>
  <c r="C66" i="6"/>
  <c r="C65" i="6"/>
  <c r="C64" i="6"/>
  <c r="C63" i="6"/>
  <c r="C62" i="6"/>
  <c r="A61" i="6"/>
  <c r="BC62" i="2" s="1"/>
  <c r="AY62" i="2" s="1"/>
  <c r="C58" i="6"/>
  <c r="C57" i="6"/>
  <c r="C56" i="6"/>
  <c r="C55" i="6"/>
  <c r="C52" i="6"/>
  <c r="C51" i="6"/>
  <c r="C50" i="6"/>
  <c r="C47" i="6"/>
  <c r="C46" i="6"/>
  <c r="C45" i="6"/>
  <c r="C44" i="6"/>
  <c r="C42" i="6"/>
  <c r="C41" i="6"/>
  <c r="C40" i="6"/>
  <c r="C39" i="6"/>
  <c r="C38" i="6"/>
  <c r="C37" i="6"/>
  <c r="C36" i="6"/>
  <c r="C35" i="6"/>
  <c r="C34" i="6"/>
  <c r="C33" i="6"/>
  <c r="C32" i="6"/>
  <c r="C30" i="6"/>
  <c r="C29" i="6"/>
  <c r="C28" i="6"/>
  <c r="C27" i="6"/>
  <c r="C26" i="6"/>
  <c r="C25" i="6"/>
  <c r="C24" i="6"/>
  <c r="C23" i="6"/>
  <c r="C22" i="6"/>
  <c r="C21" i="6"/>
  <c r="C20" i="6"/>
  <c r="C19" i="6"/>
  <c r="C18" i="6"/>
  <c r="C17" i="6"/>
  <c r="C16" i="6"/>
  <c r="C15" i="6"/>
  <c r="C14" i="6"/>
  <c r="C13" i="6"/>
  <c r="C12" i="6"/>
  <c r="C11" i="6"/>
  <c r="C10" i="6"/>
  <c r="C9" i="6"/>
  <c r="C8" i="6"/>
  <c r="C7" i="6"/>
  <c r="C95" i="5"/>
  <c r="B95" i="5"/>
  <c r="C94" i="5"/>
  <c r="B94" i="5" s="1"/>
  <c r="C93" i="5"/>
  <c r="B93" i="5"/>
  <c r="C92" i="5"/>
  <c r="B92" i="5" s="1"/>
  <c r="C91" i="5"/>
  <c r="B91" i="5"/>
  <c r="C90" i="5"/>
  <c r="B90" i="5"/>
  <c r="C89" i="5"/>
  <c r="B89" i="5"/>
  <c r="C88" i="5"/>
  <c r="B88" i="5"/>
  <c r="C87" i="5"/>
  <c r="B87" i="5"/>
  <c r="C86" i="5"/>
  <c r="B86" i="5" s="1"/>
  <c r="C85" i="5"/>
  <c r="B85" i="5"/>
  <c r="C84" i="5"/>
  <c r="B84" i="5" s="1"/>
  <c r="C83" i="5"/>
  <c r="B83" i="5"/>
  <c r="C82" i="5"/>
  <c r="B82" i="5"/>
  <c r="C81" i="5"/>
  <c r="B81" i="5"/>
  <c r="C80" i="5"/>
  <c r="B80" i="5"/>
  <c r="C79" i="5"/>
  <c r="B79" i="5"/>
  <c r="C78" i="5"/>
  <c r="B78" i="5" s="1"/>
  <c r="C77" i="5"/>
  <c r="B77" i="5"/>
  <c r="C76" i="5"/>
  <c r="B76" i="5" s="1"/>
  <c r="C75" i="5"/>
  <c r="B75" i="5"/>
  <c r="C74" i="5"/>
  <c r="B74" i="5"/>
  <c r="C73" i="5"/>
  <c r="B73" i="5"/>
  <c r="C72" i="5"/>
  <c r="B72" i="5"/>
  <c r="C71" i="5"/>
  <c r="B71" i="5"/>
  <c r="C70" i="5"/>
  <c r="B70" i="5" s="1"/>
  <c r="C69" i="5"/>
  <c r="B69" i="5"/>
  <c r="C68" i="5"/>
  <c r="B68" i="5" s="1"/>
  <c r="C67" i="5"/>
  <c r="B67" i="5"/>
  <c r="C66" i="5"/>
  <c r="B66" i="5"/>
  <c r="C65" i="5"/>
  <c r="B65" i="5"/>
  <c r="C64" i="5"/>
  <c r="B64" i="5"/>
  <c r="C63" i="5"/>
  <c r="B63" i="5"/>
  <c r="C62" i="5"/>
  <c r="B62" i="5" s="1"/>
  <c r="C61" i="5"/>
  <c r="B61" i="5"/>
  <c r="C60" i="5"/>
  <c r="B60" i="5" s="1"/>
  <c r="C59" i="5"/>
  <c r="B59" i="5"/>
  <c r="C58" i="5"/>
  <c r="B58" i="5"/>
  <c r="C57" i="5"/>
  <c r="B57" i="5"/>
  <c r="C56" i="5"/>
  <c r="B56" i="5"/>
  <c r="C55" i="5"/>
  <c r="B55" i="5"/>
  <c r="C54" i="5"/>
  <c r="B54" i="5" s="1"/>
  <c r="C53" i="5"/>
  <c r="B53" i="5"/>
  <c r="C52" i="5"/>
  <c r="B52" i="5" s="1"/>
  <c r="C51" i="5"/>
  <c r="B51" i="5"/>
  <c r="C50" i="5"/>
  <c r="B50" i="5"/>
  <c r="C49" i="5"/>
  <c r="B49" i="5"/>
  <c r="C48" i="5"/>
  <c r="B48" i="5"/>
  <c r="C47" i="5"/>
  <c r="B47" i="5"/>
  <c r="C46" i="5"/>
  <c r="B46" i="5" s="1"/>
  <c r="C45" i="5"/>
  <c r="B45" i="5"/>
  <c r="C44" i="5"/>
  <c r="B44" i="5" s="1"/>
  <c r="C43" i="5"/>
  <c r="B43" i="5"/>
  <c r="C42" i="5"/>
  <c r="B42" i="5"/>
  <c r="C41" i="5"/>
  <c r="B41" i="5"/>
  <c r="C40" i="5"/>
  <c r="B40" i="5"/>
  <c r="C39" i="5"/>
  <c r="B39" i="5"/>
  <c r="C38" i="5"/>
  <c r="B38" i="5" s="1"/>
  <c r="C37" i="5"/>
  <c r="B37" i="5"/>
  <c r="C36" i="5"/>
  <c r="B36" i="5" s="1"/>
  <c r="C35" i="5"/>
  <c r="B35" i="5"/>
  <c r="C34" i="5"/>
  <c r="B34" i="5"/>
  <c r="C33" i="5"/>
  <c r="B33" i="5"/>
  <c r="C32" i="5"/>
  <c r="B32" i="5"/>
  <c r="C31" i="5"/>
  <c r="B31" i="5"/>
  <c r="C30" i="5"/>
  <c r="B30" i="5" s="1"/>
  <c r="C29" i="5"/>
  <c r="B29" i="5"/>
  <c r="C28" i="5"/>
  <c r="B28" i="5" s="1"/>
  <c r="C27" i="5"/>
  <c r="B27" i="5"/>
  <c r="C26" i="5"/>
  <c r="B26" i="5"/>
  <c r="C25" i="5"/>
  <c r="B25" i="5"/>
  <c r="C24" i="5"/>
  <c r="B24" i="5"/>
  <c r="C23" i="5"/>
  <c r="B23" i="5"/>
  <c r="C22" i="5"/>
  <c r="B22" i="5" s="1"/>
  <c r="C21" i="5"/>
  <c r="B21" i="5"/>
  <c r="C20" i="5"/>
  <c r="B20" i="5" s="1"/>
  <c r="C19" i="5"/>
  <c r="B19" i="5"/>
  <c r="C18" i="5"/>
  <c r="B18" i="5"/>
  <c r="C17" i="5"/>
  <c r="B17" i="5"/>
  <c r="C16" i="5"/>
  <c r="B16" i="5"/>
  <c r="C15" i="5"/>
  <c r="B15" i="5"/>
  <c r="C14" i="5"/>
  <c r="B14" i="5" s="1"/>
  <c r="C13" i="5"/>
  <c r="B13" i="5"/>
  <c r="C12" i="5"/>
  <c r="B12" i="5" s="1"/>
  <c r="C11" i="5"/>
  <c r="B11" i="5"/>
  <c r="C10" i="5"/>
  <c r="B10" i="5"/>
  <c r="C9" i="5"/>
  <c r="B9" i="5"/>
  <c r="C8" i="5"/>
  <c r="B8" i="5"/>
  <c r="C7" i="5"/>
  <c r="B7" i="5"/>
  <c r="C6" i="5"/>
  <c r="B6" i="5" s="1"/>
  <c r="C5" i="5"/>
  <c r="B5" i="5"/>
  <c r="C4" i="5"/>
  <c r="B4" i="5" s="1"/>
  <c r="C3" i="5"/>
  <c r="B3" i="5"/>
  <c r="J28" i="4"/>
  <c r="J27" i="4"/>
  <c r="U11" i="7" s="1"/>
  <c r="J26" i="4"/>
  <c r="U10" i="7" s="1"/>
  <c r="J25" i="4"/>
  <c r="U9" i="7" s="1"/>
  <c r="J24" i="4"/>
  <c r="U8" i="7" s="1"/>
  <c r="J23" i="4"/>
  <c r="U7" i="7" s="1"/>
  <c r="J22" i="4"/>
  <c r="J21" i="4"/>
  <c r="J20" i="4"/>
  <c r="G3" i="4"/>
  <c r="B3" i="4"/>
  <c r="J96" i="3"/>
  <c r="E25" i="7" s="1"/>
  <c r="H96" i="3"/>
  <c r="D25" i="7" s="1"/>
  <c r="E96" i="3"/>
  <c r="C25" i="7" s="1"/>
  <c r="B96" i="3"/>
  <c r="U37" i="3"/>
  <c r="AD36" i="3"/>
  <c r="Z36" i="3"/>
  <c r="AD35" i="3"/>
  <c r="Z35" i="3"/>
  <c r="G35" i="3"/>
  <c r="C35" i="3"/>
  <c r="AD34" i="3"/>
  <c r="Z34" i="3"/>
  <c r="G34" i="3"/>
  <c r="C34" i="3"/>
  <c r="AD33" i="3"/>
  <c r="Z33" i="3"/>
  <c r="G33" i="3"/>
  <c r="C33" i="3"/>
  <c r="AD32" i="3"/>
  <c r="Z32" i="3"/>
  <c r="G32" i="3"/>
  <c r="C32" i="3"/>
  <c r="AD31" i="3"/>
  <c r="Z31" i="3"/>
  <c r="G31" i="3"/>
  <c r="C31" i="3"/>
  <c r="AD30" i="3"/>
  <c r="Z30" i="3"/>
  <c r="O30" i="3"/>
  <c r="N30" i="3"/>
  <c r="G30" i="3"/>
  <c r="C30" i="3"/>
  <c r="AD29" i="3"/>
  <c r="Z29" i="3"/>
  <c r="G29" i="3"/>
  <c r="C29" i="3"/>
  <c r="AD28" i="3"/>
  <c r="Z28" i="3"/>
  <c r="H28" i="3"/>
  <c r="C28" i="3"/>
  <c r="AD27" i="3"/>
  <c r="Z27" i="3"/>
  <c r="AD26" i="3"/>
  <c r="Z26" i="3"/>
  <c r="K26" i="3"/>
  <c r="H26" i="3"/>
  <c r="E26" i="3"/>
  <c r="B26" i="3"/>
  <c r="AD25" i="3"/>
  <c r="Z25" i="3"/>
  <c r="K25" i="3"/>
  <c r="H25" i="3"/>
  <c r="E25" i="3"/>
  <c r="B25" i="3"/>
  <c r="AD24" i="3"/>
  <c r="Z24" i="3"/>
  <c r="K24" i="3"/>
  <c r="H24" i="3"/>
  <c r="E24" i="3"/>
  <c r="B24" i="3"/>
  <c r="AD23" i="3"/>
  <c r="Z23" i="3"/>
  <c r="K23" i="3"/>
  <c r="H23" i="3"/>
  <c r="E23" i="3"/>
  <c r="B23" i="3"/>
  <c r="K22" i="3"/>
  <c r="H22" i="3"/>
  <c r="E22" i="3"/>
  <c r="B22" i="3"/>
  <c r="B20" i="3"/>
  <c r="AB17" i="3"/>
  <c r="Z17" i="3"/>
  <c r="AB16" i="3"/>
  <c r="Z16" i="3"/>
  <c r="C16" i="3"/>
  <c r="B16" i="3"/>
  <c r="AB15" i="3"/>
  <c r="Z15" i="3"/>
  <c r="C15" i="3"/>
  <c r="B15" i="3"/>
  <c r="AB14" i="3"/>
  <c r="Z14" i="3"/>
  <c r="C14" i="3"/>
  <c r="B14" i="3"/>
  <c r="AB13" i="3"/>
  <c r="Z13" i="3"/>
  <c r="C13" i="3"/>
  <c r="B13" i="3"/>
  <c r="AB12" i="3"/>
  <c r="Z12" i="3"/>
  <c r="M12" i="3"/>
  <c r="L12" i="3"/>
  <c r="K12" i="3"/>
  <c r="J12" i="3"/>
  <c r="I12" i="3"/>
  <c r="H12" i="3"/>
  <c r="D12" i="3"/>
  <c r="C12" i="3"/>
  <c r="B12" i="3"/>
  <c r="AB11" i="3"/>
  <c r="Z11" i="3"/>
  <c r="AB10" i="3"/>
  <c r="Z10" i="3"/>
  <c r="AB9" i="3"/>
  <c r="Z9" i="3"/>
  <c r="I9" i="3"/>
  <c r="AB8" i="3"/>
  <c r="Z8" i="3"/>
  <c r="AB7" i="3"/>
  <c r="Z7" i="3"/>
  <c r="AC4" i="3"/>
  <c r="AD3" i="3"/>
  <c r="AC3" i="3"/>
  <c r="AA3" i="3"/>
  <c r="Z3" i="3"/>
  <c r="U115" i="15"/>
  <c r="EF21" i="2" s="1"/>
  <c r="B115" i="15"/>
  <c r="DT21" i="2" s="1"/>
  <c r="BA73" i="15"/>
  <c r="DT27" i="2" s="1"/>
  <c r="AI73" i="15"/>
  <c r="R73" i="15"/>
  <c r="B73" i="15"/>
  <c r="CZ30" i="15"/>
  <c r="CF30" i="15"/>
  <c r="N29" i="15"/>
  <c r="L29" i="15"/>
  <c r="G29" i="15"/>
  <c r="BA31" i="15" s="1"/>
  <c r="DT26" i="2" s="1"/>
  <c r="E29" i="15"/>
  <c r="K31" i="15" s="1"/>
  <c r="DT22" i="2" s="1"/>
  <c r="B28" i="15"/>
  <c r="CQ27" i="15"/>
  <c r="CJ27" i="15"/>
  <c r="CC27" i="15"/>
  <c r="BV27" i="15"/>
  <c r="BO27" i="15"/>
  <c r="BH27" i="15"/>
  <c r="BA27" i="15"/>
  <c r="AT27" i="15"/>
  <c r="AM27" i="15"/>
  <c r="AF27" i="15"/>
  <c r="Y27" i="15"/>
  <c r="R27" i="15"/>
  <c r="K27" i="15"/>
  <c r="D27" i="15"/>
  <c r="AE263" i="7"/>
  <c r="AD263" i="7"/>
  <c r="Z263" i="7"/>
  <c r="N247" i="7"/>
  <c r="M247" i="7"/>
  <c r="P232" i="7"/>
  <c r="O232" i="7"/>
  <c r="V228" i="7"/>
  <c r="U228" i="7"/>
  <c r="AF227" i="7"/>
  <c r="R226" i="7"/>
  <c r="Q226" i="7"/>
  <c r="A129" i="7" s="1"/>
  <c r="T221" i="7"/>
  <c r="S221" i="7"/>
  <c r="F213" i="7"/>
  <c r="C213" i="7"/>
  <c r="B213" i="7"/>
  <c r="AC111" i="7"/>
  <c r="AA111" i="7"/>
  <c r="AC110" i="7"/>
  <c r="AA110" i="7"/>
  <c r="AC109" i="7"/>
  <c r="AA109" i="7"/>
  <c r="AC108" i="7"/>
  <c r="AA108" i="7"/>
  <c r="AC107" i="7"/>
  <c r="AA107" i="7"/>
  <c r="N105" i="7"/>
  <c r="AA104" i="7"/>
  <c r="N104" i="7"/>
  <c r="AC103" i="7"/>
  <c r="AA103" i="7"/>
  <c r="N103" i="7"/>
  <c r="AC102" i="7"/>
  <c r="AA102" i="7"/>
  <c r="N102" i="7"/>
  <c r="AA101" i="7"/>
  <c r="N101" i="7"/>
  <c r="AA100" i="7"/>
  <c r="N100" i="7"/>
  <c r="N99" i="7"/>
  <c r="AA98" i="7"/>
  <c r="N98" i="7"/>
  <c r="AA97" i="7"/>
  <c r="N97" i="7"/>
  <c r="AA96" i="7"/>
  <c r="N96" i="7"/>
  <c r="AC95" i="7"/>
  <c r="AA95" i="7"/>
  <c r="N95" i="7"/>
  <c r="AC94" i="7"/>
  <c r="AA94" i="7"/>
  <c r="N94" i="7"/>
  <c r="AA93" i="7"/>
  <c r="N93" i="7"/>
  <c r="AA92" i="7"/>
  <c r="AA91" i="7"/>
  <c r="G91" i="7"/>
  <c r="I91" i="7" s="1"/>
  <c r="F91" i="7"/>
  <c r="H91" i="7" s="1"/>
  <c r="AA90" i="7"/>
  <c r="P90" i="7"/>
  <c r="K89" i="7" s="1"/>
  <c r="BK96" i="2" s="1"/>
  <c r="G90" i="7"/>
  <c r="I90" i="7" s="1"/>
  <c r="F90" i="7"/>
  <c r="H90" i="7" s="1"/>
  <c r="AC89" i="7"/>
  <c r="AA89" i="7"/>
  <c r="G89" i="7"/>
  <c r="I89" i="7" s="1"/>
  <c r="F89" i="7"/>
  <c r="H89" i="7" s="1"/>
  <c r="AC88" i="7"/>
  <c r="AA88" i="7"/>
  <c r="G88" i="7"/>
  <c r="I88" i="7" s="1"/>
  <c r="F88" i="7"/>
  <c r="H88" i="7" s="1"/>
  <c r="L87" i="7"/>
  <c r="O87" i="7" s="1"/>
  <c r="G87" i="7"/>
  <c r="I87" i="7" s="1"/>
  <c r="F87" i="7"/>
  <c r="H87" i="7" s="1"/>
  <c r="L86" i="7"/>
  <c r="N86" i="7" s="1"/>
  <c r="G86" i="7"/>
  <c r="I86" i="7" s="1"/>
  <c r="F86" i="7"/>
  <c r="H86" i="7" s="1"/>
  <c r="L85" i="7"/>
  <c r="O85" i="7" s="1"/>
  <c r="G85" i="7"/>
  <c r="I85" i="7" s="1"/>
  <c r="F85" i="7"/>
  <c r="H85" i="7" s="1"/>
  <c r="L84" i="7"/>
  <c r="O84" i="7" s="1"/>
  <c r="G84" i="7"/>
  <c r="I84" i="7" s="1"/>
  <c r="F84" i="7"/>
  <c r="H84" i="7" s="1"/>
  <c r="L83" i="7"/>
  <c r="G83" i="7"/>
  <c r="I83" i="7" s="1"/>
  <c r="F83" i="7"/>
  <c r="H83" i="7" s="1"/>
  <c r="G82" i="7"/>
  <c r="I82" i="7" s="1"/>
  <c r="F82" i="7"/>
  <c r="H82" i="7" s="1"/>
  <c r="G81" i="7"/>
  <c r="I81" i="7" s="1"/>
  <c r="F81" i="7"/>
  <c r="H81" i="7" s="1"/>
  <c r="G80" i="7"/>
  <c r="I80" i="7" s="1"/>
  <c r="F80" i="7"/>
  <c r="H80" i="7" s="1"/>
  <c r="D80" i="7"/>
  <c r="J92" i="7" s="1"/>
  <c r="BM115" i="2" s="1"/>
  <c r="H71" i="7"/>
  <c r="E71" i="7"/>
  <c r="E70" i="7"/>
  <c r="O69" i="7"/>
  <c r="O70" i="7" s="1"/>
  <c r="BA96" i="2" s="1"/>
  <c r="H69" i="7"/>
  <c r="E69" i="7"/>
  <c r="J67" i="7"/>
  <c r="E59" i="7"/>
  <c r="M56" i="7"/>
  <c r="M58" i="7" s="1"/>
  <c r="CI23" i="2" s="1"/>
  <c r="J53" i="7"/>
  <c r="M52" i="7" s="1"/>
  <c r="E53" i="7"/>
  <c r="J52" i="7"/>
  <c r="E52" i="7"/>
  <c r="BB51" i="7"/>
  <c r="BB50" i="7"/>
  <c r="BB49" i="7"/>
  <c r="BB48" i="7"/>
  <c r="BE46" i="7"/>
  <c r="BC46" i="7"/>
  <c r="BE45" i="7"/>
  <c r="BC45" i="7"/>
  <c r="BE44" i="7"/>
  <c r="BC44" i="7"/>
  <c r="BE43" i="7"/>
  <c r="BC43" i="7"/>
  <c r="S43" i="7"/>
  <c r="S42" i="7"/>
  <c r="BE41" i="7"/>
  <c r="BC41" i="7"/>
  <c r="S41" i="7"/>
  <c r="BE40" i="7"/>
  <c r="BE39" i="7"/>
  <c r="BC39" i="7"/>
  <c r="S39" i="7"/>
  <c r="BE38" i="7"/>
  <c r="BC38" i="7"/>
  <c r="AV38" i="7"/>
  <c r="AD38" i="7"/>
  <c r="BC37" i="7"/>
  <c r="AD37" i="7"/>
  <c r="C37" i="7" a="1"/>
  <c r="C37" i="7" s="1"/>
  <c r="AD36" i="7"/>
  <c r="AD35" i="7"/>
  <c r="AD34" i="7"/>
  <c r="E31" i="7"/>
  <c r="D31" i="7"/>
  <c r="C31" i="7"/>
  <c r="AV30" i="7"/>
  <c r="E30" i="7"/>
  <c r="D30" i="7"/>
  <c r="C30" i="7"/>
  <c r="AV29" i="7"/>
  <c r="AC29" i="7"/>
  <c r="E29" i="7"/>
  <c r="D29" i="7"/>
  <c r="C29" i="7"/>
  <c r="AV28" i="7"/>
  <c r="E28" i="7"/>
  <c r="D28" i="7"/>
  <c r="C28" i="7"/>
  <c r="E27" i="7"/>
  <c r="D27" i="7"/>
  <c r="C27" i="7"/>
  <c r="AV26" i="7"/>
  <c r="AE26" i="7"/>
  <c r="AV25" i="7"/>
  <c r="AB25" i="7"/>
  <c r="B25" i="7"/>
  <c r="AE24" i="7"/>
  <c r="AB24" i="7"/>
  <c r="AA24" i="7"/>
  <c r="AB23" i="7"/>
  <c r="AA23" i="7"/>
  <c r="AD22" i="7"/>
  <c r="AB22" i="7"/>
  <c r="AA22" i="7"/>
  <c r="AR21" i="7"/>
  <c r="AS21" i="7" s="1"/>
  <c r="BB28" i="7" s="1"/>
  <c r="AB21" i="7"/>
  <c r="AA21" i="7"/>
  <c r="S21" i="7"/>
  <c r="R21" i="7"/>
  <c r="AB18" i="7"/>
  <c r="CE64" i="2" s="1"/>
  <c r="Z18" i="7"/>
  <c r="BI64" i="2" s="1"/>
  <c r="V18" i="7"/>
  <c r="W18" i="7" s="1"/>
  <c r="AB17" i="7"/>
  <c r="CE63" i="2" s="1"/>
  <c r="Z17" i="7"/>
  <c r="BI63" i="2" s="1"/>
  <c r="V17" i="7"/>
  <c r="W17" i="7" s="1"/>
  <c r="AB16" i="7"/>
  <c r="CE62" i="2" s="1"/>
  <c r="Z16" i="7"/>
  <c r="V16" i="7"/>
  <c r="W16" i="7" s="1"/>
  <c r="BG15" i="7"/>
  <c r="BF15" i="7"/>
  <c r="AB15" i="7"/>
  <c r="CE61" i="2" s="1"/>
  <c r="Z15" i="7"/>
  <c r="BI61" i="2" s="1"/>
  <c r="V15" i="7"/>
  <c r="W15" i="7" s="1"/>
  <c r="AB14" i="7"/>
  <c r="CE60" i="2" s="1"/>
  <c r="Z14" i="7"/>
  <c r="AA12" i="7"/>
  <c r="U12" i="7"/>
  <c r="T12" i="7"/>
  <c r="S12" i="7"/>
  <c r="AF11" i="7"/>
  <c r="AA11" i="7"/>
  <c r="T11" i="7"/>
  <c r="AF10" i="7"/>
  <c r="AA10" i="7"/>
  <c r="T10" i="7"/>
  <c r="AX9" i="7"/>
  <c r="AW9" i="7"/>
  <c r="AV9" i="7"/>
  <c r="AQ9" i="7"/>
  <c r="T9" i="7"/>
  <c r="AX8" i="7"/>
  <c r="AW8" i="7"/>
  <c r="AV8" i="7"/>
  <c r="AQ8" i="7"/>
  <c r="T8" i="7"/>
  <c r="AX7" i="7"/>
  <c r="AW7" i="7"/>
  <c r="AV7" i="7"/>
  <c r="AQ7" i="7"/>
  <c r="T7" i="7"/>
  <c r="AX6" i="7"/>
  <c r="AW6" i="7"/>
  <c r="AV6" i="7"/>
  <c r="AQ6" i="7"/>
  <c r="U6" i="7"/>
  <c r="S6" i="7" s="1"/>
  <c r="T6" i="7"/>
  <c r="U5" i="7"/>
  <c r="X5" i="7" s="1"/>
  <c r="T5" i="7"/>
  <c r="C5" i="7"/>
  <c r="B5" i="7"/>
  <c r="B7" i="7" s="1"/>
  <c r="A5" i="7"/>
  <c r="Z4" i="7"/>
  <c r="U4" i="7"/>
  <c r="Y4" i="7" s="1"/>
  <c r="T4" i="7"/>
  <c r="S4" i="7"/>
  <c r="DR154" i="2"/>
  <c r="DG144" i="2"/>
  <c r="DC144" i="2"/>
  <c r="CH144" i="2"/>
  <c r="CD144" i="2"/>
  <c r="DO142" i="2"/>
  <c r="DH142" i="2"/>
  <c r="DE142" i="2"/>
  <c r="CP142" i="2"/>
  <c r="CI142" i="2"/>
  <c r="CF142" i="2"/>
  <c r="BM133" i="2"/>
  <c r="BS133" i="2" s="1"/>
  <c r="BC133" i="2"/>
  <c r="BI133" i="2" s="1"/>
  <c r="BM132" i="2"/>
  <c r="BS132" i="2" s="1"/>
  <c r="BC132" i="2"/>
  <c r="BI132" i="2" s="1"/>
  <c r="DQ129" i="2"/>
  <c r="DN129" i="2"/>
  <c r="CR129" i="2"/>
  <c r="CO129" i="2"/>
  <c r="BA129" i="2"/>
  <c r="R129" i="2"/>
  <c r="DM123" i="2"/>
  <c r="CN123" i="2"/>
  <c r="DP121" i="2"/>
  <c r="DJ121" i="2"/>
  <c r="DJ123" i="2" s="1"/>
  <c r="DG121" i="2"/>
  <c r="DD121" i="2"/>
  <c r="CQ121" i="2"/>
  <c r="CK121" i="2"/>
  <c r="CK123" i="2" s="1"/>
  <c r="CH121" i="2"/>
  <c r="CE121" i="2"/>
  <c r="AV104" i="2"/>
  <c r="AR104" i="2"/>
  <c r="CG64" i="2" s="1"/>
  <c r="AV103" i="2"/>
  <c r="AR103" i="2"/>
  <c r="CG63" i="2" s="1"/>
  <c r="AV102" i="2"/>
  <c r="AR102" i="2"/>
  <c r="AV101" i="2"/>
  <c r="AR101" i="2"/>
  <c r="AV100" i="2"/>
  <c r="AR100" i="2"/>
  <c r="CG60" i="2" s="1"/>
  <c r="AV99" i="2"/>
  <c r="AR99" i="2"/>
  <c r="AT99" i="2" s="1"/>
  <c r="AV98" i="2"/>
  <c r="AR98" i="2"/>
  <c r="AT98" i="2" s="1"/>
  <c r="AV97" i="2"/>
  <c r="AR97" i="2"/>
  <c r="CG57" i="2" s="1"/>
  <c r="CM57" i="2" s="1"/>
  <c r="AV96" i="2"/>
  <c r="AR96" i="2"/>
  <c r="AT96" i="2" s="1"/>
  <c r="AV95" i="2"/>
  <c r="AR95" i="2"/>
  <c r="AT95" i="2" s="1"/>
  <c r="AV94" i="2"/>
  <c r="AR94" i="2"/>
  <c r="AT94" i="2" s="1"/>
  <c r="DF93" i="2"/>
  <c r="AV93" i="2"/>
  <c r="AR93" i="2"/>
  <c r="AT93" i="2" s="1"/>
  <c r="CQ92" i="2"/>
  <c r="BD12" i="2" s="1"/>
  <c r="AV92" i="2"/>
  <c r="AR92" i="2"/>
  <c r="CG52" i="2" s="1"/>
  <c r="CM52" i="2" s="1"/>
  <c r="AV91" i="2"/>
  <c r="AR91" i="2"/>
  <c r="CG51" i="2" s="1"/>
  <c r="CM51" i="2" s="1"/>
  <c r="CO51" i="2" s="1"/>
  <c r="AV90" i="2"/>
  <c r="AR90" i="2"/>
  <c r="AT90" i="2" s="1"/>
  <c r="BA89" i="2"/>
  <c r="BK89" i="2" s="1"/>
  <c r="AV89" i="2"/>
  <c r="AR89" i="2"/>
  <c r="AT89" i="2" s="1"/>
  <c r="BA88" i="2"/>
  <c r="L73" i="7" s="1"/>
  <c r="AV88" i="2"/>
  <c r="AR88" i="2"/>
  <c r="CG48" i="2" s="1"/>
  <c r="BA87" i="2"/>
  <c r="BK87" i="2" s="1"/>
  <c r="AV87" i="2"/>
  <c r="AR87" i="2"/>
  <c r="BA86" i="2"/>
  <c r="L71" i="7" s="1"/>
  <c r="AV86" i="2"/>
  <c r="AR86" i="2"/>
  <c r="AT86" i="2" s="1"/>
  <c r="BA85" i="2"/>
  <c r="BK85" i="2" s="1"/>
  <c r="AV85" i="2"/>
  <c r="AR85" i="2"/>
  <c r="AT85" i="2" s="1"/>
  <c r="AV84" i="2"/>
  <c r="AR84" i="2"/>
  <c r="AT84" i="2" s="1"/>
  <c r="AV83" i="2"/>
  <c r="AR83" i="2"/>
  <c r="AT83" i="2" s="1"/>
  <c r="AV82" i="2"/>
  <c r="AR82" i="2"/>
  <c r="AT82" i="2" s="1"/>
  <c r="AV81" i="2"/>
  <c r="AR81" i="2"/>
  <c r="AT81" i="2" s="1"/>
  <c r="AV80" i="2"/>
  <c r="AR80" i="2"/>
  <c r="AT80" i="2" s="1"/>
  <c r="AV79" i="2"/>
  <c r="AR79" i="2"/>
  <c r="AT79" i="2" s="1"/>
  <c r="AV78" i="2"/>
  <c r="AR78" i="2"/>
  <c r="AT78" i="2" s="1"/>
  <c r="BR77" i="2"/>
  <c r="M19" i="3" s="1"/>
  <c r="AV77" i="2"/>
  <c r="AR77" i="2"/>
  <c r="AT77" i="2" s="1"/>
  <c r="AV76" i="2"/>
  <c r="AR76" i="2"/>
  <c r="AT76" i="2" s="1"/>
  <c r="AV75" i="2"/>
  <c r="AR75" i="2"/>
  <c r="AT75" i="2" s="1"/>
  <c r="AV74" i="2"/>
  <c r="AR74" i="2"/>
  <c r="AT74" i="2" s="1"/>
  <c r="CJ73" i="2"/>
  <c r="CH73" i="2"/>
  <c r="CE73" i="2"/>
  <c r="CC73" i="2"/>
  <c r="CA73" i="2"/>
  <c r="BY73" i="2"/>
  <c r="BU73" i="2"/>
  <c r="BK73" i="2"/>
  <c r="BD9" i="7" s="1"/>
  <c r="AV73" i="2"/>
  <c r="AR73" i="2"/>
  <c r="AT73" i="2" s="1"/>
  <c r="CJ72" i="2"/>
  <c r="CH72" i="2"/>
  <c r="M16" i="3" s="1"/>
  <c r="CE72" i="2"/>
  <c r="L16" i="3" s="1"/>
  <c r="CC72" i="2"/>
  <c r="K16" i="3" s="1"/>
  <c r="CA72" i="2"/>
  <c r="J16" i="3" s="1"/>
  <c r="BY72" i="2"/>
  <c r="I16" i="3" s="1"/>
  <c r="BU72" i="2"/>
  <c r="H16" i="3" s="1"/>
  <c r="BK72" i="2"/>
  <c r="D16" i="3" s="1"/>
  <c r="AV72" i="2"/>
  <c r="AR72" i="2"/>
  <c r="AT72" i="2" s="1"/>
  <c r="CJ71" i="2"/>
  <c r="CH71" i="2"/>
  <c r="M15" i="3" s="1"/>
  <c r="CE71" i="2"/>
  <c r="L15" i="3" s="1"/>
  <c r="CC71" i="2"/>
  <c r="K15" i="3" s="1"/>
  <c r="CA71" i="2"/>
  <c r="J15" i="3" s="1"/>
  <c r="BY71" i="2"/>
  <c r="I15" i="3" s="1"/>
  <c r="BU71" i="2"/>
  <c r="H15" i="3" s="1"/>
  <c r="AV71" i="2"/>
  <c r="AR71" i="2"/>
  <c r="AT71" i="2" s="1"/>
  <c r="CJ70" i="2"/>
  <c r="CH70" i="2"/>
  <c r="M14" i="3" s="1"/>
  <c r="CE70" i="2"/>
  <c r="L14" i="3" s="1"/>
  <c r="CC70" i="2"/>
  <c r="K14" i="3" s="1"/>
  <c r="CA70" i="2"/>
  <c r="J14" i="3" s="1"/>
  <c r="BY70" i="2"/>
  <c r="I14" i="3" s="1"/>
  <c r="BU70" i="2"/>
  <c r="H14" i="3" s="1"/>
  <c r="AV70" i="2"/>
  <c r="AR70" i="2"/>
  <c r="AT70" i="2" s="1"/>
  <c r="CJ69" i="2"/>
  <c r="CH69" i="2"/>
  <c r="M13" i="3" s="1"/>
  <c r="CE69" i="2"/>
  <c r="L13" i="3" s="1"/>
  <c r="CC69" i="2"/>
  <c r="K13" i="3" s="1"/>
  <c r="CA69" i="2"/>
  <c r="J13" i="3" s="1"/>
  <c r="BY69" i="2"/>
  <c r="I13" i="3" s="1"/>
  <c r="BU69" i="2"/>
  <c r="H13" i="3" s="1"/>
  <c r="BK69" i="2"/>
  <c r="D13" i="3" s="1"/>
  <c r="AV69" i="2"/>
  <c r="AR69" i="2"/>
  <c r="CG29" i="2" s="1"/>
  <c r="CM29" i="2" s="1"/>
  <c r="CO29" i="2" s="1"/>
  <c r="AV68" i="2"/>
  <c r="AR68" i="2"/>
  <c r="CG28" i="2" s="1"/>
  <c r="CM28" i="2" s="1"/>
  <c r="AV67" i="2"/>
  <c r="AR67" i="2"/>
  <c r="AT67" i="2" s="1"/>
  <c r="AV66" i="2"/>
  <c r="AR66" i="2"/>
  <c r="AT66" i="2" s="1"/>
  <c r="BI65" i="2"/>
  <c r="BA65" i="2"/>
  <c r="AV65" i="2"/>
  <c r="AR65" i="2"/>
  <c r="CG25" i="2" s="1"/>
  <c r="CM25" i="2" s="1"/>
  <c r="AV64" i="2"/>
  <c r="AR64" i="2"/>
  <c r="BK64" i="2" s="1"/>
  <c r="AV63" i="2"/>
  <c r="AR63" i="2"/>
  <c r="BK63" i="2" s="1"/>
  <c r="BI62" i="2"/>
  <c r="AV62" i="2"/>
  <c r="AR62" i="2"/>
  <c r="BK62" i="2" s="1"/>
  <c r="CG61" i="2"/>
  <c r="BC61" i="2"/>
  <c r="AY61" i="2" s="1"/>
  <c r="AV61" i="2"/>
  <c r="AR61" i="2"/>
  <c r="BI60" i="2"/>
  <c r="AV60" i="2"/>
  <c r="AR60" i="2"/>
  <c r="BK60" i="2" s="1"/>
  <c r="AR59" i="2"/>
  <c r="BK59" i="2" s="1"/>
  <c r="BQ59" i="2" s="1"/>
  <c r="BC58" i="2"/>
  <c r="AY58" i="2" s="1"/>
  <c r="AV58" i="2"/>
  <c r="AR58" i="2"/>
  <c r="BK58" i="2" s="1"/>
  <c r="BC57" i="2"/>
  <c r="AY57" i="2" s="1"/>
  <c r="AV57" i="2"/>
  <c r="AR57" i="2"/>
  <c r="BK57" i="2" s="1"/>
  <c r="BQ57" i="2" s="1"/>
  <c r="BU57" i="2" s="1"/>
  <c r="BC56" i="2"/>
  <c r="AY56" i="2" s="1"/>
  <c r="AV56" i="2"/>
  <c r="AR56" i="2"/>
  <c r="BK56" i="2" s="1"/>
  <c r="BQ56" i="2" s="1"/>
  <c r="BC55" i="2"/>
  <c r="AY55" i="2" s="1"/>
  <c r="AV55" i="2"/>
  <c r="AR55" i="2"/>
  <c r="AT55" i="2" s="1"/>
  <c r="BC54" i="2"/>
  <c r="AY54" i="2" s="1"/>
  <c r="AV54" i="2"/>
  <c r="AR54" i="2"/>
  <c r="AT54" i="2" s="1"/>
  <c r="BC53" i="2"/>
  <c r="AY53" i="2" s="1"/>
  <c r="AV53" i="2"/>
  <c r="AR53" i="2"/>
  <c r="BC52" i="2"/>
  <c r="AY52" i="2" s="1"/>
  <c r="AV52" i="2"/>
  <c r="AR52" i="2"/>
  <c r="BI51" i="2"/>
  <c r="BC51" i="2"/>
  <c r="AY51" i="2" s="1"/>
  <c r="AV51" i="2"/>
  <c r="AR51" i="2"/>
  <c r="BY50" i="2"/>
  <c r="AY90" i="2" s="1"/>
  <c r="BI50" i="2"/>
  <c r="BC50" i="2"/>
  <c r="AY50" i="2" s="1"/>
  <c r="AV50" i="2"/>
  <c r="AR50" i="2"/>
  <c r="BK50" i="2" s="1"/>
  <c r="CT49" i="2"/>
  <c r="CG49" i="2"/>
  <c r="CM49" i="2" s="1"/>
  <c r="CO49" i="2" s="1"/>
  <c r="BY49" i="2"/>
  <c r="AY89" i="2" s="1"/>
  <c r="BI49" i="2"/>
  <c r="BC49" i="2"/>
  <c r="AY49" i="2" s="1"/>
  <c r="AV49" i="2"/>
  <c r="AR49" i="2"/>
  <c r="BK49" i="2" s="1"/>
  <c r="CE48" i="2"/>
  <c r="BY48" i="2"/>
  <c r="AY88" i="2" s="1"/>
  <c r="BI48" i="2"/>
  <c r="BC48" i="2"/>
  <c r="AY48" i="2" s="1"/>
  <c r="AV48" i="2"/>
  <c r="AR48" i="2"/>
  <c r="CE47" i="2"/>
  <c r="BY47" i="2"/>
  <c r="AY87" i="2" s="1"/>
  <c r="BI47" i="2"/>
  <c r="BC47" i="2"/>
  <c r="AY47" i="2" s="1"/>
  <c r="AV47" i="2"/>
  <c r="AR47" i="2"/>
  <c r="BK47" i="2" s="1"/>
  <c r="AV46" i="2"/>
  <c r="AR46" i="2"/>
  <c r="BK46" i="2" s="1"/>
  <c r="BQ46" i="2" s="1"/>
  <c r="BU46" i="2" s="1"/>
  <c r="BI45" i="2"/>
  <c r="BC45" i="2"/>
  <c r="AY45" i="2" s="1"/>
  <c r="AV45" i="2"/>
  <c r="AR45" i="2"/>
  <c r="BI44" i="2"/>
  <c r="BC44" i="2"/>
  <c r="AY44" i="2" s="1"/>
  <c r="AV44" i="2"/>
  <c r="AR44" i="2"/>
  <c r="BK44" i="2" s="1"/>
  <c r="BY43" i="2"/>
  <c r="AY83" i="2" s="1"/>
  <c r="BI43" i="2"/>
  <c r="BC43" i="2"/>
  <c r="AY43" i="2" s="1"/>
  <c r="AV43" i="2"/>
  <c r="AR43" i="2"/>
  <c r="BY42" i="2"/>
  <c r="AY82" i="2" s="1"/>
  <c r="BI42" i="2"/>
  <c r="BC42" i="2"/>
  <c r="AY42" i="2" s="1"/>
  <c r="AV42" i="2"/>
  <c r="AR42" i="2"/>
  <c r="BY41" i="2"/>
  <c r="AY81" i="2" s="1"/>
  <c r="BI41" i="2"/>
  <c r="BC41" i="2"/>
  <c r="AY41" i="2" s="1"/>
  <c r="AV41" i="2"/>
  <c r="AR41" i="2"/>
  <c r="CG40" i="2"/>
  <c r="CM40" i="2" s="1"/>
  <c r="BY40" i="2"/>
  <c r="AY80" i="2" s="1"/>
  <c r="BI40" i="2"/>
  <c r="BC40" i="2"/>
  <c r="AY40" i="2" s="1"/>
  <c r="AV40" i="2"/>
  <c r="AR40" i="2"/>
  <c r="BK40" i="2" s="1"/>
  <c r="BY39" i="2"/>
  <c r="AY79" i="2" s="1"/>
  <c r="AV39" i="2"/>
  <c r="AR39" i="2"/>
  <c r="AT39" i="2" s="1"/>
  <c r="BY38" i="2"/>
  <c r="AY78" i="2" s="1"/>
  <c r="BC38" i="2"/>
  <c r="AY38" i="2" s="1"/>
  <c r="AV38" i="2"/>
  <c r="AR38" i="2"/>
  <c r="AT38" i="2" s="1"/>
  <c r="CT37" i="2"/>
  <c r="BY37" i="2"/>
  <c r="AY77" i="2" s="1"/>
  <c r="BC37" i="2"/>
  <c r="AY37" i="2" s="1"/>
  <c r="AV37" i="2"/>
  <c r="AR37" i="2"/>
  <c r="AT37" i="2" s="1"/>
  <c r="BY36" i="2"/>
  <c r="AY76" i="2" s="1"/>
  <c r="BC36" i="2"/>
  <c r="AY36" i="2" s="1"/>
  <c r="AV36" i="2"/>
  <c r="AR36" i="2"/>
  <c r="BK36" i="2" s="1"/>
  <c r="BQ36" i="2" s="1"/>
  <c r="BY35" i="2"/>
  <c r="AY75" i="2" s="1"/>
  <c r="BC35" i="2"/>
  <c r="AY35" i="2" s="1"/>
  <c r="AV35" i="2"/>
  <c r="AR35" i="2"/>
  <c r="BK35" i="2" s="1"/>
  <c r="BQ35" i="2" s="1"/>
  <c r="BU35" i="2" s="1"/>
  <c r="BY34" i="2"/>
  <c r="AY74" i="2" s="1"/>
  <c r="BC34" i="2"/>
  <c r="AY34" i="2" s="1"/>
  <c r="AV34" i="2"/>
  <c r="AR34" i="2"/>
  <c r="BK34" i="2" s="1"/>
  <c r="BQ34" i="2" s="1"/>
  <c r="BY33" i="2"/>
  <c r="AY73" i="2" s="1"/>
  <c r="AY33" i="2"/>
  <c r="AV33" i="2"/>
  <c r="AR33" i="2"/>
  <c r="AT33" i="2" s="1"/>
  <c r="CG32" i="2"/>
  <c r="CM32" i="2" s="1"/>
  <c r="BY32" i="2"/>
  <c r="AY72" i="2" s="1"/>
  <c r="BC32" i="2"/>
  <c r="AY32" i="2" s="1"/>
  <c r="AV32" i="2"/>
  <c r="AR32" i="2"/>
  <c r="BK32" i="2" s="1"/>
  <c r="BQ32" i="2" s="1"/>
  <c r="CU31" i="2"/>
  <c r="CG31" i="2"/>
  <c r="CM31" i="2" s="1"/>
  <c r="BY31" i="2"/>
  <c r="AY71" i="2" s="1"/>
  <c r="BC31" i="2"/>
  <c r="AY31" i="2" s="1"/>
  <c r="AV31" i="2"/>
  <c r="AR31" i="2"/>
  <c r="BK31" i="2" s="1"/>
  <c r="BQ31" i="2" s="1"/>
  <c r="BY30" i="2"/>
  <c r="AY70" i="2" s="1"/>
  <c r="BC30" i="2"/>
  <c r="AY30" i="2"/>
  <c r="AV30" i="2"/>
  <c r="AR30" i="2"/>
  <c r="BK30" i="2" s="1"/>
  <c r="BQ30" i="2" s="1"/>
  <c r="EA29" i="2"/>
  <c r="DT29" i="2"/>
  <c r="BY29" i="2"/>
  <c r="AY69" i="2" s="1"/>
  <c r="BC29" i="2"/>
  <c r="AY29" i="2" s="1"/>
  <c r="AV29" i="2"/>
  <c r="AR29" i="2"/>
  <c r="AT29" i="2" s="1"/>
  <c r="EA28" i="2"/>
  <c r="DT28" i="2"/>
  <c r="BY28" i="2"/>
  <c r="AY68" i="2" s="1"/>
  <c r="BC28" i="2"/>
  <c r="AY28" i="2" s="1"/>
  <c r="AV28" i="2"/>
  <c r="AR28" i="2"/>
  <c r="BK28" i="2" s="1"/>
  <c r="BQ28" i="2" s="1"/>
  <c r="CG27" i="2"/>
  <c r="CM27" i="2" s="1"/>
  <c r="BY27" i="2"/>
  <c r="AY67" i="2" s="1"/>
  <c r="BC27" i="2"/>
  <c r="AY27" i="2" s="1"/>
  <c r="AV27" i="2"/>
  <c r="AR27" i="2"/>
  <c r="BK27" i="2" s="1"/>
  <c r="BQ27" i="2" s="1"/>
  <c r="BY26" i="2"/>
  <c r="AY66" i="2" s="1"/>
  <c r="BC26" i="2"/>
  <c r="AY26" i="2" s="1"/>
  <c r="AV26" i="2"/>
  <c r="AR26" i="2"/>
  <c r="BK26" i="2" s="1"/>
  <c r="BQ26" i="2" s="1"/>
  <c r="DT25" i="2"/>
  <c r="BY25" i="2"/>
  <c r="AY65" i="2" s="1"/>
  <c r="BC25" i="2"/>
  <c r="AY25" i="2" s="1"/>
  <c r="AV25" i="2"/>
  <c r="AR25" i="2"/>
  <c r="BK25" i="2" s="1"/>
  <c r="BQ25" i="2" s="1"/>
  <c r="DT24" i="2"/>
  <c r="DT23" i="2"/>
  <c r="BA22" i="2"/>
  <c r="AR22" i="2"/>
  <c r="DC21" i="2"/>
  <c r="AR21" i="2"/>
  <c r="AY21" i="2" s="1"/>
  <c r="CO20" i="2"/>
  <c r="AR20" i="2"/>
  <c r="AY20" i="2" s="1"/>
  <c r="CM19" i="2"/>
  <c r="L7" i="3" s="1"/>
  <c r="AR19" i="2"/>
  <c r="AY19" i="2" s="1"/>
  <c r="DF18" i="2"/>
  <c r="CK18" i="2"/>
  <c r="CB18" i="2"/>
  <c r="BS18" i="2"/>
  <c r="BJ18" i="2"/>
  <c r="BE18" i="2"/>
  <c r="BA18" i="2" s="1"/>
  <c r="AR18" i="2"/>
  <c r="AY18" i="2" s="1"/>
  <c r="AR17" i="2"/>
  <c r="AT17" i="2" s="1"/>
  <c r="BO16" i="2"/>
  <c r="BC16" i="2"/>
  <c r="AR16" i="2"/>
  <c r="AY16" i="2" s="1"/>
  <c r="AR15" i="2"/>
  <c r="AY15" i="2" s="1"/>
  <c r="CF14" i="2"/>
  <c r="DJ16" i="2" s="1"/>
  <c r="BZ14" i="2"/>
  <c r="CB14" i="2" s="1"/>
  <c r="BT14" i="2"/>
  <c r="AR14" i="2"/>
  <c r="AT14" i="2" s="1"/>
  <c r="AR13" i="2"/>
  <c r="AT13" i="2" s="1"/>
  <c r="CF12" i="2"/>
  <c r="DJ14" i="2" s="1"/>
  <c r="BZ12" i="2"/>
  <c r="DB14" i="2" s="1"/>
  <c r="BT12" i="2"/>
  <c r="BV12" i="2" s="1"/>
  <c r="AR12" i="2"/>
  <c r="BV11" i="2"/>
  <c r="DJ10" i="2"/>
  <c r="DB10" i="2"/>
  <c r="CT10" i="2"/>
  <c r="CF10" i="2"/>
  <c r="BZ20" i="2" s="1"/>
  <c r="BZ10" i="2"/>
  <c r="BT10" i="2"/>
  <c r="BV10" i="2" s="1"/>
  <c r="CD8" i="2"/>
  <c r="CH8" i="2" s="1"/>
  <c r="CQ6" i="2"/>
  <c r="CN6" i="2"/>
  <c r="CJ6" i="2"/>
  <c r="CG6" i="2"/>
  <c r="CD6" i="2"/>
  <c r="BV6" i="2"/>
  <c r="BQ6" i="2"/>
  <c r="BO6" i="2"/>
  <c r="BM6" i="2"/>
  <c r="BK6" i="2"/>
  <c r="BI6" i="2"/>
  <c r="BF6" i="2"/>
  <c r="CR4" i="2"/>
  <c r="CP4" i="2"/>
  <c r="CN4" i="2"/>
  <c r="CJ4" i="2"/>
  <c r="CF4" i="2"/>
  <c r="BT4" i="2"/>
  <c r="BR4" i="2"/>
  <c r="BP4" i="2"/>
  <c r="BL4" i="2"/>
  <c r="BH4" i="2"/>
  <c r="CQ2" i="2"/>
  <c r="CK2" i="2"/>
  <c r="CF2" i="2"/>
  <c r="BS2" i="2"/>
  <c r="BM2" i="2"/>
  <c r="BH2" i="2"/>
  <c r="Y9" i="7" l="1"/>
  <c r="S10" i="7"/>
  <c r="X10" i="7"/>
  <c r="Y11" i="7"/>
  <c r="Y7" i="7"/>
  <c r="S8" i="7"/>
  <c r="X8" i="7"/>
  <c r="X11" i="7"/>
  <c r="S11" i="7"/>
  <c r="Y10" i="7"/>
  <c r="X7" i="7"/>
  <c r="Y6" i="7"/>
  <c r="S7" i="7"/>
  <c r="X9" i="7"/>
  <c r="S9" i="7"/>
  <c r="Y8" i="7"/>
  <c r="X6" i="7"/>
  <c r="B22" i="11"/>
  <c r="AT50" i="2"/>
  <c r="B65" i="11"/>
  <c r="BK55" i="2"/>
  <c r="BQ55" i="2" s="1"/>
  <c r="BS55" i="2" s="1"/>
  <c r="C8" i="7"/>
  <c r="B66" i="11"/>
  <c r="X12" i="7"/>
  <c r="V77" i="11"/>
  <c r="X4" i="7"/>
  <c r="BK38" i="2"/>
  <c r="BQ38" i="2" s="1"/>
  <c r="Q16" i="3" s="1"/>
  <c r="CG41" i="2"/>
  <c r="CM41" i="2" s="1"/>
  <c r="W19" i="3" s="1"/>
  <c r="S5" i="7"/>
  <c r="CG45" i="2"/>
  <c r="CM45" i="2" s="1"/>
  <c r="W23" i="3" s="1"/>
  <c r="CG26" i="2"/>
  <c r="CM26" i="2" s="1"/>
  <c r="AC73" i="7" s="1"/>
  <c r="CM63" i="2"/>
  <c r="AY9" i="7" s="1"/>
  <c r="Y5" i="7"/>
  <c r="V21" i="11"/>
  <c r="CG54" i="2"/>
  <c r="CM54" i="2" s="1"/>
  <c r="CG36" i="2"/>
  <c r="CM36" i="2" s="1"/>
  <c r="AT51" i="2"/>
  <c r="CG37" i="2"/>
  <c r="CM37" i="2" s="1"/>
  <c r="CO37" i="2" s="1"/>
  <c r="N85" i="7"/>
  <c r="S44" i="7"/>
  <c r="CG56" i="2"/>
  <c r="CM56" i="2" s="1"/>
  <c r="W34" i="3" s="1"/>
  <c r="AT61" i="2"/>
  <c r="AT88" i="2"/>
  <c r="AT101" i="2"/>
  <c r="AT42" i="2"/>
  <c r="CG53" i="2"/>
  <c r="CM53" i="2" s="1"/>
  <c r="CO53" i="2" s="1"/>
  <c r="AT68" i="2"/>
  <c r="BQ64" i="2"/>
  <c r="AU9" i="7" s="1"/>
  <c r="CG44" i="2"/>
  <c r="CM44" i="2" s="1"/>
  <c r="CQ44" i="2" s="1"/>
  <c r="CM61" i="2"/>
  <c r="CQ61" i="2" s="1"/>
  <c r="CH12" i="2"/>
  <c r="CG30" i="2"/>
  <c r="CM30" i="2" s="1"/>
  <c r="BQ62" i="2"/>
  <c r="Q40" i="3" s="1"/>
  <c r="O97" i="7"/>
  <c r="E73" i="7"/>
  <c r="AT31" i="2"/>
  <c r="CG46" i="2"/>
  <c r="CM46" i="2" s="1"/>
  <c r="W24" i="3" s="1"/>
  <c r="CH11" i="2"/>
  <c r="AT103" i="2"/>
  <c r="O93" i="7"/>
  <c r="N106" i="7" s="1"/>
  <c r="BV75" i="2" s="1"/>
  <c r="CG35" i="2"/>
  <c r="CM35" i="2" s="1"/>
  <c r="CQ35" i="2" s="1"/>
  <c r="CG33" i="2"/>
  <c r="CM33" i="2" s="1"/>
  <c r="CQ33" i="2" s="1"/>
  <c r="BK42" i="2"/>
  <c r="BQ42" i="2" s="1"/>
  <c r="BS42" i="2" s="1"/>
  <c r="CG50" i="2"/>
  <c r="CM50" i="2" s="1"/>
  <c r="W28" i="3" s="1"/>
  <c r="O95" i="7"/>
  <c r="CT12" i="2"/>
  <c r="BV9" i="2"/>
  <c r="AT41" i="2"/>
  <c r="AT104" i="2"/>
  <c r="L88" i="7"/>
  <c r="CB10" i="2"/>
  <c r="CH14" i="2"/>
  <c r="AT32" i="2"/>
  <c r="AT87" i="2"/>
  <c r="M86" i="7"/>
  <c r="BK61" i="2"/>
  <c r="BQ61" i="2" s="1"/>
  <c r="B89" i="11"/>
  <c r="DB12" i="2"/>
  <c r="CG42" i="2"/>
  <c r="CM42" i="2" s="1"/>
  <c r="W20" i="3" s="1"/>
  <c r="BQ50" i="2"/>
  <c r="Q28" i="3" s="1"/>
  <c r="AT56" i="2"/>
  <c r="CG58" i="2"/>
  <c r="CM58" i="2" s="1"/>
  <c r="CQ58" i="2" s="1"/>
  <c r="N84" i="7"/>
  <c r="B90" i="11"/>
  <c r="DJ12" i="2"/>
  <c r="AT43" i="2"/>
  <c r="BQ47" i="2"/>
  <c r="AE28" i="7"/>
  <c r="V25" i="11"/>
  <c r="B113" i="11"/>
  <c r="BK41" i="2"/>
  <c r="BQ41" i="2" s="1"/>
  <c r="BS41" i="2" s="1"/>
  <c r="AT59" i="2"/>
  <c r="CM64" i="2"/>
  <c r="AZ9" i="7" s="1"/>
  <c r="BC51" i="7"/>
  <c r="V38" i="11"/>
  <c r="AW5" i="7"/>
  <c r="AM8" i="7"/>
  <c r="O101" i="7"/>
  <c r="B41" i="11"/>
  <c r="V4" i="11"/>
  <c r="B45" i="11"/>
  <c r="AT57" i="2"/>
  <c r="B10" i="11"/>
  <c r="B47" i="11"/>
  <c r="BQ60" i="2"/>
  <c r="BU60" i="2" s="1"/>
  <c r="V10" i="11"/>
  <c r="V53" i="11"/>
  <c r="AY14" i="2"/>
  <c r="AY17" i="2"/>
  <c r="BQ40" i="2"/>
  <c r="BU40" i="2" s="1"/>
  <c r="BQ63" i="2"/>
  <c r="Q41" i="3" s="1"/>
  <c r="D32" i="7"/>
  <c r="D34" i="7" s="1"/>
  <c r="B15" i="11"/>
  <c r="V59" i="11"/>
  <c r="CQ40" i="2"/>
  <c r="CO40" i="2"/>
  <c r="AC104" i="7"/>
  <c r="CQ57" i="2"/>
  <c r="BU32" i="2"/>
  <c r="BS32" i="2"/>
  <c r="W39" i="3"/>
  <c r="Y39" i="3" s="1"/>
  <c r="AT22" i="2"/>
  <c r="BO19" i="2" s="1"/>
  <c r="BU34" i="2"/>
  <c r="Q37" i="3"/>
  <c r="R37" i="3" s="1"/>
  <c r="BS59" i="2"/>
  <c r="CM60" i="2"/>
  <c r="CQ60" i="2" s="1"/>
  <c r="BY45" i="2"/>
  <c r="AY85" i="2" s="1"/>
  <c r="BY59" i="2"/>
  <c r="AY99" i="2" s="1"/>
  <c r="BY44" i="2"/>
  <c r="AY84" i="2" s="1"/>
  <c r="BY56" i="2"/>
  <c r="AY96" i="2" s="1"/>
  <c r="AT60" i="2"/>
  <c r="AT64" i="2"/>
  <c r="AT65" i="2"/>
  <c r="AT100" i="2"/>
  <c r="AL9" i="7"/>
  <c r="O99" i="7"/>
  <c r="B84" i="11"/>
  <c r="B108" i="11"/>
  <c r="CG34" i="2"/>
  <c r="CM34" i="2" s="1"/>
  <c r="CQ34" i="2" s="1"/>
  <c r="CM48" i="2"/>
  <c r="CO48" i="2" s="1"/>
  <c r="BK51" i="2"/>
  <c r="BQ51" i="2" s="1"/>
  <c r="Q29" i="3" s="1"/>
  <c r="BC60" i="2"/>
  <c r="AY60" i="2" s="1"/>
  <c r="BY62" i="2"/>
  <c r="AY102" i="2" s="1"/>
  <c r="AT69" i="2"/>
  <c r="AT92" i="2"/>
  <c r="BF46" i="7"/>
  <c r="C61" i="6"/>
  <c r="B11" i="11"/>
  <c r="B46" i="11"/>
  <c r="V65" i="11"/>
  <c r="V89" i="11"/>
  <c r="V113" i="11"/>
  <c r="BC64" i="2"/>
  <c r="AY64" i="2" s="1"/>
  <c r="AX27" i="7"/>
  <c r="AD40" i="7"/>
  <c r="Z37" i="3" s="1"/>
  <c r="B114" i="11"/>
  <c r="BY53" i="2"/>
  <c r="AY93" i="2" s="1"/>
  <c r="CT8" i="2"/>
  <c r="AT25" i="2"/>
  <c r="AT36" i="2"/>
  <c r="BC39" i="2"/>
  <c r="AY39" i="2" s="1"/>
  <c r="CG43" i="2"/>
  <c r="CM43" i="2" s="1"/>
  <c r="AT45" i="2"/>
  <c r="BC46" i="2"/>
  <c r="AY46" i="2" s="1"/>
  <c r="BY61" i="2"/>
  <c r="AY101" i="2" s="1"/>
  <c r="AT97" i="2"/>
  <c r="V15" i="11"/>
  <c r="B33" i="11"/>
  <c r="V47" i="11"/>
  <c r="B71" i="11"/>
  <c r="B95" i="11"/>
  <c r="B119" i="11"/>
  <c r="BY51" i="2"/>
  <c r="AY91" i="2" s="1"/>
  <c r="BY58" i="2"/>
  <c r="AY98" i="2" s="1"/>
  <c r="CH9" i="2"/>
  <c r="AY13" i="2"/>
  <c r="AT15" i="2"/>
  <c r="AT12" i="2"/>
  <c r="CH13" i="2"/>
  <c r="AT28" i="2"/>
  <c r="AT35" i="2"/>
  <c r="BK39" i="2"/>
  <c r="BQ39" i="2" s="1"/>
  <c r="Q17" i="3" s="1"/>
  <c r="CG47" i="2"/>
  <c r="CM47" i="2" s="1"/>
  <c r="CQ47" i="2" s="1"/>
  <c r="BY55" i="2"/>
  <c r="AY95" i="2" s="1"/>
  <c r="AT102" i="2"/>
  <c r="B3" i="11"/>
  <c r="B16" i="11"/>
  <c r="V33" i="11"/>
  <c r="B52" i="11"/>
  <c r="V71" i="11"/>
  <c r="V95" i="11"/>
  <c r="V119" i="11"/>
  <c r="BY46" i="2"/>
  <c r="AY86" i="2" s="1"/>
  <c r="CG55" i="2"/>
  <c r="CM55" i="2" s="1"/>
  <c r="CO55" i="2" s="1"/>
  <c r="BY60" i="2"/>
  <c r="AY100" i="2" s="1"/>
  <c r="BC63" i="2"/>
  <c r="AY63" i="2" s="1"/>
  <c r="BY64" i="2"/>
  <c r="AY104" i="2" s="1"/>
  <c r="O86" i="7"/>
  <c r="V3" i="11"/>
  <c r="V16" i="11"/>
  <c r="B34" i="11"/>
  <c r="V52" i="11"/>
  <c r="B72" i="11"/>
  <c r="B96" i="11"/>
  <c r="BF19" i="2"/>
  <c r="BC21" i="2" s="1"/>
  <c r="AT34" i="2"/>
  <c r="CG39" i="2"/>
  <c r="CM39" i="2" s="1"/>
  <c r="AC86" i="7" s="1"/>
  <c r="AT49" i="2"/>
  <c r="BY57" i="2"/>
  <c r="AY97" i="2" s="1"/>
  <c r="BC59" i="2"/>
  <c r="AY59" i="2" s="1"/>
  <c r="B4" i="11"/>
  <c r="B17" i="11"/>
  <c r="V34" i="11"/>
  <c r="B53" i="11"/>
  <c r="B77" i="11"/>
  <c r="B101" i="11"/>
  <c r="BY63" i="2"/>
  <c r="AY103" i="2" s="1"/>
  <c r="C32" i="7"/>
  <c r="C34" i="7" s="1"/>
  <c r="O103" i="7"/>
  <c r="V101" i="11"/>
  <c r="BK45" i="2"/>
  <c r="BQ45" i="2" s="1"/>
  <c r="BU45" i="2" s="1"/>
  <c r="BY52" i="2"/>
  <c r="AY92" i="2" s="1"/>
  <c r="BK54" i="2"/>
  <c r="BQ54" i="2" s="1"/>
  <c r="Q32" i="3" s="1"/>
  <c r="AT62" i="2"/>
  <c r="CH123" i="2"/>
  <c r="AC22" i="7"/>
  <c r="AC24" i="7" s="1"/>
  <c r="AD25" i="7" s="1"/>
  <c r="CT26" i="2" s="1"/>
  <c r="BF44" i="7"/>
  <c r="B5" i="11"/>
  <c r="V20" i="11"/>
  <c r="B39" i="11"/>
  <c r="B58" i="11"/>
  <c r="B78" i="11"/>
  <c r="B102" i="11"/>
  <c r="CH10" i="2"/>
  <c r="BQ44" i="2"/>
  <c r="BU44" i="2" s="1"/>
  <c r="AT47" i="2"/>
  <c r="BY54" i="2"/>
  <c r="AY94" i="2" s="1"/>
  <c r="M85" i="7"/>
  <c r="B9" i="11"/>
  <c r="B21" i="11"/>
  <c r="B40" i="11"/>
  <c r="V58" i="11"/>
  <c r="B83" i="11"/>
  <c r="B107" i="11"/>
  <c r="CG38" i="2"/>
  <c r="CM38" i="2" s="1"/>
  <c r="CQ38" i="2" s="1"/>
  <c r="V9" i="11"/>
  <c r="V40" i="11"/>
  <c r="B59" i="11"/>
  <c r="V83" i="11"/>
  <c r="V107" i="11"/>
  <c r="W8" i="3"/>
  <c r="AC77" i="7"/>
  <c r="CQ30" i="2"/>
  <c r="CO30" i="2"/>
  <c r="Q34" i="3"/>
  <c r="BU56" i="2"/>
  <c r="BS56" i="2"/>
  <c r="Q3" i="3"/>
  <c r="AA72" i="7"/>
  <c r="BS25" i="2"/>
  <c r="BU25" i="2"/>
  <c r="W3" i="3"/>
  <c r="CO25" i="2"/>
  <c r="AC72" i="7"/>
  <c r="CQ25" i="2"/>
  <c r="W14" i="3"/>
  <c r="AC83" i="7"/>
  <c r="CQ36" i="2"/>
  <c r="CO36" i="2"/>
  <c r="Q20" i="3"/>
  <c r="BU42" i="2"/>
  <c r="W6" i="3"/>
  <c r="AC75" i="7"/>
  <c r="CQ28" i="2"/>
  <c r="CO28" i="2"/>
  <c r="W10" i="3"/>
  <c r="AC79" i="7"/>
  <c r="CO32" i="2"/>
  <c r="CQ32" i="2"/>
  <c r="Q4" i="3"/>
  <c r="AA73" i="7"/>
  <c r="BU26" i="2"/>
  <c r="BS26" i="2"/>
  <c r="Q8" i="3"/>
  <c r="AA77" i="7"/>
  <c r="BU30" i="2"/>
  <c r="BS30" i="2"/>
  <c r="CB11" i="2"/>
  <c r="L5" i="3"/>
  <c r="L66" i="7"/>
  <c r="L65" i="7" s="1"/>
  <c r="L64" i="7" s="1"/>
  <c r="L63" i="7" s="1"/>
  <c r="K66" i="7"/>
  <c r="K65" i="7"/>
  <c r="I14" i="7"/>
  <c r="V7" i="7" s="1"/>
  <c r="K64" i="7"/>
  <c r="AT20" i="2"/>
  <c r="H92" i="7"/>
  <c r="AT16" i="2"/>
  <c r="Q5" i="3"/>
  <c r="BU27" i="2"/>
  <c r="AA74" i="7"/>
  <c r="AT40" i="2"/>
  <c r="BQ49" i="2"/>
  <c r="BV14" i="2"/>
  <c r="AT18" i="2"/>
  <c r="AT19" i="2"/>
  <c r="W9" i="3"/>
  <c r="AC78" i="7"/>
  <c r="C3" i="3"/>
  <c r="J63" i="7"/>
  <c r="M54" i="7"/>
  <c r="G14" i="7"/>
  <c r="F5" i="4"/>
  <c r="F4" i="4"/>
  <c r="L3" i="3"/>
  <c r="F6" i="4"/>
  <c r="F7" i="4"/>
  <c r="L14" i="7"/>
  <c r="V9" i="7" s="1"/>
  <c r="BS27" i="2"/>
  <c r="Q6" i="3"/>
  <c r="AA75" i="7"/>
  <c r="CO31" i="2"/>
  <c r="W12" i="3"/>
  <c r="AC81" i="7"/>
  <c r="CO34" i="2"/>
  <c r="AC99" i="7"/>
  <c r="W30" i="3"/>
  <c r="CQ52" i="2"/>
  <c r="CO52" i="2"/>
  <c r="AT30" i="2"/>
  <c r="CQ31" i="2"/>
  <c r="AT48" i="2"/>
  <c r="BK48" i="2"/>
  <c r="BQ48" i="2" s="1"/>
  <c r="BK53" i="2"/>
  <c r="BQ53" i="2" s="1"/>
  <c r="AT53" i="2"/>
  <c r="W32" i="3"/>
  <c r="CQ54" i="2"/>
  <c r="CO54" i="2"/>
  <c r="AC101" i="7"/>
  <c r="N73" i="7"/>
  <c r="M73" i="7"/>
  <c r="BS28" i="2"/>
  <c r="F66" i="3"/>
  <c r="BI58" i="2"/>
  <c r="BQ58" i="2" s="1"/>
  <c r="J14" i="7"/>
  <c r="F3" i="3"/>
  <c r="AY12" i="2"/>
  <c r="B66" i="3"/>
  <c r="O14" i="7"/>
  <c r="V12" i="7" s="1"/>
  <c r="BU28" i="2"/>
  <c r="BK29" i="2"/>
  <c r="BQ29" i="2" s="1"/>
  <c r="BK43" i="2"/>
  <c r="BQ43" i="2" s="1"/>
  <c r="BS64" i="2"/>
  <c r="AS8" i="7"/>
  <c r="W15" i="3"/>
  <c r="CQ37" i="2"/>
  <c r="AC84" i="7"/>
  <c r="Q24" i="3"/>
  <c r="BS46" i="2"/>
  <c r="W36" i="3"/>
  <c r="AC105" i="7"/>
  <c r="CO58" i="2"/>
  <c r="BC40" i="7"/>
  <c r="BF41" i="7" s="1"/>
  <c r="BB53" i="7" s="1"/>
  <c r="BI8" i="2" s="1"/>
  <c r="B2" i="3"/>
  <c r="C7" i="7"/>
  <c r="W5" i="3"/>
  <c r="AC74" i="7"/>
  <c r="F8" i="4"/>
  <c r="M14" i="7"/>
  <c r="I3" i="3"/>
  <c r="C5" i="3"/>
  <c r="H14" i="7"/>
  <c r="V6" i="7" s="1"/>
  <c r="BV13" i="2"/>
  <c r="CT14" i="2"/>
  <c r="CT16" i="2"/>
  <c r="AT21" i="2"/>
  <c r="BM19" i="2" s="1"/>
  <c r="AT26" i="2"/>
  <c r="CO27" i="2"/>
  <c r="BK37" i="2"/>
  <c r="BQ37" i="2" s="1"/>
  <c r="W22" i="3"/>
  <c r="AC91" i="7"/>
  <c r="CB13" i="2"/>
  <c r="DB16" i="2"/>
  <c r="BX19" i="2"/>
  <c r="BV19" i="2" s="1"/>
  <c r="CQ27" i="2"/>
  <c r="CO44" i="2"/>
  <c r="BK52" i="2"/>
  <c r="BA147" i="2"/>
  <c r="F5" i="3"/>
  <c r="K14" i="7"/>
  <c r="V8" i="7" s="1"/>
  <c r="BK33" i="2"/>
  <c r="BQ33" i="2" s="1"/>
  <c r="BU36" i="2"/>
  <c r="Q14" i="3"/>
  <c r="AA83" i="7"/>
  <c r="W21" i="3"/>
  <c r="CQ43" i="2"/>
  <c r="CO43" i="2"/>
  <c r="AC90" i="7"/>
  <c r="Q25" i="3"/>
  <c r="BS47" i="2"/>
  <c r="Q33" i="3"/>
  <c r="CO56" i="2"/>
  <c r="W17" i="3"/>
  <c r="Q9" i="3"/>
  <c r="AA78" i="7"/>
  <c r="CB12" i="2"/>
  <c r="AT27" i="2"/>
  <c r="BS31" i="2"/>
  <c r="Q13" i="3"/>
  <c r="BS35" i="2"/>
  <c r="AA82" i="7"/>
  <c r="BS36" i="2"/>
  <c r="W27" i="3"/>
  <c r="AC96" i="7"/>
  <c r="CQ49" i="2"/>
  <c r="BU55" i="2"/>
  <c r="Q35" i="3"/>
  <c r="BS57" i="2"/>
  <c r="N71" i="7"/>
  <c r="M71" i="7"/>
  <c r="DB8" i="2"/>
  <c r="F236" i="4"/>
  <c r="F224" i="4"/>
  <c r="F212" i="4"/>
  <c r="F200" i="4"/>
  <c r="F188" i="4"/>
  <c r="F176" i="4"/>
  <c r="F164" i="4"/>
  <c r="F152" i="4"/>
  <c r="F140" i="4"/>
  <c r="F128" i="4"/>
  <c r="F116" i="4"/>
  <c r="F104" i="4"/>
  <c r="F92" i="4"/>
  <c r="F80" i="4"/>
  <c r="F68" i="4"/>
  <c r="F56" i="4"/>
  <c r="F44" i="4"/>
  <c r="F32" i="4"/>
  <c r="F17" i="4"/>
  <c r="F235" i="4"/>
  <c r="F223" i="4"/>
  <c r="F211" i="4"/>
  <c r="F199" i="4"/>
  <c r="F187" i="4"/>
  <c r="F175" i="4"/>
  <c r="F163" i="4"/>
  <c r="F151" i="4"/>
  <c r="F139" i="4"/>
  <c r="F127" i="4"/>
  <c r="F115" i="4"/>
  <c r="F103" i="4"/>
  <c r="F91" i="4"/>
  <c r="F79" i="4"/>
  <c r="F67" i="4"/>
  <c r="F55" i="4"/>
  <c r="F43" i="4"/>
  <c r="F31" i="4"/>
  <c r="F24" i="4"/>
  <c r="F16" i="4"/>
  <c r="F234" i="4"/>
  <c r="F222" i="4"/>
  <c r="F210" i="4"/>
  <c r="F198" i="4"/>
  <c r="F186" i="4"/>
  <c r="F174" i="4"/>
  <c r="F162" i="4"/>
  <c r="F150" i="4"/>
  <c r="F138" i="4"/>
  <c r="F126" i="4"/>
  <c r="F114" i="4"/>
  <c r="F102" i="4"/>
  <c r="F90" i="4"/>
  <c r="F78" i="4"/>
  <c r="F66" i="4"/>
  <c r="F54" i="4"/>
  <c r="F42" i="4"/>
  <c r="F30" i="4"/>
  <c r="F15" i="4"/>
  <c r="F232" i="4"/>
  <c r="F220" i="4"/>
  <c r="F208" i="4"/>
  <c r="F196" i="4"/>
  <c r="F184" i="4"/>
  <c r="F172" i="4"/>
  <c r="F160" i="4"/>
  <c r="F148" i="4"/>
  <c r="F136" i="4"/>
  <c r="F124" i="4"/>
  <c r="F112" i="4"/>
  <c r="F100" i="4"/>
  <c r="F88" i="4"/>
  <c r="F76" i="4"/>
  <c r="F64" i="4"/>
  <c r="F52" i="4"/>
  <c r="F40" i="4"/>
  <c r="F13" i="4"/>
  <c r="F231" i="4"/>
  <c r="F219" i="4"/>
  <c r="F207" i="4"/>
  <c r="F195" i="4"/>
  <c r="F183" i="4"/>
  <c r="F171" i="4"/>
  <c r="F159" i="4"/>
  <c r="F147" i="4"/>
  <c r="F135" i="4"/>
  <c r="F123" i="4"/>
  <c r="F111" i="4"/>
  <c r="F99" i="4"/>
  <c r="F87" i="4"/>
  <c r="F75" i="4"/>
  <c r="F63" i="4"/>
  <c r="F51" i="4"/>
  <c r="F39" i="4"/>
  <c r="F28" i="4"/>
  <c r="F22" i="4"/>
  <c r="F12" i="4"/>
  <c r="F230" i="4"/>
  <c r="F218" i="4"/>
  <c r="F206" i="4"/>
  <c r="F194" i="4"/>
  <c r="F182" i="4"/>
  <c r="F170" i="4"/>
  <c r="F158" i="4"/>
  <c r="F146" i="4"/>
  <c r="F134" i="4"/>
  <c r="F122" i="4"/>
  <c r="F110" i="4"/>
  <c r="F98" i="4"/>
  <c r="F86" i="4"/>
  <c r="F74" i="4"/>
  <c r="F62" i="4"/>
  <c r="F50" i="4"/>
  <c r="F38" i="4"/>
  <c r="F11" i="4"/>
  <c r="I5" i="3"/>
  <c r="F229" i="4"/>
  <c r="F217" i="4"/>
  <c r="F205" i="4"/>
  <c r="F193" i="4"/>
  <c r="F181" i="4"/>
  <c r="F169" i="4"/>
  <c r="F157" i="4"/>
  <c r="F145" i="4"/>
  <c r="F133" i="4"/>
  <c r="F121" i="4"/>
  <c r="F109" i="4"/>
  <c r="F97" i="4"/>
  <c r="F85" i="4"/>
  <c r="F73" i="4"/>
  <c r="F61" i="4"/>
  <c r="F49" i="4"/>
  <c r="F37" i="4"/>
  <c r="F27" i="4"/>
  <c r="F21" i="4"/>
  <c r="F10" i="4"/>
  <c r="F228" i="4"/>
  <c r="F216" i="4"/>
  <c r="F204" i="4"/>
  <c r="F192" i="4"/>
  <c r="F180" i="4"/>
  <c r="F168" i="4"/>
  <c r="F156" i="4"/>
  <c r="F144" i="4"/>
  <c r="F132" i="4"/>
  <c r="F120" i="4"/>
  <c r="F108" i="4"/>
  <c r="F96" i="4"/>
  <c r="F84" i="4"/>
  <c r="F72" i="4"/>
  <c r="F60" i="4"/>
  <c r="F48" i="4"/>
  <c r="F36" i="4"/>
  <c r="F9" i="4"/>
  <c r="F227" i="4"/>
  <c r="F215" i="4"/>
  <c r="F203" i="4"/>
  <c r="F191" i="4"/>
  <c r="F179" i="4"/>
  <c r="F167" i="4"/>
  <c r="F155" i="4"/>
  <c r="F143" i="4"/>
  <c r="F131" i="4"/>
  <c r="F119" i="4"/>
  <c r="F107" i="4"/>
  <c r="F95" i="4"/>
  <c r="F83" i="4"/>
  <c r="F71" i="4"/>
  <c r="F59" i="4"/>
  <c r="F47" i="4"/>
  <c r="F35" i="4"/>
  <c r="F26" i="4"/>
  <c r="F20" i="4"/>
  <c r="F237" i="4"/>
  <c r="F225" i="4"/>
  <c r="F213" i="4"/>
  <c r="F201" i="4"/>
  <c r="F189" i="4"/>
  <c r="F177" i="4"/>
  <c r="F165" i="4"/>
  <c r="F153" i="4"/>
  <c r="F141" i="4"/>
  <c r="F129" i="4"/>
  <c r="F117" i="4"/>
  <c r="F105" i="4"/>
  <c r="F93" i="4"/>
  <c r="F81" i="4"/>
  <c r="F69" i="4"/>
  <c r="F57" i="4"/>
  <c r="F45" i="4"/>
  <c r="F33" i="4"/>
  <c r="F25" i="4"/>
  <c r="F18" i="4"/>
  <c r="F178" i="4"/>
  <c r="F106" i="4"/>
  <c r="F34" i="4"/>
  <c r="F19" i="4"/>
  <c r="F173" i="4"/>
  <c r="F101" i="4"/>
  <c r="F29" i="4"/>
  <c r="F14" i="4"/>
  <c r="F166" i="4"/>
  <c r="F94" i="4"/>
  <c r="F233" i="4"/>
  <c r="F161" i="4"/>
  <c r="F89" i="4"/>
  <c r="F226" i="4"/>
  <c r="F154" i="4"/>
  <c r="F82" i="4"/>
  <c r="N14" i="7"/>
  <c r="V10" i="7" s="1"/>
  <c r="F221" i="4"/>
  <c r="F149" i="4"/>
  <c r="F77" i="4"/>
  <c r="F214" i="4"/>
  <c r="F142" i="4"/>
  <c r="F70" i="4"/>
  <c r="F209" i="4"/>
  <c r="F137" i="4"/>
  <c r="F65" i="4"/>
  <c r="BI52" i="2"/>
  <c r="F202" i="4"/>
  <c r="F130" i="4"/>
  <c r="F58" i="4"/>
  <c r="F23" i="4"/>
  <c r="F197" i="4"/>
  <c r="F125" i="4"/>
  <c r="F53" i="4"/>
  <c r="F190" i="4"/>
  <c r="F118" i="4"/>
  <c r="F46" i="4"/>
  <c r="F185" i="4"/>
  <c r="F113" i="4"/>
  <c r="F41" i="4"/>
  <c r="W7" i="3"/>
  <c r="CQ29" i="2"/>
  <c r="AC76" i="7"/>
  <c r="BU31" i="2"/>
  <c r="Q10" i="3"/>
  <c r="AA79" i="7"/>
  <c r="Q12" i="3"/>
  <c r="AA81" i="7"/>
  <c r="BS34" i="2"/>
  <c r="W18" i="3"/>
  <c r="AC87" i="7"/>
  <c r="AT44" i="2"/>
  <c r="BU47" i="2"/>
  <c r="W29" i="3"/>
  <c r="CQ51" i="2"/>
  <c r="AC98" i="7"/>
  <c r="CG59" i="2"/>
  <c r="CM59" i="2" s="1"/>
  <c r="BS60" i="2"/>
  <c r="CG62" i="2"/>
  <c r="CM62" i="2" s="1"/>
  <c r="BK86" i="2"/>
  <c r="BK88" i="2"/>
  <c r="AT91" i="2"/>
  <c r="BH114" i="2"/>
  <c r="AL5" i="7"/>
  <c r="AX5" i="7"/>
  <c r="AN8" i="7"/>
  <c r="E32" i="7"/>
  <c r="E34" i="7" s="1"/>
  <c r="L72" i="7"/>
  <c r="L74" i="7"/>
  <c r="O83" i="7"/>
  <c r="O88" i="7" s="1"/>
  <c r="Q38" i="3"/>
  <c r="AM5" i="7"/>
  <c r="AY5" i="7"/>
  <c r="AO8" i="7"/>
  <c r="BC8" i="7"/>
  <c r="DG123" i="2"/>
  <c r="AN5" i="7"/>
  <c r="AZ5" i="7"/>
  <c r="AP8" i="7"/>
  <c r="BD8" i="7"/>
  <c r="H70" i="7"/>
  <c r="H73" i="7" s="1"/>
  <c r="M87" i="7"/>
  <c r="AO5" i="7"/>
  <c r="BC5" i="7"/>
  <c r="L70" i="7"/>
  <c r="N87" i="7"/>
  <c r="AA106" i="7"/>
  <c r="AT46" i="2"/>
  <c r="AP5" i="7"/>
  <c r="BD5" i="7"/>
  <c r="AT63" i="2"/>
  <c r="BK70" i="2"/>
  <c r="AQ5" i="7"/>
  <c r="AM9" i="7"/>
  <c r="W35" i="3"/>
  <c r="AR5" i="7"/>
  <c r="AN9" i="7"/>
  <c r="BO68" i="2"/>
  <c r="BL129" i="2"/>
  <c r="BL147" i="2"/>
  <c r="AS5" i="7"/>
  <c r="AO9" i="7"/>
  <c r="BC9" i="7"/>
  <c r="AT5" i="7"/>
  <c r="AP9" i="7"/>
  <c r="M84" i="7"/>
  <c r="U39" i="3"/>
  <c r="T39" i="3"/>
  <c r="X39" i="3"/>
  <c r="AU5" i="7"/>
  <c r="CO57" i="2"/>
  <c r="BU59" i="2"/>
  <c r="CO61" i="2"/>
  <c r="AV5" i="7"/>
  <c r="AL8" i="7"/>
  <c r="M83" i="7"/>
  <c r="N83" i="7"/>
  <c r="AF226" i="7"/>
  <c r="B120" i="11"/>
  <c r="B48" i="11"/>
  <c r="B54" i="11"/>
  <c r="B60" i="11"/>
  <c r="V66" i="11"/>
  <c r="V72" i="11"/>
  <c r="V78" i="11"/>
  <c r="V84" i="11"/>
  <c r="V90" i="11"/>
  <c r="V96" i="11"/>
  <c r="V102" i="11"/>
  <c r="V108" i="11"/>
  <c r="V114" i="11"/>
  <c r="V120" i="11"/>
  <c r="V5" i="11"/>
  <c r="V11" i="11"/>
  <c r="V17" i="11"/>
  <c r="B35" i="11"/>
  <c r="V41" i="11"/>
  <c r="V48" i="11"/>
  <c r="V54" i="11"/>
  <c r="V60" i="11"/>
  <c r="B67" i="11"/>
  <c r="B73" i="11"/>
  <c r="B79" i="11"/>
  <c r="B85" i="11"/>
  <c r="B91" i="11"/>
  <c r="B97" i="11"/>
  <c r="B103" i="11"/>
  <c r="B109" i="11"/>
  <c r="B115" i="11"/>
  <c r="B121" i="11"/>
  <c r="B6" i="11"/>
  <c r="B12" i="11"/>
  <c r="B18" i="11"/>
  <c r="V22" i="11"/>
  <c r="V35" i="11"/>
  <c r="B42" i="11"/>
  <c r="B49" i="11"/>
  <c r="B55" i="11"/>
  <c r="B61" i="11"/>
  <c r="V67" i="11"/>
  <c r="V73" i="11"/>
  <c r="V79" i="11"/>
  <c r="V85" i="11"/>
  <c r="V91" i="11"/>
  <c r="V97" i="11"/>
  <c r="V103" i="11"/>
  <c r="V109" i="11"/>
  <c r="V115" i="11"/>
  <c r="V121" i="11"/>
  <c r="V6" i="11"/>
  <c r="V12" i="11"/>
  <c r="B23" i="11"/>
  <c r="B36" i="11"/>
  <c r="V42" i="11"/>
  <c r="V49" i="11"/>
  <c r="V55" i="11"/>
  <c r="V61" i="11"/>
  <c r="B68" i="11"/>
  <c r="B74" i="11"/>
  <c r="B80" i="11"/>
  <c r="B86" i="11"/>
  <c r="B92" i="11"/>
  <c r="B98" i="11"/>
  <c r="B104" i="11"/>
  <c r="B110" i="11"/>
  <c r="B116" i="11"/>
  <c r="B7" i="11"/>
  <c r="B13" i="11"/>
  <c r="V18" i="11"/>
  <c r="V23" i="11"/>
  <c r="V36" i="11"/>
  <c r="B43" i="11"/>
  <c r="B50" i="11"/>
  <c r="B56" i="11"/>
  <c r="B62" i="11"/>
  <c r="V68" i="11"/>
  <c r="V74" i="11"/>
  <c r="V80" i="11"/>
  <c r="V86" i="11"/>
  <c r="V92" i="11"/>
  <c r="V98" i="11"/>
  <c r="V104" i="11"/>
  <c r="V110" i="11"/>
  <c r="V116" i="11"/>
  <c r="V7" i="11"/>
  <c r="V13" i="11"/>
  <c r="B19" i="11"/>
  <c r="B24" i="11"/>
  <c r="B37" i="11"/>
  <c r="V43" i="11"/>
  <c r="V50" i="11"/>
  <c r="V56" i="11"/>
  <c r="B63" i="11"/>
  <c r="B69" i="11"/>
  <c r="B75" i="11"/>
  <c r="B81" i="11"/>
  <c r="B87" i="11"/>
  <c r="B93" i="11"/>
  <c r="B99" i="11"/>
  <c r="B105" i="11"/>
  <c r="B111" i="11"/>
  <c r="B117" i="11"/>
  <c r="B2" i="11"/>
  <c r="B8" i="11"/>
  <c r="B14" i="11"/>
  <c r="V19" i="11"/>
  <c r="V24" i="11"/>
  <c r="V37" i="11"/>
  <c r="B44" i="11"/>
  <c r="B51" i="11"/>
  <c r="B57" i="11"/>
  <c r="V63" i="11"/>
  <c r="V69" i="11"/>
  <c r="V75" i="11"/>
  <c r="V81" i="11"/>
  <c r="V87" i="11"/>
  <c r="V93" i="11"/>
  <c r="V99" i="11"/>
  <c r="V105" i="11"/>
  <c r="V111" i="11"/>
  <c r="V117" i="11"/>
  <c r="V2" i="11"/>
  <c r="V8" i="11"/>
  <c r="V14" i="11"/>
  <c r="B20" i="11"/>
  <c r="B25" i="11"/>
  <c r="B38" i="11"/>
  <c r="V44" i="11"/>
  <c r="V51" i="11"/>
  <c r="V57" i="11"/>
  <c r="B64" i="11"/>
  <c r="B70" i="11"/>
  <c r="B76" i="11"/>
  <c r="B82" i="11"/>
  <c r="B88" i="11"/>
  <c r="B94" i="11"/>
  <c r="B100" i="11"/>
  <c r="B106" i="11"/>
  <c r="B112" i="11"/>
  <c r="B118" i="11"/>
  <c r="V64" i="11"/>
  <c r="V70" i="11"/>
  <c r="V76" i="11"/>
  <c r="V82" i="11"/>
  <c r="V88" i="11"/>
  <c r="V94" i="11"/>
  <c r="V100" i="11"/>
  <c r="V106" i="11"/>
  <c r="V112" i="11"/>
  <c r="AE30" i="7"/>
  <c r="AD30" i="7" s="1"/>
  <c r="AE31" i="7"/>
  <c r="AD31" i="7" s="1"/>
  <c r="C48" i="7"/>
  <c r="C47" i="7"/>
  <c r="D47" i="7" s="1"/>
  <c r="D48" i="7" s="1"/>
  <c r="D37" i="7"/>
  <c r="BU8" i="2" s="1"/>
  <c r="S37" i="7"/>
  <c r="BU61" i="2" l="1"/>
  <c r="AR8" i="7"/>
  <c r="BS61" i="2"/>
  <c r="AR9" i="7"/>
  <c r="Q39" i="3"/>
  <c r="W38" i="3"/>
  <c r="T38" i="3" s="1"/>
  <c r="CO50" i="2"/>
  <c r="W41" i="3"/>
  <c r="BU50" i="2"/>
  <c r="BS50" i="2"/>
  <c r="BS38" i="2"/>
  <c r="CQ41" i="2"/>
  <c r="AA9" i="7"/>
  <c r="E3" i="4" s="1"/>
  <c r="CQ63" i="2"/>
  <c r="AA87" i="7"/>
  <c r="CO60" i="2"/>
  <c r="Q18" i="3"/>
  <c r="CQ45" i="2"/>
  <c r="BU38" i="2"/>
  <c r="CO41" i="2"/>
  <c r="CQ56" i="2"/>
  <c r="CO45" i="2"/>
  <c r="AA85" i="7"/>
  <c r="BU64" i="2"/>
  <c r="BS40" i="2"/>
  <c r="AC92" i="7"/>
  <c r="AC80" i="7"/>
  <c r="AU8" i="7"/>
  <c r="AY8" i="7"/>
  <c r="AT8" i="7"/>
  <c r="BF8" i="7" s="1"/>
  <c r="AT9" i="7"/>
  <c r="CO42" i="2"/>
  <c r="CQ42" i="2"/>
  <c r="BU41" i="2"/>
  <c r="BS63" i="2"/>
  <c r="W11" i="3"/>
  <c r="X11" i="3" s="1"/>
  <c r="Q19" i="3"/>
  <c r="BU63" i="2"/>
  <c r="CQ50" i="2"/>
  <c r="CQ53" i="2"/>
  <c r="CQ26" i="2"/>
  <c r="AC97" i="7"/>
  <c r="AC100" i="7"/>
  <c r="W31" i="3"/>
  <c r="Y31" i="3" s="1"/>
  <c r="BS62" i="2"/>
  <c r="AY22" i="2"/>
  <c r="CO26" i="2"/>
  <c r="CO63" i="2"/>
  <c r="Q42" i="3"/>
  <c r="W4" i="3"/>
  <c r="CO33" i="2"/>
  <c r="CQ48" i="2"/>
  <c r="CO46" i="2"/>
  <c r="CQ46" i="2"/>
  <c r="AC93" i="7"/>
  <c r="W26" i="3"/>
  <c r="Y26" i="3" s="1"/>
  <c r="BU62" i="2"/>
  <c r="AS9" i="7"/>
  <c r="S37" i="3"/>
  <c r="I66" i="3"/>
  <c r="CO39" i="2"/>
  <c r="BQ52" i="2"/>
  <c r="L5" i="7" s="1"/>
  <c r="CQ39" i="2"/>
  <c r="CQ55" i="2"/>
  <c r="W33" i="3"/>
  <c r="Y33" i="3" s="1"/>
  <c r="CO47" i="2"/>
  <c r="W25" i="3"/>
  <c r="T25" i="3" s="1"/>
  <c r="BI148" i="2"/>
  <c r="BS44" i="2"/>
  <c r="AC82" i="7"/>
  <c r="W13" i="3"/>
  <c r="CO35" i="2"/>
  <c r="G5" i="7"/>
  <c r="BS51" i="2"/>
  <c r="BU51" i="2"/>
  <c r="BF9" i="7"/>
  <c r="BE9" i="7" s="1"/>
  <c r="BG9" i="7" s="1"/>
  <c r="BO73" i="2" s="1"/>
  <c r="D7" i="3"/>
  <c r="CQ64" i="2"/>
  <c r="K5" i="7"/>
  <c r="W42" i="3"/>
  <c r="N88" i="7"/>
  <c r="CO64" i="2"/>
  <c r="AZ8" i="7"/>
  <c r="BS39" i="2"/>
  <c r="BU39" i="2"/>
  <c r="AA86" i="7"/>
  <c r="DA20" i="2"/>
  <c r="CW20" i="2" s="1"/>
  <c r="Q22" i="3"/>
  <c r="N22" i="3" s="1"/>
  <c r="BS54" i="2"/>
  <c r="K63" i="7"/>
  <c r="I63" i="7" s="1"/>
  <c r="I64" i="7" s="1"/>
  <c r="BU54" i="2"/>
  <c r="H5" i="7"/>
  <c r="CO38" i="2"/>
  <c r="DA18" i="2"/>
  <c r="CW18" i="2" s="1"/>
  <c r="BS45" i="2"/>
  <c r="W16" i="3"/>
  <c r="X16" i="3" s="1"/>
  <c r="BD19" i="2"/>
  <c r="Q23" i="3"/>
  <c r="S23" i="3" s="1"/>
  <c r="AC85" i="7"/>
  <c r="E12" i="3"/>
  <c r="BS68" i="2"/>
  <c r="G12" i="3" s="1"/>
  <c r="BQ68" i="2"/>
  <c r="F12" i="3" s="1"/>
  <c r="J66" i="3"/>
  <c r="S38" i="3"/>
  <c r="R38" i="3"/>
  <c r="O38" i="3"/>
  <c r="J65" i="3" s="1"/>
  <c r="N38" i="3"/>
  <c r="J6" i="3"/>
  <c r="J5" i="3"/>
  <c r="S35" i="3"/>
  <c r="R35" i="3"/>
  <c r="O35" i="3"/>
  <c r="N35" i="3"/>
  <c r="Y34" i="3"/>
  <c r="U34" i="3"/>
  <c r="T34" i="3"/>
  <c r="X34" i="3"/>
  <c r="D6" i="3"/>
  <c r="D5" i="3"/>
  <c r="T23" i="3"/>
  <c r="X23" i="3"/>
  <c r="Y23" i="3"/>
  <c r="S16" i="3"/>
  <c r="R16" i="3"/>
  <c r="N16" i="3"/>
  <c r="S14" i="3"/>
  <c r="R14" i="3"/>
  <c r="N14" i="3"/>
  <c r="J4" i="3"/>
  <c r="J3" i="3"/>
  <c r="R24" i="3"/>
  <c r="O24" i="3"/>
  <c r="S24" i="3"/>
  <c r="N24" i="3"/>
  <c r="S19" i="3"/>
  <c r="R19" i="3"/>
  <c r="O19" i="3"/>
  <c r="N19" i="3"/>
  <c r="Y32" i="3"/>
  <c r="X32" i="3"/>
  <c r="T32" i="3"/>
  <c r="X9" i="3"/>
  <c r="T9" i="3"/>
  <c r="Y9" i="3"/>
  <c r="R39" i="3"/>
  <c r="O39" i="3"/>
  <c r="N39" i="3"/>
  <c r="S39" i="3"/>
  <c r="Y4" i="3"/>
  <c r="X4" i="3"/>
  <c r="T4" i="3"/>
  <c r="D14" i="3"/>
  <c r="BK71" i="2"/>
  <c r="BD6" i="7"/>
  <c r="AP6" i="7"/>
  <c r="BC6" i="7"/>
  <c r="AO6" i="7"/>
  <c r="AZ6" i="7"/>
  <c r="AN6" i="7"/>
  <c r="AY6" i="7"/>
  <c r="AM6" i="7"/>
  <c r="AL6" i="7"/>
  <c r="AU6" i="7"/>
  <c r="AT6" i="7"/>
  <c r="U20" i="3"/>
  <c r="T20" i="3"/>
  <c r="Y20" i="3"/>
  <c r="X20" i="3"/>
  <c r="N9" i="3"/>
  <c r="S9" i="3"/>
  <c r="R9" i="3"/>
  <c r="O33" i="3"/>
  <c r="N33" i="3"/>
  <c r="S33" i="3"/>
  <c r="R33" i="3"/>
  <c r="X22" i="3"/>
  <c r="T22" i="3"/>
  <c r="Y22" i="3"/>
  <c r="L18" i="7"/>
  <c r="V11" i="7"/>
  <c r="S20" i="3"/>
  <c r="N20" i="3"/>
  <c r="R20" i="3"/>
  <c r="O20" i="3"/>
  <c r="Y7" i="3"/>
  <c r="T7" i="3"/>
  <c r="X7" i="3"/>
  <c r="N74" i="7"/>
  <c r="M74" i="7"/>
  <c r="Q11" i="3"/>
  <c r="AD222" i="7"/>
  <c r="BA78" i="2"/>
  <c r="AA80" i="7"/>
  <c r="BS33" i="2"/>
  <c r="AD223" i="7" s="1"/>
  <c r="BU33" i="2"/>
  <c r="AD224" i="7" s="1"/>
  <c r="J7" i="3"/>
  <c r="E66" i="3"/>
  <c r="I7" i="3"/>
  <c r="O42" i="3"/>
  <c r="N42" i="3"/>
  <c r="S42" i="3"/>
  <c r="R42" i="3"/>
  <c r="G3" i="3"/>
  <c r="G4" i="3"/>
  <c r="Q31" i="3"/>
  <c r="BU53" i="2"/>
  <c r="BS53" i="2"/>
  <c r="O32" i="3"/>
  <c r="N32" i="3"/>
  <c r="R32" i="3"/>
  <c r="S32" i="3"/>
  <c r="M6" i="3"/>
  <c r="M5" i="3"/>
  <c r="S4" i="3"/>
  <c r="N4" i="3"/>
  <c r="R4" i="3"/>
  <c r="DA19" i="2"/>
  <c r="CW19" i="2" s="1"/>
  <c r="BF5" i="7"/>
  <c r="W40" i="3"/>
  <c r="CQ62" i="2"/>
  <c r="CO62" i="2"/>
  <c r="N72" i="7"/>
  <c r="M72" i="7"/>
  <c r="Y18" i="3"/>
  <c r="X18" i="3"/>
  <c r="T18" i="3"/>
  <c r="Q15" i="3"/>
  <c r="AA84" i="7"/>
  <c r="BU37" i="2"/>
  <c r="BS37" i="2"/>
  <c r="Y15" i="3"/>
  <c r="X15" i="3"/>
  <c r="T15" i="3"/>
  <c r="E4" i="7"/>
  <c r="E6" i="7" s="1"/>
  <c r="V5" i="7"/>
  <c r="Q26" i="3"/>
  <c r="BS48" i="2"/>
  <c r="BU48" i="2"/>
  <c r="M3" i="3"/>
  <c r="M4" i="3"/>
  <c r="R5" i="3"/>
  <c r="S5" i="3"/>
  <c r="N5" i="3"/>
  <c r="Y14" i="3"/>
  <c r="T14" i="3"/>
  <c r="X14" i="3"/>
  <c r="S3" i="3"/>
  <c r="R3" i="3"/>
  <c r="N3" i="3"/>
  <c r="Y27" i="3"/>
  <c r="X27" i="3"/>
  <c r="T27" i="3"/>
  <c r="T28" i="3"/>
  <c r="X28" i="3"/>
  <c r="Y28" i="3"/>
  <c r="G5" i="3"/>
  <c r="G6" i="3"/>
  <c r="Y5" i="3"/>
  <c r="X5" i="3"/>
  <c r="T5" i="3"/>
  <c r="CP72" i="2"/>
  <c r="BU58" i="2"/>
  <c r="CR73" i="2" s="1"/>
  <c r="Q36" i="3"/>
  <c r="BS58" i="2"/>
  <c r="CR72" i="2" s="1"/>
  <c r="AA105" i="7"/>
  <c r="S41" i="3"/>
  <c r="R41" i="3"/>
  <c r="N41" i="3"/>
  <c r="O41" i="3"/>
  <c r="Y16" i="3"/>
  <c r="T16" i="3"/>
  <c r="M18" i="7"/>
  <c r="G7" i="3"/>
  <c r="Y35" i="3"/>
  <c r="X35" i="3"/>
  <c r="T35" i="3"/>
  <c r="T17" i="3"/>
  <c r="X17" i="3"/>
  <c r="Y17" i="3"/>
  <c r="L66" i="3"/>
  <c r="U38" i="3"/>
  <c r="L65" i="3" s="1"/>
  <c r="S12" i="3"/>
  <c r="N12" i="3"/>
  <c r="R12" i="3"/>
  <c r="N25" i="3"/>
  <c r="S25" i="3"/>
  <c r="R25" i="3"/>
  <c r="O25" i="3"/>
  <c r="AV46" i="3"/>
  <c r="F7" i="3"/>
  <c r="D66" i="3"/>
  <c r="AA56" i="7"/>
  <c r="BQ21" i="2"/>
  <c r="AS6" i="7"/>
  <c r="S29" i="3"/>
  <c r="R29" i="3"/>
  <c r="O29" i="3"/>
  <c r="N29" i="3"/>
  <c r="Y12" i="3"/>
  <c r="X12" i="3"/>
  <c r="T12" i="3"/>
  <c r="E3" i="7"/>
  <c r="E5" i="7" s="1"/>
  <c r="S24" i="7"/>
  <c r="N5" i="7"/>
  <c r="V4" i="7"/>
  <c r="Y10" i="3"/>
  <c r="X10" i="3"/>
  <c r="T10" i="3"/>
  <c r="S18" i="3"/>
  <c r="N18" i="3"/>
  <c r="R18" i="3"/>
  <c r="S17" i="3"/>
  <c r="R17" i="3"/>
  <c r="N17" i="3"/>
  <c r="W37" i="3"/>
  <c r="AC106" i="7"/>
  <c r="CQ59" i="2"/>
  <c r="CO59" i="2"/>
  <c r="M88" i="7"/>
  <c r="L76" i="7"/>
  <c r="K78" i="7" s="1"/>
  <c r="BP84" i="2" s="1"/>
  <c r="N70" i="7"/>
  <c r="M70" i="7"/>
  <c r="Y30" i="3"/>
  <c r="X30" i="3"/>
  <c r="T30" i="3"/>
  <c r="Q27" i="3"/>
  <c r="BU49" i="2"/>
  <c r="BS49" i="2"/>
  <c r="Y3" i="3"/>
  <c r="T3" i="3"/>
  <c r="X3" i="3"/>
  <c r="T19" i="3"/>
  <c r="Y19" i="3"/>
  <c r="X19" i="3"/>
  <c r="U19" i="3"/>
  <c r="T29" i="3"/>
  <c r="Y29" i="3"/>
  <c r="X29" i="3"/>
  <c r="R10" i="3"/>
  <c r="N10" i="3"/>
  <c r="S10" i="3"/>
  <c r="S13" i="3"/>
  <c r="R13" i="3"/>
  <c r="N13" i="3"/>
  <c r="Y41" i="3"/>
  <c r="U41" i="3"/>
  <c r="T41" i="3"/>
  <c r="X41" i="3"/>
  <c r="S28" i="3"/>
  <c r="O28" i="3"/>
  <c r="N28" i="3"/>
  <c r="R28" i="3"/>
  <c r="S40" i="3"/>
  <c r="R40" i="3"/>
  <c r="O40" i="3"/>
  <c r="N40" i="3"/>
  <c r="Q7" i="3"/>
  <c r="AA76" i="7"/>
  <c r="BU29" i="2"/>
  <c r="BS29" i="2"/>
  <c r="Y24" i="3"/>
  <c r="X24" i="3"/>
  <c r="T24" i="3"/>
  <c r="J5" i="7"/>
  <c r="AA50" i="7"/>
  <c r="C7" i="3"/>
  <c r="C66" i="3"/>
  <c r="AT58" i="2"/>
  <c r="Q21" i="3"/>
  <c r="BU43" i="2"/>
  <c r="BS43" i="2"/>
  <c r="N8" i="3"/>
  <c r="R8" i="3"/>
  <c r="S8" i="3"/>
  <c r="I5" i="7"/>
  <c r="Y21" i="3"/>
  <c r="X21" i="3"/>
  <c r="T21" i="3"/>
  <c r="AT52" i="2"/>
  <c r="Y36" i="3"/>
  <c r="X36" i="3"/>
  <c r="T36" i="3"/>
  <c r="AC27" i="7"/>
  <c r="AC28" i="7" s="1"/>
  <c r="AD28" i="7" s="1"/>
  <c r="X25" i="3"/>
  <c r="R6" i="3"/>
  <c r="S6" i="3"/>
  <c r="N6" i="3"/>
  <c r="D3" i="3"/>
  <c r="D4" i="3"/>
  <c r="Y13" i="3"/>
  <c r="X13" i="3"/>
  <c r="T13" i="3"/>
  <c r="AR6" i="7"/>
  <c r="Y6" i="3"/>
  <c r="X6" i="3"/>
  <c r="T6" i="3"/>
  <c r="S34" i="3"/>
  <c r="R34" i="3"/>
  <c r="N34" i="3"/>
  <c r="O34" i="3"/>
  <c r="Y8" i="3"/>
  <c r="X8" i="3"/>
  <c r="T8" i="3"/>
  <c r="AD32" i="7"/>
  <c r="AE22" i="7" s="1"/>
  <c r="U26" i="3" l="1"/>
  <c r="BS52" i="2"/>
  <c r="Y11" i="3"/>
  <c r="BU52" i="2"/>
  <c r="T26" i="3"/>
  <c r="X26" i="3"/>
  <c r="T31" i="3"/>
  <c r="X31" i="3"/>
  <c r="S76" i="7"/>
  <c r="T11" i="3"/>
  <c r="S63" i="7"/>
  <c r="X38" i="3"/>
  <c r="DA21" i="2"/>
  <c r="CW21" i="2" s="1"/>
  <c r="Y38" i="3"/>
  <c r="AA99" i="7"/>
  <c r="AA67" i="7" s="1"/>
  <c r="AC34" i="7" s="1"/>
  <c r="Q30" i="3"/>
  <c r="O22" i="3"/>
  <c r="R22" i="3"/>
  <c r="M76" i="7"/>
  <c r="S22" i="3"/>
  <c r="U25" i="3"/>
  <c r="T33" i="3"/>
  <c r="Y25" i="3"/>
  <c r="U33" i="3"/>
  <c r="X33" i="3"/>
  <c r="J6" i="7"/>
  <c r="J8" i="7" s="1"/>
  <c r="T42" i="3"/>
  <c r="Y42" i="3"/>
  <c r="X42" i="3"/>
  <c r="U42" i="3"/>
  <c r="N76" i="7"/>
  <c r="O23" i="3"/>
  <c r="R23" i="3"/>
  <c r="N23" i="3"/>
  <c r="BS73" i="2"/>
  <c r="BQ73" i="2"/>
  <c r="O7" i="7"/>
  <c r="N7" i="7"/>
  <c r="AF12" i="7"/>
  <c r="F3" i="4" s="1"/>
  <c r="N15" i="3"/>
  <c r="R15" i="3"/>
  <c r="S15" i="3"/>
  <c r="Y40" i="3"/>
  <c r="X40" i="3"/>
  <c r="T40" i="3"/>
  <c r="U40" i="3"/>
  <c r="S26" i="3"/>
  <c r="R26" i="3"/>
  <c r="O26" i="3"/>
  <c r="N26" i="3"/>
  <c r="R31" i="3"/>
  <c r="O31" i="3"/>
  <c r="S31" i="3"/>
  <c r="N31" i="3"/>
  <c r="BF6" i="7"/>
  <c r="BE5" i="7"/>
  <c r="BG5" i="7" s="1"/>
  <c r="BO69" i="2" s="1"/>
  <c r="S27" i="3"/>
  <c r="R27" i="3"/>
  <c r="O27" i="3"/>
  <c r="N27" i="3"/>
  <c r="DA23" i="2"/>
  <c r="CW23" i="2" s="1"/>
  <c r="DA22" i="2"/>
  <c r="CW22" i="2" s="1"/>
  <c r="E7" i="7"/>
  <c r="E8" i="7" s="1"/>
  <c r="C9" i="7" s="1"/>
  <c r="CH20" i="2" s="1"/>
  <c r="CE19" i="2" s="1"/>
  <c r="L9" i="3" s="1"/>
  <c r="H66" i="3" s="1"/>
  <c r="S30" i="3"/>
  <c r="R30" i="3"/>
  <c r="Z223" i="7"/>
  <c r="BA77" i="2" s="1"/>
  <c r="B19" i="3" s="1"/>
  <c r="AB221" i="7"/>
  <c r="Z225" i="7"/>
  <c r="BE77" i="2" s="1"/>
  <c r="E19" i="3" s="1"/>
  <c r="Z231" i="7"/>
  <c r="Z227" i="7"/>
  <c r="Z229" i="7"/>
  <c r="BE8" i="7"/>
  <c r="BG8" i="7" s="1"/>
  <c r="BO72" i="2" s="1"/>
  <c r="S11" i="3"/>
  <c r="R11" i="3"/>
  <c r="S7" i="3"/>
  <c r="R7" i="3"/>
  <c r="N7" i="3"/>
  <c r="S36" i="3"/>
  <c r="R36" i="3"/>
  <c r="M66" i="3"/>
  <c r="S21" i="3"/>
  <c r="O21" i="3"/>
  <c r="N21" i="3"/>
  <c r="R21" i="3"/>
  <c r="L20" i="7"/>
  <c r="K66" i="3"/>
  <c r="Y37" i="3"/>
  <c r="X37" i="3"/>
  <c r="D15" i="3"/>
  <c r="AU7" i="7"/>
  <c r="AT7" i="7"/>
  <c r="BD7" i="7"/>
  <c r="AP7" i="7"/>
  <c r="BC7" i="7"/>
  <c r="AO7" i="7"/>
  <c r="AZ7" i="7"/>
  <c r="AN7" i="7"/>
  <c r="AY7" i="7"/>
  <c r="AM7" i="7"/>
  <c r="AL7" i="7"/>
  <c r="AR7" i="7"/>
  <c r="AS7" i="7"/>
  <c r="AR22" i="7"/>
  <c r="BB26" i="7" s="1"/>
  <c r="BA14" i="7" s="1"/>
  <c r="CT94" i="2" s="1"/>
  <c r="AF22" i="7"/>
  <c r="CY49" i="2" s="1"/>
  <c r="AQ22" i="7"/>
  <c r="BB25" i="7" s="1"/>
  <c r="CT47" i="2"/>
  <c r="AP22" i="7"/>
  <c r="CT69" i="2" s="1"/>
  <c r="AO22" i="7"/>
  <c r="CT53" i="2" s="1"/>
  <c r="AN22" i="7"/>
  <c r="DK51" i="2" s="1"/>
  <c r="AK22" i="7"/>
  <c r="DE51" i="2" s="1"/>
  <c r="AJ22" i="7"/>
  <c r="DE50" i="2" s="1"/>
  <c r="AI22" i="7"/>
  <c r="DE49" i="2" s="1"/>
  <c r="AM22" i="7"/>
  <c r="DK50" i="2" s="1"/>
  <c r="AL22" i="7"/>
  <c r="DK49" i="2" s="1"/>
  <c r="AS22" i="7"/>
  <c r="BB27" i="7" s="1"/>
  <c r="AG22" i="7"/>
  <c r="CY50" i="2" s="1"/>
  <c r="AH22" i="7"/>
  <c r="CY51" i="2" s="1"/>
  <c r="AA62" i="7" l="1"/>
  <c r="AA34" i="7" s="1"/>
  <c r="B52" i="3" s="1"/>
  <c r="AV55" i="3"/>
  <c r="AV27" i="3" s="1"/>
  <c r="K8" i="7"/>
  <c r="G8" i="7"/>
  <c r="H8" i="7"/>
  <c r="I8" i="7"/>
  <c r="L8" i="7"/>
  <c r="P7" i="7"/>
  <c r="CP70" i="2" s="1"/>
  <c r="F9" i="3" s="1"/>
  <c r="G66" i="3" s="1"/>
  <c r="E13" i="3"/>
  <c r="BS69" i="2"/>
  <c r="G13" i="3" s="1"/>
  <c r="BQ69" i="2"/>
  <c r="F13" i="3" s="1"/>
  <c r="E16" i="3"/>
  <c r="BS72" i="2"/>
  <c r="G16" i="3" s="1"/>
  <c r="BQ72" i="2"/>
  <c r="F16" i="3" s="1"/>
  <c r="N9" i="7"/>
  <c r="AC245" i="7"/>
  <c r="AH245" i="7" s="1"/>
  <c r="AC263" i="7"/>
  <c r="AH263" i="7" s="1"/>
  <c r="AH243" i="7"/>
  <c r="AG225" i="7" s="1"/>
  <c r="AG230" i="7" s="1"/>
  <c r="AC261" i="7"/>
  <c r="AH261" i="7" s="1"/>
  <c r="AC258" i="7"/>
  <c r="AH258" i="7" s="1"/>
  <c r="AC251" i="7"/>
  <c r="AH251" i="7" s="1"/>
  <c r="AC255" i="7"/>
  <c r="AH255" i="7" s="1"/>
  <c r="AC247" i="7"/>
  <c r="AH247" i="7" s="1"/>
  <c r="AC250" i="7"/>
  <c r="AH250" i="7" s="1"/>
  <c r="AC259" i="7"/>
  <c r="AH259" i="7" s="1"/>
  <c r="AC243" i="7"/>
  <c r="AF225" i="7" s="1"/>
  <c r="AC254" i="7"/>
  <c r="AH254" i="7" s="1"/>
  <c r="AC249" i="7"/>
  <c r="AH249" i="7" s="1"/>
  <c r="AC246" i="7"/>
  <c r="AH246" i="7" s="1"/>
  <c r="AC253" i="7"/>
  <c r="AH253" i="7" s="1"/>
  <c r="AC262" i="7"/>
  <c r="AH262" i="7" s="1"/>
  <c r="AC257" i="7"/>
  <c r="AH257" i="7" s="1"/>
  <c r="AC248" i="7"/>
  <c r="AH248" i="7" s="1"/>
  <c r="AA262" i="7"/>
  <c r="AF262" i="7" s="1"/>
  <c r="AA259" i="7"/>
  <c r="AF259" i="7" s="1"/>
  <c r="AA257" i="7"/>
  <c r="AF257" i="7" s="1"/>
  <c r="AA254" i="7"/>
  <c r="AF254" i="7" s="1"/>
  <c r="AA251" i="7"/>
  <c r="AF251" i="7" s="1"/>
  <c r="AA249" i="7"/>
  <c r="AF249" i="7" s="1"/>
  <c r="AA247" i="7"/>
  <c r="AF247" i="7" s="1"/>
  <c r="AA263" i="7"/>
  <c r="AF263" i="7" s="1"/>
  <c r="AA248" i="7"/>
  <c r="AF248" i="7" s="1"/>
  <c r="AA261" i="7"/>
  <c r="AF261" i="7" s="1"/>
  <c r="AA245" i="7"/>
  <c r="AF245" i="7" s="1"/>
  <c r="AA255" i="7"/>
  <c r="AF255" i="7" s="1"/>
  <c r="AF243" i="7"/>
  <c r="AG223" i="7" s="1"/>
  <c r="AE230" i="7" s="1"/>
  <c r="AA250" i="7"/>
  <c r="AF250" i="7" s="1"/>
  <c r="AA243" i="7"/>
  <c r="AF223" i="7" s="1"/>
  <c r="AA258" i="7"/>
  <c r="AF258" i="7" s="1"/>
  <c r="AA246" i="7"/>
  <c r="AF246" i="7" s="1"/>
  <c r="AA253" i="7"/>
  <c r="AF253" i="7" s="1"/>
  <c r="AB263" i="7"/>
  <c r="AG263" i="7" s="1"/>
  <c r="AB261" i="7"/>
  <c r="AG261" i="7" s="1"/>
  <c r="AB258" i="7"/>
  <c r="AG258" i="7" s="1"/>
  <c r="AB255" i="7"/>
  <c r="AG255" i="7" s="1"/>
  <c r="AB253" i="7"/>
  <c r="AG253" i="7" s="1"/>
  <c r="AB250" i="7"/>
  <c r="AG250" i="7" s="1"/>
  <c r="AB248" i="7"/>
  <c r="AG248" i="7" s="1"/>
  <c r="AB246" i="7"/>
  <c r="AG246" i="7" s="1"/>
  <c r="AB262" i="7"/>
  <c r="AG262" i="7" s="1"/>
  <c r="AB257" i="7"/>
  <c r="AG257" i="7" s="1"/>
  <c r="AB245" i="7"/>
  <c r="AG245" i="7" s="1"/>
  <c r="AB251" i="7"/>
  <c r="AG251" i="7" s="1"/>
  <c r="AG243" i="7"/>
  <c r="AG224" i="7" s="1"/>
  <c r="AF230" i="7" s="1"/>
  <c r="AB247" i="7"/>
  <c r="AG247" i="7" s="1"/>
  <c r="AB259" i="7"/>
  <c r="AG259" i="7" s="1"/>
  <c r="AB243" i="7"/>
  <c r="AF224" i="7" s="1"/>
  <c r="AB254" i="7"/>
  <c r="AG254" i="7" s="1"/>
  <c r="AB249" i="7"/>
  <c r="AG249" i="7" s="1"/>
  <c r="BF7" i="7"/>
  <c r="BE6" i="7"/>
  <c r="BG6" i="7" s="1"/>
  <c r="BO70" i="2" s="1"/>
  <c r="B46" i="3" l="1"/>
  <c r="B58" i="3"/>
  <c r="E14" i="3"/>
  <c r="BS70" i="2"/>
  <c r="G14" i="3" s="1"/>
  <c r="BQ70" i="2"/>
  <c r="F14" i="3" s="1"/>
  <c r="P9" i="7"/>
  <c r="CP67" i="2" s="1"/>
  <c r="O9" i="7"/>
  <c r="O10" i="7" s="1"/>
  <c r="AF231" i="7"/>
  <c r="AF234" i="7"/>
  <c r="AF237" i="7"/>
  <c r="AE237" i="7"/>
  <c r="AE231" i="7"/>
  <c r="AE234" i="7"/>
  <c r="BE7" i="7"/>
  <c r="BG7" i="7" s="1"/>
  <c r="BO71" i="2" s="1"/>
  <c r="AG237" i="7"/>
  <c r="AG231" i="7"/>
  <c r="AG234" i="7"/>
  <c r="C9" i="3" l="1"/>
  <c r="S40" i="7"/>
  <c r="S46" i="7" s="1"/>
  <c r="BQ71" i="2"/>
  <c r="F15" i="3" s="1"/>
  <c r="E15" i="3"/>
  <c r="BS71" i="2"/>
  <c r="G15" i="3" s="1"/>
  <c r="AA236" i="7"/>
  <c r="AA235" i="7"/>
  <c r="AB236" i="7"/>
  <c r="AB235" i="7"/>
  <c r="AC236" i="7"/>
  <c r="AC235" i="7"/>
  <c r="AG240" i="7" l="1"/>
  <c r="BK77" i="2" s="1"/>
  <c r="AF240" i="7"/>
  <c r="BN77" i="2" s="1"/>
  <c r="AE240" i="7"/>
  <c r="BH77" i="2" s="1"/>
  <c r="G19" i="3" s="1"/>
  <c r="I19" i="3"/>
  <c r="BA114" i="2"/>
  <c r="BN114" i="2"/>
  <c r="K19" i="3"/>
  <c r="E67" i="7"/>
  <c r="G67" i="7" s="1"/>
  <c r="BA83" i="2"/>
  <c r="D76" i="7" l="1"/>
  <c r="BH83" i="2" s="1"/>
  <c r="D75" i="7"/>
  <c r="BN83" i="2" l="1"/>
  <c r="DT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CA33" authorId="0" shapeId="0" xr:uid="{00000000-0006-0000-0000-000001000000}">
      <text>
        <r>
          <rPr>
            <sz val="11"/>
            <rFont val="宋体"/>
            <family val="3"/>
            <charset val="134"/>
          </rPr>
          <t>在规则书Version1907版本中
译名“领航”→“导航”</t>
        </r>
      </text>
    </comment>
    <comment ref="CA35" authorId="0" shapeId="0" xr:uid="{00000000-0006-0000-0000-000002000000}">
      <text>
        <r>
          <rPr>
            <sz val="11"/>
            <rFont val="宋体"/>
            <family val="3"/>
            <charset val="134"/>
          </rPr>
          <t>在规则书Version1907版本中
译名“魅惑”→“取悦”</t>
        </r>
      </text>
    </comment>
    <comment ref="BE46" authorId="0" shapeId="0" xr:uid="{00000000-0006-0000-0000-000003000000}">
      <text>
        <r>
          <rPr>
            <sz val="11"/>
            <rFont val="宋体"/>
            <family val="3"/>
            <charset val="134"/>
          </rPr>
          <t>在规则书Version2002版本中（最新版本）
译名“学问”→“学识”</t>
        </r>
      </text>
    </comment>
    <comment ref="BG52" authorId="0" shapeId="0" xr:uid="{00000000-0006-0000-0000-000004000000}">
      <text>
        <r>
          <rPr>
            <sz val="11"/>
            <rFont val="宋体"/>
            <family val="3"/>
            <charset val="134"/>
          </rPr>
          <t>填写说明:
此处填写人物的母语。例，母语为英语，则在此处填写英语。
填写内容影响检定，请务必准确填写！</t>
        </r>
      </text>
    </comment>
    <comment ref="BA69" authorId="1" shapeId="0" xr:uid="{00000000-0006-0000-0000-000005000000}">
      <text>
        <r>
          <rPr>
            <sz val="11"/>
            <rFont val="宋体"/>
            <family val="3"/>
            <charset val="134"/>
          </rPr>
          <t>请不要忘记填写名称</t>
        </r>
      </text>
    </comment>
    <comment ref="X106" authorId="1" shapeId="0" xr:uid="{00000000-0006-0000-0000-000006000000}">
      <text>
        <r>
          <rPr>
            <sz val="11"/>
            <rFont val="宋体"/>
            <family val="3"/>
            <charset val="134"/>
          </rPr>
          <t>输入名称和基础值，再在相关技能后填写此名称，人物卡就可以显示基础值</t>
        </r>
      </text>
    </comment>
    <comment ref="AF108" authorId="1" shapeId="0" xr:uid="{00000000-0006-0000-0000-000007000000}">
      <text>
        <r>
          <rPr>
            <sz val="11"/>
            <rFont val="宋体"/>
            <family val="3"/>
            <charset val="134"/>
          </rPr>
          <t>如果你选经历包，一定把这里补充完整</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1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1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25711</author>
  </authors>
  <commentList>
    <comment ref="B4" authorId="0" shapeId="0" xr:uid="{00000000-0006-0000-0400-000001000000}">
      <text>
        <r>
          <rPr>
            <sz val="10"/>
            <rFont val="方正颜宋体"/>
            <charset val="134"/>
          </rPr>
          <t>“世界上没有难解的谜，只有还没解开的谜。”
“当你排除了所有不可能的情况，剩下的，无论多么难以置信，也一定是真相。”
“一个伟大的侦探必须有一种超常的、对细节的洞察力。”
“在侦探工作中，最重要的不是知道什么，而是能够推断出什么。”
“对于一个伟大人物来说，任何事物都不是微不足道的。”
欲行侦探之道，必先牢记于心¬</t>
        </r>
        <r>
          <rPr>
            <sz val="9"/>
            <rFont val="宋体"/>
            <family val="3"/>
            <charset val="134"/>
          </rPr>
          <t xml:space="preserve">
</t>
        </r>
      </text>
    </comment>
    <comment ref="B5" authorId="0" shapeId="0" xr:uid="{00000000-0006-0000-0400-000002000000}">
      <text>
        <r>
          <rPr>
            <sz val="10"/>
            <rFont val="方正颜宋体"/>
            <charset val="134"/>
          </rPr>
          <t>躬体力行，行胜于言
巨细靡遗，纤毫毕现
匠心独运，天道酬勤
记录创造意义，传承方成颂歌</t>
        </r>
      </text>
    </comment>
    <comment ref="B6" authorId="0" shapeId="0" xr:uid="{00000000-0006-0000-0400-000003000000}">
      <text>
        <r>
          <rPr>
            <sz val="10"/>
            <rFont val="方正颜宋体"/>
            <charset val="134"/>
          </rPr>
          <t>万物始于自然
自然衍生万物
超心理学者并非全盘接受，也不应任意否定
“超”仅在于意识形态
而并非自身地位
超心理也是科学
自然有学者研究</t>
        </r>
      </text>
    </comment>
    <comment ref="B7" authorId="0" shapeId="0" xr:uid="{00000000-0006-0000-0400-000004000000}">
      <text>
        <r>
          <rPr>
            <sz val="10"/>
            <rFont val="方正颜宋体"/>
            <charset val="134"/>
          </rPr>
          <t>弱肉强食，自然界的竞争无处不在，而人类社会又何尝不是？
作为一名动物行为学家，接近大自然以争取与动物的交流是天生的职责
古怪点？没事的，毕竟相对于人猿，你更明白如何与其余物种交流</t>
        </r>
      </text>
    </comment>
    <comment ref="B8" authorId="0" shapeId="0" xr:uid="{00000000-0006-0000-0400-000005000000}">
      <text>
        <r>
          <rPr>
            <sz val="10"/>
            <rFont val="方正颜宋体"/>
            <charset val="134"/>
          </rPr>
          <t xml:space="preserve">武德比山重，名利草芥轻
心正则拳正，心邪则拳邪
武道贵乎精纯，不贵乎驳杂
武人相敬相倾，切磋琢磨共提升
</t>
        </r>
        <r>
          <rPr>
            <sz val="8"/>
            <rFont val="方正颜宋体"/>
            <charset val="134"/>
          </rPr>
          <t>作为一名武者，品性本当如此，但社会千变万化，时有人走火入魔，或追名逐利，或嗜血为乐，亦或是欺凌弱小，切忌忘了底线</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丛雨</author>
  </authors>
  <commentList>
    <comment ref="E13" authorId="0" shapeId="0" xr:uid="{00000000-0006-0000-0500-000001000000}">
      <text>
        <r>
          <rPr>
            <b/>
            <sz val="9"/>
            <rFont val="宋体"/>
            <family val="3"/>
            <charset val="134"/>
          </rPr>
          <t>经历了XXX事件
[一段描述ing]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<sst xmlns="http://schemas.openxmlformats.org/spreadsheetml/2006/main" count="18180" uniqueCount="9245">
  <si>
    <t>玩家</t>
  </si>
  <si>
    <t>姓名</t>
  </si>
  <si>
    <t>关系</t>
  </si>
  <si>
    <t>地点</t>
  </si>
  <si>
    <t>模组</t>
  </si>
  <si>
    <t>联系人</t>
  </si>
  <si>
    <t>例：辛永梅</t>
  </si>
  <si>
    <t>例：比尔·季默李</t>
  </si>
  <si>
    <t>神话/可憎</t>
  </si>
  <si>
    <t>伪名</t>
  </si>
  <si>
    <t>实名</t>
  </si>
  <si>
    <t>SC检定</t>
  </si>
  <si>
    <t>SC减免</t>
  </si>
  <si>
    <t>免疫</t>
  </si>
  <si>
    <t>初次目击</t>
  </si>
  <si>
    <t>旧日/外神</t>
  </si>
  <si>
    <t>称号</t>
  </si>
  <si>
    <t>名讳</t>
  </si>
  <si>
    <t>博览
群书</t>
  </si>
  <si>
    <t>书名</t>
  </si>
  <si>
    <t>类别</t>
  </si>
  <si>
    <t>技能</t>
  </si>
  <si>
    <t>等级</t>
  </si>
  <si>
    <t>耗时</t>
  </si>
  <si>
    <t>消耗</t>
  </si>
  <si>
    <t>受益</t>
  </si>
  <si>
    <t>语言</t>
  </si>
  <si>
    <t>非凡
能力</t>
  </si>
  <si>
    <t>别名</t>
  </si>
  <si>
    <t>分类</t>
  </si>
  <si>
    <t>用时</t>
  </si>
  <si>
    <t>条件</t>
  </si>
  <si>
    <t>=IF(AD134="","",XLOOKUP(AD134,成长经历!BA32:BA68,成长经历!BW32:BW68)</t>
  </si>
  <si>
    <t>电脑推荐使用excel2010及以后版本或WPS打开本卡，使用横轴滚动条可以看见更多东西</t>
  </si>
  <si>
    <t>行/列可以取消隐藏,手机版点击"行/列"字母，选择"行列操作"，之后选择"管理隐藏行列"，最后展开第一栏。</t>
  </si>
  <si>
    <t>调查员信息</t>
  </si>
  <si>
    <t>年龄补正：</t>
  </si>
  <si>
    <t>属性</t>
  </si>
  <si>
    <t>含运</t>
  </si>
  <si>
    <t>不含</t>
  </si>
  <si>
    <t>调查员肖像</t>
  </si>
  <si>
    <t>力量
STR</t>
  </si>
  <si>
    <t>敏捷
DEX</t>
  </si>
  <si>
    <t>意志
POW</t>
  </si>
  <si>
    <t>您的角色可能（只是可能！）</t>
  </si>
  <si>
    <t>时代</t>
  </si>
  <si>
    <t>1920s</t>
  </si>
  <si>
    <t>模组名</t>
  </si>
  <si>
    <t>成长</t>
  </si>
  <si>
    <t>总计</t>
  </si>
  <si>
    <t>修正</t>
  </si>
  <si>
    <t>职业</t>
  </si>
  <si>
    <t>职业序号</t>
  </si>
  <si>
    <t>体质
CON</t>
  </si>
  <si>
    <t>外貌
APP</t>
  </si>
  <si>
    <t>教育
知识</t>
  </si>
  <si>
    <t>-</t>
  </si>
  <si>
    <t>力量</t>
  </si>
  <si>
    <t>年龄</t>
  </si>
  <si>
    <t>性别</t>
  </si>
  <si>
    <t>体质</t>
  </si>
  <si>
    <t>国籍</t>
  </si>
  <si>
    <t>货币</t>
  </si>
  <si>
    <t>美元</t>
  </si>
  <si>
    <t>体型
SIZ</t>
  </si>
  <si>
    <t>智力
灵感</t>
  </si>
  <si>
    <t>幸运
Luck</t>
  </si>
  <si>
    <t>体型</t>
  </si>
  <si>
    <t>住地</t>
  </si>
  <si>
    <t>故乡</t>
  </si>
  <si>
    <t>敏捷</t>
  </si>
  <si>
    <t>上方填写属性的初始值，属性成长可前往左表
上方、左方皆有隐藏行列，可以展开查看下拉栏与成长表</t>
  </si>
  <si>
    <t>外貌</t>
  </si>
  <si>
    <t>组织</t>
  </si>
  <si>
    <t>任职</t>
  </si>
  <si>
    <t>经验</t>
  </si>
  <si>
    <t>年</t>
  </si>
  <si>
    <t>智力</t>
  </si>
  <si>
    <t>现时间</t>
  </si>
  <si>
    <t>公元</t>
  </si>
  <si>
    <t>月</t>
  </si>
  <si>
    <t>日</t>
  </si>
  <si>
    <t>意志</t>
  </si>
  <si>
    <t>绝佳素质</t>
  </si>
  <si>
    <t>NO.1</t>
  </si>
  <si>
    <t>理智损
失倍率</t>
  </si>
  <si>
    <t>教育</t>
  </si>
  <si>
    <t>生命值
HP</t>
  </si>
  <si>
    <t>状态:</t>
  </si>
  <si>
    <t>理智
Sanity</t>
  </si>
  <si>
    <t>魔法
MP</t>
  </si>
  <si>
    <t>每h恢复</t>
  </si>
  <si>
    <t>移动力
MOV</t>
  </si>
  <si>
    <t>调整值</t>
  </si>
  <si>
    <t>护甲       Armor</t>
  </si>
  <si>
    <t>覆盖部位</t>
  </si>
  <si>
    <t>NO.2</t>
  </si>
  <si>
    <t>幸运</t>
  </si>
  <si>
    <t>健康</t>
  </si>
  <si>
    <t>清醒</t>
  </si>
  <si>
    <t>NO.3</t>
  </si>
  <si>
    <t>精神固化</t>
  </si>
  <si>
    <t>☐</t>
  </si>
  <si>
    <t>相信者</t>
  </si>
  <si>
    <t>理智</t>
  </si>
  <si>
    <t>重伤值:</t>
  </si>
  <si>
    <t>临时生命值：</t>
  </si>
  <si>
    <t>今日损失 :</t>
  </si>
  <si>
    <t>剩余：</t>
  </si>
  <si>
    <t>用过的魔法：</t>
  </si>
  <si>
    <t>移动方式</t>
  </si>
  <si>
    <t>步式</t>
  </si>
  <si>
    <t>护甲减值</t>
  </si>
  <si>
    <t>关</t>
  </si>
  <si>
    <t>护甲类型 :</t>
  </si>
  <si>
    <t>请看【防具表】</t>
  </si>
  <si>
    <t>纯熟技艺</t>
  </si>
  <si>
    <t>理智上限</t>
  </si>
  <si>
    <t>成长表</t>
  </si>
  <si>
    <t>技能表</t>
  </si>
  <si>
    <t>本职</t>
  </si>
  <si>
    <t>成功标</t>
  </si>
  <si>
    <t>技能名称</t>
  </si>
  <si>
    <t>初始</t>
  </si>
  <si>
    <t>兴趣</t>
  </si>
  <si>
    <t>成功率 普通/困难/极难</t>
  </si>
  <si>
    <t>你现在有这么多</t>
  </si>
  <si>
    <t>那么你分配到了哪里?</t>
  </si>
  <si>
    <t>会计</t>
  </si>
  <si>
    <t>锁匠</t>
  </si>
  <si>
    <t>任意特长</t>
  </si>
  <si>
    <t>法律</t>
  </si>
  <si>
    <t>乔装</t>
  </si>
  <si>
    <t>历史</t>
  </si>
  <si>
    <t>妙手</t>
  </si>
  <si>
    <t>人类学</t>
  </si>
  <si>
    <t>潜行</t>
  </si>
  <si>
    <t>估价</t>
  </si>
  <si>
    <t>图书馆使用</t>
  </si>
  <si>
    <t>提示当前职业</t>
  </si>
  <si>
    <t>考古学</t>
  </si>
  <si>
    <t>聆听</t>
  </si>
  <si>
    <t>请将你选择的任意特长写在上方栏内，这样既方便你写卡又方便KP审卡</t>
  </si>
  <si>
    <t>博物学</t>
  </si>
  <si>
    <t>侦查</t>
  </si>
  <si>
    <t>推
荐
关
系
人</t>
  </si>
  <si>
    <t>神秘学</t>
  </si>
  <si>
    <t>追踪</t>
  </si>
  <si>
    <t>——</t>
  </si>
  <si>
    <t>★</t>
  </si>
  <si>
    <t>信用评级</t>
  </si>
  <si>
    <t>导航</t>
  </si>
  <si>
    <t>克苏鲁神话</t>
  </si>
  <si>
    <t>心理学</t>
  </si>
  <si>
    <t>机械维修</t>
  </si>
  <si>
    <t>取悦</t>
  </si>
  <si>
    <t>电气维修</t>
  </si>
  <si>
    <t>话术</t>
  </si>
  <si>
    <t>职业介绍</t>
  </si>
  <si>
    <t>电子学 Ω</t>
  </si>
  <si>
    <t>恐吓</t>
  </si>
  <si>
    <t>操作重型机械</t>
  </si>
  <si>
    <t>说服</t>
  </si>
  <si>
    <t>爆破</t>
  </si>
  <si>
    <t>跳跃</t>
  </si>
  <si>
    <t>计算机使用 Ω</t>
  </si>
  <si>
    <t>攀爬</t>
  </si>
  <si>
    <t>科学①</t>
  </si>
  <si>
    <t>生存①</t>
  </si>
  <si>
    <t>科学②</t>
  </si>
  <si>
    <t>生存②</t>
  </si>
  <si>
    <t>科学③</t>
  </si>
  <si>
    <t>游泳</t>
  </si>
  <si>
    <t>科学④</t>
  </si>
  <si>
    <t>精神分析</t>
  </si>
  <si>
    <t>科学⑤</t>
  </si>
  <si>
    <t>医学</t>
  </si>
  <si>
    <t>学识：</t>
  </si>
  <si>
    <t>急救</t>
  </si>
  <si>
    <t>技艺①</t>
  </si>
  <si>
    <t>驾驶①</t>
  </si>
  <si>
    <t>技艺②</t>
  </si>
  <si>
    <t>驾驶②</t>
  </si>
  <si>
    <t>年代</t>
  </si>
  <si>
    <t>国际重大历史进程</t>
  </si>
  <si>
    <t>中国重大历史进程</t>
  </si>
  <si>
    <t>技艺③</t>
  </si>
  <si>
    <t>汽车驾驶</t>
  </si>
  <si>
    <t>技艺④</t>
  </si>
  <si>
    <t>骑术</t>
  </si>
  <si>
    <t>技艺⑤</t>
  </si>
  <si>
    <t>动物驯养</t>
  </si>
  <si>
    <t>母语</t>
  </si>
  <si>
    <t>潜水</t>
  </si>
  <si>
    <t>新闻</t>
  </si>
  <si>
    <t>外语①</t>
  </si>
  <si>
    <t>读唇</t>
  </si>
  <si>
    <t>外语②</t>
  </si>
  <si>
    <t>催眠</t>
  </si>
  <si>
    <t>外语③</t>
  </si>
  <si>
    <t>自定义①</t>
  </si>
  <si>
    <t xml:space="preserve">外语④ </t>
  </si>
  <si>
    <t>自定义②</t>
  </si>
  <si>
    <t>外语⑤</t>
  </si>
  <si>
    <t>炮术</t>
  </si>
  <si>
    <t>闪避</t>
  </si>
  <si>
    <t>投掷</t>
  </si>
  <si>
    <t>格斗:斗殴</t>
  </si>
  <si>
    <t>格斗：</t>
  </si>
  <si>
    <t>斗殴</t>
  </si>
  <si>
    <t>射击：</t>
  </si>
  <si>
    <t>手枪</t>
  </si>
  <si>
    <t>格斗①</t>
  </si>
  <si>
    <t>射击①</t>
  </si>
  <si>
    <t>格斗②</t>
  </si>
  <si>
    <t>射击②</t>
  </si>
  <si>
    <t>格斗③</t>
  </si>
  <si>
    <t>射击③</t>
  </si>
  <si>
    <t>格斗④</t>
  </si>
  <si>
    <t>射击④</t>
  </si>
  <si>
    <t>格斗⑤</t>
  </si>
  <si>
    <t>射击⑤</t>
  </si>
  <si>
    <t>武器表</t>
  </si>
  <si>
    <t>格斗</t>
  </si>
  <si>
    <t>武器名称</t>
  </si>
  <si>
    <t>类型</t>
  </si>
  <si>
    <t>使用技能</t>
  </si>
  <si>
    <t>成功率</t>
  </si>
  <si>
    <t>伤害</t>
  </si>
  <si>
    <t>基础射程</t>
  </si>
  <si>
    <t>贯穿</t>
  </si>
  <si>
    <t>次数</t>
  </si>
  <si>
    <t>装弹量</t>
  </si>
  <si>
    <t>故障值</t>
  </si>
  <si>
    <t>参考价值</t>
  </si>
  <si>
    <t>加值
DB</t>
  </si>
  <si>
    <t>无</t>
  </si>
  <si>
    <t>肉搏</t>
  </si>
  <si>
    <t>1D3+DB</t>
  </si>
  <si>
    <t>×</t>
  </si>
  <si>
    <t>杂项</t>
  </si>
  <si>
    <t>体格
Build</t>
  </si>
  <si>
    <t>闪避
Dodge</t>
  </si>
  <si>
    <t>注意：填写进表格内的物品才有可能使用于模组中，请仔细填写</t>
  </si>
  <si>
    <t>请根据【属性简要】和【角色职业】填写【长相】和【穿着】</t>
  </si>
  <si>
    <t>资产</t>
  </si>
  <si>
    <t>背景故事</t>
  </si>
  <si>
    <t>关键</t>
  </si>
  <si>
    <t>生活水平</t>
  </si>
  <si>
    <t>消费水平</t>
  </si>
  <si>
    <t>其他资产</t>
  </si>
  <si>
    <t>当前现金($)</t>
  </si>
  <si>
    <t>单位</t>
  </si>
  <si>
    <t>形象描述</t>
  </si>
  <si>
    <t>腐化</t>
  </si>
  <si>
    <t>穿着</t>
  </si>
  <si>
    <t>思想与信念</t>
  </si>
  <si>
    <t>信条</t>
  </si>
  <si>
    <t>剖析</t>
  </si>
  <si>
    <t>重要之人</t>
  </si>
  <si>
    <t>人名</t>
  </si>
  <si>
    <t>缘由</t>
  </si>
  <si>
    <t>意义非凡之地</t>
  </si>
  <si>
    <t>地区</t>
  </si>
  <si>
    <t>武器装备（类型 | 名称 | 价值）</t>
  </si>
  <si>
    <t>宝贵之物</t>
  </si>
  <si>
    <t>物品</t>
  </si>
  <si>
    <t>特质</t>
  </si>
  <si>
    <t>概括</t>
  </si>
  <si>
    <t>伤口和疤痕</t>
  </si>
  <si>
    <t>轻伤</t>
  </si>
  <si>
    <t>重伤</t>
  </si>
  <si>
    <t>弹药类型（选择/自填）</t>
  </si>
  <si>
    <t>弹药数量</t>
  </si>
  <si>
    <t>储存方式</t>
  </si>
  <si>
    <t>价值</t>
  </si>
  <si>
    <t>恐惧症和躁狂症</t>
  </si>
  <si>
    <t>恐惧</t>
  </si>
  <si>
    <t>躁狂</t>
  </si>
  <si>
    <t>诞辰</t>
  </si>
  <si>
    <t>发明/发现/概念</t>
  </si>
  <si>
    <t>显示类型：</t>
  </si>
  <si>
    <t>已出现的</t>
  </si>
  <si>
    <t>随身物品（使用右侧栏位需要背包）</t>
  </si>
  <si>
    <t>状态</t>
  </si>
  <si>
    <t>部位</t>
  </si>
  <si>
    <t>物品名称</t>
  </si>
  <si>
    <t>背包格↓</t>
  </si>
  <si>
    <t>隐藏</t>
  </si>
  <si>
    <t>腰</t>
  </si>
  <si>
    <t>衣兜</t>
  </si>
  <si>
    <t>显露</t>
  </si>
  <si>
    <t>右手</t>
  </si>
  <si>
    <t>快速参考规则</t>
  </si>
  <si>
    <t>自定义子技能</t>
  </si>
  <si>
    <t>自定义经历包</t>
  </si>
  <si>
    <t>技能和属性检定
成功等级</t>
  </si>
  <si>
    <t>大失败</t>
  </si>
  <si>
    <t>失败</t>
  </si>
  <si>
    <t>成功</t>
  </si>
  <si>
    <t>困难</t>
  </si>
  <si>
    <t>极难</t>
  </si>
  <si>
    <t>大成功</t>
  </si>
  <si>
    <t>技艺技能名称</t>
  </si>
  <si>
    <t>基础值</t>
  </si>
  <si>
    <t>经历包名称</t>
  </si>
  <si>
    <t>报社/报纸</t>
  </si>
  <si>
    <t>博物馆/大学</t>
  </si>
  <si>
    <t>通讯社</t>
  </si>
  <si>
    <t>技能成功率≥50为100
否则为96-100</t>
  </si>
  <si>
    <t>&gt;技能</t>
  </si>
  <si>
    <t>≤技能</t>
  </si>
  <si>
    <t>1/2值</t>
  </si>
  <si>
    <t>1/5值</t>
  </si>
  <si>
    <t>打开下拉栏查看</t>
  </si>
  <si>
    <t>格斗技能名称</t>
  </si>
  <si>
    <t>san值减少</t>
  </si>
  <si>
    <t>技能增长</t>
  </si>
  <si>
    <t>TXT表复制栏↓</t>
  </si>
  <si>
    <t>孤注一掷：使用孤注一掷来重投上一次检定结果，需要合理的解释重掷原因，战斗和理智检定不能执行孤注一掷。</t>
  </si>
  <si>
    <t>射击技能名称</t>
  </si>
  <si>
    <t>备注</t>
  </si>
  <si>
    <t>[急救]回复1点体力</t>
  </si>
  <si>
    <t>[医学]回复1D3点体力</t>
  </si>
  <si>
    <t>一次受到最大生命值一半的伤害</t>
  </si>
  <si>
    <t>驾驶技能名称</t>
  </si>
  <si>
    <t>昏迷</t>
  </si>
  <si>
    <t>HP=0但并未[重伤]</t>
  </si>
  <si>
    <t>濒死</t>
  </si>
  <si>
    <t>HP=0且受到[重伤]。需要用[急救]摆脱濒死状态，并用[医学]进行后续治疗。</t>
  </si>
  <si>
    <t>科学技能名称</t>
  </si>
  <si>
    <t xml:space="preserve"> 穿着打扮</t>
  </si>
  <si>
    <t>备用衣物（置于容器中）</t>
  </si>
  <si>
    <t>如果你发现了难以理解的翻译、不完整的显示、或是其他各种问题请联系作者（在更新说明页有联系方式）</t>
  </si>
  <si>
    <t>无重伤下每天自然回复1点体力</t>
  </si>
  <si>
    <t>重伤时每周做1次恢复检定</t>
  </si>
  <si>
    <t>自定义年龄补正</t>
  </si>
  <si>
    <t>项</t>
  </si>
  <si>
    <t>具有载具的调查员，参照载具表后，方可填写下表</t>
  </si>
  <si>
    <t>具有房产的调查员，参照物价表后，方可填写下表</t>
  </si>
  <si>
    <t>理智参考规则</t>
  </si>
  <si>
    <t>年龄补正</t>
  </si>
  <si>
    <t>头</t>
  </si>
  <si>
    <t>载具</t>
  </si>
  <si>
    <t>如果在需要SC的时候</t>
  </si>
  <si>
    <t>眼</t>
  </si>
  <si>
    <t>载具名称(选/填)</t>
  </si>
  <si>
    <t>理智值≥50为100
否则为96-100</t>
  </si>
  <si>
    <t>＞当前san值</t>
  </si>
  <si>
    <t>≤当前san值</t>
  </si>
  <si>
    <t>自定义状态</t>
  </si>
  <si>
    <t>嘴</t>
  </si>
  <si>
    <t>经济车</t>
  </si>
  <si>
    <t>载具体格</t>
  </si>
  <si>
    <t>驾驶人数</t>
  </si>
  <si>
    <t>护甲</t>
  </si>
  <si>
    <t>标准车</t>
  </si>
  <si>
    <t>状态名称(例:生病、精神分裂)</t>
  </si>
  <si>
    <t>内</t>
  </si>
  <si>
    <t>MOV</t>
  </si>
  <si>
    <t>参考值</t>
  </si>
  <si>
    <t>造成的结果</t>
  </si>
  <si>
    <t>减少可能出现的最大数值</t>
  </si>
  <si>
    <t>失败者减面数
较多的san值</t>
  </si>
  <si>
    <t>成功者减面数
较少的san值</t>
  </si>
  <si>
    <t>领</t>
  </si>
  <si>
    <t>陆行</t>
  </si>
  <si>
    <t>航行</t>
  </si>
  <si>
    <t>耐久值</t>
  </si>
  <si>
    <t>载具伤害</t>
  </si>
  <si>
    <t>乘客人数</t>
  </si>
  <si>
    <t>重量</t>
  </si>
  <si>
    <t>身体状态</t>
  </si>
  <si>
    <t>精神状态</t>
  </si>
  <si>
    <t>外</t>
  </si>
  <si>
    <t>飞行</t>
  </si>
  <si>
    <t>潜航</t>
  </si>
  <si>
    <t>D10</t>
  </si>
  <si>
    <t>临时疯狂</t>
  </si>
  <si>
    <t>一次损失5点以上的san值，并且智力检定成功</t>
  </si>
  <si>
    <t>胸</t>
  </si>
  <si>
    <t>改装</t>
  </si>
  <si>
    <t>MOV修正</t>
  </si>
  <si>
    <t>体格修正</t>
  </si>
  <si>
    <t>护甲修正</t>
  </si>
  <si>
    <t>不定性疯狂</t>
  </si>
  <si>
    <t>一天内损失现有san值的五分之一</t>
  </si>
  <si>
    <t>载具武器</t>
  </si>
  <si>
    <t>永久疯狂</t>
  </si>
  <si>
    <t>san值为0</t>
  </si>
  <si>
    <t>手</t>
  </si>
  <si>
    <t>穿刺</t>
  </si>
  <si>
    <t>射程</t>
  </si>
  <si>
    <t>临时性疯狂</t>
  </si>
  <si>
    <t>出目：</t>
  </si>
  <si>
    <t>裤</t>
  </si>
  <si>
    <t>1D10症状
持续时间1D10轮
与1d10小时的潜在疯狂</t>
  </si>
  <si>
    <t>1D10症状
持续时间1D10轮
之后掉san就进入疯狂</t>
  </si>
  <si>
    <t>这张卡将交给
KP永久控制</t>
  </si>
  <si>
    <t>疯狂发作  即时症状</t>
  </si>
  <si>
    <t>鞋</t>
  </si>
  <si>
    <t>其他</t>
  </si>
  <si>
    <t>/</t>
  </si>
  <si>
    <t>非随身物品</t>
  </si>
  <si>
    <t>实际价值(原+改)</t>
  </si>
  <si>
    <t>自定义货币</t>
  </si>
  <si>
    <t>（可选）精神固化：当现有 SAN值 低于 [克苏鲁神话] 时，san值 损失永久减半</t>
  </si>
  <si>
    <t>货币名称</t>
  </si>
  <si>
    <t>与美元的汇率</t>
  </si>
  <si>
    <t>不动产</t>
  </si>
  <si>
    <t>描述</t>
  </si>
  <si>
    <t>座驾</t>
  </si>
  <si>
    <t>贵重物</t>
  </si>
  <si>
    <t>未携带</t>
  </si>
  <si>
    <t>房产</t>
  </si>
  <si>
    <t>房产名称</t>
  </si>
  <si>
    <t>房屋类型</t>
  </si>
  <si>
    <t>房产位置</t>
  </si>
  <si>
    <t>普通旅馆</t>
  </si>
  <si>
    <t>国家</t>
  </si>
  <si>
    <t>省份/州</t>
  </si>
  <si>
    <t>市区</t>
  </si>
  <si>
    <t>街道号码</t>
  </si>
  <si>
    <t>房产类型</t>
  </si>
  <si>
    <t>参考价值（20s/现）</t>
  </si>
  <si>
    <t>房价/租金</t>
  </si>
  <si>
    <t>租用</t>
  </si>
  <si>
    <t>层数</t>
  </si>
  <si>
    <t>层均面积</t>
  </si>
  <si>
    <t>地产权</t>
  </si>
  <si>
    <t>房产证</t>
  </si>
  <si>
    <t>联系设备</t>
  </si>
  <si>
    <t>雇佣人员</t>
  </si>
  <si>
    <t>有故事的调查员经历包：</t>
  </si>
  <si>
    <t>名片</t>
  </si>
  <si>
    <t>组织名称</t>
  </si>
  <si>
    <t>组织类型</t>
  </si>
  <si>
    <t>联系方式</t>
  </si>
  <si>
    <t>官方机构</t>
  </si>
  <si>
    <t>电话号码</t>
  </si>
  <si>
    <t>个人信息</t>
  </si>
  <si>
    <t>电报码</t>
  </si>
  <si>
    <t>职位</t>
  </si>
  <si>
    <t>传真号码</t>
  </si>
  <si>
    <t>领域</t>
  </si>
  <si>
    <t>电子邮件</t>
  </si>
  <si>
    <t>组织信息</t>
  </si>
  <si>
    <t>职位
责任</t>
  </si>
  <si>
    <t>组织
目标</t>
  </si>
  <si>
    <t>总部位置</t>
  </si>
  <si>
    <t>关系网</t>
  </si>
  <si>
    <t>名字</t>
  </si>
  <si>
    <t>公开程度</t>
  </si>
  <si>
    <t>加入方式</t>
  </si>
  <si>
    <t>公开</t>
  </si>
  <si>
    <t>自定义职业属性</t>
  </si>
  <si>
    <t>移动力计算</t>
  </si>
  <si>
    <t>自定义职业</t>
  </si>
  <si>
    <t>护甲表减值
是否开启</t>
  </si>
  <si>
    <t>护甲表减值</t>
  </si>
  <si>
    <t>年龄减值</t>
  </si>
  <si>
    <t>力量-体型</t>
  </si>
  <si>
    <t>技能雷达表</t>
  </si>
  <si>
    <t>值</t>
  </si>
  <si>
    <t>总数</t>
  </si>
  <si>
    <t>百分比</t>
  </si>
  <si>
    <t>伤害加值与体格</t>
  </si>
  <si>
    <t>属性名称</t>
  </si>
  <si>
    <t>shiyong</t>
  </si>
  <si>
    <t>使用倍数</t>
  </si>
  <si>
    <t>计算</t>
  </si>
  <si>
    <t>敏捷-体型</t>
  </si>
  <si>
    <t>调查</t>
  </si>
  <si>
    <t>交涉</t>
  </si>
  <si>
    <t>战斗</t>
  </si>
  <si>
    <t>特技</t>
  </si>
  <si>
    <t>支援</t>
  </si>
  <si>
    <t>学问</t>
  </si>
  <si>
    <t>力量+体型</t>
  </si>
  <si>
    <t>←请选择类型</t>
  </si>
  <si>
    <t>格斗1</t>
  </si>
  <si>
    <t>格斗2</t>
  </si>
  <si>
    <t>格斗3</t>
  </si>
  <si>
    <t>格斗4</t>
  </si>
  <si>
    <t>格斗5</t>
  </si>
  <si>
    <t>射击1</t>
  </si>
  <si>
    <t>射击2</t>
  </si>
  <si>
    <t>射击3</t>
  </si>
  <si>
    <t>射击4</t>
  </si>
  <si>
    <t>射击5</t>
  </si>
  <si>
    <t>没有数值</t>
  </si>
  <si>
    <t>最大值</t>
  </si>
  <si>
    <t>最终出目</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</si>
  <si>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</si>
  <si>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</si>
  <si>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</si>
  <si>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</si>
  <si>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</si>
  <si>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</si>
  <si>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</si>
  <si>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</si>
  <si>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</si>
  <si>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</si>
  <si>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</si>
  <si>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</si>
  <si>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</si>
  <si>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</si>
  <si>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</si>
  <si>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教育+其他属性点数中的最大值（官方）</t>
  </si>
  <si>
    <t>教育+其他属性点数中的所有值</t>
  </si>
  <si>
    <t>属性雷达表</t>
  </si>
  <si>
    <t>基础属性</t>
  </si>
  <si>
    <t>出目</t>
  </si>
  <si>
    <t>所有属性的点数相加</t>
  </si>
  <si>
    <t>教育
EDU</t>
  </si>
  <si>
    <t>格斗射击基础成功率</t>
  </si>
  <si>
    <t>熟练下拉</t>
  </si>
  <si>
    <t>自定义技能剩余计算</t>
  </si>
  <si>
    <t>国家数</t>
  </si>
  <si>
    <t>第一行政区</t>
  </si>
  <si>
    <t>随身物品下拉表</t>
  </si>
  <si>
    <t>——亚洲——</t>
  </si>
  <si>
    <t>san值计算</t>
  </si>
  <si>
    <t>颅————</t>
  </si>
  <si>
    <r>
      <rPr>
        <sz val="13.5"/>
        <color rgb="FF05073B"/>
        <rFont val="宋体"/>
        <family val="3"/>
        <charset val="134"/>
      </rPr>
      <t>*东亚</t>
    </r>
    <r>
      <rPr>
        <sz val="13.5"/>
        <color rgb="FF05073B"/>
        <rFont val="Segoe UI"/>
        <family val="2"/>
      </rPr>
      <t>*</t>
    </r>
  </si>
  <si>
    <t>头部</t>
  </si>
  <si>
    <r>
      <rPr>
        <sz val="11.25"/>
        <color rgb="FF05073B"/>
        <rFont val="PingFang-SC-Regular"/>
        <family val="1"/>
      </rPr>
      <t>中国</t>
    </r>
  </si>
  <si>
    <t>北京市*</t>
  </si>
  <si>
    <t>天津市</t>
  </si>
  <si>
    <t>河北省</t>
  </si>
  <si>
    <t>山西省</t>
  </si>
  <si>
    <t>内蒙古自治区</t>
  </si>
  <si>
    <t>辽宁省</t>
  </si>
  <si>
    <t>吉林省</t>
  </si>
  <si>
    <t>黑龙江省</t>
  </si>
  <si>
    <t>上海市</t>
  </si>
  <si>
    <t>江苏省</t>
  </si>
  <si>
    <t>浙江省</t>
  </si>
  <si>
    <t>安徽省</t>
  </si>
  <si>
    <t>福建省</t>
  </si>
  <si>
    <t>江西省</t>
  </si>
  <si>
    <t>山东省</t>
  </si>
  <si>
    <t>河南省</t>
  </si>
  <si>
    <t>湖北省</t>
  </si>
  <si>
    <t>湖南省</t>
  </si>
  <si>
    <t>广东省</t>
  </si>
  <si>
    <t>广西壮族自治区</t>
  </si>
  <si>
    <t>海南省</t>
  </si>
  <si>
    <t>重庆市</t>
  </si>
  <si>
    <t>四川省</t>
  </si>
  <si>
    <t>贵州省</t>
  </si>
  <si>
    <t>云南省</t>
  </si>
  <si>
    <t>西藏自治区</t>
  </si>
  <si>
    <t>陕西省</t>
  </si>
  <si>
    <t>甘肃省</t>
  </si>
  <si>
    <t>青海省</t>
  </si>
  <si>
    <t>宁夏回族自治区</t>
  </si>
  <si>
    <t>新疆维吾尔自治区</t>
  </si>
  <si>
    <t>台湾省</t>
  </si>
  <si>
    <t>香港特别行政区</t>
  </si>
  <si>
    <t>澳门特别行政区</t>
  </si>
  <si>
    <t>可选规则：有故事的调查员</t>
  </si>
  <si>
    <t>头发</t>
  </si>
  <si>
    <t>自定义</t>
  </si>
  <si>
    <r>
      <rPr>
        <sz val="11.25"/>
        <color rgb="FF05073B"/>
        <rFont val="PingFang-SC-Regular"/>
        <family val="1"/>
      </rPr>
      <t>日本</t>
    </r>
  </si>
  <si>
    <t>东京都</t>
  </si>
  <si>
    <t>北海道</t>
  </si>
  <si>
    <t>大阪府</t>
  </si>
  <si>
    <t>京都府*</t>
  </si>
  <si>
    <t>青森县</t>
  </si>
  <si>
    <t>岩手县</t>
  </si>
  <si>
    <t>宫城县</t>
  </si>
  <si>
    <t>秋田县</t>
  </si>
  <si>
    <t>山形县</t>
  </si>
  <si>
    <t>福岛县</t>
  </si>
  <si>
    <t>茨城县</t>
  </si>
  <si>
    <t>栃木县</t>
  </si>
  <si>
    <t>群马县</t>
  </si>
  <si>
    <t>埼玉县</t>
  </si>
  <si>
    <t>千叶县</t>
  </si>
  <si>
    <t>神奈川县</t>
  </si>
  <si>
    <t>新潟县</t>
  </si>
  <si>
    <t>富山县</t>
  </si>
  <si>
    <t>石川县</t>
  </si>
  <si>
    <t>福井县</t>
  </si>
  <si>
    <t>山梨县</t>
  </si>
  <si>
    <t>长野县</t>
  </si>
  <si>
    <t>岐阜县</t>
  </si>
  <si>
    <t>静冈县</t>
  </si>
  <si>
    <t>爱知县</t>
  </si>
  <si>
    <t>三重县</t>
  </si>
  <si>
    <t>滋贺县</t>
  </si>
  <si>
    <t>兵库县</t>
  </si>
  <si>
    <t>奈良县</t>
  </si>
  <si>
    <t>和歌山县</t>
  </si>
  <si>
    <t>鸟取县</t>
  </si>
  <si>
    <t>岛根县</t>
  </si>
  <si>
    <t>冈山县</t>
  </si>
  <si>
    <t>山口县</t>
  </si>
  <si>
    <t>徳岛县</t>
  </si>
  <si>
    <t>香川县</t>
  </si>
  <si>
    <t>爱媛县</t>
  </si>
  <si>
    <t>高知县</t>
  </si>
  <si>
    <t>福冈县</t>
  </si>
  <si>
    <t>佐贺县</t>
  </si>
  <si>
    <t>长崎县</t>
  </si>
  <si>
    <t>熊本县</t>
  </si>
  <si>
    <t>大分县</t>
  </si>
  <si>
    <t>宫崎县</t>
  </si>
  <si>
    <t>鹿儿岛县</t>
  </si>
  <si>
    <t>冲绳县</t>
  </si>
  <si>
    <t>广岛县</t>
  </si>
  <si>
    <t>名称</t>
  </si>
  <si>
    <t>san</t>
  </si>
  <si>
    <t>耳朵</t>
  </si>
  <si>
    <r>
      <rPr>
        <sz val="11.25"/>
        <color rgb="FF05073B"/>
        <rFont val="PingFang-SC-Regular"/>
        <family val="1"/>
      </rPr>
      <t>韩国</t>
    </r>
  </si>
  <si>
    <t>首尔*</t>
  </si>
  <si>
    <t>釜山</t>
  </si>
  <si>
    <t>大邱</t>
  </si>
  <si>
    <t>仁川</t>
  </si>
  <si>
    <t>光州</t>
  </si>
  <si>
    <t>大田</t>
  </si>
  <si>
    <t>蔚山</t>
  </si>
  <si>
    <t>世宗</t>
  </si>
  <si>
    <t>京畿道</t>
  </si>
  <si>
    <t>江原道</t>
  </si>
  <si>
    <t>忠北</t>
  </si>
  <si>
    <t>忠南</t>
  </si>
  <si>
    <t>全北</t>
  </si>
  <si>
    <t>全南</t>
  </si>
  <si>
    <t>庆北</t>
  </si>
  <si>
    <t>庆南</t>
  </si>
  <si>
    <t>战场经历包</t>
  </si>
  <si>
    <t>1d10+5</t>
  </si>
  <si>
    <t>对目击尸体和重伤员造成的理智损失免疫;根据战争的年份和模组发生时的年份调整年龄；背景增加一项：战争相关的伤疤 / 疤痕或恐惧症 / 躁狂症</t>
  </si>
  <si>
    <t>面部</t>
  </si>
  <si>
    <t>死亡</t>
  </si>
  <si>
    <t>任意</t>
  </si>
  <si>
    <t>特定时间</t>
  </si>
  <si>
    <r>
      <rPr>
        <sz val="11.25"/>
        <color rgb="FF05073B"/>
        <rFont val="PingFang-SC-Regular"/>
        <family val="1"/>
      </rPr>
      <t>朝鲜</t>
    </r>
  </si>
  <si>
    <t>平壤*</t>
  </si>
  <si>
    <t>平安南道</t>
  </si>
  <si>
    <t>平安北道</t>
  </si>
  <si>
    <t>慈江道</t>
  </si>
  <si>
    <t>两江道</t>
  </si>
  <si>
    <t>咸镜南道</t>
  </si>
  <si>
    <t>咸镜北道</t>
  </si>
  <si>
    <t>黄海北道</t>
  </si>
  <si>
    <t>黄海南道</t>
  </si>
  <si>
    <t>警务经历包</t>
  </si>
  <si>
    <t>1d10</t>
  </si>
  <si>
    <t xml:space="preserve">对目击尸体造成的理智损失免疫;初始年龄不能低于 25 岁;背景增加一项：警察工作相关的伤疤 / 疤痕或恐惧症 / 躁狂症；
</t>
  </si>
  <si>
    <t>颈部</t>
  </si>
  <si>
    <t>已用总数</t>
  </si>
  <si>
    <t>是否停用</t>
  </si>
  <si>
    <r>
      <rPr>
        <sz val="11.25"/>
        <color rgb="FF05073B"/>
        <rFont val="PingFang-SC-Regular"/>
        <family val="1"/>
      </rPr>
      <t>蒙古</t>
    </r>
  </si>
  <si>
    <t>乌兰巴托市*</t>
  </si>
  <si>
    <t>后杭爱省</t>
  </si>
  <si>
    <t>巴彦乌勒盖省</t>
  </si>
  <si>
    <t>巴彦洪格尔省</t>
  </si>
  <si>
    <t>布尔干省</t>
  </si>
  <si>
    <t>戈壁阿尔泰省</t>
  </si>
  <si>
    <t>东戈壁省</t>
  </si>
  <si>
    <t>东方省</t>
  </si>
  <si>
    <t>中戈壁省</t>
  </si>
  <si>
    <t>扎布汗省</t>
  </si>
  <si>
    <t>前杭爱省</t>
  </si>
  <si>
    <t>南戈壁省</t>
  </si>
  <si>
    <t>苏赫巴托尔省</t>
  </si>
  <si>
    <t>色楞格省</t>
  </si>
  <si>
    <t>中央省</t>
  </si>
  <si>
    <t>乌布苏省</t>
  </si>
  <si>
    <t>科布多省</t>
  </si>
  <si>
    <t>库苏古尔省</t>
  </si>
  <si>
    <t>肯特省</t>
  </si>
  <si>
    <t>鄂尔浑省</t>
  </si>
  <si>
    <t>达尔汗乌勒省</t>
  </si>
  <si>
    <t>戈壁苏木贝尔省</t>
  </si>
  <si>
    <t>罪犯经历包</t>
  </si>
  <si>
    <t>对目击尸体、目击或亲自谋杀、目击对人类的暴力残害造成的理智损失免疫;初始年龄不能低于 20 岁；背景增加一项：犯罪历史相关的伤疤 / 疤痕或恐惧症 / 躁狂症</t>
  </si>
  <si>
    <t>其他(头)</t>
  </si>
  <si>
    <t>医务经历包</t>
  </si>
  <si>
    <t>对目击尸体和重伤员造成的理智损失免疫;初始年龄不能低于 30 岁；背景增加一项：个人背景相关的伤疤 / 疤痕或恐惧症 / 躁狂症；</t>
  </si>
  <si>
    <t>躯————</t>
  </si>
  <si>
    <t>剩余</t>
  </si>
  <si>
    <t>目前值</t>
  </si>
  <si>
    <r>
      <rPr>
        <sz val="13.5"/>
        <color rgb="FF05073B"/>
        <rFont val="宋体"/>
        <family val="3"/>
        <charset val="134"/>
      </rPr>
      <t>*东南亚</t>
    </r>
    <r>
      <rPr>
        <sz val="13.5"/>
        <color rgb="FF05073B"/>
        <rFont val="Segoe UI"/>
        <family val="2"/>
      </rPr>
      <t>*</t>
    </r>
  </si>
  <si>
    <t>神话经历包</t>
  </si>
  <si>
    <t>如果是"相信者"，减少和克苏鲁神话相同的san值</t>
  </si>
  <si>
    <t>按 KP 允许的数值增加「克苏鲁神话」技能;背景增加两项：与神话经历相关的伤疤 /疤痕、恐惧症 / 躁狂症、遭遇的怪异存在</t>
  </si>
  <si>
    <t>肩</t>
  </si>
  <si>
    <r>
      <rPr>
        <sz val="11.25"/>
        <color rgb="FF05073B"/>
        <rFont val="PingFang-SC-Regular"/>
        <family val="1"/>
      </rPr>
      <t>越南</t>
    </r>
  </si>
  <si>
    <t>河内市*</t>
  </si>
  <si>
    <t>胡志明市</t>
  </si>
  <si>
    <t>岘港市</t>
  </si>
  <si>
    <t>海防市</t>
  </si>
  <si>
    <t>芹苴市</t>
  </si>
  <si>
    <t>安江省</t>
  </si>
  <si>
    <t>北江省</t>
  </si>
  <si>
    <t>北件省</t>
  </si>
  <si>
    <t>北宁省</t>
  </si>
  <si>
    <t>薄辽省</t>
  </si>
  <si>
    <t>北𣴓省</t>
  </si>
  <si>
    <t>巴地-头顿省</t>
  </si>
  <si>
    <t>槟椥省</t>
  </si>
  <si>
    <t>平定省</t>
  </si>
  <si>
    <t>平阳省</t>
  </si>
  <si>
    <t>平福省</t>
  </si>
  <si>
    <t>平顺省</t>
  </si>
  <si>
    <t>富安省</t>
  </si>
  <si>
    <t>富寿省</t>
  </si>
  <si>
    <t>高平省</t>
  </si>
  <si>
    <t>广安省</t>
  </si>
  <si>
    <t>广宁省</t>
  </si>
  <si>
    <t>广平省</t>
  </si>
  <si>
    <t>广南省</t>
  </si>
  <si>
    <t>广义省</t>
  </si>
  <si>
    <t>广治省</t>
  </si>
  <si>
    <t>和平省</t>
  </si>
  <si>
    <t>后江省</t>
  </si>
  <si>
    <t>海阳省</t>
  </si>
  <si>
    <t>河江省</t>
  </si>
  <si>
    <t>河静省</t>
  </si>
  <si>
    <t>河东省</t>
  </si>
  <si>
    <t>河西省</t>
  </si>
  <si>
    <t>兴安省</t>
  </si>
  <si>
    <t>坚江省</t>
  </si>
  <si>
    <t>嘉莱省</t>
  </si>
  <si>
    <t>昆嵩省</t>
  </si>
  <si>
    <t>莱州省</t>
  </si>
  <si>
    <t>林同省</t>
  </si>
  <si>
    <t>谅山省</t>
  </si>
  <si>
    <t>隆安省</t>
  </si>
  <si>
    <t>南定省</t>
  </si>
  <si>
    <t>宁平省</t>
  </si>
  <si>
    <t>宁顺省</t>
  </si>
  <si>
    <t>义安省</t>
  </si>
  <si>
    <t>前江省</t>
  </si>
  <si>
    <t>清化省</t>
  </si>
  <si>
    <t>庆和省</t>
  </si>
  <si>
    <t>山罗省</t>
  </si>
  <si>
    <t>西宁省</t>
  </si>
  <si>
    <t>太平省</t>
  </si>
  <si>
    <t>太原省</t>
  </si>
  <si>
    <t>同奈省</t>
  </si>
  <si>
    <t>同塔省</t>
  </si>
  <si>
    <t>宣光省</t>
  </si>
  <si>
    <t>永福省</t>
  </si>
  <si>
    <t>永隆省</t>
  </si>
  <si>
    <t>安沛省</t>
  </si>
  <si>
    <t>胸前</t>
  </si>
  <si>
    <t xml:space="preserve"> </t>
  </si>
  <si>
    <t>最终显示</t>
  </si>
  <si>
    <t>公元调整</t>
  </si>
  <si>
    <t>未出现的</t>
  </si>
  <si>
    <t>未出现的发明</t>
  </si>
  <si>
    <r>
      <rPr>
        <sz val="11.25"/>
        <color rgb="FF05073B"/>
        <rFont val="PingFang-SC-Regular"/>
        <family val="1"/>
      </rPr>
      <t>老挝</t>
    </r>
  </si>
  <si>
    <t>万象市*</t>
  </si>
  <si>
    <t>波里坎赛省</t>
  </si>
  <si>
    <t>博胶省</t>
  </si>
  <si>
    <t>川圹省</t>
  </si>
  <si>
    <t>甘蒙省</t>
  </si>
  <si>
    <t>华潘省</t>
  </si>
  <si>
    <t>琅勃拉邦省</t>
  </si>
  <si>
    <t>琅南塔省</t>
  </si>
  <si>
    <t>丰沙里省</t>
  </si>
  <si>
    <t>乌多姆赛省</t>
  </si>
  <si>
    <t>沙耶武里省</t>
  </si>
  <si>
    <t>沙湾拿吉省</t>
  </si>
  <si>
    <t>色贡省</t>
  </si>
  <si>
    <t>沙拉湾省</t>
  </si>
  <si>
    <t>赛宋本行政特区</t>
  </si>
  <si>
    <t>万象省</t>
  </si>
  <si>
    <t>占巴塞省</t>
  </si>
  <si>
    <t>背后</t>
  </si>
  <si>
    <t>已出现的发明</t>
  </si>
  <si>
    <r>
      <rPr>
        <sz val="11.25"/>
        <color rgb="FF05073B"/>
        <rFont val="PingFang-SC-Regular"/>
        <family val="1"/>
      </rPr>
      <t>柬埔寨</t>
    </r>
  </si>
  <si>
    <t>金边直辖市*</t>
  </si>
  <si>
    <t>马德望省</t>
  </si>
  <si>
    <t>磅湛省</t>
  </si>
  <si>
    <t>磅清扬省</t>
  </si>
  <si>
    <t>磅士卑省</t>
  </si>
  <si>
    <t>磅同省</t>
  </si>
  <si>
    <t>贡布省</t>
  </si>
  <si>
    <t>干丹省</t>
  </si>
  <si>
    <t>茶胶省</t>
  </si>
  <si>
    <t>柴桢省</t>
  </si>
  <si>
    <t>波萝勉省</t>
  </si>
  <si>
    <t>菩萨省</t>
  </si>
  <si>
    <t>西哈努克省</t>
  </si>
  <si>
    <t>柏威夏省</t>
  </si>
  <si>
    <t>上丁省</t>
  </si>
  <si>
    <t>桔井省</t>
  </si>
  <si>
    <t>腊塔纳基里省</t>
  </si>
  <si>
    <t>蒙多基里省</t>
  </si>
  <si>
    <t>肋</t>
  </si>
  <si>
    <t>经历包剩余点</t>
  </si>
  <si>
    <t>调整出目</t>
  </si>
  <si>
    <t>本年的发明</t>
  </si>
  <si>
    <r>
      <rPr>
        <sz val="11.25"/>
        <color rgb="FF05073B"/>
        <rFont val="PingFang-SC-Regular"/>
        <family val="1"/>
      </rPr>
      <t>泰国</t>
    </r>
  </si>
  <si>
    <t>曼谷直辖市*</t>
  </si>
  <si>
    <t>清迈府</t>
  </si>
  <si>
    <t>清莱府</t>
  </si>
  <si>
    <t>甘烹碧府</t>
  </si>
  <si>
    <t>南邦府</t>
  </si>
  <si>
    <t>南奔府</t>
  </si>
  <si>
    <t>夜丰颂府</t>
  </si>
  <si>
    <t>北榄坡府</t>
  </si>
  <si>
    <t>楠府</t>
  </si>
  <si>
    <t>帕尧府</t>
  </si>
  <si>
    <t>碧差汶府</t>
  </si>
  <si>
    <t>披集府</t>
  </si>
  <si>
    <t>彭世洛府</t>
  </si>
  <si>
    <t>帕府</t>
  </si>
  <si>
    <t>素可泰府</t>
  </si>
  <si>
    <t>达府</t>
  </si>
  <si>
    <t>乌泰他尼府</t>
  </si>
  <si>
    <t>程逸府</t>
  </si>
  <si>
    <t>安纳乍能府</t>
  </si>
  <si>
    <t>武里南府</t>
  </si>
  <si>
    <t>猜也奔府</t>
  </si>
  <si>
    <t>加拉信府</t>
  </si>
  <si>
    <t>孔敬府</t>
  </si>
  <si>
    <t>黎府</t>
  </si>
  <si>
    <t>玛哈沙拉堪府</t>
  </si>
  <si>
    <t>莫拉限府</t>
  </si>
  <si>
    <t>那空帕侬府</t>
  </si>
  <si>
    <t>呵叻府</t>
  </si>
  <si>
    <t>廊磨喃蒲府</t>
  </si>
  <si>
    <t>廊开府</t>
  </si>
  <si>
    <t>横逸府</t>
  </si>
  <si>
    <t>色军府</t>
  </si>
  <si>
    <t>四色菊府</t>
  </si>
  <si>
    <t>素辇府</t>
  </si>
  <si>
    <t>乌汶府</t>
  </si>
  <si>
    <t>乌隆他尼府</t>
  </si>
  <si>
    <t>益梭通府</t>
  </si>
  <si>
    <t>汶干府</t>
  </si>
  <si>
    <t>北柳府</t>
  </si>
  <si>
    <t>尖竹汶府</t>
  </si>
  <si>
    <t>春武里府</t>
  </si>
  <si>
    <t>巴真府</t>
  </si>
  <si>
    <t>罗勇府</t>
  </si>
  <si>
    <t>沙缴府</t>
  </si>
  <si>
    <t>达叻府</t>
  </si>
  <si>
    <t>红统府</t>
  </si>
  <si>
    <t>大城府</t>
  </si>
  <si>
    <t>猜纳府</t>
  </si>
  <si>
    <t>北碧府</t>
  </si>
  <si>
    <t>华富里府</t>
  </si>
  <si>
    <t>那空那育府</t>
  </si>
  <si>
    <t>佛统府</t>
  </si>
  <si>
    <t>暖武里府</t>
  </si>
  <si>
    <t>巴吞他尼府</t>
  </si>
  <si>
    <t>佛丕府</t>
  </si>
  <si>
    <t>班武里府</t>
  </si>
  <si>
    <t>叻丕府</t>
  </si>
  <si>
    <t>北榄府</t>
  </si>
  <si>
    <t>龙仔厝府</t>
  </si>
  <si>
    <t>夜功府</t>
  </si>
  <si>
    <t>北标府</t>
  </si>
  <si>
    <t>信武里府</t>
  </si>
  <si>
    <t>素攀府</t>
  </si>
  <si>
    <t>洛坤府</t>
  </si>
  <si>
    <t>甲米府</t>
  </si>
  <si>
    <t>攀牙府</t>
  </si>
  <si>
    <t>普吉府</t>
  </si>
  <si>
    <t>素叻他尼府</t>
  </si>
  <si>
    <t>拉侬府</t>
  </si>
  <si>
    <t>春蓬府</t>
  </si>
  <si>
    <t>宋卡府</t>
  </si>
  <si>
    <t>沙敦府</t>
  </si>
  <si>
    <t>董里府</t>
  </si>
  <si>
    <t>博达伦府</t>
  </si>
  <si>
    <t>北大年府</t>
  </si>
  <si>
    <t>也拉府</t>
  </si>
  <si>
    <t>陶公府</t>
  </si>
  <si>
    <t>裆</t>
  </si>
  <si>
    <t>查找年份发明</t>
  </si>
  <si>
    <r>
      <rPr>
        <sz val="11.25"/>
        <color rgb="FF05073B"/>
        <rFont val="PingFang-SC-Regular"/>
        <family val="1"/>
      </rPr>
      <t>缅甸</t>
    </r>
  </si>
  <si>
    <t>内比都联邦区*</t>
  </si>
  <si>
    <t>仰光省</t>
  </si>
  <si>
    <t>曼德勒省</t>
  </si>
  <si>
    <t>马圭省</t>
  </si>
  <si>
    <t>实皆省</t>
  </si>
  <si>
    <t>伊洛瓦底省</t>
  </si>
  <si>
    <t>德林达依省</t>
  </si>
  <si>
    <t>勃固省</t>
  </si>
  <si>
    <t>若开邦</t>
  </si>
  <si>
    <t>钦邦</t>
  </si>
  <si>
    <t>掸邦</t>
  </si>
  <si>
    <t>克耶邦</t>
  </si>
  <si>
    <t>克伦邦</t>
  </si>
  <si>
    <t>孟邦</t>
  </si>
  <si>
    <t>克钦邦</t>
  </si>
  <si>
    <t>职业点数</t>
  </si>
  <si>
    <t>检测大小</t>
  </si>
  <si>
    <t>查找发明的时间</t>
  </si>
  <si>
    <t>?</t>
  </si>
  <si>
    <r>
      <rPr>
        <sz val="11.25"/>
        <color rgb="FF05073B"/>
        <rFont val="PingFang-SC-Regular"/>
        <family val="1"/>
      </rPr>
      <t>马来西亚</t>
    </r>
  </si>
  <si>
    <t>吉隆坡联邦直辖区*</t>
  </si>
  <si>
    <t>玻璃市州</t>
  </si>
  <si>
    <t>吉打州</t>
  </si>
  <si>
    <t>吉兰丹州</t>
  </si>
  <si>
    <t>槟城州</t>
  </si>
  <si>
    <t>霹雳州</t>
  </si>
  <si>
    <t>雪兰莪州</t>
  </si>
  <si>
    <t>森美兰州</t>
  </si>
  <si>
    <t>马六甲州</t>
  </si>
  <si>
    <t>柔佛州</t>
  </si>
  <si>
    <t>彭亨州</t>
  </si>
  <si>
    <t>登嘉楼州</t>
  </si>
  <si>
    <t>沙巴州</t>
  </si>
  <si>
    <t>砂拉越州</t>
  </si>
  <si>
    <t>布城联邦直辖区</t>
  </si>
  <si>
    <t>纳闽联邦直辖区</t>
  </si>
  <si>
    <t>胯</t>
  </si>
  <si>
    <t>研发中...</t>
  </si>
  <si>
    <r>
      <rPr>
        <sz val="11.25"/>
        <color rgb="FF05073B"/>
        <rFont val="PingFang-SC-Regular"/>
        <family val="1"/>
      </rPr>
      <t>新加坡</t>
    </r>
  </si>
  <si>
    <t>新加坡市</t>
  </si>
  <si>
    <t>其他(躯)</t>
  </si>
  <si>
    <r>
      <rPr>
        <sz val="11.25"/>
        <color rgb="FF05073B"/>
        <rFont val="PingFang-SC-Regular"/>
        <family val="1"/>
      </rPr>
      <t>印度尼西亚</t>
    </r>
  </si>
  <si>
    <t>雅加达首都特区*</t>
  </si>
  <si>
    <t>日惹特区</t>
  </si>
  <si>
    <t>泗水（苏腊巴亚）市</t>
  </si>
  <si>
    <t>棉兰市</t>
  </si>
  <si>
    <t>登巴萨市</t>
  </si>
  <si>
    <t>万隆市</t>
  </si>
  <si>
    <t>巴厘省</t>
  </si>
  <si>
    <t>西爪哇省</t>
  </si>
  <si>
    <t>中爪哇省</t>
  </si>
  <si>
    <t>东爪哇省</t>
  </si>
  <si>
    <t>北苏门答腊省</t>
  </si>
  <si>
    <t>南苏门答腊省</t>
  </si>
  <si>
    <t>楠榜省</t>
  </si>
  <si>
    <t>邦加-勿里洞省</t>
  </si>
  <si>
    <t>明古鲁省</t>
  </si>
  <si>
    <t>廖内省</t>
  </si>
  <si>
    <t>廖内群岛省</t>
  </si>
  <si>
    <t>占碑省</t>
  </si>
  <si>
    <t>朋古鲁省</t>
  </si>
  <si>
    <t>南榜省</t>
  </si>
  <si>
    <t>巨港（巴邻旁）市</t>
  </si>
  <si>
    <t>西苏门答腊省</t>
  </si>
  <si>
    <t>西加里曼丹省</t>
  </si>
  <si>
    <t>中加里曼丹省</t>
  </si>
  <si>
    <t>南加里曼丹省</t>
  </si>
  <si>
    <t>东加里曼丹省</t>
  </si>
  <si>
    <t>北加里曼丹省</t>
  </si>
  <si>
    <t>马鲁古省</t>
  </si>
  <si>
    <t>北马鲁古省</t>
  </si>
  <si>
    <t>中马鲁古省</t>
  </si>
  <si>
    <t>哈马黑拉省</t>
  </si>
  <si>
    <t>东南苏拉威西省</t>
  </si>
  <si>
    <t>南苏拉威西省</t>
  </si>
  <si>
    <t>中苏拉威西省</t>
  </si>
  <si>
    <t>西苏拉威西省</t>
  </si>
  <si>
    <t>哥伦打洛省</t>
  </si>
  <si>
    <t>戈龙塔洛省</t>
  </si>
  <si>
    <t>北苏拉威西省</t>
  </si>
  <si>
    <t>巴厘岛省</t>
  </si>
  <si>
    <t>努沙登加拉西省（西努沙登加拉省）</t>
  </si>
  <si>
    <t>努沙登加拉东省（东努沙登加拉省）</t>
  </si>
  <si>
    <t>服————</t>
  </si>
  <si>
    <t>年份</t>
  </si>
  <si>
    <t>国际重大时代标志</t>
  </si>
  <si>
    <t>中国重大时代标志</t>
  </si>
  <si>
    <t>重大事件</t>
  </si>
  <si>
    <t>名人</t>
  </si>
  <si>
    <t>本年发明</t>
  </si>
  <si>
    <r>
      <rPr>
        <sz val="11.25"/>
        <color rgb="FF05073B"/>
        <rFont val="PingFang-SC-Regular"/>
        <family val="1"/>
      </rPr>
      <t>菲律宾</t>
    </r>
  </si>
  <si>
    <t>马尼拉市*</t>
  </si>
  <si>
    <t>甲米地省</t>
  </si>
  <si>
    <t>巴丹省</t>
  </si>
  <si>
    <t>布拉干省</t>
  </si>
  <si>
    <t>黎刹省</t>
  </si>
  <si>
    <t>邦板牙省</t>
  </si>
  <si>
    <t>布拉卡省</t>
  </si>
  <si>
    <t>打拉省</t>
  </si>
  <si>
    <t>北伊罗戈省</t>
  </si>
  <si>
    <t>南伊罗戈省</t>
  </si>
  <si>
    <t>拉翁省</t>
  </si>
  <si>
    <t>卡加延省</t>
  </si>
  <si>
    <t>伊莎贝拉省</t>
  </si>
  <si>
    <t>新比斯开省</t>
  </si>
  <si>
    <t>季里诺省</t>
  </si>
  <si>
    <t>巴塔安省</t>
  </si>
  <si>
    <t>巴拉望省</t>
  </si>
  <si>
    <t>本格特省</t>
  </si>
  <si>
    <t>布尔迪奥斯省</t>
  </si>
  <si>
    <t>卡林阿省</t>
  </si>
  <si>
    <t>卡坦端内斯省</t>
  </si>
  <si>
    <t>奎松省</t>
  </si>
  <si>
    <t>马林杜克省</t>
  </si>
  <si>
    <t>马京达瑙省</t>
  </si>
  <si>
    <t>北三宝颜省</t>
  </si>
  <si>
    <t>南三宝颜省</t>
  </si>
  <si>
    <t>西民都洛省</t>
  </si>
  <si>
    <t>东民都洛省</t>
  </si>
  <si>
    <t>棉兰老岛穆斯林自治区</t>
  </si>
  <si>
    <t>米沙鄢群岛</t>
  </si>
  <si>
    <t>棉兰老岛</t>
  </si>
  <si>
    <t>宿务省</t>
  </si>
  <si>
    <t>达沃省</t>
  </si>
  <si>
    <t>东达沃省</t>
  </si>
  <si>
    <t>北苏里高省</t>
  </si>
  <si>
    <t>南苏里高省</t>
  </si>
  <si>
    <t>塔威塔威省</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</si>
  <si>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</si>
  <si>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</si>
  <si>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</si>
  <si>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</si>
  <si>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</si>
  <si>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</si>
  <si>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</si>
  <si>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</si>
  <si>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</si>
  <si>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</si>
  <si>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r>
      <rPr>
        <sz val="11.25"/>
        <color rgb="FF05073B"/>
        <rFont val="PingFang-SC-Regular"/>
        <family val="1"/>
      </rPr>
      <t>文莱</t>
    </r>
  </si>
  <si>
    <t>斯里巴加湾市*</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</si>
  <si>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</si>
  <si>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</si>
  <si>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</si>
  <si>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</si>
  <si>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</si>
  <si>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</si>
  <si>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</si>
  <si>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</si>
  <si>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r>
      <rPr>
        <sz val="11.25"/>
        <color rgb="FF05073B"/>
        <rFont val="PingFang-SC-Regular"/>
        <family val="1"/>
      </rPr>
      <t>东帝汶</t>
    </r>
  </si>
  <si>
    <t>帝力市*</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</si>
  <si>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</si>
  <si>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</si>
  <si>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</si>
  <si>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</si>
  <si>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</si>
  <si>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</si>
  <si>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</si>
  <si>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</si>
  <si>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</si>
  <si>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</si>
  <si>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</si>
  <si>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</si>
  <si>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</si>
  <si>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</si>
  <si>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</si>
  <si>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</si>
  <si>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</si>
  <si>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</si>
  <si>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</si>
  <si>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</si>
  <si>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r>
      <rPr>
        <sz val="13.5"/>
        <color rgb="FF05073B"/>
        <rFont val="宋体"/>
        <family val="3"/>
        <charset val="134"/>
      </rPr>
      <t>*南亚</t>
    </r>
    <r>
      <rPr>
        <sz val="13.5"/>
        <color rgb="FF05073B"/>
        <rFont val="Segoe UI"/>
        <family val="2"/>
      </rPr>
      <t>*</t>
    </r>
  </si>
  <si>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</si>
  <si>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</si>
  <si>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</si>
  <si>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</si>
  <si>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</si>
  <si>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</si>
  <si>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</si>
  <si>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</si>
  <si>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</si>
  <si>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</si>
  <si>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</si>
  <si>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</si>
  <si>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</si>
  <si>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</si>
  <si>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名</t>
  </si>
  <si>
    <r>
      <rPr>
        <sz val="11.25"/>
        <color rgb="FF05073B"/>
        <rFont val="PingFang-SC-Regular"/>
        <family val="1"/>
      </rPr>
      <t>印度</t>
    </r>
  </si>
  <si>
    <t>德里（Delhi）</t>
  </si>
  <si>
    <t>安得拉邦（Andhra Pradesh）</t>
  </si>
  <si>
    <t>阿萨姆邦（Assam）</t>
  </si>
  <si>
    <t>比哈尔邦（Bihar）</t>
  </si>
  <si>
    <t>恰蒂斯加尔邦（Chhattisgarh）</t>
  </si>
  <si>
    <t>果阿邦（Goa）</t>
  </si>
  <si>
    <t>古吉拉特邦（Gujarat）</t>
  </si>
  <si>
    <t>哈里亚纳邦（Haryana）</t>
  </si>
  <si>
    <t>喜马偕尔邦（Himachal Pradesh）</t>
  </si>
  <si>
    <t>查谟-克什米尔邦（Jammu and Kashmir，注意：该邦存在争议）</t>
  </si>
  <si>
    <t>贾坎德邦（Jharkhand）</t>
  </si>
  <si>
    <t>卡纳塔克邦（Karnataka）</t>
  </si>
  <si>
    <t>喀拉拉邦（Kerala）</t>
  </si>
  <si>
    <t>中央邦（Madhya Pradesh）</t>
  </si>
  <si>
    <t>马哈拉施特拉邦（Maharashtra）</t>
  </si>
  <si>
    <t>曼尼普尔邦（Manipur）</t>
  </si>
  <si>
    <t>梅加拉亚邦（Meghalaya）</t>
  </si>
  <si>
    <t>米佐拉姆邦（Mizoram）</t>
  </si>
  <si>
    <t>那加兰邦（Nagaland）</t>
  </si>
  <si>
    <t>奥里萨邦（Odisha）</t>
  </si>
  <si>
    <t>旁遮普邦（Punjab）</t>
  </si>
  <si>
    <t>拉贾斯坦邦（Rajasthan）</t>
  </si>
  <si>
    <t>锡金邦（Sikkim）</t>
  </si>
  <si>
    <t>泰米尔纳德邦（Tamil Nadu）</t>
  </si>
  <si>
    <t>特里普拉邦（Tripura）</t>
  </si>
  <si>
    <t>北方邦（Uttar Pradesh）</t>
  </si>
  <si>
    <t>北阿坎德邦（Uttarakhand）</t>
  </si>
  <si>
    <t>西孟加拉邦（West Bengal）</t>
  </si>
  <si>
    <t>特伦甘纳邦（Telangana）</t>
  </si>
  <si>
    <t>安达曼-尼科巴群岛（Andaman and Nicobar Islands）</t>
  </si>
  <si>
    <t>昌迪加尔（Chandigarh）</t>
  </si>
  <si>
    <t>达德拉-纳加尔哈维利（Dadra and Nagar Haveli）</t>
  </si>
  <si>
    <t>达曼-第乌（Daman and Diu）</t>
  </si>
  <si>
    <t>拉克沙群岛（Lakshadweep）</t>
  </si>
  <si>
    <t>本地治里（Puducherry）</t>
  </si>
  <si>
    <t>年龄年龄补正</t>
  </si>
  <si>
    <t>鹅膏菌（毒蘑菇）</t>
  </si>
  <si>
    <t>6～24小时</t>
  </si>
  <si>
    <t>剧烈腹痛、呕吐、黄疸</t>
  </si>
  <si>
    <t>1D10</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</si>
  <si>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</si>
  <si>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</si>
  <si>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</si>
  <si>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</si>
  <si>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</si>
  <si>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</si>
  <si>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</si>
  <si>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</si>
  <si>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</si>
  <si>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</si>
  <si>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</si>
  <si>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</si>
  <si>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玩</t>
  </si>
  <si>
    <t>时</t>
  </si>
  <si>
    <r>
      <rPr>
        <sz val="11.25"/>
        <color rgb="FF05073B"/>
        <rFont val="PingFang-SC-Regular"/>
        <family val="1"/>
      </rPr>
      <t>巴基斯坦</t>
    </r>
  </si>
  <si>
    <t>伊斯兰堡*</t>
  </si>
  <si>
    <t>俾路支省</t>
  </si>
  <si>
    <t>信德省</t>
  </si>
  <si>
    <t>旁遮普省</t>
  </si>
  <si>
    <t>吉尔吉特-巴尔蒂斯坦地区</t>
  </si>
  <si>
    <t>巴基斯坦管辖克什米尔</t>
  </si>
  <si>
    <t>巴拉蒂斯坦</t>
  </si>
  <si>
    <t>开伯尔-普赫图赫瓦省</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</si>
  <si>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</si>
  <si>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</si>
  <si>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</si>
  <si>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</si>
  <si>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</si>
  <si>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</si>
  <si>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</si>
  <si>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</si>
  <si>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</si>
  <si>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</si>
  <si>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</si>
  <si>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</si>
  <si>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</si>
  <si>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</si>
  <si>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</si>
  <si>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职</t>
  </si>
  <si>
    <t>序</t>
  </si>
  <si>
    <r>
      <rPr>
        <sz val="11.25"/>
        <color rgb="FF05073B"/>
        <rFont val="PingFang-SC-Regular"/>
        <family val="1"/>
      </rPr>
      <t>孟加拉国</t>
    </r>
  </si>
  <si>
    <t>达卡*</t>
  </si>
  <si>
    <t>巴里萨尔大区</t>
  </si>
  <si>
    <t>吉大港区</t>
  </si>
  <si>
    <t>库尔纳大区</t>
  </si>
  <si>
    <t>拉杰沙希大区</t>
  </si>
  <si>
    <t>朗布尔大区</t>
  </si>
  <si>
    <t>锡尔赫特大区</t>
  </si>
  <si>
    <t>锡尔盖特大区</t>
  </si>
  <si>
    <t>迈门辛大区</t>
  </si>
  <si>
    <t>孟加拉邦</t>
  </si>
  <si>
    <t>教育进步*1</t>
  </si>
  <si>
    <t>颠茄</t>
  </si>
  <si>
    <t>2小时～2天</t>
  </si>
  <si>
    <t>心率加快、视力受损、惊厥</t>
  </si>
  <si>
    <t>世界上毒性最大的植物之一，成人食用10～20颗就可能死亡。</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</si>
  <si>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</si>
  <si>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</si>
  <si>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</si>
  <si>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</si>
  <si>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</si>
  <si>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</si>
  <si>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</si>
  <si>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性</t>
  </si>
  <si>
    <r>
      <rPr>
        <sz val="11.25"/>
        <color rgb="FF05073B"/>
        <rFont val="PingFang-SC-Regular"/>
        <family val="1"/>
      </rPr>
      <t>尼泊尔</t>
    </r>
  </si>
  <si>
    <t>加德满都市*</t>
  </si>
  <si>
    <t>巴格马蒂专区</t>
  </si>
  <si>
    <t>甘达基专区</t>
  </si>
  <si>
    <t>贾纳克普尔专区</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</si>
  <si>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</si>
  <si>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</si>
  <si>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</si>
  <si>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</si>
  <si>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</si>
  <si>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</si>
  <si>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</si>
  <si>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</si>
  <si>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</si>
  <si>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</si>
  <si>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</si>
  <si>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</si>
  <si>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</si>
  <si>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</si>
  <si>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</si>
  <si>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</si>
  <si>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</si>
  <si>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国</t>
  </si>
  <si>
    <t>货</t>
  </si>
  <si>
    <r>
      <rPr>
        <sz val="11.25"/>
        <color rgb="FF05073B"/>
        <rFont val="PingFang-SC-Regular"/>
        <family val="1"/>
      </rPr>
      <t>不丹</t>
    </r>
  </si>
  <si>
    <t>廷布*</t>
  </si>
  <si>
    <t>帕罗宗</t>
  </si>
  <si>
    <t>楚卡宗</t>
  </si>
  <si>
    <t>达吉宗</t>
  </si>
  <si>
    <t>萨姆卓宗</t>
  </si>
  <si>
    <t>扎西冈宗</t>
  </si>
  <si>
    <t>哈宗</t>
  </si>
  <si>
    <t>旺杜波德朗宗</t>
  </si>
  <si>
    <t>普那卡宗</t>
  </si>
  <si>
    <t>蓬格宗</t>
  </si>
  <si>
    <t>加萨宗</t>
  </si>
  <si>
    <t>达旺宗</t>
  </si>
  <si>
    <t>萨姆德鲁琼卡尔宗</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</si>
  <si>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</si>
  <si>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</si>
  <si>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</si>
  <si>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</si>
  <si>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</si>
  <si>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</si>
  <si>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</si>
  <si>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</si>
  <si>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</si>
  <si>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</si>
  <si>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</si>
  <si>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</si>
  <si>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</si>
  <si>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</si>
  <si>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r>
      <rPr>
        <sz val="11.25"/>
        <color rgb="FF05073B"/>
        <rFont val="PingFang-SC-Regular"/>
        <family val="1"/>
      </rPr>
      <t>斯里兰卡</t>
    </r>
  </si>
  <si>
    <t>科伦坡*</t>
  </si>
  <si>
    <t>西部省</t>
  </si>
  <si>
    <t>南部省</t>
  </si>
  <si>
    <t>萨巴拉加穆瓦省</t>
  </si>
  <si>
    <t>北中央省</t>
  </si>
  <si>
    <t>北方省</t>
  </si>
  <si>
    <t>乌瓦省</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</si>
  <si>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</si>
  <si>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</si>
  <si>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</si>
  <si>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</si>
  <si>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</si>
  <si>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</si>
  <si>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</si>
  <si>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</si>
  <si>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</si>
  <si>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</si>
  <si>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</si>
  <si>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</si>
  <si>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</si>
  <si>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</si>
  <si>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</si>
  <si>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</si>
  <si>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</si>
  <si>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住</t>
  </si>
  <si>
    <t>省</t>
  </si>
  <si>
    <r>
      <rPr>
        <sz val="11.25"/>
        <color rgb="FF05073B"/>
        <rFont val="PingFang-SC-Regular"/>
        <family val="1"/>
      </rPr>
      <t>马尔代夫</t>
    </r>
  </si>
  <si>
    <t>马累*</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</si>
  <si>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</si>
  <si>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</si>
  <si>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</si>
  <si>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</si>
  <si>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</si>
  <si>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</si>
  <si>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</si>
  <si>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</si>
  <si>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</si>
  <si>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</si>
  <si>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</si>
  <si>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</si>
  <si>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</si>
  <si>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</si>
  <si>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市</t>
  </si>
  <si>
    <t>号</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</si>
  <si>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</si>
  <si>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</si>
  <si>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</si>
  <si>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</si>
  <si>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</si>
  <si>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</si>
  <si>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</si>
  <si>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</si>
  <si>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</si>
  <si>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</si>
  <si>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</si>
  <si>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</si>
  <si>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</si>
  <si>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</si>
  <si>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故</t>
  </si>
  <si>
    <r>
      <rPr>
        <sz val="13.5"/>
        <color rgb="FF05073B"/>
        <rFont val="宋体"/>
        <family val="3"/>
        <charset val="134"/>
      </rPr>
      <t>*西亚</t>
    </r>
    <r>
      <rPr>
        <sz val="13.5"/>
        <color rgb="FF05073B"/>
        <rFont val="Segoe UI"/>
        <family val="2"/>
      </rPr>
      <t>*</t>
    </r>
  </si>
  <si>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</si>
  <si>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</si>
  <si>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</si>
  <si>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</si>
  <si>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</si>
  <si>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</si>
  <si>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</si>
  <si>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</si>
  <si>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</si>
  <si>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</si>
  <si>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</si>
  <si>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</si>
  <si>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</si>
  <si>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</si>
  <si>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r>
      <rPr>
        <sz val="11.25"/>
        <color rgb="FF05073B"/>
        <rFont val="PingFang-SC-Regular"/>
        <family val="1"/>
      </rPr>
      <t>伊朗</t>
    </r>
  </si>
  <si>
    <t>德黑兰*</t>
  </si>
  <si>
    <t>阿塞拜疆省</t>
  </si>
  <si>
    <t>库尔德斯坦省</t>
  </si>
  <si>
    <t>胡齐斯坦省</t>
  </si>
  <si>
    <t>法尔斯省</t>
  </si>
  <si>
    <t>克尔曼省</t>
  </si>
  <si>
    <t>霍尔木兹甘省</t>
  </si>
  <si>
    <t>伊斯法罕省</t>
  </si>
  <si>
    <t>克尔曼沙汗省</t>
  </si>
  <si>
    <t>哈马丹省</t>
  </si>
  <si>
    <t>恰哈马哈勒巴赫蒂亚里省</t>
  </si>
  <si>
    <t>洛雷斯坦省</t>
  </si>
  <si>
    <t>西阿塞拜疆省</t>
  </si>
  <si>
    <t>吉兰省</t>
  </si>
  <si>
    <t>马赞德兰省</t>
  </si>
  <si>
    <t>戈尔甘省</t>
  </si>
  <si>
    <t>北霍拉桑省</t>
  </si>
  <si>
    <t>南霍拉桑省</t>
  </si>
  <si>
    <t>塞姆南省</t>
  </si>
  <si>
    <t>锡斯坦和俾路支斯坦省</t>
  </si>
  <si>
    <t>亚兹德省</t>
  </si>
  <si>
    <t>赞詹省</t>
  </si>
  <si>
    <t>马库兰省</t>
  </si>
  <si>
    <t>科吉卢耶-博韦艾哈迈德省</t>
  </si>
  <si>
    <t>布什尔省</t>
  </si>
  <si>
    <t>扎黑丹省</t>
  </si>
  <si>
    <t>阿尔达比勒省</t>
  </si>
  <si>
    <t>伊拉姆省</t>
  </si>
  <si>
    <t>恰帕哈卢省</t>
  </si>
  <si>
    <t>库姆省</t>
  </si>
  <si>
    <t>拉扎维呼罗珊省</t>
  </si>
  <si>
    <t>阿尔伯兹省</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</si>
  <si>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</si>
  <si>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</si>
  <si>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</si>
  <si>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</si>
  <si>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</si>
  <si>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</si>
  <si>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</si>
  <si>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</si>
  <si>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</si>
  <si>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</si>
  <si>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</si>
  <si>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</si>
  <si>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</si>
  <si>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r>
      <rPr>
        <sz val="11.25"/>
        <color rgb="FF05073B"/>
        <rFont val="PingFang-SC-Regular"/>
        <family val="1"/>
      </rPr>
      <t>伊拉克</t>
    </r>
  </si>
  <si>
    <t>巴格达*</t>
  </si>
  <si>
    <t>巴士拉省</t>
  </si>
  <si>
    <t>埃尔比勒省</t>
  </si>
  <si>
    <t>巴比伦省</t>
  </si>
  <si>
    <t>穆萨纳省</t>
  </si>
  <si>
    <t>杜胡克省</t>
  </si>
  <si>
    <t>迪亚拉省</t>
  </si>
  <si>
    <t>济加尔省</t>
  </si>
  <si>
    <t>卡尔巴拉省</t>
  </si>
  <si>
    <t>卡迪西亚省</t>
  </si>
  <si>
    <t>米桑省</t>
  </si>
  <si>
    <t>纳杰夫省</t>
  </si>
  <si>
    <t>尼尼微省</t>
  </si>
  <si>
    <t>瓦西特省</t>
  </si>
  <si>
    <t>萨拉赫丁省</t>
  </si>
  <si>
    <t>安巴尔省</t>
  </si>
  <si>
    <t>塔米姆省</t>
  </si>
  <si>
    <t>穆哈夫扎卡区</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</si>
  <si>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</si>
  <si>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</si>
  <si>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</si>
  <si>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</si>
  <si>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</si>
  <si>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</si>
  <si>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</si>
  <si>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</si>
  <si>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</si>
  <si>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</si>
  <si>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</si>
  <si>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</si>
  <si>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r>
      <rPr>
        <sz val="11.25"/>
        <color rgb="FF05073B"/>
        <rFont val="PingFang-SC-Regular"/>
        <family val="1"/>
      </rPr>
      <t>阿富汗</t>
    </r>
  </si>
  <si>
    <t>喀布尔*</t>
  </si>
  <si>
    <t>巴德吉斯省</t>
  </si>
  <si>
    <t>巴达赫尚省</t>
  </si>
  <si>
    <t>巴格兰省</t>
  </si>
  <si>
    <t>巴尔赫省</t>
  </si>
  <si>
    <t>巴米扬省</t>
  </si>
  <si>
    <t>戴孔迪省</t>
  </si>
  <si>
    <t>法拉省</t>
  </si>
  <si>
    <t>赫尔曼德省</t>
  </si>
  <si>
    <t>赫拉特省</t>
  </si>
  <si>
    <t>朱兹詹省</t>
  </si>
  <si>
    <t>坎大哈省</t>
  </si>
  <si>
    <t>喀布尔省</t>
  </si>
  <si>
    <t>库纳尔省</t>
  </si>
  <si>
    <t>拉格曼省</t>
  </si>
  <si>
    <t>洛加尔省</t>
  </si>
  <si>
    <t>楠格哈尔省</t>
  </si>
  <si>
    <t>尼姆鲁兹省</t>
  </si>
  <si>
    <t>努尔斯坦省</t>
  </si>
  <si>
    <t>帕克蒂亚省</t>
  </si>
  <si>
    <t>帕克蒂卡省</t>
  </si>
  <si>
    <t>潘杰希尔省</t>
  </si>
  <si>
    <t>帕尔万省</t>
  </si>
  <si>
    <t>萨曼甘省</t>
  </si>
  <si>
    <t>萨尔普勒省</t>
  </si>
  <si>
    <t>塔哈尔省</t>
  </si>
  <si>
    <t>瓦尔达克省</t>
  </si>
  <si>
    <t>扎布尔省</t>
  </si>
  <si>
    <t>昆都士省</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</si>
  <si>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</si>
  <si>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</si>
  <si>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</si>
  <si>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</si>
  <si>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</si>
  <si>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</si>
  <si>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</si>
  <si>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</si>
  <si>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</si>
  <si>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</si>
  <si>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r>
      <rPr>
        <sz val="11.25"/>
        <color rgb="FF05073B"/>
        <rFont val="PingFang-SC-Regular"/>
        <family val="1"/>
      </rPr>
      <t>沙特阿拉伯</t>
    </r>
  </si>
  <si>
    <t>利雅得*</t>
  </si>
  <si>
    <t>东部省</t>
  </si>
  <si>
    <t>麦加省</t>
  </si>
  <si>
    <t>麦地那省</t>
  </si>
  <si>
    <t>北部边疆省</t>
  </si>
  <si>
    <t>吉赞省</t>
  </si>
  <si>
    <t>卡西姆省</t>
  </si>
  <si>
    <t>纳季兰省</t>
  </si>
  <si>
    <t>焦夫省</t>
  </si>
  <si>
    <t>哈伊勒省</t>
  </si>
  <si>
    <t>阿西尔省</t>
  </si>
  <si>
    <t>巴哈省</t>
  </si>
  <si>
    <t>塔布克省</t>
  </si>
  <si>
    <t>延布省</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</si>
  <si>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</si>
  <si>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</si>
  <si>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</si>
  <si>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</si>
  <si>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</si>
  <si>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</si>
  <si>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</si>
  <si>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r>
      <rPr>
        <sz val="11.25"/>
        <color rgb="FF05073B"/>
        <rFont val="PingFang-SC-Regular"/>
        <family val="1"/>
      </rPr>
      <t>阿拉伯联合酋长国</t>
    </r>
  </si>
  <si>
    <t>阿布扎比*</t>
  </si>
  <si>
    <t>迪拜</t>
  </si>
  <si>
    <t>沙迦</t>
  </si>
  <si>
    <t>阿治曼</t>
  </si>
  <si>
    <t>乌姆盖万</t>
  </si>
  <si>
    <t>拉斯海马</t>
  </si>
  <si>
    <t>富查伊拉</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</si>
  <si>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</si>
  <si>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</si>
  <si>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</si>
  <si>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</si>
  <si>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</si>
  <si>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</si>
  <si>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</si>
  <si>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</si>
  <si>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r>
      <rPr>
        <sz val="11.25"/>
        <color rgb="FF05073B"/>
        <rFont val="PingFang-SC-Regular"/>
        <family val="1"/>
      </rPr>
      <t>科威特</t>
    </r>
  </si>
  <si>
    <t>科威特城*</t>
  </si>
  <si>
    <t>艾哈迈迪省</t>
  </si>
  <si>
    <t>法哈迪尔省</t>
  </si>
  <si>
    <t>哈瓦利省</t>
  </si>
  <si>
    <t>杰赫拉省</t>
  </si>
  <si>
    <t>穆巴拉克·卡巴尔省</t>
  </si>
  <si>
    <t>大穆巴拉克省</t>
  </si>
  <si>
    <t>←这个职业 要这样获得技能点→</t>
  </si>
  <si>
    <t>剩职</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</si>
  <si>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</si>
  <si>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</si>
  <si>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</si>
  <si>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</si>
  <si>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</si>
  <si>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</si>
  <si>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</si>
  <si>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</si>
  <si>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</si>
  <si>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r>
      <rPr>
        <sz val="11.25"/>
        <color rgb="FF05073B"/>
        <rFont val="PingFang-SC-Regular"/>
        <family val="1"/>
      </rPr>
      <t>卡塔尔</t>
    </r>
  </si>
  <si>
    <t>多哈*</t>
  </si>
  <si>
    <t>乌姆锡拉勒</t>
  </si>
  <si>
    <t>拉斯拉凡</t>
  </si>
  <si>
    <t>豪尔</t>
  </si>
  <si>
    <t>沃克拉</t>
  </si>
  <si>
    <t>北部市</t>
  </si>
  <si>
    <t>杰里扬拜特奈</t>
  </si>
  <si>
    <t>艾尔瓦克拉</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</si>
  <si>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</si>
  <si>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</si>
  <si>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</si>
  <si>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</si>
  <si>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</si>
  <si>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</si>
  <si>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</si>
  <si>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</si>
  <si>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</si>
  <si>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总</t>
  </si>
  <si>
    <r>
      <rPr>
        <sz val="11.25"/>
        <color rgb="FF05073B"/>
        <rFont val="PingFang-SC-Regular"/>
        <family val="1"/>
      </rPr>
      <t>巴林</t>
    </r>
  </si>
  <si>
    <t>麦纳麦*</t>
  </si>
  <si>
    <t>穆哈拉格</t>
  </si>
  <si>
    <t>首都省</t>
  </si>
  <si>
    <t>剩兴</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</si>
  <si>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</si>
  <si>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</si>
  <si>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</si>
  <si>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</si>
  <si>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</si>
  <si>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</si>
  <si>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</si>
  <si>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</si>
  <si>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</si>
  <si>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</si>
  <si>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r>
      <rPr>
        <sz val="11.25"/>
        <color rgb="FF05073B"/>
        <rFont val="PingFang-SC-Regular"/>
        <family val="1"/>
      </rPr>
      <t>阿曼</t>
    </r>
  </si>
  <si>
    <t>马斯喀特*</t>
  </si>
  <si>
    <t>穆桑达姆省</t>
  </si>
  <si>
    <t>佐法尔省</t>
  </si>
  <si>
    <t>马赫拉省</t>
  </si>
  <si>
    <t>达赫拉省</t>
  </si>
  <si>
    <t>北巴提奈省</t>
  </si>
  <si>
    <t>南巴提奈省</t>
  </si>
  <si>
    <t>阿德拉省</t>
  </si>
  <si>
    <t>瓦哈巴省</t>
  </si>
  <si>
    <t>穆桑达姆半岛</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</si>
  <si>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</si>
  <si>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</si>
  <si>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</si>
  <si>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</si>
  <si>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</si>
  <si>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</si>
  <si>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</si>
  <si>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</si>
  <si>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</si>
  <si>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</si>
  <si>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</si>
  <si>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</si>
  <si>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r>
      <rPr>
        <sz val="11.25"/>
        <color rgb="FF05073B"/>
        <rFont val="PingFang-SC-Regular"/>
        <family val="1"/>
      </rPr>
      <t>也门</t>
    </r>
  </si>
  <si>
    <t>萨那*</t>
  </si>
  <si>
    <t>阿比扬省</t>
  </si>
  <si>
    <t>阿姆兰省</t>
  </si>
  <si>
    <t>贝达省</t>
  </si>
  <si>
    <t>达利耶省</t>
  </si>
  <si>
    <t>荷台达省</t>
  </si>
  <si>
    <t>伊卜省</t>
  </si>
  <si>
    <t>贾夫省</t>
  </si>
  <si>
    <t>拉赫季省</t>
  </si>
  <si>
    <t>马哈拉省</t>
  </si>
  <si>
    <t>迈赫威特省</t>
  </si>
  <si>
    <t>萨达省</t>
  </si>
  <si>
    <t>萨那省</t>
  </si>
  <si>
    <t>舍卜瓦省</t>
  </si>
  <si>
    <t>塔伊兹省</t>
  </si>
  <si>
    <t>哈德拉毛省</t>
  </si>
  <si>
    <t>马里卜省</t>
  </si>
  <si>
    <t>母</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</si>
  <si>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</si>
  <si>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</si>
  <si>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</si>
  <si>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</si>
  <si>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</si>
  <si>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</si>
  <si>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</si>
  <si>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</si>
  <si>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r>
      <rPr>
        <sz val="11.25"/>
        <color rgb="FF05073B"/>
        <rFont val="PingFang-SC-Regular"/>
        <family val="1"/>
      </rPr>
      <t>土耳其</t>
    </r>
  </si>
  <si>
    <t>安卡拉*</t>
  </si>
  <si>
    <t>阿德里亚波利省</t>
  </si>
  <si>
    <t>阿尔达汉省</t>
  </si>
  <si>
    <t>阿尔特温省</t>
  </si>
  <si>
    <t>比特利斯省</t>
  </si>
  <si>
    <t>宾格尔省</t>
  </si>
  <si>
    <t>布尔杜尔省</t>
  </si>
  <si>
    <t>昌加尔省</t>
  </si>
  <si>
    <t>代尼兹利省</t>
  </si>
  <si>
    <t>迪亚巴克尔省</t>
  </si>
  <si>
    <t>埃尔津詹省</t>
  </si>
  <si>
    <t>埃尔祖鲁姆省</t>
  </si>
  <si>
    <t>埃斯基谢希尔省</t>
  </si>
  <si>
    <t>加济安泰普省</t>
  </si>
  <si>
    <t>吉雷松省</t>
  </si>
  <si>
    <t>居米什哈内省</t>
  </si>
  <si>
    <t>哈塔伊省</t>
  </si>
  <si>
    <t>伊斯帕尔塔省</t>
  </si>
  <si>
    <t>伊切尔省</t>
  </si>
  <si>
    <t>卡尔斯省</t>
  </si>
  <si>
    <t>卡斯塔莫努省</t>
  </si>
  <si>
    <t>开塞利省</t>
  </si>
  <si>
    <t>科贾埃利省</t>
  </si>
  <si>
    <t>克尔克拉雷利省</t>
  </si>
  <si>
    <t>基利斯省</t>
  </si>
  <si>
    <t>卡拉曼马拉什省</t>
  </si>
  <si>
    <t>卡拉比克省</t>
  </si>
  <si>
    <t>卡尚省</t>
  </si>
  <si>
    <t>马尔丁省</t>
  </si>
  <si>
    <t>穆拉省</t>
  </si>
  <si>
    <t>穆什省</t>
  </si>
  <si>
    <t>内夫谢希尔省</t>
  </si>
  <si>
    <t>尼代省</t>
  </si>
  <si>
    <t>奥鲁姆省</t>
  </si>
  <si>
    <t>奥尔杜省</t>
  </si>
  <si>
    <t>奥斯曼尼耶省</t>
  </si>
  <si>
    <t>里泽省</t>
  </si>
  <si>
    <t>萨卡里亚省</t>
  </si>
  <si>
    <t>萨姆松省</t>
  </si>
  <si>
    <t>尚勒乌尔法省</t>
  </si>
  <si>
    <t>锡尔特省</t>
  </si>
  <si>
    <t>特拉布宗省</t>
  </si>
  <si>
    <t>图申省</t>
  </si>
  <si>
    <t>约兹加特省</t>
  </si>
  <si>
    <t>宗古尔达克省</t>
  </si>
  <si>
    <t>阿克萨赖省</t>
  </si>
  <si>
    <t>巴特曼省</t>
  </si>
  <si>
    <t>巴伊布尔特省</t>
  </si>
  <si>
    <t>巴勒克埃西尔省</t>
  </si>
  <si>
    <t>巴特省</t>
  </si>
  <si>
    <t>比林奇省</t>
  </si>
  <si>
    <t>布尔萨省</t>
  </si>
  <si>
    <t>杜兹切省</t>
  </si>
  <si>
    <t>哈卡里省</t>
  </si>
  <si>
    <t>伊吉尔省</t>
  </si>
  <si>
    <t>梅尔辛省</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</si>
  <si>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</si>
  <si>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</si>
  <si>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</si>
  <si>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</si>
  <si>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</si>
  <si>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r>
      <rPr>
        <sz val="11.25"/>
        <color rgb="FF05073B"/>
        <rFont val="PingFang-SC-Regular"/>
        <family val="1"/>
      </rPr>
      <t>格鲁吉亚</t>
    </r>
  </si>
  <si>
    <t>第比利斯*</t>
  </si>
  <si>
    <t>阿布哈兹</t>
  </si>
  <si>
    <t>阿贾拉</t>
  </si>
  <si>
    <t>萨姆茨赫-扎瓦赫季</t>
  </si>
  <si>
    <t>古利亚</t>
  </si>
  <si>
    <t>伊梅列季</t>
  </si>
  <si>
    <t>卡赫季</t>
  </si>
  <si>
    <t>克维莫-卡特利</t>
  </si>
  <si>
    <t>拉恰-列奇呼米和下斯瓦涅季</t>
  </si>
  <si>
    <t>姆茨赫塔-姆季阿尼</t>
  </si>
  <si>
    <t>什达-卡特利</t>
  </si>
  <si>
    <t>茨欣瓦利</t>
  </si>
  <si>
    <t>判</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</si>
  <si>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</si>
  <si>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</si>
  <si>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</si>
  <si>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</si>
  <si>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</si>
  <si>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</si>
  <si>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r>
      <rPr>
        <sz val="11.25"/>
        <color rgb="FF05073B"/>
        <rFont val="PingFang-SC-Regular"/>
        <family val="1"/>
      </rPr>
      <t>亚美尼亚</t>
    </r>
  </si>
  <si>
    <t>埃里温*</t>
  </si>
  <si>
    <t>阿拉加茨省</t>
  </si>
  <si>
    <t>阿尔马维尔省</t>
  </si>
  <si>
    <t>阿拉拉特省</t>
  </si>
  <si>
    <t>格加尔库尼克省</t>
  </si>
  <si>
    <t>科泰克省</t>
  </si>
  <si>
    <t>洛里省</t>
  </si>
  <si>
    <t>什拉基省</t>
  </si>
  <si>
    <t>苏姆加伊特省</t>
  </si>
  <si>
    <t>塔武什省</t>
  </si>
  <si>
    <t>瓦约茨佐尔省</t>
  </si>
  <si>
    <t>耶列万省</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</si>
  <si>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</si>
  <si>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</si>
  <si>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</si>
  <si>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</si>
  <si>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</si>
  <si>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</si>
  <si>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</si>
  <si>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</si>
  <si>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阿塞拜疆</t>
  </si>
  <si>
    <t>巴库*</t>
  </si>
  <si>
    <t>阿巴斯特尔拉省</t>
  </si>
  <si>
    <t>阿格达姆区</t>
  </si>
  <si>
    <t>阿格达什区</t>
  </si>
  <si>
    <t>阿格苏区</t>
  </si>
  <si>
    <t>阿格达姆雷区</t>
  </si>
  <si>
    <t>阿塞拜疆纳希切万自治共和国</t>
  </si>
  <si>
    <t>巴库市</t>
  </si>
  <si>
    <t>巴尔达区</t>
  </si>
  <si>
    <t>别尔德区</t>
  </si>
  <si>
    <t>比尔苏区</t>
  </si>
  <si>
    <t>达什凯桑区</t>
  </si>
  <si>
    <t>菲祖利区</t>
  </si>
  <si>
    <t>加布拉区</t>
  </si>
  <si>
    <t>戈兰博伊区</t>
  </si>
  <si>
    <t>戈兰博伊市</t>
  </si>
  <si>
    <t>戈拉德日区</t>
  </si>
  <si>
    <t>哈奇马斯区</t>
  </si>
  <si>
    <t>伊米什利区</t>
  </si>
  <si>
    <t>伊斯梅尔雷区</t>
  </si>
  <si>
    <t>贾利拉巴德区</t>
  </si>
  <si>
    <t>卡巴拉区</t>
  </si>
  <si>
    <t>卡尔巴卡尔区</t>
  </si>
  <si>
    <t>库巴区</t>
  </si>
  <si>
    <t>库达雷克区</t>
  </si>
  <si>
    <t>拉钦区</t>
  </si>
  <si>
    <t>兰卡拉区</t>
  </si>
  <si>
    <t>列扎克区</t>
  </si>
  <si>
    <t>马西利区</t>
  </si>
  <si>
    <t>纳夫塔兰区</t>
  </si>
  <si>
    <t>纳希切万区</t>
  </si>
  <si>
    <t>涅夫特卡拉区</t>
  </si>
  <si>
    <t>奥古兹区</t>
  </si>
  <si>
    <t>萨阿特利区</t>
  </si>
  <si>
    <t>萨比拉巴德区</t>
  </si>
  <si>
    <t>萨利扬区</t>
  </si>
  <si>
    <t>萨马希区</t>
  </si>
  <si>
    <t>舍基区</t>
  </si>
  <si>
    <t>舍马哈区</t>
  </si>
  <si>
    <t>西阿扎尔区</t>
  </si>
  <si>
    <t>苏姆盖特市</t>
  </si>
  <si>
    <t>塔特区</t>
  </si>
  <si>
    <t>托武兹区</t>
  </si>
  <si>
    <t>乌贾尔区</t>
  </si>
  <si>
    <t>扎卡塔雷区</t>
  </si>
  <si>
    <t>扎尔达布区</t>
  </si>
  <si>
    <t>赞格兰区</t>
  </si>
  <si>
    <t>IF(14&lt;SIZA&lt;36,1,IF(35&lt;SIZA&lt;66,1.15,IF(65&lt;SIZA≤86,1.375,IF(85&lt;SIZA&lt;100,1.5,0))))</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</si>
  <si>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</si>
  <si>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</si>
  <si>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</si>
  <si>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</si>
  <si>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</si>
  <si>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</si>
  <si>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</si>
  <si>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</si>
  <si>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</si>
  <si>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r>
      <rPr>
        <sz val="11.25"/>
        <color rgb="FF05073B"/>
        <rFont val="PingFang-SC-Regular"/>
        <family val="1"/>
      </rPr>
      <t>以色列</t>
    </r>
  </si>
  <si>
    <t>耶路撒冷*</t>
  </si>
  <si>
    <t>特拉维夫-雅法</t>
  </si>
  <si>
    <t>海法</t>
  </si>
  <si>
    <t>阿卡</t>
  </si>
  <si>
    <t>贝尔谢巴</t>
  </si>
  <si>
    <t>阿什杜德</t>
  </si>
  <si>
    <t>阿什凯隆</t>
  </si>
  <si>
    <t>贝特谢安</t>
  </si>
  <si>
    <t>贝特谢梅什</t>
  </si>
  <si>
    <t>贝尔谢巴区</t>
  </si>
  <si>
    <t>贝特霍尔</t>
  </si>
  <si>
    <t>埃拉特</t>
  </si>
  <si>
    <t>耶胡达</t>
  </si>
  <si>
    <t>霍隆</t>
  </si>
  <si>
    <t>霍代什</t>
  </si>
  <si>
    <t>卡梅尔</t>
  </si>
  <si>
    <t>卡塔蒙</t>
  </si>
  <si>
    <t>卡法萨巴</t>
  </si>
  <si>
    <t>内坦亚</t>
  </si>
  <si>
    <t>内坦亚区</t>
  </si>
  <si>
    <t>拿撒勒</t>
  </si>
  <si>
    <t>拉姆拉</t>
  </si>
  <si>
    <t>拉马特甘</t>
  </si>
  <si>
    <t>拉安纳</t>
  </si>
  <si>
    <t>雷霍沃特</t>
  </si>
  <si>
    <t>里雄莱锡安</t>
  </si>
  <si>
    <t>萨法德</t>
  </si>
  <si>
    <t>太巴列</t>
  </si>
  <si>
    <t>蒂拉特卡尔梅尔</t>
  </si>
  <si>
    <t>约旦河谷和耶路撒冷地区</t>
  </si>
  <si>
    <t>中央区</t>
  </si>
  <si>
    <t>13-15.75</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</si>
  <si>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</si>
  <si>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</si>
  <si>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</si>
  <si>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</si>
  <si>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</si>
  <si>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</si>
  <si>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r>
      <rPr>
        <sz val="11.25"/>
        <color rgb="FF05073B"/>
        <rFont val="PingFang-SC-Regular"/>
        <family val="1"/>
      </rPr>
      <t>巴勒斯坦</t>
    </r>
  </si>
  <si>
    <t>拉姆安拉*</t>
  </si>
  <si>
    <t>加沙地带</t>
  </si>
  <si>
    <t>耶路撒冷</t>
  </si>
  <si>
    <t>北部区</t>
  </si>
  <si>
    <t>杰宁区</t>
  </si>
  <si>
    <t>图勒凯尔姆区</t>
  </si>
  <si>
    <t>纳布卢斯区</t>
  </si>
  <si>
    <t>杰里科区</t>
  </si>
  <si>
    <t>伯利恒区</t>
  </si>
  <si>
    <t>希伯伦区</t>
  </si>
  <si>
    <t>南部区</t>
  </si>
  <si>
    <t>拉法赫区</t>
  </si>
  <si>
    <t>汗尤尼斯区</t>
  </si>
  <si>
    <t>加沙区</t>
  </si>
  <si>
    <t>代尔巴拉赫区</t>
  </si>
  <si>
    <t>汉尤尼斯</t>
  </si>
  <si>
    <t>BMI</t>
  </si>
  <si>
    <t>15.75-18.5</t>
  </si>
  <si>
    <t>瘦</t>
  </si>
  <si>
    <t>±2.75</t>
  </si>
  <si>
    <t>力量修正</t>
  </si>
  <si>
    <t>体重</t>
  </si>
  <si>
    <t>身高</t>
  </si>
  <si>
    <t>SIZA</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</si>
  <si>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</si>
  <si>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</si>
  <si>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</si>
  <si>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</si>
  <si>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</si>
  <si>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</si>
  <si>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</si>
  <si>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</si>
  <si>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</si>
  <si>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r>
      <rPr>
        <sz val="11.25"/>
        <color rgb="FF05073B"/>
        <rFont val="PingFang-SC-Regular"/>
        <family val="1"/>
      </rPr>
      <t>叙利亚</t>
    </r>
  </si>
  <si>
    <t>大马士革*</t>
  </si>
  <si>
    <t>阿勒颇省</t>
  </si>
  <si>
    <t>阿拉腊省</t>
  </si>
  <si>
    <t>代尔祖尔省</t>
  </si>
  <si>
    <t>德拉省</t>
  </si>
  <si>
    <t>哈马省</t>
  </si>
  <si>
    <t>哈塞克省</t>
  </si>
  <si>
    <t>霍姆斯省</t>
  </si>
  <si>
    <t>伊德利卜省</t>
  </si>
  <si>
    <t>拉塔基亚省</t>
  </si>
  <si>
    <t>库奈特拉省</t>
  </si>
  <si>
    <t>拉卡省</t>
  </si>
  <si>
    <t>大马士革农村省</t>
  </si>
  <si>
    <t>塔尔图斯省</t>
  </si>
  <si>
    <t>苏韦达省</t>
  </si>
  <si>
    <t>体重/身高²</t>
  </si>
  <si>
    <t>18.5-24</t>
  </si>
  <si>
    <t>正常</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</si>
  <si>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</si>
  <si>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</si>
  <si>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</si>
  <si>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</si>
  <si>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</si>
  <si>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</si>
  <si>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</si>
  <si>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</si>
  <si>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</si>
  <si>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</si>
  <si>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</si>
  <si>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r>
      <rPr>
        <sz val="11.25"/>
        <color rgb="FF05073B"/>
        <rFont val="PingFang-SC-Regular"/>
        <family val="1"/>
      </rPr>
      <t>黎巴嫩</t>
    </r>
  </si>
  <si>
    <t>贝鲁特*</t>
  </si>
  <si>
    <t>阿卡省</t>
  </si>
  <si>
    <t>巴勒贝克-赫尔梅尔省</t>
  </si>
  <si>
    <t>贝卡省</t>
  </si>
  <si>
    <t>的黎波里省</t>
  </si>
  <si>
    <t>蒙费拉省</t>
  </si>
  <si>
    <t>纳巴蒂耶省</t>
  </si>
  <si>
    <t>北省</t>
  </si>
  <si>
    <t>南山省</t>
  </si>
  <si>
    <t>24-26.75</t>
  </si>
  <si>
    <t>胖</t>
  </si>
  <si>
    <t>30-40</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</si>
  <si>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</si>
  <si>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</si>
  <si>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</si>
  <si>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</si>
  <si>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</si>
  <si>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</si>
  <si>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</si>
  <si>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</si>
  <si>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r>
      <rPr>
        <sz val="11.25"/>
        <color rgb="FF05073B"/>
        <rFont val="PingFang-SC-Regular"/>
        <family val="1"/>
      </rPr>
      <t>约旦</t>
    </r>
  </si>
  <si>
    <t>安曼*</t>
  </si>
  <si>
    <t>阿贾隆省</t>
  </si>
  <si>
    <t>伊尔比德省</t>
  </si>
  <si>
    <t>马安省</t>
  </si>
  <si>
    <t>马德巴省</t>
  </si>
  <si>
    <t>扎尔卡省</t>
  </si>
  <si>
    <t>卡拉克省</t>
  </si>
  <si>
    <t>塔菲拉省</t>
  </si>
  <si>
    <t>亚喀巴省</t>
  </si>
  <si>
    <t>巴尔卡省</t>
  </si>
  <si>
    <t>杰拉什省</t>
  </si>
  <si>
    <t>马弗拉克省</t>
  </si>
  <si>
    <t>26.75-29.5</t>
  </si>
  <si>
    <t>40-80</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</si>
  <si>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</si>
  <si>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</si>
  <si>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</si>
  <si>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</si>
  <si>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</si>
  <si>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</si>
  <si>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</si>
  <si>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80-100</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</si>
  <si>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</si>
  <si>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</si>
  <si>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</si>
  <si>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</si>
  <si>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</si>
  <si>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</si>
  <si>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</si>
  <si>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r>
      <rPr>
        <sz val="13.5"/>
        <color rgb="FF05073B"/>
        <rFont val="宋体"/>
        <family val="3"/>
        <charset val="134"/>
      </rPr>
      <t>*中亚</t>
    </r>
    <r>
      <rPr>
        <sz val="13.5"/>
        <color rgb="FF05073B"/>
        <rFont val="Segoe UI"/>
        <family val="2"/>
      </rPr>
      <t>*</t>
    </r>
  </si>
  <si>
    <t>零钱值</t>
  </si>
  <si>
    <t>携带现金</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</si>
  <si>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</si>
  <si>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</si>
  <si>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</si>
  <si>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</si>
  <si>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</si>
  <si>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</si>
  <si>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</si>
  <si>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</si>
  <si>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r>
      <rPr>
        <sz val="11.25"/>
        <color rgb="FF05073B"/>
        <rFont val="PingFang-SC-Regular"/>
        <family val="1"/>
      </rPr>
      <t>哈萨克斯坦</t>
    </r>
  </si>
  <si>
    <t>阿斯塔纳/努尔苏丹*</t>
  </si>
  <si>
    <t>阿拉木图市</t>
  </si>
  <si>
    <t>阿克纠宾斯克州</t>
  </si>
  <si>
    <t>阿克莫拉州</t>
  </si>
  <si>
    <t>阿特劳州</t>
  </si>
  <si>
    <t>巴甫洛达尔州</t>
  </si>
  <si>
    <t>北哈萨克斯坦州</t>
  </si>
  <si>
    <t>东哈萨克斯坦州</t>
  </si>
  <si>
    <t>卡拉干达州</t>
  </si>
  <si>
    <t>克孜勒奥尔达州</t>
  </si>
  <si>
    <t>科斯塔奈州</t>
  </si>
  <si>
    <t>库斯塔奈州</t>
  </si>
  <si>
    <t>曼格斯套州</t>
  </si>
  <si>
    <t>南哈萨克斯坦州</t>
  </si>
  <si>
    <t>西哈萨克斯坦州</t>
  </si>
  <si>
    <t>江布尔州</t>
  </si>
  <si>
    <t>杰兹卡兹甘市</t>
  </si>
  <si>
    <t>彼得罗巴甫洛夫斯克市</t>
  </si>
  <si>
    <t>乌拉尔斯克市</t>
  </si>
  <si>
    <t>巴甫洛达尔市</t>
  </si>
  <si>
    <t>塞梅伊市</t>
  </si>
  <si>
    <t>塔拉兹市</t>
  </si>
  <si>
    <t>乌斯季卡缅诺戈尔斯克市</t>
  </si>
  <si>
    <t>希姆肯特市</t>
  </si>
  <si>
    <t>科克舍套市</t>
  </si>
  <si>
    <t>武器价值</t>
  </si>
  <si>
    <t>武器数量</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</si>
  <si>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</si>
  <si>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</si>
  <si>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</si>
  <si>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</si>
  <si>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</si>
  <si>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</si>
  <si>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</si>
  <si>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</si>
  <si>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r>
      <rPr>
        <sz val="11.25"/>
        <color rgb="FF05073B"/>
        <rFont val="PingFang-SC-Regular"/>
        <family val="1"/>
      </rPr>
      <t>吉尔吉斯斯坦</t>
    </r>
  </si>
  <si>
    <t>比什凯克*</t>
  </si>
  <si>
    <t>奥什州</t>
  </si>
  <si>
    <t>巴特肯州</t>
  </si>
  <si>
    <t>贾拉拉巴德州</t>
  </si>
  <si>
    <t>纳伦州</t>
  </si>
  <si>
    <t>塔拉斯州</t>
  </si>
  <si>
    <t>伊塞克湖州</t>
  </si>
  <si>
    <t>楚河州</t>
  </si>
  <si>
    <t>奥什市</t>
  </si>
  <si>
    <t>物品值</t>
  </si>
  <si>
    <t>物品数</t>
  </si>
  <si>
    <t>编号</t>
  </si>
  <si>
    <t>存在</t>
  </si>
  <si>
    <t>价值填写</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</si>
  <si>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</si>
  <si>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</si>
  <si>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</si>
  <si>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</si>
  <si>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</si>
  <si>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</si>
  <si>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</si>
  <si>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</si>
  <si>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</si>
  <si>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r>
      <rPr>
        <sz val="11.25"/>
        <color rgb="FF05073B"/>
        <rFont val="PingFang-SC-Regular"/>
        <family val="1"/>
      </rPr>
      <t>塔吉克斯坦</t>
    </r>
  </si>
  <si>
    <t>杜尚别*</t>
  </si>
  <si>
    <t>戈尔诺-巴达赫尚自治州</t>
  </si>
  <si>
    <t>哈特隆州</t>
  </si>
  <si>
    <t>卡拉库尔州</t>
  </si>
  <si>
    <t>库利亚布州</t>
  </si>
  <si>
    <t>列宁纳巴德州</t>
  </si>
  <si>
    <t>索格特州</t>
  </si>
  <si>
    <t>塔吉克斯坦共和国直属区</t>
  </si>
  <si>
    <t>武器值</t>
  </si>
  <si>
    <t>武器数</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</si>
  <si>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</si>
  <si>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</si>
  <si>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</si>
  <si>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</si>
  <si>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</si>
  <si>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</si>
  <si>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</si>
  <si>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</si>
  <si>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</si>
  <si>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r>
      <rPr>
        <sz val="11.25"/>
        <color rgb="FF05073B"/>
        <rFont val="PingFang-SC-Regular"/>
        <family val="1"/>
      </rPr>
      <t>乌兹别克斯坦</t>
    </r>
  </si>
  <si>
    <t>塔什干*</t>
  </si>
  <si>
    <t>安集延州</t>
  </si>
  <si>
    <t>布哈拉州</t>
  </si>
  <si>
    <t>费尔干纳州</t>
  </si>
  <si>
    <t>卡什卡达里亚州</t>
  </si>
  <si>
    <t>卡拉卡尔帕克斯坦共和国</t>
  </si>
  <si>
    <t>纳曼干州</t>
  </si>
  <si>
    <t>纳沃伊州</t>
  </si>
  <si>
    <t>萨马尔罕州</t>
  </si>
  <si>
    <t>苏尔汉河州</t>
  </si>
  <si>
    <t>锡尔河州</t>
  </si>
  <si>
    <t>花拉子模州</t>
  </si>
  <si>
    <t>吉扎克州</t>
  </si>
  <si>
    <t>弹药值</t>
  </si>
  <si>
    <t>弹药数</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</si>
  <si>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</si>
  <si>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</si>
  <si>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</si>
  <si>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</si>
  <si>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</si>
  <si>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</si>
  <si>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</si>
  <si>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</si>
  <si>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</si>
  <si>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土库曼斯坦</t>
  </si>
  <si>
    <t>阿什哈巴德*</t>
  </si>
  <si>
    <t>阿哈尔州</t>
  </si>
  <si>
    <t>巴尔坎州</t>
  </si>
  <si>
    <t>达绍古兹州</t>
  </si>
  <si>
    <t>列巴普州</t>
  </si>
  <si>
    <t>马雷州</t>
  </si>
  <si>
    <t>马纳特州</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</si>
  <si>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</si>
  <si>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</si>
  <si>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</si>
  <si>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</si>
  <si>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</si>
  <si>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</si>
  <si>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</si>
  <si>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</si>
  <si>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</si>
  <si>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</si>
  <si>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</si>
  <si>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</si>
  <si>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</si>
  <si>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</si>
  <si>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</si>
  <si>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</si>
  <si>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——欧洲——</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</si>
  <si>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</si>
  <si>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</si>
  <si>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</si>
  <si>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</si>
  <si>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</si>
  <si>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</si>
  <si>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</si>
  <si>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</si>
  <si>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</si>
  <si>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r>
      <rPr>
        <sz val="11.5"/>
        <color rgb="FF05073B"/>
        <rFont val="宋体"/>
        <family val="3"/>
        <charset val="134"/>
      </rPr>
      <t>*北欧</t>
    </r>
    <r>
      <rPr>
        <sz val="11.5"/>
        <color rgb="FF05073B"/>
        <rFont val="Segoe UI"/>
        <family val="2"/>
      </rPr>
      <t>*</t>
    </r>
  </si>
  <si>
    <t>携带</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</si>
  <si>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</si>
  <si>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</si>
  <si>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</si>
  <si>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</si>
  <si>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</si>
  <si>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</si>
  <si>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</si>
  <si>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</si>
  <si>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</si>
  <si>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</si>
  <si>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r>
      <rPr>
        <sz val="11.25"/>
        <color rgb="FF05073B"/>
        <rFont val="PingFang-SC-Regular"/>
        <family val="1"/>
      </rPr>
      <t>芬兰</t>
    </r>
  </si>
  <si>
    <t>赫尔辛基*</t>
  </si>
  <si>
    <t>奥卢省</t>
  </si>
  <si>
    <t>拉普兰省</t>
  </si>
  <si>
    <t>北博滕省</t>
  </si>
  <si>
    <t>南博滕省</t>
  </si>
  <si>
    <t>东芬兰省</t>
  </si>
  <si>
    <t>西芬兰省</t>
  </si>
  <si>
    <t>西南芬兰省</t>
  </si>
  <si>
    <t>凯努省</t>
  </si>
  <si>
    <t>中央芬兰省</t>
  </si>
  <si>
    <t>奥卢市</t>
  </si>
  <si>
    <t>总结</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</si>
  <si>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</si>
  <si>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</si>
  <si>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</si>
  <si>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</si>
  <si>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</si>
  <si>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</si>
  <si>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</si>
  <si>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</si>
  <si>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</si>
  <si>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r>
      <rPr>
        <sz val="11.25"/>
        <color rgb="FF05073B"/>
        <rFont val="PingFang-SC-Regular"/>
        <family val="1"/>
      </rPr>
      <t>瑞典</t>
    </r>
  </si>
  <si>
    <t>斯德哥尔摩*</t>
  </si>
  <si>
    <t>布罗斯市</t>
  </si>
  <si>
    <t>延雪平省</t>
  </si>
  <si>
    <t>厄勒布鲁省</t>
  </si>
  <si>
    <t>达拉纳省</t>
  </si>
  <si>
    <t>法伦市</t>
  </si>
  <si>
    <t>耶夫勒堡省</t>
  </si>
  <si>
    <t>哥德堡市</t>
  </si>
  <si>
    <t>哥德堡与布胡斯省</t>
  </si>
  <si>
    <t>哈兰省</t>
  </si>
  <si>
    <t>卡尔斯塔德市</t>
  </si>
  <si>
    <t>卡尔马省</t>
  </si>
  <si>
    <t>克鲁努贝里省</t>
  </si>
  <si>
    <t>诺尔兰省</t>
  </si>
  <si>
    <t>斯科讷省</t>
  </si>
  <si>
    <t>斯德哥尔摩省</t>
  </si>
  <si>
    <t>厄斯特松德市</t>
  </si>
  <si>
    <t>乌普萨拉省</t>
  </si>
  <si>
    <t>南曼兰省</t>
  </si>
  <si>
    <t>韦姆兰省</t>
  </si>
  <si>
    <t>西博滕省</t>
  </si>
  <si>
    <t>西诺尔兰省</t>
  </si>
  <si>
    <t>西曼兰省</t>
  </si>
  <si>
    <t>延雪平市</t>
  </si>
  <si>
    <t>耶夫勒市</t>
  </si>
  <si>
    <t>于默奥市</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</si>
  <si>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</si>
  <si>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</si>
  <si>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</si>
  <si>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</si>
  <si>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</si>
  <si>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</si>
  <si>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</si>
  <si>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</si>
  <si>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r>
      <rPr>
        <sz val="11.25"/>
        <color rgb="FF05073B"/>
        <rFont val="PingFang-SC-Regular"/>
        <family val="1"/>
      </rPr>
      <t>挪威</t>
    </r>
  </si>
  <si>
    <t>奥斯陆*</t>
  </si>
  <si>
    <t>阿克什胡斯郡</t>
  </si>
  <si>
    <t>东阿格德尔郡</t>
  </si>
  <si>
    <t>芬马克郡</t>
  </si>
  <si>
    <t>海德马克郡</t>
  </si>
  <si>
    <t>霍达兰郡</t>
  </si>
  <si>
    <t>默勒-鲁姆斯达尔郡</t>
  </si>
  <si>
    <t>北特伦德拉格郡</t>
  </si>
  <si>
    <t>南特伦德拉格郡</t>
  </si>
  <si>
    <t>奥普兰郡</t>
  </si>
  <si>
    <t>奥斯陆郡</t>
  </si>
  <si>
    <t>罗加兰郡</t>
  </si>
  <si>
    <t>罗姆斯达尔郡</t>
  </si>
  <si>
    <t>西阿格德尔郡</t>
  </si>
  <si>
    <t>西福尔郡</t>
  </si>
  <si>
    <t>西挪威郡</t>
  </si>
  <si>
    <t>西特罗尔拉格郡</t>
  </si>
  <si>
    <t>特罗姆斯郡</t>
  </si>
  <si>
    <t>弗格尔斯特兰德郡</t>
  </si>
  <si>
    <t>斯瓦尔巴德群岛</t>
  </si>
  <si>
    <t>扬马延岛</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</si>
  <si>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</si>
  <si>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</si>
  <si>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</si>
  <si>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</si>
  <si>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</si>
  <si>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</si>
  <si>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</si>
  <si>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</si>
  <si>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r>
      <rPr>
        <sz val="11.25"/>
        <color rgb="FF05073B"/>
        <rFont val="PingFang-SC-Regular"/>
        <family val="1"/>
      </rPr>
      <t>冰岛</t>
    </r>
  </si>
  <si>
    <t>雷克雅未克*</t>
  </si>
  <si>
    <t>东部大区</t>
  </si>
  <si>
    <t>北部大区</t>
  </si>
  <si>
    <t>南部大区</t>
  </si>
  <si>
    <t>西部大区</t>
  </si>
  <si>
    <t>雷克雅未克首都区</t>
  </si>
  <si>
    <t>存</t>
  </si>
  <si>
    <t>价</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</si>
  <si>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</si>
  <si>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</si>
  <si>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</si>
  <si>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</si>
  <si>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</si>
  <si>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</si>
  <si>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</si>
  <si>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</si>
  <si>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</si>
  <si>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r>
      <rPr>
        <sz val="11.25"/>
        <color rgb="FF05073B"/>
        <rFont val="PingFang-SC-Regular"/>
        <family val="1"/>
      </rPr>
      <t>丹麦</t>
    </r>
  </si>
  <si>
    <t>哥本哈根*</t>
  </si>
  <si>
    <t>北日德兰大区</t>
  </si>
  <si>
    <t>中日德兰大区</t>
  </si>
  <si>
    <t>南日德兰大区</t>
  </si>
  <si>
    <t>西兰大区</t>
  </si>
  <si>
    <t>首都大区</t>
  </si>
  <si>
    <t>法罗群岛</t>
  </si>
  <si>
    <t>格陵兰</t>
  </si>
  <si>
    <t>弹药配置</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</si>
  <si>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</si>
  <si>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</si>
  <si>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</si>
  <si>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</si>
  <si>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</si>
  <si>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</si>
  <si>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</si>
  <si>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</si>
  <si>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</si>
  <si>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托尔斯港*</t>
  </si>
  <si>
    <t>南群岛</t>
  </si>
  <si>
    <t>东群岛</t>
  </si>
  <si>
    <t>北群岛</t>
  </si>
  <si>
    <t>西群岛</t>
  </si>
  <si>
    <t>斯特勒姆纳</t>
  </si>
  <si>
    <t>生存：</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</si>
  <si>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</si>
  <si>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</si>
  <si>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</si>
  <si>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</si>
  <si>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</si>
  <si>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</si>
  <si>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</si>
  <si>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</si>
  <si>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数</t>
  </si>
  <si>
    <t>装</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</si>
  <si>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</si>
  <si>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</si>
  <si>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</si>
  <si>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</si>
  <si>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</si>
  <si>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</si>
  <si>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</si>
  <si>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r>
      <rPr>
        <sz val="11.5"/>
        <color rgb="FF05073B"/>
        <rFont val="宋体"/>
        <family val="3"/>
        <charset val="134"/>
      </rPr>
      <t>*东欧</t>
    </r>
    <r>
      <rPr>
        <sz val="11.5"/>
        <color rgb="FF05073B"/>
        <rFont val="Segoe UI"/>
        <family val="2"/>
      </rPr>
      <t>*</t>
    </r>
  </si>
  <si>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</si>
  <si>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</si>
  <si>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</si>
  <si>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</si>
  <si>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</si>
  <si>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</si>
  <si>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</si>
  <si>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</si>
  <si>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</si>
  <si>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r>
      <rPr>
        <sz val="11.25"/>
        <color rgb="FF05073B"/>
        <rFont val="PingFang-SC-Regular"/>
        <family val="1"/>
      </rPr>
      <t>爱沙尼亚</t>
    </r>
  </si>
  <si>
    <t>塔林*</t>
  </si>
  <si>
    <t>希乌县</t>
  </si>
  <si>
    <t>哈留县</t>
  </si>
  <si>
    <t>伊尔韦斯县</t>
  </si>
  <si>
    <t>约格瓦县</t>
  </si>
  <si>
    <t>莱内县</t>
  </si>
  <si>
    <t>拉普拉县</t>
  </si>
  <si>
    <t>帕尔努县</t>
  </si>
  <si>
    <t>波尔瓦县</t>
  </si>
  <si>
    <t>萨雷县</t>
  </si>
  <si>
    <t>瓦尔加县</t>
  </si>
  <si>
    <t>维尔扬迪县</t>
  </si>
  <si>
    <t>沃鲁县</t>
  </si>
  <si>
    <t>塔尔图县</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</si>
  <si>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</si>
  <si>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</si>
  <si>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</si>
  <si>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</si>
  <si>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</si>
  <si>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</si>
  <si>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</si>
  <si>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拉脱维亚</t>
  </si>
  <si>
    <t>里加*</t>
  </si>
  <si>
    <t>道加瓦皮尔斯县</t>
  </si>
  <si>
    <t>杰卡布皮尔斯县</t>
  </si>
  <si>
    <t>利耶帕亚县</t>
  </si>
  <si>
    <t>文茨皮尔斯县</t>
  </si>
  <si>
    <t>奥格雷县</t>
  </si>
  <si>
    <t>雷泽克内县</t>
  </si>
  <si>
    <t>瓦尔米耶拉县</t>
  </si>
  <si>
    <t>泽姆加莱县</t>
  </si>
  <si>
    <t>朱马拉县</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</si>
  <si>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</si>
  <si>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</si>
  <si>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</si>
  <si>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</si>
  <si>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</si>
  <si>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</si>
  <si>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r>
      <rPr>
        <sz val="11.25"/>
        <color rgb="FF05073B"/>
        <rFont val="PingFang-SC-Regular"/>
        <family val="1"/>
      </rPr>
      <t>立陶宛</t>
    </r>
  </si>
  <si>
    <t>维尔纽斯*</t>
  </si>
  <si>
    <t>阿利图斯县</t>
  </si>
  <si>
    <t>考那斯县</t>
  </si>
  <si>
    <t>考纳斯市</t>
  </si>
  <si>
    <t>克莱佩达县</t>
  </si>
  <si>
    <t>马里扬泊列县</t>
  </si>
  <si>
    <t>帕涅韦日斯县</t>
  </si>
  <si>
    <t>普伦盖县</t>
  </si>
  <si>
    <t>希奥利艾县</t>
  </si>
  <si>
    <t>特尔希艾县</t>
  </si>
  <si>
    <t>乌田纳县</t>
  </si>
  <si>
    <t>维尔纽斯县</t>
  </si>
  <si>
    <t>维尔纽斯市</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</si>
  <si>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</si>
  <si>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</si>
  <si>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</si>
  <si>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</si>
  <si>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</si>
  <si>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</si>
  <si>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</si>
  <si>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r>
      <rPr>
        <sz val="11.25"/>
        <color rgb="FF05073B"/>
        <rFont val="PingFang-SC-Regular"/>
        <family val="1"/>
      </rPr>
      <t>白俄罗斯</t>
    </r>
  </si>
  <si>
    <t>明斯克*</t>
  </si>
  <si>
    <t>布列斯特州</t>
  </si>
  <si>
    <t>维捷布斯克州</t>
  </si>
  <si>
    <t>戈梅利州</t>
  </si>
  <si>
    <t>格罗德诺州</t>
  </si>
  <si>
    <t>莫吉廖夫州</t>
  </si>
  <si>
    <t>明斯克州</t>
  </si>
  <si>
    <t>驾驶：</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</si>
  <si>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</si>
  <si>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</si>
  <si>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</si>
  <si>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</si>
  <si>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</si>
  <si>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</si>
  <si>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</si>
  <si>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r>
      <rPr>
        <sz val="11.25"/>
        <color rgb="FF05073B"/>
        <rFont val="PingFang-SC-Regular"/>
        <family val="1"/>
      </rPr>
      <t>俄罗斯</t>
    </r>
  </si>
  <si>
    <t>莫斯科*</t>
  </si>
  <si>
    <t>阿迪格共和国</t>
  </si>
  <si>
    <t>阿尔泰共和国</t>
  </si>
  <si>
    <t>阿尔泰边疆区</t>
  </si>
  <si>
    <t>阿穆尔州</t>
  </si>
  <si>
    <t>阿斯特拉罕州</t>
  </si>
  <si>
    <t>巴什科尔托斯坦共和国</t>
  </si>
  <si>
    <t>布里亚特共和国</t>
  </si>
  <si>
    <t>达吉斯坦共和国</t>
  </si>
  <si>
    <t>哈巴罗夫斯克边疆区</t>
  </si>
  <si>
    <t>汉特-曼西斯克自治区</t>
  </si>
  <si>
    <t>车臣共和国</t>
  </si>
  <si>
    <t>切尔克齐共和国</t>
  </si>
  <si>
    <t>楚科奇自治区</t>
  </si>
  <si>
    <t>赤塔州</t>
  </si>
  <si>
    <t>克里米亚共和国</t>
  </si>
  <si>
    <t>克麦罗沃州</t>
  </si>
  <si>
    <t>卡累利阿共和国</t>
  </si>
  <si>
    <t>堪察加边疆区</t>
  </si>
  <si>
    <t>克拉斯诺达尔边疆区</t>
  </si>
  <si>
    <t>克拉斯诺亚尔斯克边疆区</t>
  </si>
  <si>
    <t>科米共和国</t>
  </si>
  <si>
    <t>马里埃尔共和国</t>
  </si>
  <si>
    <t>摩尔曼斯克州</t>
  </si>
  <si>
    <t>下诺夫哥罗德州</t>
  </si>
  <si>
    <t>诺夫哥罗德州</t>
  </si>
  <si>
    <t>新西伯利亚州</t>
  </si>
  <si>
    <t>奥伦堡州</t>
  </si>
  <si>
    <t>奥廖尔州</t>
  </si>
  <si>
    <t>普斯科夫州</t>
  </si>
  <si>
    <t>奔萨州</t>
  </si>
  <si>
    <t>彼尔姆边疆区</t>
  </si>
  <si>
    <t>彼尔姆州</t>
  </si>
  <si>
    <t>印古什共和国</t>
  </si>
  <si>
    <t>萨哈（雅库特）共和国</t>
  </si>
  <si>
    <t>萨马拉州</t>
  </si>
  <si>
    <t>萨拉托夫州</t>
  </si>
  <si>
    <t>圣彼得堡市</t>
  </si>
  <si>
    <t>斯塔夫罗波尔边疆区</t>
  </si>
  <si>
    <t>鞑靼斯坦共和国</t>
  </si>
  <si>
    <t>泰梅尔（多尔干-涅涅茨）自治区</t>
  </si>
  <si>
    <t>托木斯克州</t>
  </si>
  <si>
    <t>图瓦共和国</t>
  </si>
  <si>
    <t>图拉州</t>
  </si>
  <si>
    <t>秋明州</t>
  </si>
  <si>
    <t>乌里扬诺夫斯克州</t>
  </si>
  <si>
    <t>弗拉基米尔州</t>
  </si>
  <si>
    <t>伏尔加格勒州</t>
  </si>
  <si>
    <t>沃洛格达州</t>
  </si>
  <si>
    <t>沃罗涅日州</t>
  </si>
  <si>
    <t>雅罗斯拉夫尔州</t>
  </si>
  <si>
    <t>伊尔库茨克州</t>
  </si>
  <si>
    <t>喀山</t>
  </si>
  <si>
    <t>车里雅宾斯克州</t>
  </si>
  <si>
    <t>科斯特罗马州</t>
  </si>
  <si>
    <t>利佩茨克州</t>
  </si>
  <si>
    <t>马加丹州</t>
  </si>
  <si>
    <t>莫斯科州</t>
  </si>
  <si>
    <t>尼古拉耶夫斯克</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</si>
  <si>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</si>
  <si>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</si>
  <si>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</si>
  <si>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</si>
  <si>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</si>
  <si>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</si>
  <si>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</si>
  <si>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</si>
  <si>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</si>
  <si>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</si>
  <si>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r>
      <rPr>
        <sz val="11.25"/>
        <color rgb="FF05073B"/>
        <rFont val="PingFang-SC-Regular"/>
        <family val="1"/>
      </rPr>
      <t>乌克兰</t>
    </r>
  </si>
  <si>
    <t>基辅*</t>
  </si>
  <si>
    <t>文尼察州</t>
  </si>
  <si>
    <t>沃伦州</t>
  </si>
  <si>
    <t>第聂伯罗彼得罗夫斯克州</t>
  </si>
  <si>
    <t>顿涅茨克州</t>
  </si>
  <si>
    <t>日托米尔州</t>
  </si>
  <si>
    <t>外喀尔巴阡州</t>
  </si>
  <si>
    <t>扎波罗热州</t>
  </si>
  <si>
    <t>伊万诺-弗兰科夫斯克州</t>
  </si>
  <si>
    <t>基洛沃格勒州</t>
  </si>
  <si>
    <t>卢甘斯克州</t>
  </si>
  <si>
    <t>利沃夫州</t>
  </si>
  <si>
    <t>尼古拉耶夫州</t>
  </si>
  <si>
    <t>敖德萨州</t>
  </si>
  <si>
    <t>波尔塔瓦州</t>
  </si>
  <si>
    <t>罗夫诺州</t>
  </si>
  <si>
    <t>苏梅州</t>
  </si>
  <si>
    <t>捷尔诺波尔州</t>
  </si>
  <si>
    <t>哈尔科夫州</t>
  </si>
  <si>
    <t>赫尔松州</t>
  </si>
  <si>
    <t>切尔卡瑟州</t>
  </si>
  <si>
    <t>切尔尼戈夫州</t>
  </si>
  <si>
    <t>切尔诺夫策州</t>
  </si>
  <si>
    <t>克里米亚自治共和国</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</si>
  <si>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</si>
  <si>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</si>
  <si>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</si>
  <si>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</si>
  <si>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</si>
  <si>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</si>
  <si>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</si>
  <si>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</si>
  <si>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r>
      <rPr>
        <sz val="11.25"/>
        <color rgb="FF05073B"/>
        <rFont val="PingFang-SC-Regular"/>
        <family val="1"/>
      </rPr>
      <t>摩尔多瓦</t>
    </r>
  </si>
  <si>
    <t>基希讷乌*</t>
  </si>
  <si>
    <t>巴尔格德区</t>
  </si>
  <si>
    <t>卡胡尔区</t>
  </si>
  <si>
    <t>基希讷乌市</t>
  </si>
  <si>
    <t>加尔达区</t>
  </si>
  <si>
    <t>埃德内茨区</t>
  </si>
  <si>
    <t>蒂拉斯波尔市</t>
  </si>
  <si>
    <t>弗勒达区</t>
  </si>
  <si>
    <t>勒布尼察区</t>
  </si>
  <si>
    <t>奥尔海伊区</t>
  </si>
  <si>
    <t>辛戈伊区</t>
  </si>
  <si>
    <t>索罗卡区</t>
  </si>
  <si>
    <t>斯特潘尼奇区</t>
  </si>
  <si>
    <t>斯特雷利察区</t>
  </si>
  <si>
    <t>特尔古日勒区</t>
  </si>
  <si>
    <t>温杰尼区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</si>
  <si>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</si>
  <si>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</si>
  <si>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</si>
  <si>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</si>
  <si>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</si>
  <si>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</si>
  <si>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</si>
  <si>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</si>
  <si>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</si>
  <si>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</si>
  <si>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</si>
  <si>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</si>
  <si>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</si>
  <si>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</si>
  <si>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</si>
  <si>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r>
      <rPr>
        <sz val="11.5"/>
        <color rgb="FF05073B"/>
        <rFont val="宋体"/>
        <family val="3"/>
        <charset val="134"/>
      </rPr>
      <t>*西欧</t>
    </r>
    <r>
      <rPr>
        <sz val="11.5"/>
        <color rgb="FF05073B"/>
        <rFont val="Segoe UI"/>
        <family val="2"/>
      </rPr>
      <t>*</t>
    </r>
  </si>
  <si>
    <t>背景</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</si>
  <si>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</si>
  <si>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</si>
  <si>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</si>
  <si>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</si>
  <si>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</si>
  <si>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</si>
  <si>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</si>
  <si>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</si>
  <si>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英国</t>
  </si>
  <si>
    <t>英格兰</t>
  </si>
  <si>
    <t>苏格兰</t>
  </si>
  <si>
    <t>威尔士</t>
  </si>
  <si>
    <t>北爱尔兰</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</si>
  <si>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</si>
  <si>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</si>
  <si>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</si>
  <si>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</si>
  <si>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</si>
  <si>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</si>
  <si>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</si>
  <si>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</si>
  <si>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</si>
  <si>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r>
      <rPr>
        <sz val="11.25"/>
        <color rgb="FF05073B"/>
        <rFont val="PingFang-SC-Regular"/>
        <family val="1"/>
      </rPr>
      <t>爱尔兰</t>
    </r>
  </si>
  <si>
    <t>都柏林*</t>
  </si>
  <si>
    <t>卡尔洛郡</t>
  </si>
  <si>
    <t>卡范郡</t>
  </si>
  <si>
    <t>克莱尔郡</t>
  </si>
  <si>
    <t>科克郡</t>
  </si>
  <si>
    <t>多尼戈尔郡</t>
  </si>
  <si>
    <t>都柏林郡</t>
  </si>
  <si>
    <t>邓莱里-拉斯当郡</t>
  </si>
  <si>
    <t>芬戈郡</t>
  </si>
  <si>
    <t>加尔威郡</t>
  </si>
  <si>
    <t>凯里郡</t>
  </si>
  <si>
    <t>基尔代尔郡</t>
  </si>
  <si>
    <t>莱伊什郡</t>
  </si>
  <si>
    <t>朗福德郡</t>
  </si>
  <si>
    <t>利特里姆郡</t>
  </si>
  <si>
    <t>劳斯郡</t>
  </si>
  <si>
    <t>梅奥郡</t>
  </si>
  <si>
    <t>米斯郡</t>
  </si>
  <si>
    <t>莫内根郡</t>
  </si>
  <si>
    <t>奥法利郡</t>
  </si>
  <si>
    <t>罗斯康芒郡</t>
  </si>
  <si>
    <t>斯莱戈郡</t>
  </si>
  <si>
    <t>蒂珀雷里郡</t>
  </si>
  <si>
    <t>沃特福德郡</t>
  </si>
  <si>
    <t>韦克斯福德郡</t>
  </si>
  <si>
    <t>威克洛郡</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</si>
  <si>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</si>
  <si>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</si>
  <si>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</si>
  <si>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</si>
  <si>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</si>
  <si>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</si>
  <si>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</si>
  <si>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</si>
  <si>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</si>
  <si>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</si>
  <si>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</si>
  <si>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</si>
  <si>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</si>
  <si>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</si>
  <si>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</si>
  <si>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r>
      <rPr>
        <sz val="11.25"/>
        <color rgb="FF05073B"/>
        <rFont val="PingFang-SC-Regular"/>
        <family val="1"/>
      </rPr>
      <t>荷兰</t>
    </r>
  </si>
  <si>
    <t>阿姆斯特丹*</t>
  </si>
  <si>
    <t>弗莱福兰省</t>
  </si>
  <si>
    <t>格罗宁根省</t>
  </si>
  <si>
    <t>海尔德兰省</t>
  </si>
  <si>
    <t>林堡省</t>
  </si>
  <si>
    <t>北布拉邦省</t>
  </si>
  <si>
    <t>南荷兰省</t>
  </si>
  <si>
    <t>北荷兰省</t>
  </si>
  <si>
    <t>乌得勒支省</t>
  </si>
  <si>
    <t>弗里斯兰省</t>
  </si>
  <si>
    <t>海牙市（注：虽然海牙是荷兰的政府所在地和皇室所在地，但阿姆斯特丹通常被视为荷兰的首都，此条列出以供参考，但在正式的首都位置上应忽略）</t>
  </si>
  <si>
    <t>注：已按照要求调整，将“海牙市”的注释加入，并在正式输出中忽略其作为首都的地位。</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</si>
  <si>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</si>
  <si>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</si>
  <si>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</si>
  <si>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</si>
  <si>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</si>
  <si>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</si>
  <si>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</si>
  <si>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</si>
  <si>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</si>
  <si>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</si>
  <si>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</si>
  <si>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</si>
  <si>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</si>
  <si>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</si>
  <si>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</si>
  <si>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r>
      <rPr>
        <sz val="11.25"/>
        <color rgb="FF05073B"/>
        <rFont val="PingFang-SC-Regular"/>
        <family val="1"/>
      </rPr>
      <t>比利时</t>
    </r>
  </si>
  <si>
    <t>布鲁塞尔*</t>
  </si>
  <si>
    <t>安特卫普省</t>
  </si>
  <si>
    <t>弗拉芒-布拉班特省</t>
  </si>
  <si>
    <t>列日省</t>
  </si>
  <si>
    <t>瓦隆-布拉班特省</t>
  </si>
  <si>
    <t>西弗兰德里省</t>
  </si>
  <si>
    <t>东弗兰德里省</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</si>
  <si>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</si>
  <si>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</si>
  <si>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</si>
  <si>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</si>
  <si>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</si>
  <si>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</si>
  <si>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</si>
  <si>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</si>
  <si>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</si>
  <si>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</si>
  <si>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</si>
  <si>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</si>
  <si>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</si>
  <si>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</si>
  <si>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r>
      <rPr>
        <sz val="11.25"/>
        <color rgb="FF05073B"/>
        <rFont val="PingFang-SC-Regular"/>
        <family val="1"/>
      </rPr>
      <t>卢森堡</t>
    </r>
  </si>
  <si>
    <t>卢森堡市*</t>
  </si>
  <si>
    <t>迪基希省</t>
  </si>
  <si>
    <t>格雷文马赫省</t>
  </si>
  <si>
    <t>梅伦省</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</si>
  <si>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</si>
  <si>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</si>
  <si>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</si>
  <si>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</si>
  <si>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</si>
  <si>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</si>
  <si>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</si>
  <si>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</si>
  <si>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</si>
  <si>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</si>
  <si>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</si>
  <si>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</si>
  <si>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r>
      <rPr>
        <sz val="11.25"/>
        <color rgb="FF05073B"/>
        <rFont val="PingFang-SC-Regular"/>
        <family val="1"/>
      </rPr>
      <t>法国</t>
    </r>
  </si>
  <si>
    <t>巴黎*</t>
  </si>
  <si>
    <t>阿尔卑斯-马里蒂姆省</t>
  </si>
  <si>
    <t>滨海阿尔卑斯省</t>
  </si>
  <si>
    <t>上阿尔卑斯省</t>
  </si>
  <si>
    <t>下阿尔卑斯省</t>
  </si>
  <si>
    <t>阿登省</t>
  </si>
  <si>
    <t>阿尔代什省</t>
  </si>
  <si>
    <t>阿列省</t>
  </si>
  <si>
    <t>奥布省</t>
  </si>
  <si>
    <t>奥德省</t>
  </si>
  <si>
    <t>阿韦龙省</t>
  </si>
  <si>
    <t>滨海夏朗德省</t>
  </si>
  <si>
    <t>夏朗德省</t>
  </si>
  <si>
    <t>科多尔省</t>
  </si>
  <si>
    <t>科雷兹省</t>
  </si>
  <si>
    <t>克雷芒-梭尔涅省</t>
  </si>
  <si>
    <t>多尔多涅省</t>
  </si>
  <si>
    <t>杜省</t>
  </si>
  <si>
    <t>德罗姆省</t>
  </si>
  <si>
    <t>厄尔省</t>
  </si>
  <si>
    <t>厄尔-卢瓦尔省</t>
  </si>
  <si>
    <t>菲尼斯泰尔省</t>
  </si>
  <si>
    <t>加尔省</t>
  </si>
  <si>
    <t>上加龙省</t>
  </si>
  <si>
    <t>下加龙省</t>
  </si>
  <si>
    <t>热尔省</t>
  </si>
  <si>
    <t>吉伦特省</t>
  </si>
  <si>
    <t>埃罗省</t>
  </si>
  <si>
    <t>伊泽尔省</t>
  </si>
  <si>
    <t>汝拉省</t>
  </si>
  <si>
    <t>朗德省</t>
  </si>
  <si>
    <t>卢瓦尔省</t>
  </si>
  <si>
    <t>卢瓦尔-大西洋省</t>
  </si>
  <si>
    <t>卢瓦尔-谢尔省</t>
  </si>
  <si>
    <t>曼恩-卢瓦尔省</t>
  </si>
  <si>
    <t>马耶讷省</t>
  </si>
  <si>
    <t>默尔特-摩泽尔省</t>
  </si>
  <si>
    <t>默兹省</t>
  </si>
  <si>
    <t>莫尔比昂省</t>
  </si>
  <si>
    <t>尼埃夫尔省</t>
  </si>
  <si>
    <t>北部省</t>
  </si>
  <si>
    <t>瓦兹省</t>
  </si>
  <si>
    <t>奥恩省</t>
  </si>
  <si>
    <t>加来海峡省</t>
  </si>
  <si>
    <t>上普罗旺斯阿尔卑斯省</t>
  </si>
  <si>
    <t>下普罗旺斯阿尔卑斯省</t>
  </si>
  <si>
    <t>滨海普罗旺斯省</t>
  </si>
  <si>
    <t>洛泽尔省</t>
  </si>
  <si>
    <t>普瓦图-夏朗德省</t>
  </si>
  <si>
    <t>比利牛斯-大西洋省</t>
  </si>
  <si>
    <t>比利牛斯省</t>
  </si>
  <si>
    <t>上比利牛斯省</t>
  </si>
  <si>
    <t>下比利牛斯省</t>
  </si>
  <si>
    <t>洛林省</t>
  </si>
  <si>
    <t>马恩省</t>
  </si>
  <si>
    <t>上马恩省</t>
  </si>
  <si>
    <t>塞纳-圣但尼省</t>
  </si>
  <si>
    <t>索姆省</t>
  </si>
  <si>
    <t>塔恩省</t>
  </si>
  <si>
    <t>塔恩-加龙省</t>
  </si>
  <si>
    <t>瓦尔省</t>
  </si>
  <si>
    <t>上维埃纳省</t>
  </si>
  <si>
    <t>下维埃纳省</t>
  </si>
  <si>
    <t>沃克吕兹省</t>
  </si>
  <si>
    <t>旺代省</t>
  </si>
  <si>
    <t>约讷省</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</si>
  <si>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</si>
  <si>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</si>
  <si>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</si>
  <si>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</si>
  <si>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</si>
  <si>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</si>
  <si>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</si>
  <si>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</si>
  <si>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</si>
  <si>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</si>
  <si>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</si>
  <si>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</si>
  <si>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</si>
  <si>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r>
      <rPr>
        <sz val="11.25"/>
        <color rgb="FF05073B"/>
        <rFont val="PingFang-SC-Regular"/>
        <family val="1"/>
      </rPr>
      <t>摩纳哥</t>
    </r>
  </si>
  <si>
    <t>摩纳哥城*</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</si>
  <si>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</si>
  <si>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</si>
  <si>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</si>
  <si>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</si>
  <si>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</si>
  <si>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</si>
  <si>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</si>
  <si>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</si>
  <si>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r>
      <rPr>
        <sz val="11.25"/>
        <color rgb="FF05073B"/>
        <rFont val="PingFang-SC-Regular"/>
        <family val="1"/>
      </rPr>
      <t>安道尔</t>
    </r>
  </si>
  <si>
    <t>安道尔城*</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</si>
  <si>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</si>
  <si>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</si>
  <si>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</si>
  <si>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</si>
  <si>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</si>
  <si>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</si>
  <si>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</si>
  <si>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</si>
  <si>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</si>
  <si>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</si>
  <si>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</si>
  <si>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</si>
  <si>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</si>
  <si>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</si>
  <si>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</si>
  <si>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表演</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</si>
  <si>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</si>
  <si>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</si>
  <si>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</si>
  <si>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</si>
  <si>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</si>
  <si>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</si>
  <si>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</si>
  <si>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</si>
  <si>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r>
      <rPr>
        <sz val="11.5"/>
        <color rgb="FF05073B"/>
        <rFont val="宋体"/>
        <family val="3"/>
        <charset val="134"/>
      </rPr>
      <t>*南欧</t>
    </r>
    <r>
      <rPr>
        <sz val="11.5"/>
        <color rgb="FF05073B"/>
        <rFont val="Segoe UI"/>
        <family val="2"/>
      </rPr>
      <t>*</t>
    </r>
  </si>
  <si>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</si>
  <si>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</si>
  <si>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</si>
  <si>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</si>
  <si>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</si>
  <si>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</si>
  <si>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</si>
  <si>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</si>
  <si>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</si>
  <si>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r>
      <rPr>
        <sz val="11.25"/>
        <color rgb="FF05073B"/>
        <rFont val="PingFang-SC-Regular"/>
        <family val="1"/>
      </rPr>
      <t>意大利</t>
    </r>
  </si>
  <si>
    <t>罗马*</t>
  </si>
  <si>
    <t>阿格里真托省</t>
  </si>
  <si>
    <t>阿斯科利皮切诺省</t>
  </si>
  <si>
    <t>阿斯蒂省</t>
  </si>
  <si>
    <t>阿维利诺省</t>
  </si>
  <si>
    <t>巴里省</t>
  </si>
  <si>
    <t>贝加莫省</t>
  </si>
  <si>
    <t>贝卢诺省</t>
  </si>
  <si>
    <t>比萨省</t>
  </si>
  <si>
    <t>博洛尼亚省</t>
  </si>
  <si>
    <t>布林迪西省</t>
  </si>
  <si>
    <t>卡利亚里省</t>
  </si>
  <si>
    <t>卡拉拉省</t>
  </si>
  <si>
    <t>卡塞塔省</t>
  </si>
  <si>
    <t>卡塔尼亚省</t>
  </si>
  <si>
    <t>科森扎省</t>
  </si>
  <si>
    <t>克罗托内省</t>
  </si>
  <si>
    <t>库内奥省</t>
  </si>
  <si>
    <t>恩波利省</t>
  </si>
  <si>
    <t>费拉拉省</t>
  </si>
  <si>
    <t>佛罗伦萨省</t>
  </si>
  <si>
    <t>福贾省</t>
  </si>
  <si>
    <t>弗罗西诺内省</t>
  </si>
  <si>
    <t>热那亚省</t>
  </si>
  <si>
    <t>格罗塞托省</t>
  </si>
  <si>
    <t>拉奎拉省</t>
  </si>
  <si>
    <t>拉斯佩齐亚省</t>
  </si>
  <si>
    <t>莱切省</t>
  </si>
  <si>
    <t>莱科省</t>
  </si>
  <si>
    <t>利沃诺省</t>
  </si>
  <si>
    <t>洛迪省</t>
  </si>
  <si>
    <t>卢卡省</t>
  </si>
  <si>
    <t>马切拉塔省</t>
  </si>
  <si>
    <t>马萨-卡拉拉省</t>
  </si>
  <si>
    <t>梅西纳省</t>
  </si>
  <si>
    <t>米兰省</t>
  </si>
  <si>
    <t>摩德纳省</t>
  </si>
  <si>
    <t>那不勒斯省</t>
  </si>
  <si>
    <t>诺瓦拉省</t>
  </si>
  <si>
    <t>努奥罗省</t>
  </si>
  <si>
    <t>奥里斯塔诺省</t>
  </si>
  <si>
    <t>奥尔比亚-坦皮奥省</t>
  </si>
  <si>
    <t>奥斯塔省</t>
  </si>
  <si>
    <t>帕多瓦省</t>
  </si>
  <si>
    <t>巴勒莫省</t>
  </si>
  <si>
    <t>帕尔马省</t>
  </si>
  <si>
    <t>皮亚琴察省</t>
  </si>
  <si>
    <t>波代诺内省</t>
  </si>
  <si>
    <t>波坦察省</t>
  </si>
  <si>
    <t>佩鲁贾省</t>
  </si>
  <si>
    <t>佩斯卡拉省</t>
  </si>
  <si>
    <t>普拉托省</t>
  </si>
  <si>
    <t>里埃蒂省</t>
  </si>
  <si>
    <t>里米尼省</t>
  </si>
  <si>
    <t>罗维戈省</t>
  </si>
  <si>
    <t>萨莱诺省</t>
  </si>
  <si>
    <t>萨萨里省</t>
  </si>
  <si>
    <t>萨沃纳省</t>
  </si>
  <si>
    <t>塔兰托省</t>
  </si>
  <si>
    <t>特尔尼省</t>
  </si>
  <si>
    <t>特拉尼省</t>
  </si>
  <si>
    <t>的里雅斯特省</t>
  </si>
  <si>
    <t>都灵省</t>
  </si>
  <si>
    <t>特伦托省</t>
  </si>
  <si>
    <t>乌迪内省</t>
  </si>
  <si>
    <t>瓦雷泽省</t>
  </si>
  <si>
    <t>威尼斯省</t>
  </si>
  <si>
    <t>维罗纳省</t>
  </si>
  <si>
    <t>维琴察省</t>
  </si>
  <si>
    <t>摄影</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</si>
  <si>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</si>
  <si>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</si>
  <si>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</si>
  <si>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</si>
  <si>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</si>
  <si>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</si>
  <si>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</si>
  <si>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</si>
  <si>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梵蒂冈</t>
  </si>
  <si>
    <t>梵蒂冈城国*</t>
  </si>
  <si>
    <t>伪造</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</si>
  <si>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</si>
  <si>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</si>
  <si>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</si>
  <si>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</si>
  <si>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</si>
  <si>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</si>
  <si>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</si>
  <si>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</si>
  <si>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r>
      <rPr>
        <sz val="11.25"/>
        <color rgb="FF05073B"/>
        <rFont val="PingFang-SC-Regular"/>
        <family val="1"/>
      </rPr>
      <t>圣马力诺</t>
    </r>
  </si>
  <si>
    <t>圣马力诺城*</t>
  </si>
  <si>
    <t>写作</t>
  </si>
  <si>
    <t>· 作家可以通过写作来写出一篇脍炙人口的名章。
· 如果想要将一个怪物将其用文字记录下来，那么建议过一个困难以上的鉴定，否则冠以不可名状即可。</t>
  </si>
  <si>
    <t>故事</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</si>
  <si>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</si>
  <si>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</si>
  <si>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</si>
  <si>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</si>
  <si>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</si>
  <si>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</si>
  <si>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</si>
  <si>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r>
      <rPr>
        <sz val="11.25"/>
        <color rgb="FF05073B"/>
        <rFont val="PingFang-SC-Regular"/>
        <family val="1"/>
      </rPr>
      <t>马耳他</t>
    </r>
  </si>
  <si>
    <t>瓦莱塔*</t>
  </si>
  <si>
    <t>马耳他岛</t>
  </si>
  <si>
    <t>戈佐岛</t>
  </si>
  <si>
    <t>书法</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</si>
  <si>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</si>
  <si>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</si>
  <si>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</si>
  <si>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</si>
  <si>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r>
      <rPr>
        <sz val="11.25"/>
        <color rgb="FF05073B"/>
        <rFont val="PingFang-SC-Regular"/>
        <family val="1"/>
      </rPr>
      <t>西班牙</t>
    </r>
  </si>
  <si>
    <t>马德里*</t>
  </si>
  <si>
    <t>安达卢西亚自治区</t>
  </si>
  <si>
    <t>阿拉贡自治区</t>
  </si>
  <si>
    <t>阿斯图里亚斯自治区</t>
  </si>
  <si>
    <t>巴利阿里群岛自治区</t>
  </si>
  <si>
    <t>巴斯克自治区</t>
  </si>
  <si>
    <t>坎塔布里亚自治区</t>
  </si>
  <si>
    <t>卡斯蒂利亚-拉曼恰自治区</t>
  </si>
  <si>
    <t>卡斯蒂利亚-莱昂自治区</t>
  </si>
  <si>
    <t>加那利群岛自治区</t>
  </si>
  <si>
    <t>埃斯特雷马杜拉自治区</t>
  </si>
  <si>
    <t>加利西亚自治区</t>
  </si>
  <si>
    <t>穆尔西亚自治区</t>
  </si>
  <si>
    <t>纳瓦拉自治区</t>
  </si>
  <si>
    <t>拉里奥哈自治区</t>
  </si>
  <si>
    <t>北下加利西亚自治区</t>
  </si>
  <si>
    <t>瓦伦西亚自治区</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</si>
  <si>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</si>
  <si>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</si>
  <si>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</si>
  <si>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</si>
  <si>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</si>
  <si>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</si>
  <si>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</si>
  <si>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</si>
  <si>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</si>
  <si>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</si>
  <si>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r>
      <rPr>
        <sz val="11.25"/>
        <color rgb="FF05073B"/>
        <rFont val="PingFang-SC-Regular"/>
        <family val="1"/>
      </rPr>
      <t>葡萄牙</t>
    </r>
  </si>
  <si>
    <t>里斯本*</t>
  </si>
  <si>
    <t>阿威罗区</t>
  </si>
  <si>
    <t>布拉干萨区</t>
  </si>
  <si>
    <t>科英布拉区</t>
  </si>
  <si>
    <t>吉马良斯区</t>
  </si>
  <si>
    <t>莱里亚区</t>
  </si>
  <si>
    <t>波尔图区</t>
  </si>
  <si>
    <t>塞图巴尔区</t>
  </si>
  <si>
    <t>维塞乌区</t>
  </si>
  <si>
    <t>维拉·雷亚尔区</t>
  </si>
  <si>
    <t>圣塔伦区</t>
  </si>
  <si>
    <t>布拉加区</t>
  </si>
  <si>
    <t>法鲁区</t>
  </si>
  <si>
    <t>亚速尔群岛自治区</t>
  </si>
  <si>
    <t>马德拉自治区</t>
  </si>
  <si>
    <t>厨艺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</si>
  <si>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</si>
  <si>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</si>
  <si>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</si>
  <si>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</si>
  <si>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</si>
  <si>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</si>
  <si>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</si>
  <si>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r>
      <rPr>
        <sz val="11.25"/>
        <color rgb="FF05073B"/>
        <rFont val="PingFang-SC-Regular"/>
        <family val="1"/>
      </rPr>
      <t>希腊</t>
    </r>
  </si>
  <si>
    <t>雅典*</t>
  </si>
  <si>
    <t>阿提卡大区</t>
  </si>
  <si>
    <t>中马其顿大区</t>
  </si>
  <si>
    <t>西马其顿大区</t>
  </si>
  <si>
    <t>伊庇鲁斯大区</t>
  </si>
  <si>
    <t>色萨利大区</t>
  </si>
  <si>
    <t>中希腊大区</t>
  </si>
  <si>
    <t>西希腊大区</t>
  </si>
  <si>
    <t>伯罗奔尼撒大区</t>
  </si>
  <si>
    <t>北爱琴海大区</t>
  </si>
  <si>
    <t>南爱琴海大区</t>
  </si>
  <si>
    <t>克里特大区</t>
  </si>
  <si>
    <t>色雷斯和东马其顿大区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</si>
  <si>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</si>
  <si>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</si>
  <si>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</si>
  <si>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</si>
  <si>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</si>
  <si>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</si>
  <si>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</si>
  <si>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</si>
  <si>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</si>
  <si>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r>
      <rPr>
        <sz val="11.25"/>
        <color rgb="FF05073B"/>
        <rFont val="PingFang-SC-Regular"/>
        <family val="1"/>
      </rPr>
      <t>阿尔巴尼亚</t>
    </r>
  </si>
  <si>
    <t>地拉那*</t>
  </si>
  <si>
    <t>阿尔巴尼亚中部大区</t>
  </si>
  <si>
    <t>阿尔巴尼亚南部大区</t>
  </si>
  <si>
    <t>阿尔巴尼亚西部大区</t>
  </si>
  <si>
    <t>阿尔巴尼亚北部大区</t>
  </si>
  <si>
    <t>科尔察大区</t>
  </si>
  <si>
    <t>吉诺卡斯特大区</t>
  </si>
  <si>
    <t>费里大区</t>
  </si>
  <si>
    <t>发罗拉大区</t>
  </si>
  <si>
    <t>培拉特区</t>
  </si>
  <si>
    <t>什科德拉大区</t>
  </si>
  <si>
    <t>埃尔巴桑大区</t>
  </si>
  <si>
    <t>库克斯大区</t>
  </si>
  <si>
    <t>莱什大区</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</si>
  <si>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</si>
  <si>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</si>
  <si>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</si>
  <si>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</si>
  <si>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</si>
  <si>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</si>
  <si>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</si>
  <si>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马其顿</t>
  </si>
  <si>
    <t>斯科普里*</t>
  </si>
  <si>
    <t>库马诺沃区</t>
  </si>
  <si>
    <t>普里莱普区</t>
  </si>
  <si>
    <t>比托拉区</t>
  </si>
  <si>
    <t>泰托沃区</t>
  </si>
  <si>
    <t>科查尼区</t>
  </si>
  <si>
    <t>盖夫盖利亚区</t>
  </si>
  <si>
    <t>什蒂普区</t>
  </si>
  <si>
    <t>克鲁舍沃区</t>
  </si>
  <si>
    <t>奥赫里德区</t>
  </si>
  <si>
    <t>代尔切沃区</t>
  </si>
  <si>
    <t>基切沃区</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</si>
  <si>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</si>
  <si>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</si>
  <si>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</si>
  <si>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</si>
  <si>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</si>
  <si>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</si>
  <si>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</si>
  <si>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</si>
  <si>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波斯尼亚和黑塞哥维那</t>
  </si>
  <si>
    <t>萨拉热窝*</t>
  </si>
  <si>
    <t>波黑联邦</t>
  </si>
  <si>
    <t>塞族共和国</t>
  </si>
  <si>
    <t>舞蹈</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</si>
  <si>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</si>
  <si>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</si>
  <si>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</si>
  <si>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</si>
  <si>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</si>
  <si>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</si>
  <si>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</si>
  <si>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</si>
  <si>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</si>
  <si>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</si>
  <si>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</si>
  <si>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r>
      <rPr>
        <sz val="11.25"/>
        <color rgb="FF05073B"/>
        <rFont val="PingFang-SC-Regular"/>
        <family val="1"/>
      </rPr>
      <t>克罗地亚</t>
    </r>
  </si>
  <si>
    <t>萨格勒布*</t>
  </si>
  <si>
    <t>萨格勒布县</t>
  </si>
  <si>
    <t>克罗地亚-斯拉沃尼亚县</t>
  </si>
  <si>
    <t>波萨维纳县</t>
  </si>
  <si>
    <t>瓦拉日丁县</t>
  </si>
  <si>
    <t>科普里夫尼察-克里热夫察县</t>
  </si>
  <si>
    <t>别洛瓦里-比利纳县</t>
  </si>
  <si>
    <t>布罗德-波萨维纳县</t>
  </si>
  <si>
    <t>奥西耶克-巴拉尼亚县</t>
  </si>
  <si>
    <t>维罗维察-波德拉维纳县</t>
  </si>
  <si>
    <t>卡尔洛瓦茨县</t>
  </si>
  <si>
    <t>利卡-塞尼县</t>
  </si>
  <si>
    <t>伊斯特拉县</t>
  </si>
  <si>
    <t>斯普利特-达尔马提亚县</t>
  </si>
  <si>
    <t>什贝尼克-奈雷特瓦县</t>
  </si>
  <si>
    <t>扎达尔县</t>
  </si>
  <si>
    <t>杜布罗夫尼克-内雷特瓦县</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</si>
  <si>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</si>
  <si>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</si>
  <si>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</si>
  <si>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</si>
  <si>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</si>
  <si>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</si>
  <si>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</si>
  <si>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</si>
  <si>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</si>
  <si>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</si>
  <si>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</si>
  <si>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</si>
  <si>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r>
      <rPr>
        <sz val="11.25"/>
        <color rgb="FF05073B"/>
        <rFont val="PingFang-SC-Regular"/>
        <family val="1"/>
      </rPr>
      <t>斯洛文尼亚</t>
    </r>
  </si>
  <si>
    <t>卢布尔雅那*</t>
  </si>
  <si>
    <t>斯洛文尼亚北部区</t>
  </si>
  <si>
    <t>斯洛文尼亚中部区</t>
  </si>
  <si>
    <t>斯洛文尼亚南部区</t>
  </si>
  <si>
    <t>滨海区</t>
  </si>
  <si>
    <t>上萨瓦区</t>
  </si>
  <si>
    <t>下萨瓦区</t>
  </si>
  <si>
    <t>卡尼奥拉区</t>
  </si>
  <si>
    <t>波德拉文区</t>
  </si>
  <si>
    <t>萨维尼亚区</t>
  </si>
  <si>
    <t>扎戈雷区</t>
  </si>
  <si>
    <t>斯皮塔尔区</t>
  </si>
  <si>
    <t>波斯托伊纳区</t>
  </si>
  <si>
    <t>内特拉瓦河谷区</t>
  </si>
  <si>
    <t>多布罗波利赫耶区</t>
  </si>
  <si>
    <t>戈尔伊什卡区</t>
  </si>
  <si>
    <t>马里博尔区</t>
  </si>
  <si>
    <t>穆尔斯卡索博塔区</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</si>
  <si>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</si>
  <si>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</si>
  <si>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</si>
  <si>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</si>
  <si>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</si>
  <si>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</si>
  <si>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</si>
  <si>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</si>
  <si>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</si>
  <si>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</si>
  <si>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r>
      <rPr>
        <sz val="11.25"/>
        <color rgb="FF05073B"/>
        <rFont val="PingFang-SC-Regular"/>
        <family val="1"/>
      </rPr>
      <t>黑山</t>
    </r>
  </si>
  <si>
    <t>波德戈里察*</t>
  </si>
  <si>
    <t>波德戈里察市</t>
  </si>
  <si>
    <t>巴尔市</t>
  </si>
  <si>
    <t>比耶洛波列市</t>
  </si>
  <si>
    <t>布德瓦市</t>
  </si>
  <si>
    <t>尼克希奇市</t>
  </si>
  <si>
    <t>普列夫利亚市</t>
  </si>
  <si>
    <t>蒂瓦特市</t>
  </si>
  <si>
    <t>科托尔市</t>
  </si>
  <si>
    <t>采蒂涅市</t>
  </si>
  <si>
    <t>赫塞哥维那-涅雷特瓦县</t>
  </si>
  <si>
    <t>扎布卢克县</t>
  </si>
  <si>
    <t>达尼洛夫格勒县</t>
  </si>
  <si>
    <t>科拉欣县</t>
  </si>
  <si>
    <t>普拉夫县</t>
  </si>
  <si>
    <t>普拉夫尼茨县</t>
  </si>
  <si>
    <t>罗扎伊耶县</t>
  </si>
  <si>
    <t>乌尔辛杰县</t>
  </si>
  <si>
    <t>扎戈拉县</t>
  </si>
  <si>
    <t>歌唱</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</si>
  <si>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</si>
  <si>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</si>
  <si>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</si>
  <si>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</si>
  <si>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</si>
  <si>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</si>
  <si>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</si>
  <si>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</si>
  <si>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</si>
  <si>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</si>
  <si>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r>
      <rPr>
        <sz val="11.25"/>
        <color rgb="FF05073B"/>
        <rFont val="PingFang-SC-Regular"/>
        <family val="1"/>
      </rPr>
      <t>塞尔维亚</t>
    </r>
  </si>
  <si>
    <t>贝尔格莱德*</t>
  </si>
  <si>
    <t>贝尔格莱德市</t>
  </si>
  <si>
    <t>伏伊伏丁那自治省</t>
  </si>
  <si>
    <t>北巴奇卡州</t>
  </si>
  <si>
    <t>中巴奇卡州</t>
  </si>
  <si>
    <t>西巴奇卡州</t>
  </si>
  <si>
    <t>南巴奇卡州</t>
  </si>
  <si>
    <t>南摩拉维亚州</t>
  </si>
  <si>
    <t>兹拉蒂博尔州</t>
  </si>
  <si>
    <t>莫拉瓦州</t>
  </si>
  <si>
    <t>拉什卡州</t>
  </si>
  <si>
    <t>皮罗特州</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</si>
  <si>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</si>
  <si>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</si>
  <si>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</si>
  <si>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</si>
  <si>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</si>
  <si>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</si>
  <si>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</si>
  <si>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</si>
  <si>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</si>
  <si>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</si>
  <si>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r>
      <rPr>
        <sz val="11.25"/>
        <color rgb="FF05073B"/>
        <rFont val="PingFang-SC-Regular"/>
        <family val="1"/>
      </rPr>
      <t>保加利亚</t>
    </r>
  </si>
  <si>
    <t>索非亚*</t>
  </si>
  <si>
    <t>索菲亚大区</t>
  </si>
  <si>
    <t>瓦尔纳大区</t>
  </si>
  <si>
    <t>布尔加斯大区</t>
  </si>
  <si>
    <t>普列文大区</t>
  </si>
  <si>
    <t>加布罗沃大区</t>
  </si>
  <si>
    <t>维利科·塔尔诺沃大区</t>
  </si>
  <si>
    <t>鲁塞大区</t>
  </si>
  <si>
    <t>多布里奇大区</t>
  </si>
  <si>
    <t>舒门大区</t>
  </si>
  <si>
    <t>丘斯滕迪尔大区</t>
  </si>
  <si>
    <t>蒙塔纳大区</t>
  </si>
  <si>
    <t>帕扎尔吉克大区</t>
  </si>
  <si>
    <t>斯利文大区</t>
  </si>
  <si>
    <t>扬博尔大区</t>
  </si>
  <si>
    <t>布拉戈耶夫格勒大区</t>
  </si>
  <si>
    <t>哈斯科沃大区</t>
  </si>
  <si>
    <t>斯莫梁大区</t>
  </si>
  <si>
    <t>旧扎戈拉大区</t>
  </si>
  <si>
    <t>普罗夫迪夫大区</t>
  </si>
  <si>
    <t>佩尔尼克大区</t>
  </si>
  <si>
    <t>克尔贾利大区</t>
  </si>
  <si>
    <t>洛夫恰大区</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</si>
  <si>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</si>
  <si>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</si>
  <si>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</si>
  <si>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</si>
  <si>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</si>
  <si>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</si>
  <si>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</si>
  <si>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r>
      <rPr>
        <sz val="11.25"/>
        <color rgb="FF05073B"/>
        <rFont val="PingFang-SC-Regular"/>
        <family val="1"/>
      </rPr>
      <t>罗马尼亚</t>
    </r>
  </si>
  <si>
    <t>布加勒斯特*</t>
  </si>
  <si>
    <t>布加勒斯特市</t>
  </si>
  <si>
    <t>加拉茨县</t>
  </si>
  <si>
    <t>图尔恰县</t>
  </si>
  <si>
    <t>康斯坦察县</t>
  </si>
  <si>
    <t>多尔日县</t>
  </si>
  <si>
    <t>布拉索夫县</t>
  </si>
  <si>
    <t>克卢日县</t>
  </si>
  <si>
    <t>阿尔巴县</t>
  </si>
  <si>
    <t>伊尔福夫县</t>
  </si>
  <si>
    <t>普拉霍瓦县</t>
  </si>
  <si>
    <t>穆列什县</t>
  </si>
  <si>
    <t>阿尔杰什县</t>
  </si>
  <si>
    <t>比霍尔县</t>
  </si>
  <si>
    <t>特尔古穆列什县</t>
  </si>
  <si>
    <t>马拉穆列什县</t>
  </si>
  <si>
    <t>胡内多阿拉县</t>
  </si>
  <si>
    <t>蒂米什县</t>
  </si>
  <si>
    <t>萨图马雷县</t>
  </si>
  <si>
    <t>博托沙尼县</t>
  </si>
  <si>
    <t>内姆茨县</t>
  </si>
  <si>
    <t>哈尔吉塔县</t>
  </si>
  <si>
    <t>克勒拉希县</t>
  </si>
  <si>
    <t>沃尔恰县</t>
  </si>
  <si>
    <t>瓦斯卢伊县</t>
  </si>
  <si>
    <t>奥尔特县</t>
  </si>
  <si>
    <t>杂技</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</si>
  <si>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</si>
  <si>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</si>
  <si>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</si>
  <si>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</si>
  <si>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</si>
  <si>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</si>
  <si>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</si>
  <si>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</si>
  <si>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</si>
  <si>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</si>
  <si>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</si>
  <si>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</si>
  <si>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</si>
  <si>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</si>
  <si>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</si>
  <si>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</si>
  <si>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</si>
  <si>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</si>
  <si>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</si>
  <si>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</si>
  <si>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</si>
  <si>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</si>
  <si>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</si>
  <si>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</si>
  <si>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r>
      <rPr>
        <sz val="11.5"/>
        <color rgb="FF05073B"/>
        <rFont val="宋体"/>
        <family val="3"/>
        <charset val="134"/>
      </rPr>
      <t>*中欧</t>
    </r>
    <r>
      <rPr>
        <sz val="11.5"/>
        <color rgb="FF05073B"/>
        <rFont val="Segoe UI"/>
        <family val="2"/>
      </rPr>
      <t>*</t>
    </r>
  </si>
  <si>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</si>
  <si>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</si>
  <si>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</si>
  <si>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</si>
  <si>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</si>
  <si>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</si>
  <si>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</si>
  <si>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</si>
  <si>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</si>
  <si>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</si>
  <si>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r>
      <rPr>
        <sz val="11.25"/>
        <color rgb="FF05073B"/>
        <rFont val="PingFang-SC-Regular"/>
        <family val="1"/>
      </rPr>
      <t>德国</t>
    </r>
  </si>
  <si>
    <t>柏林*</t>
  </si>
  <si>
    <t>巴登-符腾堡州</t>
  </si>
  <si>
    <t>拜仁州</t>
  </si>
  <si>
    <t>柏林州</t>
  </si>
  <si>
    <t>勃兰登堡州</t>
  </si>
  <si>
    <t>不来梅市</t>
  </si>
  <si>
    <t>汉堡市</t>
  </si>
  <si>
    <t>黑森州</t>
  </si>
  <si>
    <t>梅克伦堡-前波莫瑞州</t>
  </si>
  <si>
    <t>下萨克森州</t>
  </si>
  <si>
    <t>北莱茵-威斯特法伦州</t>
  </si>
  <si>
    <t>莱茵兰-普法尔茨州</t>
  </si>
  <si>
    <t>萨尔州</t>
  </si>
  <si>
    <t>萨克森州</t>
  </si>
  <si>
    <t>萨克森-安哈尔特州</t>
  </si>
  <si>
    <t>石勒苏益格-荷尔斯泰因州</t>
  </si>
  <si>
    <t>图林根州</t>
  </si>
  <si>
    <t>耕作</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</si>
  <si>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</si>
  <si>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</si>
  <si>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</si>
  <si>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</si>
  <si>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</si>
  <si>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</si>
  <si>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</si>
  <si>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</si>
  <si>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</si>
  <si>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r>
      <rPr>
        <sz val="11.25"/>
        <color rgb="FF05073B"/>
        <rFont val="PingFang-SC-Regular"/>
        <family val="1"/>
      </rPr>
      <t>波兰</t>
    </r>
  </si>
  <si>
    <t>华沙*</t>
  </si>
  <si>
    <t>奥波莱省</t>
  </si>
  <si>
    <t>库亚维-波美拉尼亚省</t>
  </si>
  <si>
    <t>卢布林省</t>
  </si>
  <si>
    <t>罗兹省</t>
  </si>
  <si>
    <t>马佐夫舍省</t>
  </si>
  <si>
    <t>下西里西亚省</t>
  </si>
  <si>
    <t>波德拉谢省</t>
  </si>
  <si>
    <t>西里西亚省</t>
  </si>
  <si>
    <t>大波兰省</t>
  </si>
  <si>
    <t>马尔波罗省</t>
  </si>
  <si>
    <t>瓦尔米亚-马祖里省</t>
  </si>
  <si>
    <t>卢布斯卡省</t>
  </si>
  <si>
    <t>波美拉尼亚省</t>
  </si>
  <si>
    <t>什切青省</t>
  </si>
  <si>
    <t>小波兰省</t>
  </si>
  <si>
    <t>喀尔巴阡山省</t>
  </si>
  <si>
    <t>格但斯克省</t>
  </si>
  <si>
    <t>西滨海省</t>
  </si>
  <si>
    <t>波兹南省</t>
  </si>
  <si>
    <t>瓦尔塔河省</t>
  </si>
  <si>
    <t>热舒夫省</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</si>
  <si>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</si>
  <si>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</si>
  <si>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</si>
  <si>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</si>
  <si>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</si>
  <si>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</si>
  <si>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</si>
  <si>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</si>
  <si>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</si>
  <si>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r>
      <rPr>
        <sz val="11.25"/>
        <color rgb="FF05073B"/>
        <rFont val="PingFang-SC-Regular"/>
        <family val="1"/>
      </rPr>
      <t>捷克</t>
    </r>
  </si>
  <si>
    <t>布拉格*</t>
  </si>
  <si>
    <t>布尔诺州</t>
  </si>
  <si>
    <t>比尔森州</t>
  </si>
  <si>
    <t>卡罗维发利州</t>
  </si>
  <si>
    <t>利贝雷茨州</t>
  </si>
  <si>
    <t>赫拉德茨-克拉洛韦州</t>
  </si>
  <si>
    <t>乌斯季州</t>
  </si>
  <si>
    <t>帕尔杜比采州</t>
  </si>
  <si>
    <t>奥洛穆茨州</t>
  </si>
  <si>
    <t>兹林州</t>
  </si>
  <si>
    <t>维索基纳州</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</si>
  <si>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</si>
  <si>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</si>
  <si>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</si>
  <si>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</si>
  <si>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</si>
  <si>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</si>
  <si>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</si>
  <si>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</si>
  <si>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</si>
  <si>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</si>
  <si>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</si>
  <si>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r>
      <rPr>
        <sz val="11.25"/>
        <color rgb="FF05073B"/>
        <rFont val="PingFang-SC-Regular"/>
        <family val="1"/>
      </rPr>
      <t>斯洛伐克</t>
    </r>
  </si>
  <si>
    <t>布拉迪斯拉发*</t>
  </si>
  <si>
    <t>班斯卡·比斯特里察州</t>
  </si>
  <si>
    <t>布拉迪斯拉发州</t>
  </si>
  <si>
    <t>科希策州</t>
  </si>
  <si>
    <t>尼特拉州</t>
  </si>
  <si>
    <t>普雷绍夫州</t>
  </si>
  <si>
    <t>日利纳州</t>
  </si>
  <si>
    <t>特伦钦州</t>
  </si>
  <si>
    <t>特尔纳瓦州</t>
  </si>
  <si>
    <t>木匠</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</si>
  <si>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</si>
  <si>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</si>
  <si>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</si>
  <si>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</si>
  <si>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</si>
  <si>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</si>
  <si>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</si>
  <si>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r>
      <rPr>
        <sz val="11.25"/>
        <color rgb="FF05073B"/>
        <rFont val="PingFang-SC-Regular"/>
        <family val="1"/>
      </rPr>
      <t>匈牙利</t>
    </r>
  </si>
  <si>
    <t>布达佩斯*</t>
  </si>
  <si>
    <t>巴奇-基什孔州</t>
  </si>
  <si>
    <t>巴兰尼亚州</t>
  </si>
  <si>
    <t>贝凯什州</t>
  </si>
  <si>
    <t>贝凯什乔包州</t>
  </si>
  <si>
    <t>包尔绍德-奥包乌伊-曾普伦州</t>
  </si>
  <si>
    <t>博尔索德-奥包乌伊-山多尔州</t>
  </si>
  <si>
    <t>费耶尔州</t>
  </si>
  <si>
    <t>杰尔-莫雄-肖普朗州</t>
  </si>
  <si>
    <t>豪伊杜-比豪尔州</t>
  </si>
  <si>
    <t>赫维什州</t>
  </si>
  <si>
    <t>琼格拉德州</t>
  </si>
  <si>
    <t>科马罗姆州</t>
  </si>
  <si>
    <t>诺格拉德州</t>
  </si>
  <si>
    <t>佩斯州</t>
  </si>
  <si>
    <t>绍莫吉州</t>
  </si>
  <si>
    <t>索博尔奇-索特马尔-贝拉格州</t>
  </si>
  <si>
    <t>索姆洛德州</t>
  </si>
  <si>
    <t>托尔瑙州</t>
  </si>
  <si>
    <t>瓦什州</t>
  </si>
  <si>
    <t>维斯普雷姆州</t>
  </si>
  <si>
    <t>沃什州</t>
  </si>
  <si>
    <t>扎拉州</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</si>
  <si>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</si>
  <si>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</si>
  <si>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</si>
  <si>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</si>
  <si>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</si>
  <si>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</si>
  <si>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</si>
  <si>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r>
      <rPr>
        <sz val="11.25"/>
        <color rgb="FF05073B"/>
        <rFont val="PingFang-SC-Regular"/>
        <family val="1"/>
      </rPr>
      <t>奥地利</t>
    </r>
  </si>
  <si>
    <t>维也纳*</t>
  </si>
  <si>
    <t>布尔根兰州</t>
  </si>
  <si>
    <t>克恩顿州</t>
  </si>
  <si>
    <t>上奥地利州</t>
  </si>
  <si>
    <t>下奥地利州</t>
  </si>
  <si>
    <t>萨尔茨堡州</t>
  </si>
  <si>
    <t>施蒂利亚州</t>
  </si>
  <si>
    <t>蒂罗尔州</t>
  </si>
  <si>
    <t>福拉尔贝格州</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</si>
  <si>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</si>
  <si>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</si>
  <si>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</si>
  <si>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</si>
  <si>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</si>
  <si>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</si>
  <si>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</si>
  <si>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r>
      <rPr>
        <sz val="11.25"/>
        <color rgb="FF05073B"/>
        <rFont val="PingFang-SC-Regular"/>
        <family val="1"/>
      </rPr>
      <t>瑞士</t>
    </r>
  </si>
  <si>
    <t>伯尔尼*</t>
  </si>
  <si>
    <t>苏黎世州</t>
  </si>
  <si>
    <t>日内瓦州</t>
  </si>
  <si>
    <t>沃州</t>
  </si>
  <si>
    <t>纳沙泰尔州</t>
  </si>
  <si>
    <t>汝拉州</t>
  </si>
  <si>
    <t>瓦莱州</t>
  </si>
  <si>
    <t>外阿彭策尔州</t>
  </si>
  <si>
    <t>内阿彭策尔州</t>
  </si>
  <si>
    <t>圣加仑州</t>
  </si>
  <si>
    <t>格拉鲁斯州</t>
  </si>
  <si>
    <t>弗里堡州</t>
  </si>
  <si>
    <t>索洛图恩州</t>
  </si>
  <si>
    <t>提契诺州</t>
  </si>
  <si>
    <t>格劳宾登州</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</si>
  <si>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</si>
  <si>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</si>
  <si>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</si>
  <si>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</si>
  <si>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</si>
  <si>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</si>
  <si>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</si>
  <si>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</si>
  <si>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</si>
  <si>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r>
      <rPr>
        <sz val="11.25"/>
        <color rgb="FF05073B"/>
        <rFont val="PingFang-SC-Regular"/>
        <family val="1"/>
      </rPr>
      <t>列支敦士登</t>
    </r>
  </si>
  <si>
    <t>瓦杜兹*</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</si>
  <si>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</si>
  <si>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</si>
  <si>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</si>
  <si>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</si>
  <si>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</si>
  <si>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</si>
  <si>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</si>
  <si>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</si>
  <si>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</si>
  <si>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</si>
  <si>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</si>
  <si>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</si>
  <si>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</si>
  <si>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</si>
  <si>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——非洲——</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</si>
  <si>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</si>
  <si>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</si>
  <si>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</si>
  <si>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</si>
  <si>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</si>
  <si>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</si>
  <si>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</si>
  <si>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</si>
  <si>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</si>
  <si>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</si>
  <si>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</si>
  <si>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</si>
  <si>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</si>
  <si>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r>
      <rPr>
        <sz val="11.5"/>
        <color rgb="FF05073B"/>
        <rFont val="宋体"/>
        <family val="3"/>
        <charset val="134"/>
      </rPr>
      <t>*北非</t>
    </r>
    <r>
      <rPr>
        <sz val="11.5"/>
        <color rgb="FF05073B"/>
        <rFont val="Segoe UI"/>
        <family val="2"/>
      </rPr>
      <t>*</t>
    </r>
  </si>
  <si>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</si>
  <si>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</si>
  <si>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</si>
  <si>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</si>
  <si>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</si>
  <si>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</si>
  <si>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</si>
  <si>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</si>
  <si>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</si>
  <si>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</si>
  <si>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</si>
  <si>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</si>
  <si>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</si>
  <si>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</si>
  <si>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</si>
  <si>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</si>
  <si>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</si>
  <si>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</si>
  <si>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r>
      <rPr>
        <sz val="11.25"/>
        <color rgb="FF05073B"/>
        <rFont val="PingFang-SC-Regular"/>
        <family val="1"/>
      </rPr>
      <t>埃及</t>
    </r>
  </si>
  <si>
    <t>开罗*</t>
  </si>
  <si>
    <t>亚历山大省</t>
  </si>
  <si>
    <t>比赫拉省</t>
  </si>
  <si>
    <t>贝尼苏韦夫省</t>
  </si>
  <si>
    <t>布海拉省</t>
  </si>
  <si>
    <t>法尤姆省</t>
  </si>
  <si>
    <t>盖勒尤比省</t>
  </si>
  <si>
    <t>伊斯梅利亚省</t>
  </si>
  <si>
    <t>马特鲁省</t>
  </si>
  <si>
    <t>米尼亚省</t>
  </si>
  <si>
    <t>新河谷省</t>
  </si>
  <si>
    <t>北西奈省</t>
  </si>
  <si>
    <t>红海省</t>
  </si>
  <si>
    <t>南西奈省</t>
  </si>
  <si>
    <t>索哈杰省</t>
  </si>
  <si>
    <t>艾斯尤特省</t>
  </si>
  <si>
    <t>苏伊士省</t>
  </si>
  <si>
    <t>基纳省</t>
  </si>
  <si>
    <t>阿斯旺省</t>
  </si>
  <si>
    <t>达卡利亚省</t>
  </si>
  <si>
    <t>杜姆亚特省</t>
  </si>
  <si>
    <t>卡夫拉谢赫省</t>
  </si>
  <si>
    <t>卢克索省</t>
  </si>
  <si>
    <t>盖卢比尤省</t>
  </si>
  <si>
    <t>南锡奈省</t>
  </si>
  <si>
    <t>北部滨海省</t>
  </si>
  <si>
    <t>西部沙漠省</t>
  </si>
  <si>
    <t>中部省</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</si>
  <si>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</si>
  <si>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</si>
  <si>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</si>
  <si>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</si>
  <si>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</si>
  <si>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</si>
  <si>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</si>
  <si>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</si>
  <si>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</si>
  <si>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</si>
  <si>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</si>
  <si>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</si>
  <si>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</si>
  <si>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</si>
  <si>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</si>
  <si>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</si>
  <si>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</si>
  <si>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r>
      <rPr>
        <sz val="11.25"/>
        <color rgb="FF05073B"/>
        <rFont val="PingFang-SC-Regular"/>
        <family val="1"/>
      </rPr>
      <t>苏丹</t>
    </r>
  </si>
  <si>
    <t>喀土穆*</t>
  </si>
  <si>
    <t>北达尔富尔州</t>
  </si>
  <si>
    <t>南达尔富尔州</t>
  </si>
  <si>
    <t>西达尔富尔州</t>
  </si>
  <si>
    <t>中达尔富尔州</t>
  </si>
  <si>
    <t>红海州</t>
  </si>
  <si>
    <t>喀土穆州</t>
  </si>
  <si>
    <t>加达里夫州</t>
  </si>
  <si>
    <t>尼罗州</t>
  </si>
  <si>
    <t>北科尔多凡州</t>
  </si>
  <si>
    <t>南科尔多凡州</t>
  </si>
  <si>
    <t>白尼罗州</t>
  </si>
  <si>
    <t>森纳尔州</t>
  </si>
  <si>
    <t>杰济拉州</t>
  </si>
  <si>
    <t>青尼罗州</t>
  </si>
  <si>
    <t>东赤道州</t>
  </si>
  <si>
    <t>西赤道州</t>
  </si>
  <si>
    <t>湖泊州</t>
  </si>
  <si>
    <t>瓦拉布州</t>
  </si>
  <si>
    <t>西加扎勒河州</t>
  </si>
  <si>
    <t>北加扎勒河州</t>
  </si>
  <si>
    <t>上尼罗州</t>
  </si>
  <si>
    <t>巴赫里尔州</t>
  </si>
  <si>
    <t>南加扎勒河州</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</si>
  <si>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</si>
  <si>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</si>
  <si>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</si>
  <si>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</si>
  <si>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</si>
  <si>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</si>
  <si>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</si>
  <si>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</si>
  <si>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</si>
  <si>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</si>
  <si>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</si>
  <si>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</si>
  <si>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</si>
  <si>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</si>
  <si>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r>
      <rPr>
        <sz val="11.25"/>
        <color rgb="FF05073B"/>
        <rFont val="PingFang-SC-Regular"/>
        <family val="1"/>
      </rPr>
      <t>南苏丹</t>
    </r>
  </si>
  <si>
    <t>朱巴*</t>
  </si>
  <si>
    <t>中赤道州</t>
  </si>
  <si>
    <t>琼莱州</t>
  </si>
  <si>
    <t>联合州</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</si>
  <si>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</si>
  <si>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</si>
  <si>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</si>
  <si>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</si>
  <si>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</si>
  <si>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</si>
  <si>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</si>
  <si>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</si>
  <si>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</si>
  <si>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</si>
  <si>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r>
      <rPr>
        <sz val="11.25"/>
        <color rgb="FF05073B"/>
        <rFont val="PingFang-SC-Regular"/>
        <family val="1"/>
      </rPr>
      <t>利比亚</t>
    </r>
  </si>
  <si>
    <t>的黎波里*</t>
  </si>
  <si>
    <t>班加西</t>
  </si>
  <si>
    <t>巴尼沃利德</t>
  </si>
  <si>
    <t>德尔纳</t>
  </si>
  <si>
    <t>艾季达比耶</t>
  </si>
  <si>
    <t>苏尔特</t>
  </si>
  <si>
    <t>贝达</t>
  </si>
  <si>
    <t>塞卜哈</t>
  </si>
  <si>
    <t>扎维亚</t>
  </si>
  <si>
    <t>米苏拉塔</t>
  </si>
  <si>
    <t>的黎波里塔尼亚</t>
  </si>
  <si>
    <t>昔兰尼加</t>
  </si>
  <si>
    <t>费赞</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</si>
  <si>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</si>
  <si>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</si>
  <si>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</si>
  <si>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</si>
  <si>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</si>
  <si>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</si>
  <si>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</si>
  <si>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</si>
  <si>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</si>
  <si>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</si>
  <si>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</si>
  <si>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</si>
  <si>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r>
      <rPr>
        <sz val="11.25"/>
        <color rgb="FF05073B"/>
        <rFont val="PingFang-SC-Regular"/>
        <family val="1"/>
      </rPr>
      <t>突尼斯</t>
    </r>
  </si>
  <si>
    <t>突尼斯市*</t>
  </si>
  <si>
    <t>比塞大</t>
  </si>
  <si>
    <t>苏塞</t>
  </si>
  <si>
    <t>加贝斯</t>
  </si>
  <si>
    <t>凯鲁万</t>
  </si>
  <si>
    <t>马赫雷斯</t>
  </si>
  <si>
    <t>蒙斯提尔</t>
  </si>
  <si>
    <t>纳布勒</t>
  </si>
  <si>
    <t>斯法克斯</t>
  </si>
  <si>
    <t>西迪布济德</t>
  </si>
  <si>
    <t>泰塔温</t>
  </si>
  <si>
    <t>托泽尔</t>
  </si>
  <si>
    <t>加夫萨</t>
  </si>
  <si>
    <t>大迈赫雷斯</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</si>
  <si>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</si>
  <si>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</si>
  <si>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</si>
  <si>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</si>
  <si>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</si>
  <si>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</si>
  <si>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</si>
  <si>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</si>
  <si>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</si>
  <si>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</si>
  <si>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r>
      <rPr>
        <sz val="11.25"/>
        <color rgb="FF05073B"/>
        <rFont val="PingFang-SC-Regular"/>
        <family val="1"/>
      </rPr>
      <t>阿尔及利亚</t>
    </r>
  </si>
  <si>
    <t>阿尔及尔*</t>
  </si>
  <si>
    <t>阿尔及尔省</t>
  </si>
  <si>
    <t>奥兰省</t>
  </si>
  <si>
    <t>巴特纳省</t>
  </si>
  <si>
    <t>贝贾亚省</t>
  </si>
  <si>
    <t>比斯卡拉省</t>
  </si>
  <si>
    <t>布利达省</t>
  </si>
  <si>
    <t>布伊拉省</t>
  </si>
  <si>
    <t>谢利夫省</t>
  </si>
  <si>
    <t>康斯坦丁省</t>
  </si>
  <si>
    <t>盖尔达耶省</t>
  </si>
  <si>
    <t>盖勒敏省</t>
  </si>
  <si>
    <t>贾奈特省</t>
  </si>
  <si>
    <t>吉杰尔省</t>
  </si>
  <si>
    <t>朱夫拉省</t>
  </si>
  <si>
    <t>拉格瓦特省</t>
  </si>
  <si>
    <t>拉德利斯省</t>
  </si>
  <si>
    <t>拉德万省</t>
  </si>
  <si>
    <t>迈西拉省</t>
  </si>
  <si>
    <t>姆西拉省</t>
  </si>
  <si>
    <t>奥拉德万省</t>
  </si>
  <si>
    <t>奥雷斯省</t>
  </si>
  <si>
    <t>塞蒂夫省</t>
  </si>
  <si>
    <t>塞伊达省</t>
  </si>
  <si>
    <t>斯基克达省</t>
  </si>
  <si>
    <t>塔曼拉塞特省</t>
  </si>
  <si>
    <t>特贝萨省</t>
  </si>
  <si>
    <t>提济乌祖省</t>
  </si>
  <si>
    <t>提亚雷特省</t>
  </si>
  <si>
    <t>图古尔特省</t>
  </si>
  <si>
    <t>瓦赫兰省</t>
  </si>
  <si>
    <t>瓦尔格拉省</t>
  </si>
  <si>
    <t>乌姆布瓦吉省</t>
  </si>
  <si>
    <t>安纳巴省</t>
  </si>
  <si>
    <t>贝伊德省</t>
  </si>
  <si>
    <t>伊利济省</t>
  </si>
  <si>
    <t>伊塞尔省</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</si>
  <si>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</si>
  <si>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</si>
  <si>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</si>
  <si>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</si>
  <si>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</si>
  <si>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</si>
  <si>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</si>
  <si>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</si>
  <si>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</si>
  <si>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</si>
  <si>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</si>
  <si>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</si>
  <si>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r>
      <rPr>
        <sz val="11.25"/>
        <color rgb="FF05073B"/>
        <rFont val="PingFang-SC-Regular"/>
        <family val="1"/>
      </rPr>
      <t>摩洛哥</t>
    </r>
  </si>
  <si>
    <t>拉巴特*</t>
  </si>
  <si>
    <t>非斯</t>
  </si>
  <si>
    <t>丹吉尔</t>
  </si>
  <si>
    <t>梅克内斯</t>
  </si>
  <si>
    <t>马拉喀什</t>
  </si>
  <si>
    <t>阿加迪尔</t>
  </si>
  <si>
    <t>乌季达</t>
  </si>
  <si>
    <t>萨菲</t>
  </si>
  <si>
    <t>塞塔特</t>
  </si>
  <si>
    <t>塔扎</t>
  </si>
  <si>
    <t>胡塞马</t>
  </si>
  <si>
    <t>盖勒敏</t>
  </si>
  <si>
    <t>卡萨布兰卡</t>
  </si>
  <si>
    <t>舍夫沙万</t>
  </si>
  <si>
    <t>陶安</t>
  </si>
  <si>
    <t>拉希迪耶</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</si>
  <si>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</si>
  <si>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</si>
  <si>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</si>
  <si>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</si>
  <si>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</si>
  <si>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</si>
  <si>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</si>
  <si>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</si>
  <si>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</si>
  <si>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</si>
  <si>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</si>
  <si>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</si>
  <si>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</si>
  <si>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</si>
  <si>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</si>
  <si>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</si>
  <si>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</si>
  <si>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</si>
  <si>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</si>
  <si>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</si>
  <si>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</si>
  <si>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</si>
  <si>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</si>
  <si>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r>
      <rPr>
        <sz val="11.5"/>
        <color rgb="FF05073B"/>
        <rFont val="宋体"/>
        <family val="3"/>
        <charset val="134"/>
      </rPr>
      <t>*东非</t>
    </r>
    <r>
      <rPr>
        <sz val="11.5"/>
        <color rgb="FF05073B"/>
        <rFont val="Segoe UI"/>
        <family val="2"/>
      </rPr>
      <t>*</t>
    </r>
  </si>
  <si>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</si>
  <si>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</si>
  <si>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</si>
  <si>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</si>
  <si>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</si>
  <si>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</si>
  <si>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</si>
  <si>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</si>
  <si>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</si>
  <si>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r>
      <rPr>
        <sz val="11.25"/>
        <color rgb="FF05073B"/>
        <rFont val="PingFang-SC-Regular"/>
        <family val="1"/>
      </rPr>
      <t>埃塞俄比亚</t>
    </r>
  </si>
  <si>
    <t>亚的斯亚贝巴*</t>
  </si>
  <si>
    <t>阿法尔州</t>
  </si>
  <si>
    <t>阿姆哈拉州</t>
  </si>
  <si>
    <t>贝尼尚古尔-古穆兹州</t>
  </si>
  <si>
    <t>甘贝拉州</t>
  </si>
  <si>
    <t>哈勒里州</t>
  </si>
  <si>
    <t>奥罗米亚州</t>
  </si>
  <si>
    <t>索马里州</t>
  </si>
  <si>
    <t>南方各族州</t>
  </si>
  <si>
    <t>提格雷州</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</si>
  <si>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</si>
  <si>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</si>
  <si>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</si>
  <si>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</si>
  <si>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</si>
  <si>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r>
      <rPr>
        <sz val="11.25"/>
        <color rgb="FF05073B"/>
        <rFont val="PingFang-SC-Regular"/>
        <family val="1"/>
      </rPr>
      <t>厄立特里亚</t>
    </r>
  </si>
  <si>
    <t>阿斯马拉*</t>
  </si>
  <si>
    <t>安塞巴区</t>
  </si>
  <si>
    <t>加什-巴克拉区</t>
  </si>
  <si>
    <t>北红海区</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</si>
  <si>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</si>
  <si>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</si>
  <si>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</si>
  <si>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</si>
  <si>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</si>
  <si>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</si>
  <si>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</si>
  <si>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</si>
  <si>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</si>
  <si>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</si>
  <si>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r>
      <rPr>
        <sz val="11.25"/>
        <color rgb="FF05073B"/>
        <rFont val="PingFang-SC-Regular"/>
        <family val="1"/>
      </rPr>
      <t>索马里</t>
    </r>
  </si>
  <si>
    <t>摩加迪沙*</t>
  </si>
  <si>
    <t>巴科勒州</t>
  </si>
  <si>
    <t>巴纳迪尔州</t>
  </si>
  <si>
    <t>拜州</t>
  </si>
  <si>
    <t>下谢贝利州</t>
  </si>
  <si>
    <t>中谢贝利州</t>
  </si>
  <si>
    <t>上谢贝利州</t>
  </si>
  <si>
    <t>希兰州</t>
  </si>
  <si>
    <t>加勒古杜德州</t>
  </si>
  <si>
    <t>盖多州</t>
  </si>
  <si>
    <t>希贝尔蒂州</t>
  </si>
  <si>
    <t>朱巴兰州</t>
  </si>
  <si>
    <t>穆杜格州</t>
  </si>
  <si>
    <t>努加尔州</t>
  </si>
  <si>
    <t>萨纳格州</t>
  </si>
  <si>
    <t>托格代尔州</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</si>
  <si>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</si>
  <si>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</si>
  <si>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</si>
  <si>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</si>
  <si>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</si>
  <si>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</si>
  <si>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</si>
  <si>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</si>
  <si>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</si>
  <si>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</si>
  <si>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</si>
  <si>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r>
      <rPr>
        <sz val="11.25"/>
        <color rgb="FF05073B"/>
        <rFont val="PingFang-SC-Regular"/>
        <family val="1"/>
      </rPr>
      <t>吉布提</t>
    </r>
  </si>
  <si>
    <t>吉布提市*</t>
  </si>
  <si>
    <t>阿里萨比耶区</t>
  </si>
  <si>
    <t>塔朱拉区</t>
  </si>
  <si>
    <t>奥布欧克区</t>
  </si>
  <si>
    <t>迪基尔区</t>
  </si>
  <si>
    <t>阿尔塔区</t>
  </si>
  <si>
    <t>迪雷区</t>
  </si>
  <si>
    <t>奥博克区</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</si>
  <si>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</si>
  <si>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</si>
  <si>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</si>
  <si>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</si>
  <si>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</si>
  <si>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</si>
  <si>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</si>
  <si>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</si>
  <si>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</si>
  <si>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</si>
  <si>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</si>
  <si>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r>
      <rPr>
        <sz val="11.25"/>
        <color rgb="FF05073B"/>
        <rFont val="PingFang-SC-Regular"/>
        <family val="1"/>
      </rPr>
      <t>肯尼亚</t>
    </r>
  </si>
  <si>
    <t>内罗毕*</t>
  </si>
  <si>
    <t>滨海省</t>
  </si>
  <si>
    <t>裂谷省</t>
  </si>
  <si>
    <t>纳库鲁省</t>
  </si>
  <si>
    <t>尼亚萨省</t>
  </si>
  <si>
    <t>北裂谷省</t>
  </si>
  <si>
    <t>东裂谷省</t>
  </si>
  <si>
    <t>西裂谷省</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</si>
  <si>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</si>
  <si>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</si>
  <si>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</si>
  <si>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</si>
  <si>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</si>
  <si>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</si>
  <si>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</si>
  <si>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</si>
  <si>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</si>
  <si>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</si>
  <si>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r>
      <rPr>
        <sz val="11.25"/>
        <color rgb="FF05073B"/>
        <rFont val="PingFang-SC-Regular"/>
        <family val="1"/>
      </rPr>
      <t>坦桑尼亚</t>
    </r>
  </si>
  <si>
    <t>多多马*</t>
  </si>
  <si>
    <t>达累斯萨拉姆</t>
  </si>
  <si>
    <t>阿鲁沙区</t>
  </si>
  <si>
    <t>多多马区</t>
  </si>
  <si>
    <t>伊林加区</t>
  </si>
  <si>
    <t>卡盖拉区</t>
  </si>
  <si>
    <t>基戈马区</t>
  </si>
  <si>
    <t>基塔莱区</t>
  </si>
  <si>
    <t>马拉区</t>
  </si>
  <si>
    <t>马拉维区</t>
  </si>
  <si>
    <t>姆贝亚区</t>
  </si>
  <si>
    <t>莫罗戈罗区</t>
  </si>
  <si>
    <t>姆万扎区</t>
  </si>
  <si>
    <t>鲁夸区</t>
  </si>
  <si>
    <t>鲁伍马区</t>
  </si>
  <si>
    <t>希尼安加区</t>
  </si>
  <si>
    <t>辛吉达区</t>
  </si>
  <si>
    <t>坦噶区</t>
  </si>
  <si>
    <t>桑给巴尔南区</t>
  </si>
  <si>
    <t>桑给巴尔北区</t>
  </si>
  <si>
    <t>桑给巴尔西区</t>
  </si>
  <si>
    <t>桑给巴尔中央区/桑给巴尔市</t>
  </si>
  <si>
    <t>剑</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</si>
  <si>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</si>
  <si>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</si>
  <si>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</si>
  <si>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</si>
  <si>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</si>
  <si>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</si>
  <si>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</si>
  <si>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r>
      <rPr>
        <sz val="11.25"/>
        <color rgb="FF05073B"/>
        <rFont val="PingFang-SC-Regular"/>
        <family val="1"/>
      </rPr>
      <t>乌干达</t>
    </r>
  </si>
  <si>
    <t>坎帕拉*</t>
  </si>
  <si>
    <t>中部区</t>
  </si>
  <si>
    <t>东部区</t>
  </si>
  <si>
    <t>西部区</t>
  </si>
  <si>
    <t>卡拉莫贾区</t>
  </si>
  <si>
    <t>阿乔利区</t>
  </si>
  <si>
    <t>布尼奥罗区</t>
  </si>
  <si>
    <t>兰戈区</t>
  </si>
  <si>
    <t>托罗罗区</t>
  </si>
  <si>
    <t>阿尼安科莱区</t>
  </si>
  <si>
    <t>布杜马区</t>
  </si>
  <si>
    <t>卡通加区</t>
  </si>
  <si>
    <t>卡巴莱区</t>
  </si>
  <si>
    <t>卡通戈区</t>
  </si>
  <si>
    <t>基特古姆区</t>
  </si>
  <si>
    <t>基里扬东戈区</t>
  </si>
  <si>
    <t>基索罗区</t>
  </si>
  <si>
    <t>马萨卡区</t>
  </si>
  <si>
    <t>姆巴莱区</t>
  </si>
  <si>
    <t>姆皮吉区</t>
  </si>
  <si>
    <t>纳卡松戈拉区</t>
  </si>
  <si>
    <t>奈比区</t>
  </si>
  <si>
    <t>恩通加莫区</t>
  </si>
  <si>
    <t>帕德尔区</t>
  </si>
  <si>
    <t>鲁昆迪里区</t>
  </si>
  <si>
    <t>塞姆巴拉布勒区</t>
  </si>
  <si>
    <t>索罗蒂区</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</si>
  <si>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</si>
  <si>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</si>
  <si>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</si>
  <si>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</si>
  <si>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</si>
  <si>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</si>
  <si>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r>
      <rPr>
        <sz val="11.25"/>
        <color rgb="FF05073B"/>
        <rFont val="PingFang-SC-Regular"/>
        <family val="1"/>
      </rPr>
      <t>卢旺达</t>
    </r>
  </si>
  <si>
    <t>基加利*</t>
  </si>
  <si>
    <t>基加利省</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</si>
  <si>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</si>
  <si>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</si>
  <si>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</si>
  <si>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</si>
  <si>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</si>
  <si>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</si>
  <si>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r>
      <rPr>
        <sz val="11.25"/>
        <color rgb="FF05073B"/>
        <rFont val="PingFang-SC-Regular"/>
        <family val="1"/>
      </rPr>
      <t>布隆迪</t>
    </r>
  </si>
  <si>
    <t>布琼布拉*</t>
  </si>
  <si>
    <t>布班扎省</t>
  </si>
  <si>
    <t>布琼布拉省</t>
  </si>
  <si>
    <t>布鲁里省</t>
  </si>
  <si>
    <t>坎库佐省</t>
  </si>
  <si>
    <t>基特加省</t>
  </si>
  <si>
    <t>卡鲁齐省</t>
  </si>
  <si>
    <t>马坎巴省</t>
  </si>
  <si>
    <t>穆朗维亚省</t>
  </si>
  <si>
    <t>穆因加省</t>
  </si>
  <si>
    <t>恩戈齐省</t>
  </si>
  <si>
    <t>鲁塔纳省</t>
  </si>
  <si>
    <t>鲁伊吉省</t>
  </si>
  <si>
    <t>矛</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</si>
  <si>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</si>
  <si>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</si>
  <si>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</si>
  <si>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</si>
  <si>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</si>
  <si>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</si>
  <si>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r>
      <rPr>
        <sz val="11.25"/>
        <color rgb="FF05073B"/>
        <rFont val="PingFang-SC-Regular"/>
        <family val="1"/>
      </rPr>
      <t>塞舌尔</t>
    </r>
  </si>
  <si>
    <t>维多利亚*</t>
  </si>
  <si>
    <t>马埃岛</t>
  </si>
  <si>
    <t>普拉兰岛</t>
  </si>
  <si>
    <t>拉迪格岛</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</si>
  <si>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</si>
  <si>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</si>
  <si>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</si>
  <si>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</si>
  <si>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</si>
  <si>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武术</t>
  </si>
  <si>
    <t>· 借助身体素质以及格斗技巧进行的特殊打击
· 武术通常不考虑装备的器具，哪怕是贴身器具</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</si>
  <si>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</si>
  <si>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</si>
  <si>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</si>
  <si>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</si>
  <si>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</si>
  <si>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</si>
  <si>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</si>
  <si>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r>
      <rPr>
        <sz val="11.5"/>
        <color rgb="FF05073B"/>
        <rFont val="宋体"/>
        <family val="3"/>
        <charset val="134"/>
      </rPr>
      <t>*西非</t>
    </r>
    <r>
      <rPr>
        <sz val="11.5"/>
        <color rgb="FF05073B"/>
        <rFont val="Segoe UI"/>
        <family val="2"/>
      </rPr>
      <t>*</t>
    </r>
  </si>
  <si>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</si>
  <si>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</si>
  <si>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</si>
  <si>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</si>
  <si>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</si>
  <si>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</si>
  <si>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</si>
  <si>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r>
      <rPr>
        <sz val="11.25"/>
        <color rgb="FF05073B"/>
        <rFont val="PingFang-SC-Regular"/>
        <family val="1"/>
      </rPr>
      <t>毛里塔尼亚</t>
    </r>
  </si>
  <si>
    <t>努瓦克肖特*</t>
  </si>
  <si>
    <t>阿德拉尔区</t>
  </si>
  <si>
    <t>阿萨巴区</t>
  </si>
  <si>
    <t>布拉克纳区</t>
  </si>
  <si>
    <t>达赫莱特努瓦迪布区</t>
  </si>
  <si>
    <t>戈尔戈勒区</t>
  </si>
  <si>
    <t>吉德大区</t>
  </si>
  <si>
    <t>塔乌拉区</t>
  </si>
  <si>
    <t>特拉扎区</t>
  </si>
  <si>
    <t>步枪/霰弹枪</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</si>
  <si>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</si>
  <si>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</si>
  <si>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</si>
  <si>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</si>
  <si>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</si>
  <si>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</si>
  <si>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</si>
  <si>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</si>
  <si>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</si>
  <si>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</si>
  <si>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</si>
  <si>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r>
      <rPr>
        <sz val="11.25"/>
        <color rgb="FF05073B"/>
        <rFont val="PingFang-SC-Regular"/>
        <family val="1"/>
      </rPr>
      <t>塞内加尔</t>
    </r>
  </si>
  <si>
    <t>达喀尔*</t>
  </si>
  <si>
    <t>达喀尔大区</t>
  </si>
  <si>
    <t>法蒂克大区</t>
  </si>
  <si>
    <t>卡夫林区</t>
  </si>
  <si>
    <t>卡萨拉大区</t>
  </si>
  <si>
    <t>祖盖尔大区</t>
  </si>
  <si>
    <t>克埃达大区</t>
  </si>
  <si>
    <t>齐乌大区</t>
  </si>
  <si>
    <t>弗拉大区</t>
  </si>
  <si>
    <t>凯杜古大区</t>
  </si>
  <si>
    <t>马塔姆大区</t>
  </si>
  <si>
    <t>尼奥罗大区</t>
  </si>
  <si>
    <t>塔伊大区</t>
  </si>
  <si>
    <t>蒂瓦万大区</t>
  </si>
  <si>
    <t>塞古大区</t>
  </si>
  <si>
    <t>捷斯大区</t>
  </si>
  <si>
    <t>上卡萨芒斯大区</t>
  </si>
  <si>
    <t>下卡萨芒斯大区</t>
  </si>
  <si>
    <t>冲锋枪</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</si>
  <si>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</si>
  <si>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</si>
  <si>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</si>
  <si>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</si>
  <si>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</si>
  <si>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</si>
  <si>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</si>
  <si>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r>
      <rPr>
        <sz val="11.25"/>
        <color rgb="FF05073B"/>
        <rFont val="PingFang-SC-Regular"/>
        <family val="1"/>
      </rPr>
      <t>冈比亚</t>
    </r>
  </si>
  <si>
    <t>班珠尔*</t>
  </si>
  <si>
    <t>下河区</t>
  </si>
  <si>
    <t>中河区</t>
  </si>
  <si>
    <t>上河区</t>
  </si>
  <si>
    <t>北岸区</t>
  </si>
  <si>
    <t>东区</t>
  </si>
  <si>
    <t>西区</t>
  </si>
  <si>
    <t xml:space="preserve">弓术 </t>
  </si>
  <si>
    <t>· 当用任何自动手枪或者冲锋枪开火时使用这个技能
· 同样也用于突击步枪的全自动模式</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</si>
  <si>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</si>
  <si>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</si>
  <si>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</si>
  <si>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</si>
  <si>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</si>
  <si>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</si>
  <si>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</si>
  <si>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</si>
  <si>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</si>
  <si>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</si>
  <si>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r>
      <rPr>
        <sz val="11.25"/>
        <color rgb="FF05073B"/>
        <rFont val="PingFang-SC-Regular"/>
        <family val="1"/>
      </rPr>
      <t>马里</t>
    </r>
  </si>
  <si>
    <t>巴马科*</t>
  </si>
  <si>
    <t>巴马科大区</t>
  </si>
  <si>
    <t>加奥大区</t>
  </si>
  <si>
    <t>凯塔大区</t>
  </si>
  <si>
    <t>库利科罗大区</t>
  </si>
  <si>
    <t>莫普提大区</t>
  </si>
  <si>
    <t>基达尔大区</t>
  </si>
  <si>
    <t>锡卡索大区</t>
  </si>
  <si>
    <t>泰利姆莱大区</t>
  </si>
  <si>
    <t>通布图大区</t>
  </si>
  <si>
    <t>喷射器</t>
  </si>
  <si>
    <t>弓术</t>
  </si>
  <si>
    <t>用来使用弓以及弩，包括从中世纪的长弓到现代高性能的复合弓</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</si>
  <si>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</si>
  <si>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</si>
  <si>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</si>
  <si>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</si>
  <si>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</si>
  <si>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</si>
  <si>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</si>
  <si>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</si>
  <si>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</si>
  <si>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</si>
  <si>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r>
      <rPr>
        <sz val="11.25"/>
        <color rgb="FF05073B"/>
        <rFont val="PingFang-SC-Regular"/>
        <family val="1"/>
      </rPr>
      <t>布基纳法索</t>
    </r>
  </si>
  <si>
    <t>瓦加杜古*</t>
  </si>
  <si>
    <t>巴济省</t>
  </si>
  <si>
    <t>邦戈洛省</t>
  </si>
  <si>
    <t>布尔基恩德省</t>
  </si>
  <si>
    <t>布尔基法索省</t>
  </si>
  <si>
    <t>卡萨芒斯省</t>
  </si>
  <si>
    <t>科摩埃省</t>
  </si>
  <si>
    <t>科西省</t>
  </si>
  <si>
    <t>古尔马省</t>
  </si>
  <si>
    <t>乌埃省</t>
  </si>
  <si>
    <t>格纳齐欧省</t>
  </si>
  <si>
    <t>古罗省</t>
  </si>
  <si>
    <t>凯杜古省</t>
  </si>
  <si>
    <t>科洛省</t>
  </si>
  <si>
    <t>洛罗姆省</t>
  </si>
  <si>
    <t>穆翁省</t>
  </si>
  <si>
    <t>纳杭省</t>
  </si>
  <si>
    <t>纳姆庞戈省</t>
  </si>
  <si>
    <t>努姆比埃尔省</t>
  </si>
  <si>
    <t>帕索雷省</t>
  </si>
  <si>
    <t>庞德省</t>
  </si>
  <si>
    <t>桑吉省</t>
  </si>
  <si>
    <t>塞纳省</t>
  </si>
  <si>
    <t>索罗省</t>
  </si>
  <si>
    <t>苏鲁省</t>
  </si>
  <si>
    <t>塔波省</t>
  </si>
  <si>
    <t>塔普阿省</t>
  </si>
  <si>
    <t>乌达兰省</t>
  </si>
  <si>
    <t>雅加省</t>
  </si>
  <si>
    <t>尤罗省</t>
  </si>
  <si>
    <t>宗德韦奥戈省</t>
  </si>
  <si>
    <t>济罗省</t>
  </si>
  <si>
    <t>库佩尔戈乌拉省</t>
  </si>
  <si>
    <t>纳乌里省</t>
  </si>
  <si>
    <t>纳亚拉省</t>
  </si>
  <si>
    <t>桑马滕加省</t>
  </si>
  <si>
    <t>锡西里省</t>
  </si>
  <si>
    <t>机枪</t>
  </si>
  <si>
    <t>· 喷射出一连串点燃的可燃烧液体或者气体的武器
· 可以被操作者携带或者架设在交通工具上</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</si>
  <si>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</si>
  <si>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</si>
  <si>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</si>
  <si>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</si>
  <si>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</si>
  <si>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</si>
  <si>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</si>
  <si>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</si>
  <si>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</si>
  <si>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</si>
  <si>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</si>
  <si>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r>
      <rPr>
        <sz val="11.25"/>
        <color rgb="FF05073B"/>
        <rFont val="PingFang-SC-Regular"/>
        <family val="1"/>
      </rPr>
      <t>几内亚</t>
    </r>
  </si>
  <si>
    <t>科纳克里*</t>
  </si>
  <si>
    <t>博凯大区</t>
  </si>
  <si>
    <t>博法大区</t>
  </si>
  <si>
    <t>金迪亚大区</t>
  </si>
  <si>
    <t>法拉大区</t>
  </si>
  <si>
    <t>马木大区</t>
  </si>
  <si>
    <t>拉贝大区</t>
  </si>
  <si>
    <t>杜布雷卡大区</t>
  </si>
  <si>
    <t>库鲁萨大区</t>
  </si>
  <si>
    <t>马西大区</t>
  </si>
  <si>
    <t>恩泽雷科雷大区</t>
  </si>
  <si>
    <t>西格里大区</t>
  </si>
  <si>
    <t>康康大区</t>
  </si>
  <si>
    <t>重武器</t>
  </si>
  <si>
    <t>· 用两脚架或者三脚架架设的进行连续射击的武器
· 如果两脚架的类型进行单次射击，那么使用步枪技能
· 对于今日来说，突击步枪，冲锋枪以及轻机枪之间的差别已经是十分细微的了</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</si>
  <si>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</si>
  <si>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</si>
  <si>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</si>
  <si>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</si>
  <si>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</si>
  <si>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</si>
  <si>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</si>
  <si>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</si>
  <si>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r>
      <rPr>
        <sz val="11.25"/>
        <color rgb="FF05073B"/>
        <rFont val="PingFang-SC-Regular"/>
        <family val="1"/>
      </rPr>
      <t>几内亚比绍</t>
    </r>
  </si>
  <si>
    <t>比绍*</t>
  </si>
  <si>
    <t>巴法塔区</t>
  </si>
  <si>
    <t>比翁博区</t>
  </si>
  <si>
    <t>博法区</t>
  </si>
  <si>
    <t>加布区</t>
  </si>
  <si>
    <t>奥约区</t>
  </si>
  <si>
    <t>昆达区</t>
  </si>
  <si>
    <t>曼萨孔区</t>
  </si>
  <si>
    <t>奥恩武埃区</t>
  </si>
  <si>
    <t>基塔区</t>
  </si>
  <si>
    <t>奎纳拉区</t>
  </si>
  <si>
    <t>苏姆区</t>
  </si>
  <si>
    <t>· 用来使用所有的类似于手枪的火器，进行非连续的射击
· 对于现代游戏中的全自动手枪（MAC-11，乌兹手枪，等等），当使用全自动模式时，用冲锋枪的技能进行判定</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</si>
  <si>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</si>
  <si>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</si>
  <si>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</si>
  <si>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</si>
  <si>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</si>
  <si>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</si>
  <si>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r>
      <rPr>
        <sz val="11.25"/>
        <color rgb="FF05073B"/>
        <rFont val="PingFang-SC-Regular"/>
        <family val="1"/>
      </rPr>
      <t>佛得角</t>
    </r>
  </si>
  <si>
    <t>普拉亚*</t>
  </si>
  <si>
    <t>圣安唐岛</t>
  </si>
  <si>
    <t>圣尼古拉岛</t>
  </si>
  <si>
    <t>圣地亚哥岛</t>
  </si>
  <si>
    <t>博阿维斯塔岛</t>
  </si>
  <si>
    <t>福戈岛</t>
  </si>
  <si>
    <t>布拉瓦岛</t>
  </si>
  <si>
    <t>马尤岛</t>
  </si>
  <si>
    <t>萨尔岛</t>
  </si>
  <si>
    <t>圣文森特岛</t>
  </si>
  <si>
    <t>圣洛伦索岛</t>
  </si>
  <si>
    <t>· 用于使用枪榴弹发射器，反坦克火箭炮等等</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</si>
  <si>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</si>
  <si>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</si>
  <si>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</si>
  <si>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</si>
  <si>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</si>
  <si>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</si>
  <si>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</si>
  <si>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发明仅可查询至2016年</t>
  </si>
  <si>
    <r>
      <rPr>
        <sz val="11.25"/>
        <color rgb="FF05073B"/>
        <rFont val="PingFang-SC-Regular"/>
        <family val="1"/>
      </rPr>
      <t>塞拉利昂</t>
    </r>
  </si>
  <si>
    <t>弗里敦*</t>
  </si>
  <si>
    <t>北区</t>
  </si>
  <si>
    <t>南方省</t>
  </si>
  <si>
    <t>西北省</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</si>
  <si>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</si>
  <si>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</si>
  <si>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</si>
  <si>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</si>
  <si>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</si>
  <si>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</si>
  <si>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</si>
  <si>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</si>
  <si>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r>
      <rPr>
        <sz val="11.25"/>
        <color rgb="FF05073B"/>
        <rFont val="PingFang-SC-Regular"/>
        <family val="1"/>
      </rPr>
      <t>利比里亚</t>
    </r>
  </si>
  <si>
    <t>蒙罗维亚*</t>
  </si>
  <si>
    <t>蒙罗维亚市</t>
  </si>
  <si>
    <t>大巴萨州</t>
  </si>
  <si>
    <t>邦州</t>
  </si>
  <si>
    <t>大克鲁州</t>
  </si>
  <si>
    <t>洛法州</t>
  </si>
  <si>
    <t>马里兰州</t>
  </si>
  <si>
    <t>宁巴州</t>
  </si>
  <si>
    <t>波特州</t>
  </si>
  <si>
    <t>里弗塞斯州</t>
  </si>
  <si>
    <t>锡诺州</t>
  </si>
  <si>
    <t>大吉德州</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</si>
  <si>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</si>
  <si>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</si>
  <si>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</si>
  <si>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</si>
  <si>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</si>
  <si>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</si>
  <si>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</si>
  <si>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</si>
  <si>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</si>
  <si>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</si>
  <si>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</si>
  <si>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</si>
  <si>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</si>
  <si>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</si>
  <si>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r>
      <rPr>
        <sz val="11.25"/>
        <color rgb="FF05073B"/>
        <rFont val="PingFang-SC-Regular"/>
        <family val="1"/>
      </rPr>
      <t>科特迪瓦</t>
    </r>
  </si>
  <si>
    <t>亚穆苏克罗*</t>
  </si>
  <si>
    <t>阿比让自治市</t>
  </si>
  <si>
    <t>巴芬区</t>
  </si>
  <si>
    <t>邦杜库区</t>
  </si>
  <si>
    <t>贝雷区</t>
  </si>
  <si>
    <t>布瓦凯区</t>
  </si>
  <si>
    <t>达洛亚区</t>
  </si>
  <si>
    <t>迪埃奎区</t>
  </si>
  <si>
    <t>迪夫拉区</t>
  </si>
  <si>
    <t>丹格区</t>
  </si>
  <si>
    <t>加尼奥阿区</t>
  </si>
  <si>
    <t>大拉乌区</t>
  </si>
  <si>
    <t>马恩区</t>
  </si>
  <si>
    <t>芒区</t>
  </si>
  <si>
    <t>萨桑德拉区</t>
  </si>
  <si>
    <t>萨瓦纳区</t>
  </si>
  <si>
    <t>西马区</t>
  </si>
  <si>
    <t>苏布雷区</t>
  </si>
  <si>
    <t>瓦武阿区</t>
  </si>
  <si>
    <t>伊西区</t>
  </si>
  <si>
    <t>由果区</t>
  </si>
  <si>
    <t>宗格区</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</si>
  <si>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</si>
  <si>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</si>
  <si>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</si>
  <si>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</si>
  <si>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</si>
  <si>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</si>
  <si>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</si>
  <si>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</si>
  <si>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</si>
  <si>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</si>
  <si>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</si>
  <si>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</si>
  <si>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</si>
  <si>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</si>
  <si>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</si>
  <si>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</si>
  <si>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</si>
  <si>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r>
      <rPr>
        <sz val="11.25"/>
        <color rgb="FF05073B"/>
        <rFont val="PingFang-SC-Regular"/>
        <family val="1"/>
      </rPr>
      <t>加纳</t>
    </r>
  </si>
  <si>
    <t>阿克拉*</t>
  </si>
  <si>
    <t>大阿克拉区</t>
  </si>
  <si>
    <t>阿散蒂区</t>
  </si>
  <si>
    <t>沃尔特区</t>
  </si>
  <si>
    <t>上东部区</t>
  </si>
  <si>
    <t>上西区</t>
  </si>
  <si>
    <t>大北区</t>
  </si>
  <si>
    <t>博诺东区</t>
  </si>
  <si>
    <t>阿哈福区</t>
  </si>
  <si>
    <t>东北区</t>
  </si>
  <si>
    <t>奥蒂区</t>
  </si>
  <si>
    <t>西部北区</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</si>
  <si>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</si>
  <si>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</si>
  <si>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</si>
  <si>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</si>
  <si>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鱼类恐惧症（Ichthyophobia）：对鱼的恐惧。</t>
  </si>
  <si>
    <t>裸体狂（Gymnomania）：执着于裸露身体。</t>
  </si>
  <si>
    <t>东京奥运会未定</t>
  </si>
  <si>
    <t>拜登当选</t>
  </si>
  <si>
    <t>俄西方矛盾重重关系再恶化</t>
  </si>
  <si>
    <t>中国元首外交唱响多边主义</t>
  </si>
  <si>
    <t>中美（拜登）元首举行首次视频会晤</t>
  </si>
  <si>
    <t>疫苗接种助力全球阻击疫情</t>
  </si>
  <si>
    <t>中华人民共和国72周年</t>
  </si>
  <si>
    <t xml:space="preserve">中国新冠疫苗上市，全民免费注射
美国抗议者冲入白宫
缅甸军事政变
美国停止退出世卫、重新加入巴黎协定
首次奇数年奥运会
</t>
  </si>
  <si>
    <r>
      <rPr>
        <sz val="11.25"/>
        <color rgb="FF05073B"/>
        <rFont val="PingFang-SC-Regular"/>
        <family val="1"/>
      </rPr>
      <t>多哥</t>
    </r>
  </si>
  <si>
    <t>洛美*</t>
  </si>
  <si>
    <t>卡拉区</t>
  </si>
  <si>
    <t>草原区</t>
  </si>
  <si>
    <t>高原区</t>
  </si>
  <si>
    <t>平原区</t>
  </si>
  <si>
    <t>南区</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</si>
  <si>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</si>
  <si>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</si>
  <si>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</si>
  <si>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</si>
  <si>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</si>
  <si>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</si>
  <si>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蟑螂恐惧症（Katsaridaphobia）：对蟑螂的恐惧。</t>
  </si>
  <si>
    <t>妄想狂（Habromania）：近乎病态地充满愉快的妄想（而不顾现实状况如何）。</t>
  </si>
  <si>
    <t>俄乌冲突风险大</t>
  </si>
  <si>
    <t>全球疫情迎来转折点</t>
  </si>
  <si>
    <t>极端天气会更多</t>
  </si>
  <si>
    <t>世界第二水电站建成</t>
  </si>
  <si>
    <t>重要铁路线将建成</t>
  </si>
  <si>
    <t>疫情逐渐全面放开</t>
  </si>
  <si>
    <t>中华人民共和国73周年</t>
  </si>
  <si>
    <t>英国女王伊丽莎白二世登基70周年庆典
世界杯</t>
  </si>
  <si>
    <r>
      <rPr>
        <sz val="11.25"/>
        <color rgb="FF05073B"/>
        <rFont val="PingFang-SC-Regular"/>
        <family val="1"/>
      </rPr>
      <t>贝宁</t>
    </r>
  </si>
  <si>
    <t>波多诺伏*</t>
  </si>
  <si>
    <t>阿塔科拉省</t>
  </si>
  <si>
    <t>大西洋省</t>
  </si>
  <si>
    <t>博尔古省</t>
  </si>
  <si>
    <t>科利省</t>
  </si>
  <si>
    <t>库福省</t>
  </si>
  <si>
    <t>莫诺省</t>
  </si>
  <si>
    <t>奥库省</t>
  </si>
  <si>
    <t>韦梅省</t>
  </si>
  <si>
    <t>祖省</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</si>
  <si>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</si>
  <si>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</si>
  <si>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</si>
  <si>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</si>
  <si>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</si>
  <si>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</si>
  <si>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</si>
  <si>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雷鸣恐惧症（Keraunophobia）：对雷声的恐惧。</t>
  </si>
  <si>
    <t>蠕虫狂（Helminthomania）：过度地喜爱蠕虫。</t>
  </si>
  <si>
    <t>防控政策重大调整</t>
  </si>
  <si>
    <t>第五次全国经济普查</t>
  </si>
  <si>
    <t>中华人民共和国74周年</t>
  </si>
  <si>
    <t>美联社，1848，美国</t>
  </si>
  <si>
    <t>美国——————————</t>
  </si>
  <si>
    <t>美国——————</t>
  </si>
  <si>
    <r>
      <rPr>
        <sz val="11.25"/>
        <color rgb="FF05073B"/>
        <rFont val="PingFang-SC-Regular"/>
        <family val="1"/>
      </rPr>
      <t>尼日尔</t>
    </r>
  </si>
  <si>
    <t>尼亚美*</t>
  </si>
  <si>
    <t>阿加德兹大区</t>
  </si>
  <si>
    <t>迪法大区</t>
  </si>
  <si>
    <t>多索大区</t>
  </si>
  <si>
    <t>马拉迪大区</t>
  </si>
  <si>
    <t>塔瓦大区</t>
  </si>
  <si>
    <t>蒂尔贝里大区</t>
  </si>
  <si>
    <t>津德尔大区</t>
  </si>
  <si>
    <t>祖尔马大区</t>
  </si>
  <si>
    <t>瓦拉大区</t>
  </si>
  <si>
    <t>塔胡阿大区</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</si>
  <si>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</si>
  <si>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</si>
  <si>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蔬菜恐惧症（Lachanophobia）：对蔬菜的恐惧。</t>
  </si>
  <si>
    <t>枪械狂（Hoplomania）：痴迷于火器。</t>
  </si>
  <si>
    <t>美国合众社，1907，美国</t>
  </si>
  <si>
    <t>阿卡姆 密斯卡托尼克大学</t>
  </si>
  <si>
    <t>华盛顿特区</t>
  </si>
  <si>
    <r>
      <rPr>
        <sz val="11.25"/>
        <color rgb="FF05073B"/>
        <rFont val="PingFang-SC-Regular"/>
        <family val="1"/>
      </rPr>
      <t>尼日利亚</t>
    </r>
  </si>
  <si>
    <t>阿布贾*</t>
  </si>
  <si>
    <t>阿布贾联邦首都区</t>
  </si>
  <si>
    <t>阿南布拉州</t>
  </si>
  <si>
    <t>包奇州</t>
  </si>
  <si>
    <t>贝努埃州</t>
  </si>
  <si>
    <t>博尔诺州</t>
  </si>
  <si>
    <t>十字河流州</t>
  </si>
  <si>
    <t>三角州</t>
  </si>
  <si>
    <t>埃多州</t>
  </si>
  <si>
    <t>埃努古州</t>
  </si>
  <si>
    <t>埃邦伊州</t>
  </si>
  <si>
    <t>埃基提州</t>
  </si>
  <si>
    <t>戈姆州</t>
  </si>
  <si>
    <t>贡德尔州</t>
  </si>
  <si>
    <t>伊莫州</t>
  </si>
  <si>
    <t>吉加瓦州</t>
  </si>
  <si>
    <t>卡杜纳州</t>
  </si>
  <si>
    <t>凯比州</t>
  </si>
  <si>
    <t>科吉州</t>
  </si>
  <si>
    <t>科诺州</t>
  </si>
  <si>
    <t>克罗斯河州</t>
  </si>
  <si>
    <t>夸拉州</t>
  </si>
  <si>
    <t>纳萨拉瓦州</t>
  </si>
  <si>
    <t>尼日尔州</t>
  </si>
  <si>
    <t>奥贡州</t>
  </si>
  <si>
    <t>奥雄州</t>
  </si>
  <si>
    <t>奥约州</t>
  </si>
  <si>
    <t>奥孙州</t>
  </si>
  <si>
    <t>普拉特州</t>
  </si>
  <si>
    <t>河流州</t>
  </si>
  <si>
    <t>索科托州</t>
  </si>
  <si>
    <t>塔拉巴州</t>
  </si>
  <si>
    <t>约贝州</t>
  </si>
  <si>
    <t>赞法拉州</t>
  </si>
  <si>
    <t>巴耶尔萨州</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</si>
  <si>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</si>
  <si>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</si>
  <si>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</si>
  <si>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</si>
  <si>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</si>
  <si>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</si>
  <si>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噪音恐惧症（Ligyrophobia）：对刺耳噪音的恐惧。</t>
  </si>
  <si>
    <t>饮水狂（Hydromania）：反常地渴求水分。</t>
  </si>
  <si>
    <t>路透社，1849，英国</t>
  </si>
  <si>
    <t>《华盛顿先驱报》</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</si>
  <si>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</si>
  <si>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</si>
  <si>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</si>
  <si>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</si>
  <si>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恐湖症（Limnophobia）：对湖泊的恐惧。</t>
  </si>
  <si>
    <t>喜鱼癖（Ichthyomania）：痴迷于鱼类。</t>
  </si>
  <si>
    <t>交换电讯社，1872，英国</t>
  </si>
  <si>
    <t>华盛顿 美国国家地理学会</t>
  </si>
  <si>
    <t>《华盛顿新闻》</t>
  </si>
  <si>
    <r>
      <rPr>
        <sz val="11.5"/>
        <color rgb="FF05073B"/>
        <rFont val="宋体"/>
        <family val="3"/>
        <charset val="134"/>
      </rPr>
      <t>*中非</t>
    </r>
    <r>
      <rPr>
        <sz val="11.5"/>
        <color rgb="FF05073B"/>
        <rFont val="Segoe UI"/>
        <family val="2"/>
      </rPr>
      <t>*</t>
    </r>
  </si>
  <si>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</si>
  <si>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</si>
  <si>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</si>
  <si>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</si>
  <si>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</si>
  <si>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</si>
  <si>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</si>
  <si>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机械恐惧症（Mechanophobia）：对机器或机械的恐惧。</t>
  </si>
  <si>
    <t>图标狂（Iconomania）：痴迷于图标与肖像</t>
  </si>
  <si>
    <t>英国国家通讯社，1868，英国</t>
  </si>
  <si>
    <t>华盛顿 史密森学会</t>
  </si>
  <si>
    <t>《华盛顿邮报》</t>
  </si>
  <si>
    <r>
      <rPr>
        <sz val="11.25"/>
        <color rgb="FF05073B"/>
        <rFont val="PingFang-SC-Regular"/>
        <family val="1"/>
      </rPr>
      <t>乍得</t>
    </r>
  </si>
  <si>
    <t>恩贾梅纳*</t>
  </si>
  <si>
    <t>巴塔区</t>
  </si>
  <si>
    <t>博尔库区</t>
  </si>
  <si>
    <t>恩内迪区</t>
  </si>
  <si>
    <t>加扎勒河区</t>
  </si>
  <si>
    <t>瓜拉区</t>
  </si>
  <si>
    <t>哈杰尔兰马区</t>
  </si>
  <si>
    <t>湖区</t>
  </si>
  <si>
    <t>卡奈姆区</t>
  </si>
  <si>
    <t>拉密区</t>
  </si>
  <si>
    <t>洛贡区</t>
  </si>
  <si>
    <t>曼代利区</t>
  </si>
  <si>
    <t>莫西区</t>
  </si>
  <si>
    <t>奥达伊区</t>
  </si>
  <si>
    <t>萨兰区</t>
  </si>
  <si>
    <t>沙里-巴吉尔米区</t>
  </si>
  <si>
    <t>西洛贡区</t>
  </si>
  <si>
    <t>蒂贝斯提区</t>
  </si>
  <si>
    <t>瓦达伊区</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</si>
  <si>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</si>
  <si>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</si>
  <si>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</si>
  <si>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</si>
  <si>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</si>
  <si>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</si>
  <si>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巨物恐惧症（Megalophobia）：对于庞大物件的恐惧。</t>
  </si>
  <si>
    <t>偶像狂（Idolomania）：痴迷于甚至愿献身于某个偶像。</t>
  </si>
  <si>
    <t>法国新闻通讯社，1929，法国</t>
  </si>
  <si>
    <t>华盛顿 美国国会图书馆</t>
  </si>
  <si>
    <t>《华盛顿时报》</t>
  </si>
  <si>
    <r>
      <rPr>
        <sz val="11.25"/>
        <color rgb="FF05073B"/>
        <rFont val="PingFang-SC-Regular"/>
        <family val="1"/>
      </rPr>
      <t>中非共和国</t>
    </r>
  </si>
  <si>
    <t>班吉*</t>
  </si>
  <si>
    <t>班巴里省</t>
  </si>
  <si>
    <t>班达省</t>
  </si>
  <si>
    <t>巴斯特省</t>
  </si>
  <si>
    <t>凯莫省</t>
  </si>
  <si>
    <t>高潘省</t>
  </si>
  <si>
    <t>姆博穆省</t>
  </si>
  <si>
    <t>纳米贝省</t>
  </si>
  <si>
    <t>上科托省</t>
  </si>
  <si>
    <t>上姆波穆省</t>
  </si>
  <si>
    <t>瓦卡加省</t>
  </si>
  <si>
    <t>瓦姆省</t>
  </si>
  <si>
    <t>瓦姆-彭代省</t>
  </si>
  <si>
    <t>桑加-姆巴埃雷省</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</si>
  <si>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</si>
  <si>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</si>
  <si>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</si>
  <si>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</si>
  <si>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</si>
  <si>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捆绑恐惧症（Merinthophobia）：对于被捆绑或紧缚的恐惧。</t>
  </si>
  <si>
    <t>信息狂（Infomania）：痴迷于积累各种信息与资讯。</t>
  </si>
  <si>
    <t>哈瓦斯通讯社，1832，法国</t>
  </si>
  <si>
    <t>华盛顿 美国国家自然历史博物馆</t>
  </si>
  <si>
    <r>
      <rPr>
        <sz val="11.25"/>
        <color rgb="FF05073B"/>
        <rFont val="PingFang-SC-Regular"/>
        <family val="1"/>
      </rPr>
      <t>喀麦隆</t>
    </r>
  </si>
  <si>
    <t>雅温得*</t>
  </si>
  <si>
    <t>阿达马瓦省</t>
  </si>
  <si>
    <t>极北省</t>
  </si>
  <si>
    <t>东南省</t>
  </si>
  <si>
    <t>高原省</t>
  </si>
  <si>
    <t>利姆省</t>
  </si>
  <si>
    <t>楠加杜马省</t>
  </si>
  <si>
    <t>南省</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</si>
  <si>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</si>
  <si>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</si>
  <si>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</si>
  <si>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</si>
  <si>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</si>
  <si>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</si>
  <si>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流星恐惧症（Meteorophobia）：对流星或陨石的恐惧。</t>
  </si>
  <si>
    <t>射击狂（Klazomania）：反常地执着于射击。</t>
  </si>
  <si>
    <t>每日通讯社，阿根廷</t>
  </si>
  <si>
    <t>加利福尼亚州</t>
  </si>
  <si>
    <r>
      <rPr>
        <sz val="11.25"/>
        <color rgb="FF05073B"/>
        <rFont val="PingFang-SC-Regular"/>
        <family val="1"/>
      </rPr>
      <t>赤道几内亚</t>
    </r>
  </si>
  <si>
    <t>马拉博*</t>
  </si>
  <si>
    <t>比奥科岛省</t>
  </si>
  <si>
    <t>木尼河区</t>
  </si>
  <si>
    <t>韦莱-恩扎斯省</t>
  </si>
  <si>
    <t>基埃-恩特姆省</t>
  </si>
  <si>
    <t>安诺本省</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</si>
  <si>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</si>
  <si>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</si>
  <si>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</si>
  <si>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</si>
  <si>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</si>
  <si>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</si>
  <si>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孤独恐惧症（Monophobia）：对于一人独处的恐惧。</t>
  </si>
  <si>
    <t>偷窃癖（Kleptomania）：反常地执着于偷窃。</t>
  </si>
  <si>
    <t>雅典通讯社，1896，希腊雅典</t>
  </si>
  <si>
    <t>纽约 美国自然历史博物馆</t>
  </si>
  <si>
    <t>《洛杉矶观察家报》</t>
  </si>
  <si>
    <r>
      <rPr>
        <sz val="11.25"/>
        <color rgb="FF05073B"/>
        <rFont val="PingFang-SC-Regular"/>
        <family val="1"/>
      </rPr>
      <t>加蓬</t>
    </r>
  </si>
  <si>
    <t>利伯维尔*</t>
  </si>
  <si>
    <t>埃斯特雷省</t>
  </si>
  <si>
    <t>上奥果韦省</t>
  </si>
  <si>
    <t>恩古涅省</t>
  </si>
  <si>
    <t>尼扬加省</t>
  </si>
  <si>
    <t>滨海奥果韦省</t>
  </si>
  <si>
    <t>沃勒-恩特姆省</t>
  </si>
  <si>
    <t>奥果韦-伊温多省</t>
  </si>
  <si>
    <t>奥果韦-洛洛省</t>
  </si>
  <si>
    <t>翁贝拉-姆波科省</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</si>
  <si>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</si>
  <si>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</si>
  <si>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</si>
  <si>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</si>
  <si>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</si>
  <si>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</si>
  <si>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不洁恐惧症（Mysophobia）：对污垢或污染的恐惧。</t>
  </si>
  <si>
    <t>噪音癖（Ligyromania）：无法自制地执着于制造响亮或刺耳的噪音。</t>
  </si>
  <si>
    <t>澳大利亚联合通讯社，1928，澳大利亚</t>
  </si>
  <si>
    <t>纽约 布法罗自然科学学会</t>
  </si>
  <si>
    <t>《洛杉矶先驱报》</t>
  </si>
  <si>
    <r>
      <rPr>
        <sz val="11.5"/>
        <color rgb="FF05073B"/>
        <rFont val="宋体"/>
        <family val="3"/>
        <charset val="134"/>
      </rPr>
      <t>刚果</t>
    </r>
    <r>
      <rPr>
        <sz val="11.5"/>
        <color rgb="FF05073B"/>
        <rFont val="PingFang-SC-Regular"/>
        <family val="1"/>
      </rPr>
      <t>_</t>
    </r>
    <r>
      <rPr>
        <sz val="11.5"/>
        <color rgb="FF05073B"/>
        <rFont val="宋体"/>
        <family val="3"/>
        <charset val="134"/>
      </rPr>
      <t>布</t>
    </r>
  </si>
  <si>
    <t>布拉柴维尔*</t>
  </si>
  <si>
    <t>布恩扎省</t>
  </si>
  <si>
    <t>乔布省</t>
  </si>
  <si>
    <t>班吉省</t>
  </si>
  <si>
    <t>奎卢省</t>
  </si>
  <si>
    <t>库伊省</t>
  </si>
  <si>
    <t>利夸拉省</t>
  </si>
  <si>
    <t>尼阿里省</t>
  </si>
  <si>
    <t>沃勒-恩扎拉斯省</t>
  </si>
  <si>
    <t>桑加省</t>
  </si>
  <si>
    <t>普洛省</t>
  </si>
  <si>
    <t>普尔省</t>
  </si>
  <si>
    <t>池省</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</si>
  <si>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</si>
  <si>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</si>
  <si>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</si>
  <si>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</si>
  <si>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</si>
  <si>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</si>
  <si>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黏液恐惧症（Myxophobia）：对黏液（史莱姆）的恐惧。</t>
  </si>
  <si>
    <t>喜线癖（Linonomania）：痴迷于线绳。</t>
  </si>
  <si>
    <t>比利时通讯社，1920，比利时</t>
  </si>
  <si>
    <t>纽约 哥伦比亚大学</t>
  </si>
  <si>
    <t>《洛杉矶时报》</t>
  </si>
  <si>
    <r>
      <rPr>
        <sz val="11.5"/>
        <color rgb="FF05073B"/>
        <rFont val="宋体"/>
        <family val="3"/>
        <charset val="134"/>
      </rPr>
      <t>刚果</t>
    </r>
    <r>
      <rPr>
        <sz val="11.5"/>
        <color rgb="FF05073B"/>
        <rFont val="PingFang-SC-Regular"/>
        <family val="1"/>
      </rPr>
      <t>_</t>
    </r>
    <r>
      <rPr>
        <sz val="11.5"/>
        <color rgb="FF05073B"/>
        <rFont val="宋体"/>
        <family val="3"/>
        <charset val="134"/>
      </rPr>
      <t>金</t>
    </r>
  </si>
  <si>
    <t>金沙萨*</t>
  </si>
  <si>
    <t>下刚果省</t>
  </si>
  <si>
    <t>赤道省</t>
  </si>
  <si>
    <t>加丹加省</t>
  </si>
  <si>
    <t>开赛省</t>
  </si>
  <si>
    <t>马尼埃马省</t>
  </si>
  <si>
    <t>北基伍省</t>
  </si>
  <si>
    <t>南基伍省</t>
  </si>
  <si>
    <t>宽果省</t>
  </si>
  <si>
    <t>卢阿拉巴省</t>
  </si>
  <si>
    <t>马伊恩东贝省</t>
  </si>
  <si>
    <t>上韦莱省</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</si>
  <si>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</si>
  <si>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</si>
  <si>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</si>
  <si>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</si>
  <si>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</si>
  <si>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</si>
  <si>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尸体恐惧症（Necrophobia）：对尸体的恐惧。</t>
  </si>
  <si>
    <t>彩票狂（Lotterymania）：极端地执着于购买彩票。</t>
  </si>
  <si>
    <t>保加利亚通讯社，1898，保加利亚</t>
  </si>
  <si>
    <t>纽约 美国印第安人博物馆</t>
  </si>
  <si>
    <t>《奥克兰追问者邮报》</t>
  </si>
  <si>
    <r>
      <rPr>
        <sz val="11.25"/>
        <color rgb="FF05073B"/>
        <rFont val="PingFang-SC-Regular"/>
        <family val="1"/>
      </rPr>
      <t>圣多美和普林西比</t>
    </r>
  </si>
  <si>
    <t>圣多美*</t>
  </si>
  <si>
    <t>普林西比省</t>
  </si>
  <si>
    <t>阿瓜格兰德省</t>
  </si>
  <si>
    <t>坎塔加洛省</t>
  </si>
  <si>
    <t>梅洛尼奥省</t>
  </si>
  <si>
    <t>莱博阿-阿弗里坎诺省</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</si>
  <si>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</si>
  <si>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</si>
  <si>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</si>
  <si>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</si>
  <si>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数字8恐惧症（Octophobia）：对数字 8 的恐惧。</t>
  </si>
  <si>
    <t>抑郁症（Lypemania）：近乎病态的重度抑郁倾向。</t>
  </si>
  <si>
    <t>中央通讯社，1924，中国</t>
  </si>
  <si>
    <t>纽约 纽约公共图书馆</t>
  </si>
  <si>
    <t>《橘郡纪事报》</t>
  </si>
  <si>
    <t>驾驶</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</si>
  <si>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</si>
  <si>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恐牙症（Odontophobia）：对牙齿的恐惧。</t>
  </si>
  <si>
    <t>巨石狂（Megalithomania）：当站在石环中或立起的巨石旁时，就会近乎病态地写出各种奇怪的创意。</t>
  </si>
  <si>
    <t>加拿大通讯社，1917，加拿大</t>
  </si>
  <si>
    <t>纽约 纽约州立博物馆</t>
  </si>
  <si>
    <t>《萨克拉门托蜜蜂报》</t>
  </si>
  <si>
    <r>
      <rPr>
        <sz val="11.5"/>
        <color rgb="FF05073B"/>
        <rFont val="宋体"/>
        <family val="3"/>
        <charset val="134"/>
      </rPr>
      <t>*南非</t>
    </r>
    <r>
      <rPr>
        <sz val="11.5"/>
        <color rgb="FF05073B"/>
        <rFont val="Segoe UI"/>
        <family val="2"/>
      </rPr>
      <t>*</t>
    </r>
  </si>
  <si>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</si>
  <si>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</si>
  <si>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</si>
  <si>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</si>
  <si>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</si>
  <si>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</si>
  <si>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恐梦症（Oneirophobia）：对梦境的恐惧。</t>
  </si>
  <si>
    <t>旋律狂（Melomania）：痴迷于音乐或一段特定的旋律。</t>
  </si>
  <si>
    <t>捷通社，1918，捷克斯洛伐克</t>
  </si>
  <si>
    <t>纽约州伊萨卡 康奈尔大学</t>
  </si>
  <si>
    <t>《圣迭戈太阳报》</t>
  </si>
  <si>
    <r>
      <rPr>
        <sz val="11.25"/>
        <color rgb="FF05073B"/>
        <rFont val="PingFang-SC-Regular"/>
        <family val="1"/>
      </rPr>
      <t>博茨瓦纳</t>
    </r>
  </si>
  <si>
    <t>哈博罗内*</t>
  </si>
  <si>
    <t>中区</t>
  </si>
  <si>
    <t>弗朗西斯敦区</t>
  </si>
  <si>
    <t>加汉西区</t>
  </si>
  <si>
    <t>乔贝区</t>
  </si>
  <si>
    <t>克韦内内区</t>
  </si>
  <si>
    <t>南马迪灵赫区</t>
  </si>
  <si>
    <t>恩加米兰区</t>
  </si>
  <si>
    <t>索瓦加区</t>
  </si>
  <si>
    <t>塞雷茨·卡马区</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</si>
  <si>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</si>
  <si>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</si>
  <si>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</si>
  <si>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</si>
  <si>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</si>
  <si>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称呼恐惧症（Onomatophobia）：对于特定词语的恐惧。</t>
  </si>
  <si>
    <t>作诗癖（Metromania）：无法抑制地想要不停作诗。</t>
  </si>
  <si>
    <t>信仰通讯社，1926，梵蒂冈</t>
  </si>
  <si>
    <t>《旧金山呼声报》</t>
  </si>
  <si>
    <r>
      <rPr>
        <sz val="11.25"/>
        <color rgb="FF05073B"/>
        <rFont val="PingFang-SC-Regular"/>
        <family val="1"/>
      </rPr>
      <t>纳米比亚</t>
    </r>
  </si>
  <si>
    <t>温得和克*</t>
  </si>
  <si>
    <t>奥汉圭纳区</t>
  </si>
  <si>
    <t>奥乔宗朱帕区</t>
  </si>
  <si>
    <t>奥穆萨蒂区</t>
  </si>
  <si>
    <t>埃龙戈区</t>
  </si>
  <si>
    <t>东卡普里维区</t>
  </si>
  <si>
    <t>哈达普区</t>
  </si>
  <si>
    <t>卡拉斯区</t>
  </si>
  <si>
    <t>霍马斯区</t>
  </si>
  <si>
    <t>库内内区</t>
  </si>
  <si>
    <t>奥马哈恩克区</t>
  </si>
  <si>
    <t>北卡普里维区</t>
  </si>
  <si>
    <t>奥希科托区</t>
  </si>
  <si>
    <t>扎姆比西区</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</si>
  <si>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</si>
  <si>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</si>
  <si>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</si>
  <si>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</si>
  <si>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</si>
  <si>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</si>
  <si>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</si>
  <si>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恐蛇症（Ophidiophobia）：对蛇的恐惧。</t>
  </si>
  <si>
    <t>憎恨癖（Misomania）：憎恨一切事物，痴迷于憎恨某个事物或团体。</t>
  </si>
  <si>
    <t>犹太通讯社，1919，巴勒斯坦</t>
  </si>
  <si>
    <t>芝加哥 芝加哥菲尔德自然博物馆</t>
  </si>
  <si>
    <t>《圣迭戈联合报》</t>
  </si>
  <si>
    <r>
      <rPr>
        <sz val="11.25"/>
        <color rgb="FF05073B"/>
        <rFont val="PingFang-SC-Regular"/>
        <family val="1"/>
      </rPr>
      <t>安哥拉</t>
    </r>
  </si>
  <si>
    <t>罗安达*</t>
  </si>
  <si>
    <t>本格拉省</t>
  </si>
  <si>
    <t>北宽扎省</t>
  </si>
  <si>
    <t>南宽扎省</t>
  </si>
  <si>
    <t>北隆达省</t>
  </si>
  <si>
    <t>南隆达省</t>
  </si>
  <si>
    <t>马兰热省</t>
  </si>
  <si>
    <t>莫希科省</t>
  </si>
  <si>
    <t>威拉省</t>
  </si>
  <si>
    <t>比耶省</t>
  </si>
  <si>
    <t>卡宾达省</t>
  </si>
  <si>
    <t>库内内省</t>
  </si>
  <si>
    <t>万博省</t>
  </si>
  <si>
    <t>本戈省</t>
  </si>
  <si>
    <t>扎伊尔省</t>
  </si>
  <si>
    <t>恐鸟症（Ornithophobia）：对鸟的恐惧。</t>
  </si>
  <si>
    <t>偏执狂（Monomania）：近乎病态地痴迷与专注某个特定的想法或创意。</t>
  </si>
  <si>
    <t>挪威通讯社，1867，挪威</t>
  </si>
  <si>
    <t>芝加哥 芝加哥大学</t>
  </si>
  <si>
    <t>《旧金山纪事报》</t>
  </si>
  <si>
    <r>
      <rPr>
        <sz val="11.25"/>
        <color rgb="FF05073B"/>
        <rFont val="PingFang-SC-Regular"/>
        <family val="1"/>
      </rPr>
      <t>南非共和国</t>
    </r>
  </si>
  <si>
    <t>比勒陀利亚*</t>
  </si>
  <si>
    <t>开普敦</t>
  </si>
  <si>
    <t>西开普省</t>
  </si>
  <si>
    <t>东开普省</t>
  </si>
  <si>
    <t>北开普省</t>
  </si>
  <si>
    <t>自由州省</t>
  </si>
  <si>
    <t>夸祖鲁-纳塔尔省</t>
  </si>
  <si>
    <t>豪登省</t>
  </si>
  <si>
    <t>林波波省</t>
  </si>
  <si>
    <t>姆普马兰加省</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</si>
  <si>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</si>
  <si>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</si>
  <si>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</si>
  <si>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</si>
  <si>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</si>
  <si>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</si>
  <si>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</si>
  <si>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寄生虫恐惧症（Parasitophobia）：对寄生虫的恐惧。</t>
  </si>
  <si>
    <t>夸大癖（Mythomania）：以一种近乎病态的程度说谎或夸大事物。</t>
  </si>
  <si>
    <t>新西兰报联社，1879，新西兰</t>
  </si>
  <si>
    <t>芝加哥 克雷拉图书馆</t>
  </si>
  <si>
    <t>《旧金山观察家报》</t>
  </si>
  <si>
    <r>
      <rPr>
        <sz val="11.25"/>
        <color rgb="FF05073B"/>
        <rFont val="PingFang-SC-Regular"/>
        <family val="1"/>
      </rPr>
      <t>斯威士兰</t>
    </r>
  </si>
  <si>
    <t>姆巴巴内*</t>
  </si>
  <si>
    <t>赫扎区</t>
  </si>
  <si>
    <t>卢邦博区</t>
  </si>
  <si>
    <t>马楠区</t>
  </si>
  <si>
    <t>希塞卢韦尼区</t>
  </si>
  <si>
    <t>曼齐尼区</t>
  </si>
  <si>
    <t>舒巴邦达区</t>
  </si>
  <si>
    <t>地质学</t>
  </si>
  <si>
    <t>科学的子项</t>
  </si>
  <si>
    <t>· 用来决定大致的岩层年龄，辨认出化石的类型
· 区分矿物和水晶，确定合理的采矿和挖掘地址，评估土地，预测火山活动、地震、雪崩以及其他类似的现象</t>
  </si>
  <si>
    <t>人偶恐惧症（Pediophobia）：对人偶的恐惧。</t>
  </si>
  <si>
    <t>臆想症（Nosomania）：妄想自己正在被某种臆想出的疾病折磨。</t>
  </si>
  <si>
    <t>丹麦通讯社，1866，丹麦</t>
  </si>
  <si>
    <t>芝加哥 纽伯利图书馆</t>
  </si>
  <si>
    <t>《旧金山新闻报》</t>
  </si>
  <si>
    <r>
      <rPr>
        <sz val="11.25"/>
        <color rgb="FF05073B"/>
        <rFont val="PingFang-SC-Regular"/>
        <family val="1"/>
      </rPr>
      <t>莱索托</t>
    </r>
  </si>
  <si>
    <t>马塞卢*</t>
  </si>
  <si>
    <t>伯里亚区</t>
  </si>
  <si>
    <t>布塔-布泰区</t>
  </si>
  <si>
    <t>莱里贝区</t>
  </si>
  <si>
    <t>马费滕区</t>
  </si>
  <si>
    <t>莫哈莱斯胡克区</t>
  </si>
  <si>
    <t>莫霍特隆区</t>
  </si>
  <si>
    <t>加查斯内克区</t>
  </si>
  <si>
    <t>库鲁区</t>
  </si>
  <si>
    <t>马塞卢区</t>
  </si>
  <si>
    <t>化学</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</si>
  <si>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</si>
  <si>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吞咽恐惧症（Phagophobia）：对于吞咽或被吞咽的恐惧。</t>
  </si>
  <si>
    <t>记录癖（Notomania）：执着于记录一切事物（例如摄影）</t>
  </si>
  <si>
    <t>瑞士通讯社，1894，瑞士</t>
  </si>
  <si>
    <t>马拉维</t>
  </si>
  <si>
    <t>利隆圭*</t>
  </si>
  <si>
    <t>尼安萨区</t>
  </si>
  <si>
    <t>北部中央区</t>
  </si>
  <si>
    <t>南部中央区</t>
  </si>
  <si>
    <t>卡隆加区</t>
  </si>
  <si>
    <t>巴拉卡区</t>
  </si>
  <si>
    <t>布兰太尔区</t>
  </si>
  <si>
    <t>奇蒂帕区</t>
  </si>
  <si>
    <t>代扎区</t>
  </si>
  <si>
    <t>利科马区</t>
  </si>
  <si>
    <t>曼戈切区</t>
  </si>
  <si>
    <t>姆津巴区</t>
  </si>
  <si>
    <t>恩卡塔湾区</t>
  </si>
  <si>
    <t>恩奇鲁区</t>
  </si>
  <si>
    <t>恩科塔科塔区</t>
  </si>
  <si>
    <t>菲洛尼区</t>
  </si>
  <si>
    <t>伦比区</t>
  </si>
  <si>
    <t>姆兰杰区</t>
  </si>
  <si>
    <t>姆兰杰山区</t>
  </si>
  <si>
    <t>纳马齐塔区</t>
  </si>
  <si>
    <t>恩桑杰区</t>
  </si>
  <si>
    <t>恩塔龙韦区</t>
  </si>
  <si>
    <t>恩塔切乌区</t>
  </si>
  <si>
    <t>姆津巴山区</t>
  </si>
  <si>
    <t>帕隆贝区</t>
  </si>
  <si>
    <t>菲尔乔罗区</t>
  </si>
  <si>
    <t>萨利马区</t>
  </si>
  <si>
    <t>萨利马山区</t>
  </si>
  <si>
    <t>索法拉区</t>
  </si>
  <si>
    <t>蒂约罗区</t>
  </si>
  <si>
    <t>图布韦区</t>
  </si>
  <si>
    <t>赞巴西亚区</t>
  </si>
  <si>
    <t>祖卢区</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</si>
  <si>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</si>
  <si>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</si>
  <si>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药物恐惧症（Pharmacophobia）：对药物的恐惧。</t>
  </si>
  <si>
    <t>恋名狂（Onomamania）：痴迷于名字（人物的、地点的、事物的）</t>
  </si>
  <si>
    <t>塔斯社，1925，苏联</t>
  </si>
  <si>
    <t>巴尔的摩 巴尔的摩美术馆</t>
  </si>
  <si>
    <t>纽约州</t>
  </si>
  <si>
    <r>
      <rPr>
        <sz val="11.25"/>
        <color rgb="FF05073B"/>
        <rFont val="PingFang-SC-Regular"/>
        <family val="1"/>
      </rPr>
      <t>莫桑比克</t>
    </r>
  </si>
  <si>
    <t>马普托*</t>
  </si>
  <si>
    <t>德尔加杜角省</t>
  </si>
  <si>
    <t>太特省</t>
  </si>
  <si>
    <t>楠普拉省</t>
  </si>
  <si>
    <t>赞比西亚省</t>
  </si>
  <si>
    <t>索法拉省</t>
  </si>
  <si>
    <t>马尼卡省</t>
  </si>
  <si>
    <t>加扎省</t>
  </si>
  <si>
    <t>伊尼扬巴内省</t>
  </si>
  <si>
    <t>数学</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</si>
  <si>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</si>
  <si>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幽灵恐惧症（Phasmophobia）：对鬼魂的恐惧。</t>
  </si>
  <si>
    <t>称名癖（Onomatomania）：无法抑制地不断重复某个词语的冲动。</t>
  </si>
  <si>
    <t>巴尔的摩 伊诺克·普拉特自由图书馆</t>
  </si>
  <si>
    <t>《奥尔巴尼联合时报》</t>
  </si>
  <si>
    <t>赞比亚</t>
  </si>
  <si>
    <t>卢萨卡*</t>
  </si>
  <si>
    <t>卢安瓜省</t>
  </si>
  <si>
    <t>铜带省</t>
  </si>
  <si>
    <t>天文学</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</si>
  <si>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</si>
  <si>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日光恐惧症（Phenogophobia）：对日光的恐惧。</t>
  </si>
  <si>
    <t>剔指癖（Onychotillomania）：执着于剔指甲。</t>
  </si>
  <si>
    <t>费城 费城自然科学博物馆</t>
  </si>
  <si>
    <t>《布法罗新闻报》</t>
  </si>
  <si>
    <t>津巴布韦</t>
  </si>
  <si>
    <t>哈拉雷*</t>
  </si>
  <si>
    <t>马尼卡兰省</t>
  </si>
  <si>
    <t>马斯温戈省</t>
  </si>
  <si>
    <t>北马塔贝莱兰省</t>
  </si>
  <si>
    <t>南马塔贝莱兰省</t>
  </si>
  <si>
    <t>马绍纳兰中央省</t>
  </si>
  <si>
    <t>马绍纳兰西省</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</si>
  <si>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</si>
  <si>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</si>
  <si>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胡须恐惧症（Pogonophobia）：对胡须的恐惧。</t>
  </si>
  <si>
    <t>恋食癖（Opsomania）：对某种食物的病态热爱。</t>
  </si>
  <si>
    <t>费城 宾夕法尼亚大学</t>
  </si>
  <si>
    <t>《纽约美国人报》</t>
  </si>
  <si>
    <r>
      <rPr>
        <sz val="11.25"/>
        <color rgb="FF05073B"/>
        <rFont val="PingFang-SC-Regular"/>
        <family val="1"/>
      </rPr>
      <t>马达加斯加</t>
    </r>
  </si>
  <si>
    <t>塔那那利佛*</t>
  </si>
  <si>
    <t>阿那拉兰基罗富省</t>
  </si>
  <si>
    <t>阿齐莫-阿杜贝省</t>
  </si>
  <si>
    <t>邦古拉法省</t>
  </si>
  <si>
    <t>贝齐布卡省</t>
  </si>
  <si>
    <t>菲亚纳兰楚阿省</t>
  </si>
  <si>
    <t>伊瓦图省</t>
  </si>
  <si>
    <t>梅拉基省</t>
  </si>
  <si>
    <t>萨瓦省</t>
  </si>
  <si>
    <t>索非亚省</t>
  </si>
  <si>
    <t>塔纳拉瓦省</t>
  </si>
  <si>
    <t>图利亚拉省</t>
  </si>
  <si>
    <t>沃伊布阿省</t>
  </si>
  <si>
    <t>安齐拉纳纳省</t>
  </si>
  <si>
    <t>马哈赞加省</t>
  </si>
  <si>
    <t>图阿马西纳省</t>
  </si>
  <si>
    <t>药学</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</si>
  <si>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</si>
  <si>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河流恐惧症（Potamophobia）：对河流的恐惧。</t>
  </si>
  <si>
    <t>抱怨癖（Paramania）：一种在抱怨时产生的近乎病态的愉悦感。</t>
  </si>
  <si>
    <t>纽黑文 耶鲁大学</t>
  </si>
  <si>
    <t>《纽约每日新闻》</t>
  </si>
  <si>
    <r>
      <rPr>
        <sz val="11.25"/>
        <color rgb="FF05073B"/>
        <rFont val="PingFang-SC-Regular"/>
        <family val="1"/>
      </rPr>
      <t>科摩罗</t>
    </r>
  </si>
  <si>
    <t>莫罗尼*</t>
  </si>
  <si>
    <t>大科摩罗岛</t>
  </si>
  <si>
    <t>昂儒昂岛</t>
  </si>
  <si>
    <t>莫埃利岛</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</si>
  <si>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</si>
  <si>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</si>
  <si>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酒精恐惧症（Potophobia）：对酒或酒精的恐惧。</t>
  </si>
  <si>
    <t>面具狂（Personamania）：执着于佩戴面具。</t>
  </si>
  <si>
    <t>纽黑文 耶鲁大学皮博迪自然博物馆</t>
  </si>
  <si>
    <t>《纽约新闻报》</t>
  </si>
  <si>
    <r>
      <rPr>
        <sz val="11.25"/>
        <color rgb="FF05073B"/>
        <rFont val="PingFang-SC-Regular"/>
        <family val="1"/>
      </rPr>
      <t>毛里求斯</t>
    </r>
  </si>
  <si>
    <t>路易港*</t>
  </si>
  <si>
    <t>黑河区</t>
  </si>
  <si>
    <t>大港区</t>
  </si>
  <si>
    <t>弗拉曼克区</t>
  </si>
  <si>
    <t>庞普勒穆斯区</t>
  </si>
  <si>
    <t>普莱桑斯区</t>
  </si>
  <si>
    <t>里维埃尔-迪雷米区</t>
  </si>
  <si>
    <t>瓦瓜-普莱桑斯区</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</si>
  <si>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</si>
  <si>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</si>
  <si>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恐火症（Pyrophobia）：对火的恐惧。</t>
  </si>
  <si>
    <t>幽灵狂（Phasmomania）：痴迷于幽灵。</t>
  </si>
  <si>
    <t>《纽约邮报》</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</si>
  <si>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</si>
  <si>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</si>
  <si>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魔法恐惧症（Rhabdophobia）：对魔法的恐惧。</t>
  </si>
  <si>
    <t>谋杀癖（Phonomania）：病态的谋杀倾向。</t>
  </si>
  <si>
    <t>剑桥 哈佛大学</t>
  </si>
  <si>
    <t>《纽约电讯报》</t>
  </si>
  <si>
    <t>——北美洲——</t>
  </si>
  <si>
    <t>工程学</t>
  </si>
  <si>
    <t>· 尽管严格上来说这并不是科学，但是为了方便归到了这里
· 科学是与辨认特定的现象相关（通过观察和记录）
· 然而工程学将这些发现利用起来进行实际利用，例如机器，结构，以及材料</t>
  </si>
  <si>
    <t>黑暗恐惧症（Scotophobia）：对黑暗或夜晚的恐惧。</t>
  </si>
  <si>
    <t>渴光癖（Photomania）：对光的病态渴求。</t>
  </si>
  <si>
    <t>旧金山 加利福尼亚科学院</t>
  </si>
  <si>
    <t>《纽约时报》</t>
  </si>
  <si>
    <r>
      <rPr>
        <sz val="11.25"/>
        <color rgb="FF05073B"/>
        <rFont val="PingFang-SC-Regular"/>
        <family val="1"/>
      </rPr>
      <t>加拿大</t>
    </r>
  </si>
  <si>
    <t>渥太华*</t>
  </si>
  <si>
    <t>安大略省</t>
  </si>
  <si>
    <t>魁北克省</t>
  </si>
  <si>
    <t>不列颠哥伦比亚省</t>
  </si>
  <si>
    <t>艾伯塔省</t>
  </si>
  <si>
    <t>萨斯喀彻温省</t>
  </si>
  <si>
    <t>曼尼托巴省</t>
  </si>
  <si>
    <t>新不伦瑞克省</t>
  </si>
  <si>
    <t>新斯科舍省</t>
  </si>
  <si>
    <t>爱德华王子岛省</t>
  </si>
  <si>
    <t>纽芬兰与拉布拉多省</t>
  </si>
  <si>
    <t>努纳武特地区</t>
  </si>
  <si>
    <t>西北地区</t>
  </si>
  <si>
    <t>育空地区</t>
  </si>
  <si>
    <t>气象学</t>
  </si>
  <si>
    <t>· 这是门关于大气的科学研究，包括天气系统和形态，以及大气现象
· 使用这项技能可以判断长期的天气形态以及对其影响进行预报，例如雨、雪以及雾</t>
  </si>
  <si>
    <t>恐月症（Selenophobia）：对月亮的恐惧。</t>
  </si>
  <si>
    <t>背德癖（Planomania）：病态地渴求违背社会道德（原文如此，存疑，Planomania 实际上是漂泊症）</t>
  </si>
  <si>
    <t>伯克利 加州大学伯克利分校</t>
  </si>
  <si>
    <t>《罗彻斯特日报》</t>
  </si>
  <si>
    <r>
      <rPr>
        <sz val="11.25"/>
        <color rgb="FF05073B"/>
        <rFont val="PingFang-SC-Regular"/>
        <family val="1"/>
      </rPr>
      <t>美国</t>
    </r>
  </si>
  <si>
    <t>华盛顿特区*</t>
  </si>
  <si>
    <t>阿拉斯加州</t>
  </si>
  <si>
    <t>科罗拉多州</t>
  </si>
  <si>
    <t>康涅狄格州</t>
  </si>
  <si>
    <t>特拉华州</t>
  </si>
  <si>
    <t>佛罗里达州</t>
  </si>
  <si>
    <t>佐治亚州</t>
  </si>
  <si>
    <t>夏威夷州</t>
  </si>
  <si>
    <t>爱达荷州</t>
  </si>
  <si>
    <t>伊利诺伊州</t>
  </si>
  <si>
    <t>印第安纳州</t>
  </si>
  <si>
    <t>艾奥瓦州</t>
  </si>
  <si>
    <t>堪萨斯州</t>
  </si>
  <si>
    <t>肯塔基州</t>
  </si>
  <si>
    <t>路易斯安那州</t>
  </si>
  <si>
    <t>缅因州</t>
  </si>
  <si>
    <t>马萨诸塞州</t>
  </si>
  <si>
    <t>密歇根州</t>
  </si>
  <si>
    <t>明尼苏达州</t>
  </si>
  <si>
    <t>密西西比州</t>
  </si>
  <si>
    <t>密苏里州</t>
  </si>
  <si>
    <t>蒙大拿州</t>
  </si>
  <si>
    <t>内布拉斯加州</t>
  </si>
  <si>
    <t>内华达州</t>
  </si>
  <si>
    <t>新罕布什尔州</t>
  </si>
  <si>
    <t>新泽西州</t>
  </si>
  <si>
    <t>新墨西哥州</t>
  </si>
  <si>
    <t>北卡罗来纳州</t>
  </si>
  <si>
    <t>北达科他州</t>
  </si>
  <si>
    <t>俄亥俄州</t>
  </si>
  <si>
    <t>俄克拉荷马州</t>
  </si>
  <si>
    <t>俄勒冈州</t>
  </si>
  <si>
    <t>宾夕法尼亚州</t>
  </si>
  <si>
    <t>罗得岛州</t>
  </si>
  <si>
    <t>南卡罗来纳州</t>
  </si>
  <si>
    <t>南达科他州</t>
  </si>
  <si>
    <t>田纳西州</t>
  </si>
  <si>
    <t>得克萨斯州</t>
  </si>
  <si>
    <t>犹他州</t>
  </si>
  <si>
    <t>佛蒙特州</t>
  </si>
  <si>
    <t>弗吉尼亚州</t>
  </si>
  <si>
    <t>华盛顿州</t>
  </si>
  <si>
    <t>西弗吉尼亚州</t>
  </si>
  <si>
    <t>威斯康星州</t>
  </si>
  <si>
    <t>怀俄明州</t>
  </si>
  <si>
    <t>威斯康星州（Wisconsin）</t>
  </si>
  <si>
    <t>怀俄明州（Wyoming）</t>
  </si>
  <si>
    <t>华盛顿哥伦比亚特区（Washington D.C.）</t>
  </si>
  <si>
    <t>司法科学</t>
  </si>
  <si>
    <t>· 对于证据的分析和检定的研究
· 通常与犯罪现场调查（检验指纹、DNA、头发以及体液）和实验室工作相联系，以此来确定真相以及为法庭争论提供专业的证人和证据</t>
  </si>
  <si>
    <t>火车恐惧症（Siderodromophobia）：对于乘坐火车出行的恐惧。</t>
  </si>
  <si>
    <t>求财癖（Plutomania）：对财富的强迫性的渴望。</t>
  </si>
  <si>
    <t>匹兹堡 卡内基学院</t>
  </si>
  <si>
    <t>《锡拉丘兹日报》</t>
  </si>
  <si>
    <r>
      <rPr>
        <sz val="11.25"/>
        <color rgb="FF05073B"/>
        <rFont val="PingFang-SC-Regular"/>
        <family val="1"/>
      </rPr>
      <t>墨西哥</t>
    </r>
  </si>
  <si>
    <t>墨西哥城*</t>
  </si>
  <si>
    <t>阿瓜斯卡连特斯州</t>
  </si>
  <si>
    <t>下加利福尼亚州</t>
  </si>
  <si>
    <t>坎佩切州</t>
  </si>
  <si>
    <t>科阿韦拉州</t>
  </si>
  <si>
    <t>科利马州</t>
  </si>
  <si>
    <t>恰帕斯州</t>
  </si>
  <si>
    <t>奇瓦瓦州</t>
  </si>
  <si>
    <t>科苏梅尔州</t>
  </si>
  <si>
    <t>杜兰戈州</t>
  </si>
  <si>
    <t>瓜纳华托州</t>
  </si>
  <si>
    <t>格雷罗州</t>
  </si>
  <si>
    <t>伊达尔戈州</t>
  </si>
  <si>
    <t>哈利斯科州</t>
  </si>
  <si>
    <t>墨西哥州</t>
  </si>
  <si>
    <t>米却肯州</t>
  </si>
  <si>
    <t>莫雷洛斯州</t>
  </si>
  <si>
    <t>纳亚里特州</t>
  </si>
  <si>
    <t>新莱昂州</t>
  </si>
  <si>
    <t>普埃布拉州</t>
  </si>
  <si>
    <t>克雷塔罗州</t>
  </si>
  <si>
    <t>金塔纳罗奥州</t>
  </si>
  <si>
    <t>圣路易斯波托西州</t>
  </si>
  <si>
    <t>锡那罗州</t>
  </si>
  <si>
    <t>索诺拉州</t>
  </si>
  <si>
    <t>塔巴斯科州</t>
  </si>
  <si>
    <t>塔毛利帕斯州</t>
  </si>
  <si>
    <t>特拉斯卡拉州</t>
  </si>
  <si>
    <t>韦拉克鲁斯州</t>
  </si>
  <si>
    <t>尤卡坦州</t>
  </si>
  <si>
    <t>萨卡特卡斯州</t>
  </si>
  <si>
    <t>萨尔瓦多州</t>
  </si>
  <si>
    <t>圣克里斯托瓦尔州</t>
  </si>
  <si>
    <t>恐星症（Siderophobia）：对星星的恐惧。</t>
  </si>
  <si>
    <t>欺骗狂（Pseudomania）：无法抑制的执着于撒谎。</t>
  </si>
  <si>
    <t>辛辛那提 辛辛那提博物馆协会</t>
  </si>
  <si>
    <t>《华尔街日报》</t>
  </si>
  <si>
    <r>
      <rPr>
        <sz val="11.25"/>
        <color rgb="FF05073B"/>
        <rFont val="PingFang-SC-Regular"/>
        <family val="1"/>
      </rPr>
      <t>危地马拉</t>
    </r>
  </si>
  <si>
    <t>危地马拉城*</t>
  </si>
  <si>
    <t>奇马尔特南戈省</t>
  </si>
  <si>
    <t>埃斯昆特拉省</t>
  </si>
  <si>
    <t>危地马拉省</t>
  </si>
  <si>
    <t>胡卡坦省</t>
  </si>
  <si>
    <t>伊萨瓦尔省</t>
  </si>
  <si>
    <t>哈拉帕省</t>
  </si>
  <si>
    <t>胡奇坦南戈省</t>
  </si>
  <si>
    <t>佩滕省</t>
  </si>
  <si>
    <t>基切省</t>
  </si>
  <si>
    <t>克萨尔特南戈省</t>
  </si>
  <si>
    <t>奎切滕省</t>
  </si>
  <si>
    <t>雷塔卢莱乌省</t>
  </si>
  <si>
    <t>萨卡特佩克斯省</t>
  </si>
  <si>
    <t>圣罗莎省</t>
  </si>
  <si>
    <t>索洛拉省</t>
  </si>
  <si>
    <t>苏奇特佩克斯省</t>
  </si>
  <si>
    <t>托托尼卡潘省</t>
  </si>
  <si>
    <t>下韦拉帕斯省</t>
  </si>
  <si>
    <t>上韦拉帕斯省</t>
  </si>
  <si>
    <t>扎卡帕省</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</si>
  <si>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</si>
  <si>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</si>
  <si>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</si>
  <si>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</si>
  <si>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</si>
  <si>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</si>
  <si>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</si>
  <si>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狭室恐惧症（Stenophobia）：对狭小物件或地点的恐惧。</t>
  </si>
  <si>
    <t>纵火狂（Pyromania）：执着于纵火。</t>
  </si>
  <si>
    <t>丹佛 科罗拉多州自然历史博物馆</t>
  </si>
  <si>
    <r>
      <rPr>
        <sz val="11.25"/>
        <color rgb="FF05073B"/>
        <rFont val="PingFang-SC-Regular"/>
        <family val="1"/>
      </rPr>
      <t>伯利兹</t>
    </r>
  </si>
  <si>
    <t>贝尔莫潘*</t>
  </si>
  <si>
    <t>伯利兹区</t>
  </si>
  <si>
    <t>卡约区</t>
  </si>
  <si>
    <t>科罗萨尔区</t>
  </si>
  <si>
    <t>奥兰治沃克区</t>
  </si>
  <si>
    <t>圣伊格纳西奥区</t>
  </si>
  <si>
    <t>托莱多区</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</si>
  <si>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</si>
  <si>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</si>
  <si>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</si>
  <si>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</si>
  <si>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</si>
  <si>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</si>
  <si>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</si>
  <si>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对称恐惧症（Symmetrophobia）：对对称的恐惧。</t>
  </si>
  <si>
    <t>提问狂（Questiong-Asking Mania）：执着于提问。</t>
  </si>
  <si>
    <t>厄巴纳-香槟 伊利诺伊大学</t>
  </si>
  <si>
    <t>德克萨斯州</t>
  </si>
  <si>
    <r>
      <rPr>
        <sz val="11.25"/>
        <color rgb="FF05073B"/>
        <rFont val="PingFang-SC-Regular"/>
        <family val="1"/>
      </rPr>
      <t>萨尔瓦多</t>
    </r>
  </si>
  <si>
    <t>圣萨尔瓦多*</t>
  </si>
  <si>
    <t>阿瓦查潘省</t>
  </si>
  <si>
    <t>卡瓦尼亚斯省</t>
  </si>
  <si>
    <t>查拉特南戈省</t>
  </si>
  <si>
    <t>库斯卡特兰省</t>
  </si>
  <si>
    <t>拉巴斯省</t>
  </si>
  <si>
    <t>拉利伯塔德省</t>
  </si>
  <si>
    <t>拉乌尼翁省</t>
  </si>
  <si>
    <t>莫拉桑省</t>
  </si>
  <si>
    <t>圣安娜省</t>
  </si>
  <si>
    <t>圣米格尔省</t>
  </si>
  <si>
    <t>圣维森特省</t>
  </si>
  <si>
    <t>松索纳特省</t>
  </si>
  <si>
    <t>乌苏卢坦省</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</si>
  <si>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</si>
  <si>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</si>
  <si>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</si>
  <si>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</si>
  <si>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</si>
  <si>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</si>
  <si>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</si>
  <si>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活埋恐惧症（Taphephobia）：对于被活埋或墓地的恐惧。</t>
  </si>
  <si>
    <t>挖鼻癖（Rhinotillexomania）：执着于挖鼻子。</t>
  </si>
  <si>
    <t>安娜堡 密歇根大学</t>
  </si>
  <si>
    <t>《达拉斯晨报》</t>
  </si>
  <si>
    <r>
      <rPr>
        <sz val="11.25"/>
        <color rgb="FF05073B"/>
        <rFont val="PingFang-SC-Regular"/>
        <family val="1"/>
      </rPr>
      <t>洪都拉斯</t>
    </r>
  </si>
  <si>
    <t>特古西加尔巴*</t>
  </si>
  <si>
    <t>阿特兰蒂达省</t>
  </si>
  <si>
    <t>科隆省</t>
  </si>
  <si>
    <t>科马亚瓜省</t>
  </si>
  <si>
    <t>科潘省</t>
  </si>
  <si>
    <t>科尔特斯省</t>
  </si>
  <si>
    <t>埃尔帕拉伊索省</t>
  </si>
  <si>
    <t>弗朗西斯科-莫拉桑省</t>
  </si>
  <si>
    <t>格拉西亚斯-阿迪奥斯省</t>
  </si>
  <si>
    <t>因蒂布卡省</t>
  </si>
  <si>
    <t>伦皮拉省</t>
  </si>
  <si>
    <t>奥科特佩克省</t>
  </si>
  <si>
    <t>奥兰乔省</t>
  </si>
  <si>
    <t>帕亚梅省</t>
  </si>
  <si>
    <t>波托巴里奥斯省</t>
  </si>
  <si>
    <t>普埃尔托卡斯塔省</t>
  </si>
  <si>
    <t>圣巴巴拉省</t>
  </si>
  <si>
    <t>圣佩德罗苏拉省</t>
  </si>
  <si>
    <t>瓦莱省</t>
  </si>
  <si>
    <t>约罗省</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</si>
  <si>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</si>
  <si>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</si>
  <si>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</si>
  <si>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</si>
  <si>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</si>
  <si>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</si>
  <si>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</si>
  <si>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公牛恐惧症（Taurophobia）：对公牛的恐惧。</t>
  </si>
  <si>
    <t>涂鸦癖（Scribbleomania）：沉迷于涂鸦。</t>
  </si>
  <si>
    <t>明尼阿波利斯、圣保罗 明尼苏达大学</t>
  </si>
  <si>
    <t>《厄尔巴索邮报》</t>
  </si>
  <si>
    <r>
      <rPr>
        <sz val="11.25"/>
        <color rgb="FF05073B"/>
        <rFont val="PingFang-SC-Regular"/>
        <family val="1"/>
      </rPr>
      <t>尼加拉瓜</t>
    </r>
  </si>
  <si>
    <t>马那瓜*</t>
  </si>
  <si>
    <t>大西洋海岸自治区</t>
  </si>
  <si>
    <t>波南省</t>
  </si>
  <si>
    <t>奇南德加省</t>
  </si>
  <si>
    <t>埃斯特利省</t>
  </si>
  <si>
    <t>格拉纳达省</t>
  </si>
  <si>
    <t>Jinotega省</t>
  </si>
  <si>
    <t>莱昂省</t>
  </si>
  <si>
    <t>马德拉斯省</t>
  </si>
  <si>
    <t>马那瓜省</t>
  </si>
  <si>
    <t>新塞哥维亚省</t>
  </si>
  <si>
    <t>里瓦斯省</t>
  </si>
  <si>
    <t>马塔加尔帕省</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</si>
  <si>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</si>
  <si>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</si>
  <si>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</si>
  <si>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</si>
  <si>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</si>
  <si>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</si>
  <si>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</si>
  <si>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电话恐惧症（Telephonophobia）：对电话的恐惧。</t>
  </si>
  <si>
    <t>列车狂（Siderodromomania）：认为火车或类似的依靠轨道交通的旅行方式充满魅力。</t>
  </si>
  <si>
    <t>塞勒姆 塞勒姆皮博迪航海图书馆</t>
  </si>
  <si>
    <t>《沃斯堡新闻报》</t>
  </si>
  <si>
    <r>
      <rPr>
        <sz val="11.25"/>
        <color rgb="FF05073B"/>
        <rFont val="PingFang-SC-Regular"/>
        <family val="1"/>
      </rPr>
      <t>哥斯达黎加</t>
    </r>
  </si>
  <si>
    <t>圣何塞*</t>
  </si>
  <si>
    <t>阿拉胡埃拉省</t>
  </si>
  <si>
    <t>卡塔戈省</t>
  </si>
  <si>
    <t>埃尔瓜斯省</t>
  </si>
  <si>
    <t>埃雷迪亚省</t>
  </si>
  <si>
    <t>瓜纳卡斯特省</t>
  </si>
  <si>
    <t>利蒙省</t>
  </si>
  <si>
    <t>蓬塔雷纳斯省</t>
  </si>
  <si>
    <t>圣克鲁斯省</t>
  </si>
  <si>
    <t>瓦尔帕莱索省</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</si>
  <si>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</si>
  <si>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</si>
  <si>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</si>
  <si>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</si>
  <si>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</si>
  <si>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</si>
  <si>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</si>
  <si>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怪物恐惧症①（Teratophobia）：对怪物的恐惧。</t>
  </si>
  <si>
    <t>臆智症（Sophomania）：臆想自己拥有难以置信的智慧。</t>
  </si>
  <si>
    <t>普林斯顿 普林斯顿大学</t>
  </si>
  <si>
    <t>《沃斯堡明镜电讯报》</t>
  </si>
  <si>
    <r>
      <rPr>
        <sz val="11.25"/>
        <color rgb="FF05073B"/>
        <rFont val="PingFang-SC-Regular"/>
        <family val="1"/>
      </rPr>
      <t>巴拿马</t>
    </r>
  </si>
  <si>
    <t>巴拿马城*</t>
  </si>
  <si>
    <t>博卡斯德尔托罗省</t>
  </si>
  <si>
    <t>奇里基省</t>
  </si>
  <si>
    <t>科克莱省</t>
  </si>
  <si>
    <t>赫拉尔多省</t>
  </si>
  <si>
    <t>洛斯桑托斯省</t>
  </si>
  <si>
    <t>北圣埃伦纳省</t>
  </si>
  <si>
    <t>巴拿马省</t>
  </si>
  <si>
    <t>贝拉瓜斯省</t>
  </si>
  <si>
    <t>塞罗阿祖尔省</t>
  </si>
  <si>
    <t>索科罗省</t>
  </si>
  <si>
    <t>达里恩省</t>
  </si>
  <si>
    <t>韦拉瓜斯省</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</si>
  <si>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</si>
  <si>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</si>
  <si>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</si>
  <si>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</si>
  <si>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</si>
  <si>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</si>
  <si>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</si>
  <si>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深海恐惧症（Thalassophobia）：对海洋的恐惧。</t>
  </si>
  <si>
    <t>科技狂（Technomania）：痴迷于新的科技。</t>
  </si>
  <si>
    <t>托莱多 托莱多美术馆</t>
  </si>
  <si>
    <t>《休斯敦纪事报》</t>
  </si>
  <si>
    <t>努克*</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</si>
  <si>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</si>
  <si>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</si>
  <si>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</si>
  <si>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</si>
  <si>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</si>
  <si>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</si>
  <si>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</si>
  <si>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手术恐惧症（Tomophobia）：对外科手术的恐惧。</t>
  </si>
  <si>
    <t>臆咒狂（Thanatomania）：坚信自己已被某种死亡魔法所诅咒。</t>
  </si>
  <si>
    <t>《休斯敦邮报》</t>
  </si>
  <si>
    <t>圣皮埃尔和密克隆群岛</t>
  </si>
  <si>
    <t>圣皮埃尔*</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</si>
  <si>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</si>
  <si>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</si>
  <si>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</si>
  <si>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</si>
  <si>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</si>
  <si>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</si>
  <si>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十三恐惧症（Triskadekaphobia）：对数字 13 的恐惧症。</t>
  </si>
  <si>
    <t>臆神狂（Theomania）：坚信自己是一位神灵。</t>
  </si>
  <si>
    <t>其他——————————</t>
  </si>
  <si>
    <t>《休斯敦新闻报》</t>
  </si>
  <si>
    <t>百慕大群岛</t>
  </si>
  <si>
    <t>哈密尔顿*</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</si>
  <si>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</si>
  <si>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</si>
  <si>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</si>
  <si>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</si>
  <si>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</si>
  <si>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</si>
  <si>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衣物恐惧症（Vestiphobia）：对衣物的恐惧。</t>
  </si>
  <si>
    <t>抓挠癖（Titillomaniac）：抓挠自己的强迫倾向。</t>
  </si>
  <si>
    <t>英国伦敦 大英博物馆</t>
  </si>
  <si>
    <t>《圣安东尼奥光明报》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</si>
  <si>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</si>
  <si>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</si>
  <si>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</si>
  <si>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</si>
  <si>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</si>
  <si>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</si>
  <si>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</si>
  <si>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女巫恐惧症（Wiccaphobia）：对女巫与巫术的恐惧。</t>
  </si>
  <si>
    <t>手术狂（Tomomania）：对进行手术的不正常爱好。</t>
  </si>
  <si>
    <t>法国巴黎 法国国家图书馆</t>
  </si>
  <si>
    <t>——南美洲——</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</si>
  <si>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</si>
  <si>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</si>
  <si>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</si>
  <si>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</si>
  <si>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</si>
  <si>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黄色恐惧症（Xanthophobia）：对黄色或“黄”字的恐惧。</t>
  </si>
  <si>
    <t>拔毛癖（Trichotillomania）：执着于拔下自己的头发。</t>
  </si>
  <si>
    <t>梵蒂冈 教皇图书馆</t>
  </si>
  <si>
    <r>
      <rPr>
        <sz val="11.25"/>
        <color rgb="FF05073B"/>
        <rFont val="PingFang-SC-Regular"/>
        <family val="1"/>
      </rPr>
      <t>哥伦比亚</t>
    </r>
  </si>
  <si>
    <t>波哥大*</t>
  </si>
  <si>
    <t>安蒂奥基亚省</t>
  </si>
  <si>
    <t>阿劳卡省</t>
  </si>
  <si>
    <t>博亚卡省</t>
  </si>
  <si>
    <t>玻利瓦尔省</t>
  </si>
  <si>
    <t>卡尔达斯省</t>
  </si>
  <si>
    <t>考卡省</t>
  </si>
  <si>
    <t>考卡山谷省</t>
  </si>
  <si>
    <t>昆迪纳马卡省</t>
  </si>
  <si>
    <t>乔科省</t>
  </si>
  <si>
    <t>科尔多瓦省</t>
  </si>
  <si>
    <t>瓜维亚雷省</t>
  </si>
  <si>
    <t>瓜希拉省</t>
  </si>
  <si>
    <t>乌伊拉省</t>
  </si>
  <si>
    <t>马格达莱纳省</t>
  </si>
  <si>
    <t>梅塔省</t>
  </si>
  <si>
    <t>纳里尼奥省</t>
  </si>
  <si>
    <t>北桑坦德省</t>
  </si>
  <si>
    <t>普图马约省</t>
  </si>
  <si>
    <t>里萨拉尔达省</t>
  </si>
  <si>
    <t>桑坦德省</t>
  </si>
  <si>
    <t>苏克雷省</t>
  </si>
  <si>
    <t>托利马省</t>
  </si>
  <si>
    <t>山谷省</t>
  </si>
  <si>
    <t>沃佩斯省</t>
  </si>
  <si>
    <t>瓜希拉半岛省</t>
  </si>
  <si>
    <t>卡萨纳雷省</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</si>
  <si>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</si>
  <si>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</si>
  <si>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</si>
  <si>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</si>
  <si>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外语恐惧症（Xenoglossophobia）：对外语的恐惧。</t>
  </si>
  <si>
    <t>臆盲症（Typhlomania）：病理性的失明。</t>
  </si>
  <si>
    <t>《阿克伦时报》</t>
  </si>
  <si>
    <r>
      <rPr>
        <sz val="11.25"/>
        <color rgb="FF05073B"/>
        <rFont val="PingFang-SC-Regular"/>
        <family val="1"/>
      </rPr>
      <t>委内瑞拉</t>
    </r>
  </si>
  <si>
    <t>加拉加斯*</t>
  </si>
  <si>
    <t>阿马库罗三角洲州</t>
  </si>
  <si>
    <t>安索阿特吉州</t>
  </si>
  <si>
    <t>阿普雷州</t>
  </si>
  <si>
    <t>阿拉瓜州</t>
  </si>
  <si>
    <t>巴里纳斯州</t>
  </si>
  <si>
    <t>玻利瓦尔州</t>
  </si>
  <si>
    <t>卡拉沃沃州</t>
  </si>
  <si>
    <t>科赫德斯州</t>
  </si>
  <si>
    <t>法尔孔州</t>
  </si>
  <si>
    <t>瓜里科州</t>
  </si>
  <si>
    <t>拉腊州</t>
  </si>
  <si>
    <t>梅里达州</t>
  </si>
  <si>
    <t>米兰达州</t>
  </si>
  <si>
    <t>莫纳加斯州</t>
  </si>
  <si>
    <t>新埃斯帕塔州</t>
  </si>
  <si>
    <t>波图格萨州</t>
  </si>
  <si>
    <t>苏克雷州</t>
  </si>
  <si>
    <t>塔奇拉州</t>
  </si>
  <si>
    <t>亚马孙州</t>
  </si>
  <si>
    <t>特鲁希略州</t>
  </si>
  <si>
    <t>苏利亚州</t>
  </si>
  <si>
    <t>亚拉奎州</t>
  </si>
  <si>
    <t>祖利亚州</t>
  </si>
  <si>
    <t>联邦首都区</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</si>
  <si>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</si>
  <si>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</si>
  <si>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异域恐惧症（Xenophobia）：对陌生人或外国人的恐惧。</t>
  </si>
  <si>
    <t>嗜外狂（Xenomania）：痴迷于异国的事物。</t>
  </si>
  <si>
    <t>《辛辛那提邮报》</t>
  </si>
  <si>
    <r>
      <rPr>
        <sz val="11.25"/>
        <color rgb="FF05073B"/>
        <rFont val="PingFang-SC-Regular"/>
        <family val="1"/>
      </rPr>
      <t>圭亚那</t>
    </r>
  </si>
  <si>
    <t>乔治敦*</t>
  </si>
  <si>
    <t>巴里马-瓦伊尼省</t>
  </si>
  <si>
    <t>卡尼奥尼马省</t>
  </si>
  <si>
    <t>库尤尼-马扎鲁尼省</t>
  </si>
  <si>
    <t>德梅拉拉-马海卡省</t>
  </si>
  <si>
    <t>东伯比斯-科雷兰蒂省</t>
  </si>
  <si>
    <t>波姆波利马-苏普埃纳姆省</t>
  </si>
  <si>
    <t>波蒂瓦利区</t>
  </si>
  <si>
    <t>上德梅拉拉-伯比斯省</t>
  </si>
  <si>
    <t>上塔库图-上埃塞奎博省</t>
  </si>
  <si>
    <t>特拉瓦利-尼皮卡区</t>
  </si>
  <si>
    <t>自定义技能</t>
  </si>
  <si>
    <t>动物恐惧症（Zoophobia）：对动物的恐惧。</t>
  </si>
  <si>
    <t>喜兽癖（Zoomania）：对待动物的态度近乎疯狂地友好。</t>
  </si>
  <si>
    <t>《克利夫兰老实人报》</t>
  </si>
  <si>
    <r>
      <rPr>
        <sz val="11.25"/>
        <color rgb="FF05073B"/>
        <rFont val="PingFang-SC-Regular"/>
        <family val="1"/>
      </rPr>
      <t>苏里南</t>
    </r>
  </si>
  <si>
    <t>帕拉马里博*</t>
  </si>
  <si>
    <t>布罗科蓬多区</t>
  </si>
  <si>
    <t>科摩林区</t>
  </si>
  <si>
    <t>马罗韦讷区</t>
  </si>
  <si>
    <t>尼克里区</t>
  </si>
  <si>
    <t>帕拉区</t>
  </si>
  <si>
    <t>萨拉马卡区</t>
  </si>
  <si>
    <t>锡帕利维尼区</t>
  </si>
  <si>
    <t>瓦尼卡区</t>
  </si>
  <si>
    <t>上塔库图-上尼皮区</t>
  </si>
  <si>
    <t>请选择
你想了解的技能</t>
  </si>
  <si>
    <t>注释：①催眠恐惧症（Hypnophobia）、恐牙症（牙医恐惧症 \ Odontophobia）、魔法恐惧症（权杖恐惧症\ Rhabdophobia）和怪物恐惧症（畸形恐惧症 Teratophobia）四条疑原文理解有误，目前按原文翻出。</t>
  </si>
  <si>
    <t>《克利夫兰日报》</t>
  </si>
  <si>
    <t>法属圭亚那</t>
  </si>
  <si>
    <t>卡宴*</t>
  </si>
  <si>
    <t>该症状表由  Achronidas 翻译。</t>
  </si>
  <si>
    <t>《哥伦布公民杂志》</t>
  </si>
  <si>
    <r>
      <rPr>
        <sz val="11.25"/>
        <color rgb="FF05073B"/>
        <rFont val="PingFang-SC-Regular"/>
        <family val="1"/>
      </rPr>
      <t>厄瓜多尔</t>
    </r>
  </si>
  <si>
    <t>基多*</t>
  </si>
  <si>
    <t>阿苏艾省</t>
  </si>
  <si>
    <t>卡尼亚尔省</t>
  </si>
  <si>
    <t>科多托帕希省</t>
  </si>
  <si>
    <t>钦博拉索省</t>
  </si>
  <si>
    <t>埃尔奥罗省</t>
  </si>
  <si>
    <t>埃斯梅拉达斯省</t>
  </si>
  <si>
    <t>瓜亚斯省</t>
  </si>
  <si>
    <t>洛哈省</t>
  </si>
  <si>
    <t>马纳维省</t>
  </si>
  <si>
    <t>纳波省</t>
  </si>
  <si>
    <t>帕斯塔萨省</t>
  </si>
  <si>
    <t>皮钦查省</t>
  </si>
  <si>
    <t>苏昆比奥斯省</t>
  </si>
  <si>
    <t>圣埃伦纳省</t>
  </si>
  <si>
    <t>圣地亚哥省</t>
  </si>
  <si>
    <t>通古拉瓦省</t>
  </si>
  <si>
    <t>加拉帕戈斯省</t>
  </si>
  <si>
    <t>《哥伦布快报》</t>
  </si>
  <si>
    <r>
      <rPr>
        <sz val="11.25"/>
        <color rgb="FF05073B"/>
        <rFont val="PingFang-SC-Regular"/>
        <family val="1"/>
      </rPr>
      <t>秘鲁</t>
    </r>
  </si>
  <si>
    <t>利马*</t>
  </si>
  <si>
    <t>阿雷基帕大区</t>
  </si>
  <si>
    <t>阿普里马克大区</t>
  </si>
  <si>
    <t>阿亚库乔大区</t>
  </si>
  <si>
    <t>卡哈马卡大区</t>
  </si>
  <si>
    <t>库斯科大区</t>
  </si>
  <si>
    <t>万卡韦利卡大区</t>
  </si>
  <si>
    <t>胡宁大区</t>
  </si>
  <si>
    <t>拉利伯塔德大区</t>
  </si>
  <si>
    <t>兰巴耶克大区</t>
  </si>
  <si>
    <t>利马大区</t>
  </si>
  <si>
    <t>洛雷托大区</t>
  </si>
  <si>
    <t>马德雷德迪奥斯大区</t>
  </si>
  <si>
    <t>莫克瓜大区</t>
  </si>
  <si>
    <t>帕斯科大区</t>
  </si>
  <si>
    <t>皮乌拉大区</t>
  </si>
  <si>
    <t>普诺大区</t>
  </si>
  <si>
    <t>圣马丁大区</t>
  </si>
  <si>
    <t>塔克纳大区</t>
  </si>
  <si>
    <t>通贝斯大区</t>
  </si>
  <si>
    <t>乌卡亚利大区</t>
  </si>
  <si>
    <t>亚马孙大区</t>
  </si>
  <si>
    <t>伊卡大区</t>
  </si>
  <si>
    <t>安卡什大区</t>
  </si>
  <si>
    <t>《托莱多蜜蜂新闻》</t>
  </si>
  <si>
    <r>
      <rPr>
        <sz val="11.25"/>
        <color rgb="FF05073B"/>
        <rFont val="PingFang-SC-Regular"/>
        <family val="1"/>
      </rPr>
      <t>玻利维亚</t>
    </r>
  </si>
  <si>
    <t>拉巴斯*</t>
  </si>
  <si>
    <t>贝尼省</t>
  </si>
  <si>
    <t>科恰班巴省</t>
  </si>
  <si>
    <t>楚科省</t>
  </si>
  <si>
    <t>奥鲁罗省</t>
  </si>
  <si>
    <t>潘多省</t>
  </si>
  <si>
    <t>波托西省</t>
  </si>
  <si>
    <t>塔里哈省</t>
  </si>
  <si>
    <t>《扬斯敦电讯报》</t>
  </si>
  <si>
    <r>
      <rPr>
        <sz val="11.25"/>
        <color rgb="FF05073B"/>
        <rFont val="PingFang-SC-Regular"/>
        <family val="1"/>
      </rPr>
      <t>巴西</t>
    </r>
  </si>
  <si>
    <t>巴西利亚*</t>
  </si>
  <si>
    <t>阿克里州</t>
  </si>
  <si>
    <t>阿拉戈斯州</t>
  </si>
  <si>
    <t>阿马帕州</t>
  </si>
  <si>
    <t>巴伊亚州</t>
  </si>
  <si>
    <t>塞阿拉州</t>
  </si>
  <si>
    <t>圣埃斯皮里图州</t>
  </si>
  <si>
    <t>戈亚斯州</t>
  </si>
  <si>
    <t>马拉尼昂州</t>
  </si>
  <si>
    <t>马托格罗索州</t>
  </si>
  <si>
    <t>南马托格罗索州</t>
  </si>
  <si>
    <t>米纳斯吉拉斯州</t>
  </si>
  <si>
    <t>帕拉州</t>
  </si>
  <si>
    <t>帕拉伊巴州</t>
  </si>
  <si>
    <t>巴拉那州</t>
  </si>
  <si>
    <t>伯南布哥州</t>
  </si>
  <si>
    <t>皮奥伊州</t>
  </si>
  <si>
    <t>北里奥格兰德州</t>
  </si>
  <si>
    <t>南里奥格兰德州</t>
  </si>
  <si>
    <t>朗多尼亚州</t>
  </si>
  <si>
    <t>罗赖马州</t>
  </si>
  <si>
    <t>圣保罗州</t>
  </si>
  <si>
    <t>塞尔希培州</t>
  </si>
  <si>
    <t>圣卡塔琳娜州</t>
  </si>
  <si>
    <t>圣路易斯州</t>
  </si>
  <si>
    <t>托坎廷斯州</t>
  </si>
  <si>
    <t>里约热内卢州</t>
  </si>
  <si>
    <t>飞行器</t>
  </si>
  <si>
    <t>资产表</t>
  </si>
  <si>
    <r>
      <rPr>
        <sz val="11.25"/>
        <color rgb="FF05073B"/>
        <rFont val="PingFang-SC-Regular"/>
        <family val="1"/>
      </rPr>
      <t>智利</t>
    </r>
  </si>
  <si>
    <t>圣地亚哥*</t>
  </si>
  <si>
    <t>安托法加斯塔大区</t>
  </si>
  <si>
    <t>阿塔卡马大区</t>
  </si>
  <si>
    <t>科金博大区</t>
  </si>
  <si>
    <t>瓦尔帕莱索大区</t>
  </si>
  <si>
    <t>奥希金斯大区</t>
  </si>
  <si>
    <t>比奥比奥大区</t>
  </si>
  <si>
    <t>拉宁大区</t>
  </si>
  <si>
    <t>纽夫莱大区</t>
  </si>
  <si>
    <t>阿劳卡尼亚大区</t>
  </si>
  <si>
    <t>洛斯里奥斯大区</t>
  </si>
  <si>
    <t>洛斯安第斯大区</t>
  </si>
  <si>
    <t>塔拉帕卡大区</t>
  </si>
  <si>
    <t>马乌莱大区</t>
  </si>
  <si>
    <t>船</t>
  </si>
  <si>
    <r>
      <rPr>
        <sz val="11.25"/>
        <color rgb="FF05073B"/>
        <rFont val="PingFang-SC-Regular"/>
        <family val="1"/>
      </rPr>
      <t>阿根廷</t>
    </r>
  </si>
  <si>
    <t>布宜诺斯艾利斯*</t>
  </si>
  <si>
    <t>布宜诺斯艾利斯省</t>
  </si>
  <si>
    <t>卡塔马卡省</t>
  </si>
  <si>
    <t>查科省</t>
  </si>
  <si>
    <t>丘布特省</t>
  </si>
  <si>
    <t>科连特斯省</t>
  </si>
  <si>
    <t>恩特雷里奥斯省</t>
  </si>
  <si>
    <t>福尔摩沙省</t>
  </si>
  <si>
    <t>胡胡伊省</t>
  </si>
  <si>
    <t>拉潘帕省</t>
  </si>
  <si>
    <t>拉里奥哈省</t>
  </si>
  <si>
    <t>门多萨省</t>
  </si>
  <si>
    <t>内乌肯省</t>
  </si>
  <si>
    <t>内格罗河省</t>
  </si>
  <si>
    <t>里奥内格罗省</t>
  </si>
  <si>
    <t>萨尔塔省</t>
  </si>
  <si>
    <t>圣胡安省</t>
  </si>
  <si>
    <t>圣路易斯省</t>
  </si>
  <si>
    <t>圣菲省</t>
  </si>
  <si>
    <t>圣地亚哥-德尔埃斯特罗省</t>
  </si>
  <si>
    <t>火地岛省</t>
  </si>
  <si>
    <t>图库曼省</t>
  </si>
  <si>
    <t>美元 1920/现代</t>
  </si>
  <si>
    <t>信用成功率</t>
  </si>
  <si>
    <t>年代分流</t>
  </si>
  <si>
    <t>《波士顿广告人报》</t>
  </si>
  <si>
    <r>
      <rPr>
        <sz val="11.25"/>
        <color rgb="FF05073B"/>
        <rFont val="PingFang-SC-Regular"/>
        <family val="1"/>
      </rPr>
      <t>巴拉圭</t>
    </r>
  </si>
  <si>
    <t>亚松森*</t>
  </si>
  <si>
    <t>上巴拉那省</t>
  </si>
  <si>
    <t>上内格罗省</t>
  </si>
  <si>
    <t>卡瓜苏省</t>
  </si>
  <si>
    <t>卡嫩德尤省</t>
  </si>
  <si>
    <t>康塞普西翁省</t>
  </si>
  <si>
    <t>瓜伊拉省</t>
  </si>
  <si>
    <t>伊塔普阿省</t>
  </si>
  <si>
    <t>米西奥内斯省</t>
  </si>
  <si>
    <t>巴拉那省</t>
  </si>
  <si>
    <t>总统海耶斯省</t>
  </si>
  <si>
    <t>现代</t>
  </si>
  <si>
    <t>《波士顿美国人报》</t>
  </si>
  <si>
    <r>
      <rPr>
        <sz val="11.25"/>
        <color rgb="FF05073B"/>
        <rFont val="PingFang-SC-Regular"/>
        <family val="1"/>
      </rPr>
      <t>乌拉圭</t>
    </r>
  </si>
  <si>
    <t>蒙得维的亚*</t>
  </si>
  <si>
    <t>阿蒂加斯省</t>
  </si>
  <si>
    <t>卡内洛内斯省</t>
  </si>
  <si>
    <t>科洛尼亚省</t>
  </si>
  <si>
    <t>佛罗里达省</t>
  </si>
  <si>
    <t>拉瓦耶哈省</t>
  </si>
  <si>
    <t>马尔多纳多省</t>
  </si>
  <si>
    <t>内格罗省</t>
  </si>
  <si>
    <t>派桑杜省</t>
  </si>
  <si>
    <t>里韦拉省</t>
  </si>
  <si>
    <t>罗恰省</t>
  </si>
  <si>
    <t>萨尔托省</t>
  </si>
  <si>
    <t>索里亚诺省</t>
  </si>
  <si>
    <t>塔瓦雷省</t>
  </si>
  <si>
    <t>《波士顿环球报》</t>
  </si>
  <si>
    <t>福克兰群岛</t>
  </si>
  <si>
    <t>斯坦利*</t>
  </si>
  <si>
    <t>当前现金</t>
  </si>
  <si>
    <t>《波士顿先驱报》</t>
  </si>
  <si>
    <t>南乔治亚岛和南桑威奇群岛</t>
  </si>
  <si>
    <t>南乔治亚岛和南桑威奇群岛*</t>
  </si>
  <si>
    <t>《基督教科学箴言报》</t>
  </si>
  <si>
    <t>货币单位：</t>
  </si>
  <si>
    <t>时代：</t>
  </si>
  <si>
    <t>根据时代选择的货币</t>
  </si>
  <si>
    <t>《芝加哥先锋观察家报》</t>
  </si>
  <si>
    <t>《芝加哥美国人报》</t>
  </si>
  <si>
    <t>《芝加哥论坛报》</t>
  </si>
  <si>
    <t>《埃文斯维尔新闻报》</t>
  </si>
  <si>
    <t>过万</t>
  </si>
  <si>
    <t>是否过万</t>
  </si>
  <si>
    <t>《丹佛晚报》</t>
  </si>
  <si>
    <t>《丹佛落基山新闻报》</t>
  </si>
  <si>
    <t>过亿</t>
  </si>
  <si>
    <t>《迈阿密先驱报》</t>
  </si>
  <si>
    <t>《奥兰多哨兵报》</t>
  </si>
  <si>
    <t>《坦帕论坛报》</t>
  </si>
  <si>
    <t>主流货币换算</t>
  </si>
  <si>
    <t>《亚特兰大宪章报》</t>
  </si>
  <si>
    <t>《亚特兰大佐治亚人报》</t>
  </si>
  <si>
    <t>★亚洲————</t>
  </si>
  <si>
    <t>亚洲————</t>
  </si>
  <si>
    <t>人民币</t>
  </si>
  <si>
    <t>港币</t>
  </si>
  <si>
    <t>《印第安纳波利斯时报》</t>
  </si>
  <si>
    <t>新台币</t>
  </si>
  <si>
    <t>《特雷霍特邮报》</t>
  </si>
  <si>
    <t>日币</t>
  </si>
  <si>
    <t>韩币</t>
  </si>
  <si>
    <t>亚利桑那州</t>
  </si>
  <si>
    <t>泰铢</t>
  </si>
  <si>
    <t>《菲尼克斯共和报》</t>
  </si>
  <si>
    <t>新加坡元</t>
  </si>
  <si>
    <t>《亚利桑那共和报》</t>
  </si>
  <si>
    <t>★欧洲————</t>
  </si>
  <si>
    <t>欧洲————</t>
  </si>
  <si>
    <t>欧元</t>
  </si>
  <si>
    <t>英镑</t>
  </si>
  <si>
    <t>《巴尔的摩美国人报》</t>
  </si>
  <si>
    <t>卢布</t>
  </si>
  <si>
    <t>《巴尔的摩新闻报》</t>
  </si>
  <si>
    <t>★美洲————</t>
  </si>
  <si>
    <t>美洲————</t>
  </si>
  <si>
    <t>《巴尔的摩邮报》</t>
  </si>
  <si>
    <t>加元</t>
  </si>
  <si>
    <t>《巴尔的摩太阳报》</t>
  </si>
  <si>
    <t>墨西哥元</t>
  </si>
  <si>
    <t>雷亚尔</t>
  </si>
  <si>
    <t>★其他————</t>
  </si>
  <si>
    <t>《堪萨斯城市之星》</t>
  </si>
  <si>
    <t>澳元</t>
  </si>
  <si>
    <t>《圣路易斯快邮报》</t>
  </si>
  <si>
    <t>南非兰特</t>
  </si>
  <si>
    <t>《底特律时报》</t>
  </si>
  <si>
    <t>《底特律新闻报》</t>
  </si>
  <si>
    <t>《底特律自由报》</t>
  </si>
  <si>
    <t>《费城询问报》</t>
  </si>
  <si>
    <t>《匹兹堡新闻》</t>
  </si>
  <si>
    <t>《匹兹堡太阳电讯》</t>
  </si>
  <si>
    <t>《诺克斯尔新闻哨兵》</t>
  </si>
  <si>
    <t>《孟菲斯弯刀新闻》</t>
  </si>
  <si>
    <t>《密尔沃基新闻》</t>
  </si>
  <si>
    <t>《密尔沃基哨兵报》</t>
  </si>
  <si>
    <t>肯塔基州卡温顿</t>
  </si>
  <si>
    <t>《肯塔基邮报》</t>
  </si>
  <si>
    <t>《新奥尔良平民时报》</t>
  </si>
  <si>
    <t>亚拉巴马州</t>
  </si>
  <si>
    <t>《伯明翰邮报》</t>
  </si>
  <si>
    <t>《明尼阿波利斯明星论坛报》</t>
  </si>
  <si>
    <t>《纽瓦克明星纪事报》</t>
  </si>
  <si>
    <t>新墨西哥州阿尔伯克基</t>
  </si>
  <si>
    <t>《新墨西哥州论坛报》</t>
  </si>
  <si>
    <t>《俄克拉荷马城新闻》</t>
  </si>
  <si>
    <t>《波特兰俄勒冈人报》</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</si>
  <si>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</si>
  <si>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</si>
  <si>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</si>
  <si>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</si>
  <si>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</si>
  <si>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</si>
  <si>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</si>
  <si>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</si>
  <si>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</si>
  <si>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</si>
  <si>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</si>
  <si>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</si>
  <si>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</si>
  <si>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</si>
  <si>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</si>
  <si>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</si>
  <si>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</si>
  <si>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</si>
  <si>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</si>
  <si>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</si>
  <si>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</si>
  <si>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</si>
  <si>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</si>
  <si>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</si>
  <si>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</si>
  <si>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</si>
  <si>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</si>
  <si>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</si>
  <si>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</si>
  <si>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</si>
  <si>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</si>
  <si>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</si>
  <si>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</si>
  <si>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</si>
  <si>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</si>
  <si>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</si>
  <si>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</si>
  <si>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</si>
  <si>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</si>
  <si>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</si>
  <si>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</si>
  <si>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</si>
  <si>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</si>
  <si>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</si>
  <si>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</si>
  <si>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</si>
  <si>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</si>
  <si>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</si>
  <si>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</si>
  <si>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</si>
  <si>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</si>
  <si>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</si>
  <si>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</si>
  <si>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</si>
  <si>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</si>
  <si>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</si>
  <si>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</si>
  <si>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</si>
  <si>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</si>
  <si>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</si>
  <si>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</si>
  <si>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</si>
  <si>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</si>
  <si>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</si>
  <si>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</si>
  <si>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</si>
  <si>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</si>
  <si>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</si>
  <si>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</si>
  <si>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</si>
  <si>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</si>
  <si>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</si>
  <si>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</si>
  <si>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</si>
  <si>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</si>
  <si>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</si>
  <si>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</si>
  <si>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</si>
  <si>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</si>
  <si>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</si>
  <si>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</si>
  <si>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</si>
  <si>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</si>
  <si>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</si>
  <si>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</si>
  <si>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</si>
  <si>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</si>
  <si>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</si>
  <si>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</si>
  <si>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</si>
  <si>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</si>
  <si>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</si>
  <si>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</si>
  <si>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</si>
  <si>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</si>
  <si>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</si>
  <si>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</si>
  <si>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</si>
  <si>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</si>
  <si>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</si>
  <si>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</si>
  <si>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</si>
  <si>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</si>
  <si>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</si>
  <si>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</si>
  <si>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</si>
  <si>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</si>
  <si>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</si>
  <si>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</si>
  <si>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</si>
  <si>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</si>
  <si>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</si>
  <si>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</si>
  <si>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</si>
  <si>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</si>
  <si>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</si>
  <si>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</si>
  <si>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</si>
  <si>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</si>
  <si>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</si>
  <si>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</si>
  <si>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</si>
  <si>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</si>
  <si>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</si>
  <si>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</si>
  <si>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</si>
  <si>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</si>
  <si>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</si>
  <si>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</si>
  <si>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</si>
  <si>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</si>
  <si>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</si>
  <si>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</si>
  <si>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</si>
  <si>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</si>
  <si>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</si>
  <si>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</si>
  <si>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</si>
  <si>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</si>
  <si>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</si>
  <si>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</si>
  <si>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</si>
  <si>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</si>
  <si>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</si>
  <si>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</si>
  <si>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</si>
  <si>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</si>
  <si>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成长经历表</t>
  </si>
  <si>
    <t>可填写：事件动机，途中遭遇，结识好友，遭遇敌人，模组结局。</t>
  </si>
  <si>
    <t>冒险
时间</t>
  </si>
  <si>
    <t>—</t>
  </si>
  <si>
    <t>故事
介绍</t>
  </si>
  <si>
    <t>字数</t>
  </si>
  <si>
    <t>此处可展开</t>
  </si>
  <si>
    <t>玩家通讯录</t>
  </si>
  <si>
    <t>人员通讯录</t>
  </si>
  <si>
    <t>相识地点</t>
  </si>
  <si>
    <t>最终关系</t>
  </si>
  <si>
    <t>相识过程</t>
  </si>
  <si>
    <t>相遇模组</t>
  </si>
  <si>
    <t>法术一览</t>
  </si>
  <si>
    <t>中国上海电车</t>
  </si>
  <si>
    <t>好友</t>
  </si>
  <si>
    <t>梦境中互相拯救，现实中热情共餐</t>
  </si>
  <si>
    <t>兴海之路（常暗）</t>
  </si>
  <si>
    <t>美国牡丹丘</t>
  </si>
  <si>
    <t>信仰启发者</t>
  </si>
  <si>
    <t>一同行动···</t>
  </si>
  <si>
    <t>牡丹丘之泪···</t>
  </si>
  <si>
    <t>施法用时</t>
  </si>
  <si>
    <t>施法效果</t>
  </si>
  <si>
    <t>神话生物&amp;可憎之物</t>
  </si>
  <si>
    <t>旧日支配者&amp;外神</t>
  </si>
  <si>
    <t>魔法物品</t>
  </si>
  <si>
    <t>使用方式</t>
  </si>
  <si>
    <t>效果</t>
  </si>
  <si>
    <t>存放地点</t>
  </si>
  <si>
    <t>获取方式</t>
  </si>
  <si>
    <t>阅读书籍</t>
  </si>
  <si>
    <t>记载咒文、技艺的典籍；记录可憎之物、神话知识的禁忌</t>
  </si>
  <si>
    <t>泛/精读耗时</t>
  </si>
  <si>
    <t>泛/精读消耗</t>
  </si>
  <si>
    <t>介绍</t>
  </si>
  <si>
    <t>当前时间</t>
  </si>
  <si>
    <t>STR</t>
  </si>
  <si>
    <t>DEX</t>
  </si>
  <si>
    <t>POW</t>
  </si>
  <si>
    <t>INT</t>
  </si>
  <si>
    <t>CON</t>
  </si>
  <si>
    <t>APP</t>
  </si>
  <si>
    <t>EDU</t>
  </si>
  <si>
    <t>SIZ</t>
  </si>
  <si>
    <t>调查员伙伴</t>
  </si>
  <si>
    <t>注释</t>
  </si>
  <si>
    <t>HP</t>
  </si>
  <si>
    <t>SAN</t>
  </si>
  <si>
    <t>MP</t>
  </si>
  <si>
    <t>Armor</t>
  </si>
  <si>
    <t>DB</t>
  </si>
  <si>
    <t>Build</t>
  </si>
  <si>
    <t>LUCK</t>
  </si>
  <si>
    <t>随身物品</t>
  </si>
  <si>
    <t>神话相关</t>
  </si>
  <si>
    <t>遇到了</t>
  </si>
  <si>
    <t>累计消耗</t>
  </si>
  <si>
    <t>信仰</t>
  </si>
  <si>
    <t>重要人</t>
  </si>
  <si>
    <t>重要地</t>
  </si>
  <si>
    <t>宝物</t>
  </si>
  <si>
    <t>伤疤</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</si>
  <si>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</si>
  <si>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</si>
  <si>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</si>
  <si>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</si>
  <si>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全技能导入，无简化，基本适合全部骰娘</t>
  </si>
  <si>
    <t>请“复制”下格，就可以导出文本，放进QQ发送给骰子娘啦</t>
  </si>
  <si>
    <t>→</t>
  </si>
  <si>
    <t>绝大部分骰娘，包括OlivaDice、Dice!、MDice、塔骰，海豹等。</t>
  </si>
  <si>
    <t>如果不能使用，请复制到txt文档，然后再复制到QQ</t>
  </si>
  <si>
    <t>备用导入</t>
  </si>
  <si>
    <t>备用的备用导入</t>
  </si>
  <si>
    <t>Luck</t>
  </si>
  <si>
    <t>体格</t>
  </si>
  <si>
    <t>移动力</t>
  </si>
  <si>
    <t>技能名的改变</t>
  </si>
  <si>
    <t>这种骰娘，在你输入.bot后，开头会出现以下字样之一
1.Dice made in java
2.ZhaoDice
3.OlivaDice（版本3.0.0+）</t>
  </si>
  <si>
    <t>原技能名称：</t>
  </si>
  <si>
    <t>简化</t>
  </si>
  <si>
    <t>体力</t>
  </si>
  <si>
    <t>hp</t>
  </si>
  <si>
    <t>汽车</t>
  </si>
  <si>
    <t>san值，理智值</t>
  </si>
  <si>
    <t>电子学</t>
  </si>
  <si>
    <t>魔法</t>
  </si>
  <si>
    <t>mp</t>
  </si>
  <si>
    <t>步枪</t>
  </si>
  <si>
    <t>霰弹枪，步霰</t>
  </si>
  <si>
    <t>图书馆</t>
  </si>
  <si>
    <t>开锁</t>
  </si>
  <si>
    <t>这种骰娘，是“考编”形式的骰娘，也叫“编制骰”，因为无法录入过长指令，所以只能分段导入或者使用此导入。</t>
  </si>
  <si>
    <t>灵感</t>
  </si>
  <si>
    <t>自然学</t>
  </si>
  <si>
    <t>计算机</t>
  </si>
  <si>
    <t>计算机使用，电脑</t>
  </si>
  <si>
    <t>领航</t>
  </si>
  <si>
    <t>信用</t>
  </si>
  <si>
    <t>信誉</t>
  </si>
  <si>
    <t>重型操作</t>
  </si>
  <si>
    <t>重型机械，重型，重型机械操作</t>
  </si>
  <si>
    <t>运气</t>
  </si>
  <si>
    <t>克苏鲁</t>
  </si>
  <si>
    <t>cm</t>
  </si>
  <si>
    <t>生存</t>
  </si>
  <si>
    <t>红字代表不能使用该名称roll（没有录入，主要因为其特殊的标点符号）</t>
  </si>
  <si>
    <t>SAN值减少</t>
  </si>
  <si>
    <t>1D10+5</t>
  </si>
  <si>
    <t>对目击尸体造成的理智损失免疫;初始年龄不能低于 25 岁;背景增加一项：警察工作相关的伤疤 / 疤痕或恐惧症 / 躁狂症；</t>
  </si>
  <si>
    <t>序号</t>
  </si>
  <si>
    <t>职业属性</t>
  </si>
  <si>
    <t>技能点</t>
  </si>
  <si>
    <t>本职技能</t>
  </si>
  <si>
    <t>推荐关系人</t>
  </si>
  <si>
    <t>选择职业序号为0，则清除职业模板提示和点数计算器。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</si>
  <si>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</si>
  <si>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</si>
  <si>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</si>
  <si>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在职业属性中输入第二职业属性的名字（如外貌、意志、教育、敏捷、力量、体质、体型，留空则视为EDUA）并自行设置起始信誉。使用自定义职业前，请先咨询你的KP</t>
  </si>
  <si>
    <t>私家侦探</t>
  </si>
  <si>
    <t>9-30</t>
  </si>
  <si>
    <t>智力×4或意志×4</t>
  </si>
  <si>
    <t>射击，格斗，侦查，聆听，图书馆，一项社交技能（取悦、话术、恐吓、说服），任意两项个人或时代特长。</t>
  </si>
  <si>
    <t>旧时的好友，旅途的伙伴，常打交道的专业人员</t>
  </si>
  <si>
    <t>“世界上没有难解的谜，只有还没解开的谜。”
“当你排除了所有不可能的情况，剩下的，无论多么难以置信，也一定是真相。”
“一个伟大的侦探必须有一种超常的、对细节的洞察力。”
“在侦探工作中，最重要的不是知道什么，而是能够推断出什么。”
“对于一个伟大人物来说，任何事物都不是微不足道的。”
欲行侦探之道，必先牢记于心~</t>
  </si>
  <si>
    <t>现实派作家</t>
  </si>
  <si>
    <t>9-40</t>
  </si>
  <si>
    <t>智力×4或教育×4</t>
  </si>
  <si>
    <t>技艺（写作），母语，外语，图书馆，心理学，一项社交技能（取悦、话术、恐吓、说服），任意两项个人或时代特长。</t>
  </si>
  <si>
    <t>笔友、书友，取材时相遇的有缘人</t>
  </si>
  <si>
    <t>躬体力行，行胜于言
巨细靡遗，纤毫毕现
匠心独运，天道酬勤
记录创造意义，传承方成颂歌</t>
  </si>
  <si>
    <t>超心理学者</t>
  </si>
  <si>
    <t>9-50</t>
  </si>
  <si>
    <t>技艺（摄影/写作），人类学，神秘学，心理学，图书馆，一项社交技能（取悦、话术、恐吓、说服），任意两项个人或时代特长。</t>
  </si>
  <si>
    <t>同行，异端，自然万物</t>
  </si>
  <si>
    <t xml:space="preserve">万物始于自然
自然衍生万物
超心理学者并非全盘接受，也不应任意否定
“超”仅在于意识形态
而并非自身地位
超心理也是科学
自然有学者研究
</t>
  </si>
  <si>
    <t>动物行为家</t>
  </si>
  <si>
    <t>教育×4或意志×4</t>
  </si>
  <si>
    <t>技艺（摄影/写作），科学（动物学），侦查，导航，追踪，潜行，任意两项个人或时代特长。</t>
  </si>
  <si>
    <t>有关行业人员、动物朋友</t>
  </si>
  <si>
    <t>弱肉强食，自然界的竞争无处不在，而人类社会又何尝不是？
作为一名动物行为学家，接近大自然以争取与动物的交流是天生的职责
古怪点？没事的，毕竟相对于人猿，你更明白如何与其余物种交流</t>
  </si>
  <si>
    <t>武学者</t>
  </si>
  <si>
    <t>力量×2+敏捷×2或意志×4</t>
  </si>
  <si>
    <t>格斗（斗殴|武术）以及其余任意一项，闪避，侦查，心理学，任意两项个人或时代特长。</t>
  </si>
  <si>
    <t>切磋者、武馆师傅、管理人员</t>
  </si>
  <si>
    <r>
      <rPr>
        <sz val="11"/>
        <rFont val="方正颜宋体"/>
        <charset val="134"/>
      </rPr>
      <t xml:space="preserve">武德比山重，名利草芥轻
心正则拳正，心邪则拳邪
武道贵乎精纯，不贵乎驳杂
武人相敬相倾，切磋琢磨共提升
</t>
    </r>
    <r>
      <rPr>
        <sz val="10"/>
        <rFont val="方正颜宋体"/>
        <charset val="134"/>
      </rPr>
      <t>作为一名武者，品性本当如此，但社会千变万化，时有人走火入魔，或追名逐利，或嗜血为乐，亦或是欺凌弱小，切忌忘了底线</t>
    </r>
    <r>
      <rPr>
        <sz val="11"/>
        <rFont val="方正颜宋体"/>
        <charset val="134"/>
      </rPr>
      <t xml:space="preserve">
</t>
    </r>
  </si>
  <si>
    <t>会计师</t>
  </si>
  <si>
    <t>30-70</t>
  </si>
  <si>
    <t>教育×4</t>
  </si>
  <si>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</si>
  <si>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</si>
  <si>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</si>
  <si>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</si>
  <si>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</si>
  <si>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</si>
  <si>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</si>
  <si>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</si>
  <si>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</si>
  <si>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</si>
  <si>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</si>
  <si>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</si>
  <si>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</si>
  <si>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</si>
  <si>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</si>
  <si>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</si>
  <si>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</si>
  <si>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任意特长数</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</si>
  <si>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</si>
  <si>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</si>
  <si>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</si>
  <si>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</si>
  <si>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</si>
  <si>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</si>
  <si>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</si>
  <si>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</si>
  <si>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</si>
  <si>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</si>
  <si>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</si>
  <si>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</si>
  <si>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</si>
  <si>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</si>
  <si>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</si>
  <si>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</si>
  <si>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</si>
  <si>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</si>
  <si>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</si>
  <si>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</si>
  <si>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</si>
  <si>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</si>
  <si>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</si>
  <si>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</si>
  <si>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</si>
  <si>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</si>
  <si>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</si>
  <si>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</si>
  <si>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</si>
  <si>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</si>
  <si>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</si>
  <si>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</si>
  <si>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</si>
  <si>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是否使用</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</si>
  <si>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</si>
  <si>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</si>
  <si>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</si>
  <si>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</si>
  <si>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</si>
  <si>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</si>
  <si>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</si>
  <si>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</si>
  <si>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</si>
  <si>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</si>
  <si>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</si>
  <si>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</si>
  <si>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</si>
  <si>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</si>
  <si>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</si>
  <si>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</si>
  <si>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</si>
  <si>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</si>
  <si>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</si>
  <si>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</si>
  <si>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</si>
  <si>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</si>
  <si>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</si>
  <si>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</si>
  <si>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</si>
  <si>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</si>
  <si>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</si>
  <si>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</si>
  <si>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</si>
  <si>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</si>
  <si>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</si>
  <si>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</si>
  <si>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</si>
  <si>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</si>
  <si>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</si>
  <si>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</si>
  <si>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</si>
  <si>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</si>
  <si>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</si>
  <si>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</si>
  <si>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</si>
  <si>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</si>
  <si>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</si>
  <si>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</si>
  <si>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</si>
  <si>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</si>
  <si>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</si>
  <si>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</si>
  <si>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</si>
  <si>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</si>
  <si>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</si>
  <si>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</si>
  <si>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</si>
  <si>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</si>
  <si>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</si>
  <si>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</si>
  <si>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</si>
  <si>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</si>
  <si>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</si>
  <si>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</si>
  <si>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</si>
  <si>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</si>
  <si>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</si>
  <si>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</si>
  <si>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</si>
  <si>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</si>
  <si>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</si>
  <si>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</si>
  <si>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</si>
  <si>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</si>
  <si>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</si>
  <si>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</si>
  <si>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</si>
  <si>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</si>
  <si>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</si>
  <si>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</si>
  <si>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</si>
  <si>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</si>
  <si>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</si>
  <si>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</si>
  <si>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</si>
  <si>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</si>
  <si>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</si>
  <si>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</si>
  <si>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</si>
  <si>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</si>
  <si>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</si>
  <si>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</si>
  <si>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</si>
  <si>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</si>
  <si>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</si>
  <si>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</si>
  <si>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</si>
  <si>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</si>
  <si>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</si>
  <si>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</si>
  <si>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</si>
  <si>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</si>
  <si>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</si>
  <si>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</si>
  <si>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</si>
  <si>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</si>
  <si>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</si>
  <si>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</si>
  <si>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</si>
  <si>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</si>
  <si>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</si>
  <si>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</si>
  <si>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</si>
  <si>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</si>
  <si>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</si>
  <si>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</si>
  <si>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</si>
  <si>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</si>
  <si>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</si>
  <si>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</si>
  <si>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</si>
  <si>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</si>
  <si>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</si>
  <si>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</si>
  <si>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</si>
  <si>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</si>
  <si>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</si>
  <si>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</si>
  <si>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</si>
  <si>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</si>
  <si>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</si>
  <si>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</si>
  <si>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</si>
  <si>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</si>
  <si>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</si>
  <si>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</si>
  <si>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</si>
  <si>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</si>
  <si>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</si>
  <si>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</si>
  <si>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</si>
  <si>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</si>
  <si>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</si>
  <si>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</si>
  <si>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</si>
  <si>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</si>
  <si>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</si>
  <si>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</si>
  <si>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</si>
  <si>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</si>
  <si>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</si>
  <si>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</si>
  <si>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</si>
  <si>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</si>
  <si>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</si>
  <si>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</si>
  <si>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</si>
  <si>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</si>
  <si>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</si>
  <si>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</si>
  <si>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</si>
  <si>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</si>
  <si>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</si>
  <si>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</si>
  <si>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</si>
  <si>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</si>
  <si>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</si>
  <si>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</si>
  <si>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</si>
  <si>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</si>
  <si>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</si>
  <si>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</si>
  <si>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</si>
  <si>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</si>
  <si>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</si>
  <si>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</si>
  <si>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</si>
  <si>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</si>
  <si>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</si>
  <si>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</si>
  <si>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</si>
  <si>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</si>
  <si>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</si>
  <si>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</si>
  <si>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</si>
  <si>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</si>
  <si>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</si>
  <si>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</si>
  <si>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</si>
  <si>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</si>
  <si>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</si>
  <si>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</si>
  <si>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</si>
  <si>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</si>
  <si>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</si>
  <si>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</si>
  <si>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</si>
  <si>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</si>
  <si>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</si>
  <si>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</si>
  <si>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</si>
  <si>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</si>
  <si>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</si>
  <si>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</si>
  <si>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</si>
  <si>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</si>
  <si>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</si>
  <si>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</si>
  <si>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</si>
  <si>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</si>
  <si>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</si>
  <si>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</si>
  <si>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</si>
  <si>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</si>
  <si>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</si>
  <si>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</si>
  <si>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</si>
  <si>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</si>
  <si>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</si>
  <si>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</si>
  <si>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</si>
  <si>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</si>
  <si>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t>教育×2＋外貌或敏捷×2</t>
  </si>
  <si>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</si>
  <si>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</si>
  <si>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</si>
  <si>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</si>
  <si>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</si>
  <si>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</si>
  <si>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</si>
  <si>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</si>
  <si>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</si>
  <si>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</si>
  <si>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</si>
  <si>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</si>
  <si>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</si>
  <si>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</si>
  <si>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</si>
  <si>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</si>
  <si>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</si>
  <si>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</si>
  <si>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</si>
  <si>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</si>
  <si>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</si>
  <si>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</si>
  <si>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</si>
  <si>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</si>
  <si>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</si>
  <si>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</si>
  <si>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</si>
  <si>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</si>
  <si>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</si>
  <si>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</si>
  <si>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</si>
  <si>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</si>
  <si>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</si>
  <si>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</si>
  <si>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</si>
  <si>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</si>
  <si>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</si>
  <si>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</si>
  <si>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</si>
  <si>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</si>
  <si>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</si>
  <si>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</si>
  <si>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</si>
  <si>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</si>
  <si>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</si>
  <si>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</si>
  <si>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</si>
  <si>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</si>
  <si>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</si>
  <si>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</si>
  <si>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</si>
  <si>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</si>
  <si>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</si>
  <si>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</si>
  <si>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</si>
  <si>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</si>
  <si>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</si>
  <si>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</si>
  <si>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</si>
  <si>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</si>
  <si>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</si>
  <si>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</si>
  <si>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</si>
  <si>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</si>
  <si>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</si>
  <si>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</si>
  <si>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</si>
  <si>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</si>
  <si>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</si>
  <si>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</si>
  <si>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</si>
  <si>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</si>
  <si>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</si>
  <si>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</si>
  <si>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</si>
  <si>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</si>
  <si>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</si>
  <si>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</si>
  <si>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</si>
  <si>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</si>
  <si>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</si>
  <si>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</si>
  <si>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</si>
  <si>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</si>
  <si>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</si>
  <si>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</si>
  <si>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</si>
  <si>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</si>
  <si>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</si>
  <si>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</si>
  <si>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</si>
  <si>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</si>
  <si>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</si>
  <si>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</si>
  <si>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</si>
  <si>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</si>
  <si>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</si>
  <si>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</si>
  <si>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</si>
  <si>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</si>
  <si>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</si>
  <si>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</si>
  <si>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</si>
  <si>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</si>
  <si>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</si>
  <si>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</si>
  <si>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</si>
  <si>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</si>
  <si>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</si>
  <si>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</si>
  <si>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</si>
  <si>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</si>
  <si>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</si>
  <si>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</si>
  <si>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</si>
  <si>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</si>
  <si>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</si>
  <si>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</si>
  <si>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</si>
  <si>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</si>
  <si>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</si>
  <si>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</si>
  <si>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</si>
  <si>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</si>
  <si>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</si>
  <si>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</si>
  <si>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</si>
  <si>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</si>
  <si>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</si>
  <si>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</si>
  <si>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</si>
  <si>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</si>
  <si>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</si>
  <si>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</si>
  <si>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</si>
  <si>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</si>
  <si>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</si>
  <si>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</si>
  <si>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</si>
  <si>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</si>
  <si>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</si>
  <si>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</si>
  <si>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</si>
  <si>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</si>
  <si>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</si>
  <si>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</si>
  <si>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</si>
  <si>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</si>
  <si>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</si>
  <si>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</si>
  <si>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</si>
  <si>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</si>
  <si>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</si>
  <si>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</si>
  <si>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</si>
  <si>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</si>
  <si>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</si>
  <si>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</si>
  <si>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</si>
  <si>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</si>
  <si>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</si>
  <si>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</si>
  <si>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</si>
  <si>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</si>
  <si>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</si>
  <si>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</si>
  <si>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</si>
  <si>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</si>
  <si>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</si>
  <si>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</si>
  <si>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</si>
  <si>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</si>
  <si>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</si>
  <si>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</si>
  <si>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</si>
  <si>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</si>
  <si>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</si>
  <si>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</si>
  <si>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</si>
  <si>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</si>
  <si>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</si>
  <si>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</si>
  <si>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</si>
  <si>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</si>
  <si>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</si>
  <si>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</si>
  <si>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</si>
  <si>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r>
      <rPr>
        <sz val="11"/>
        <color rgb="FF000000"/>
        <rFont val="微软雅黑 Light"/>
        <family val="2"/>
        <charset val="134"/>
      </rPr>
      <t>教育×</t>
    </r>
    <r>
      <rPr>
        <sz val="11"/>
        <color indexed="8"/>
        <rFont val="微软雅黑 Light"/>
        <family val="2"/>
        <charset val="134"/>
      </rPr>
      <t>2＋外貌或敏捷×2</t>
    </r>
  </si>
  <si>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</si>
  <si>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</si>
  <si>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</si>
  <si>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</si>
  <si>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</si>
  <si>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</si>
  <si>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</si>
  <si>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</si>
  <si>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</si>
  <si>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</si>
  <si>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</si>
  <si>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</si>
  <si>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</si>
  <si>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</si>
  <si>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</si>
  <si>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</si>
  <si>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</si>
  <si>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</si>
  <si>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</si>
  <si>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</si>
  <si>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</si>
  <si>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</si>
  <si>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</si>
  <si>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</si>
  <si>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</si>
  <si>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</si>
  <si>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</si>
  <si>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</si>
  <si>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</si>
  <si>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</si>
  <si>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</si>
  <si>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</si>
  <si>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</si>
  <si>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</si>
  <si>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</si>
  <si>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</si>
  <si>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</si>
  <si>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</si>
  <si>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</si>
  <si>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</si>
  <si>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</si>
  <si>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</si>
  <si>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</si>
  <si>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</si>
  <si>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</si>
  <si>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</si>
  <si>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</si>
  <si>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</si>
  <si>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</si>
  <si>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</si>
  <si>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</si>
  <si>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</si>
  <si>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</si>
  <si>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</si>
  <si>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</si>
  <si>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</si>
  <si>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</si>
  <si>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</si>
  <si>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方正颜宋体"/>
        <charset val="134"/>
      </rPr>
      <t>《克苏鲁的呼唤调查员伴侣》职业，</t>
    </r>
    <r>
      <rPr>
        <b/>
        <sz val="11"/>
        <color rgb="FFFF0000"/>
        <rFont val="方正颜宋体"/>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</si>
  <si>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</si>
  <si>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</si>
  <si>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</si>
  <si>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</si>
  <si>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</si>
  <si>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</si>
  <si>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方正颜宋体"/>
        <charset val="134"/>
      </rPr>
      <t>《克苏鲁的呼唤调查员伴侣》职业，</t>
    </r>
    <r>
      <rPr>
        <b/>
        <sz val="11"/>
        <color indexed="10"/>
        <rFont val="方正颜宋体"/>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</si>
  <si>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</si>
  <si>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</si>
  <si>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</si>
  <si>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</si>
  <si>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</si>
  <si>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</si>
  <si>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</si>
  <si>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</si>
  <si>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</si>
  <si>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</si>
  <si>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</si>
  <si>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</si>
  <si>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</si>
  <si>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</si>
  <si>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</si>
  <si>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</si>
  <si>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</si>
  <si>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</si>
  <si>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</si>
  <si>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</si>
  <si>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</si>
  <si>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</si>
  <si>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</si>
  <si>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</si>
  <si>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</si>
  <si>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</si>
  <si>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</si>
  <si>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</si>
  <si>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</si>
  <si>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</si>
  <si>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</si>
  <si>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</si>
  <si>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</si>
  <si>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</si>
  <si>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</si>
  <si>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</si>
  <si>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</si>
  <si>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</si>
  <si>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</si>
  <si>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r>
      <rPr>
        <sz val="11"/>
        <color rgb="FF000000"/>
        <rFont val="微软雅黑 Light"/>
        <family val="2"/>
        <charset val="134"/>
      </rPr>
      <t>教育×</t>
    </r>
    <r>
      <rPr>
        <sz val="11"/>
        <color indexed="8"/>
        <rFont val="微软雅黑 Light"/>
        <family val="2"/>
        <charset val="134"/>
      </rPr>
      <t>4</t>
    </r>
  </si>
  <si>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</si>
  <si>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</si>
  <si>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</si>
  <si>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</si>
  <si>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</si>
  <si>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</si>
  <si>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</si>
  <si>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</si>
  <si>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</si>
  <si>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</si>
  <si>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</si>
  <si>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</si>
  <si>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</si>
  <si>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</si>
  <si>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</si>
  <si>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</si>
  <si>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</si>
  <si>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</si>
  <si>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</si>
  <si>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</si>
  <si>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</si>
  <si>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</si>
  <si>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</si>
  <si>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</si>
  <si>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</si>
  <si>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</si>
  <si>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</si>
  <si>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</si>
  <si>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</si>
  <si>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</si>
  <si>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</si>
  <si>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</si>
  <si>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</si>
  <si>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</si>
  <si>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</si>
  <si>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</si>
  <si>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</si>
  <si>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</si>
  <si>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</si>
  <si>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</si>
  <si>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</si>
  <si>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</si>
  <si>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</si>
  <si>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</si>
  <si>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</si>
  <si>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</si>
  <si>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</si>
  <si>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</si>
  <si>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</si>
  <si>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</si>
  <si>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</si>
  <si>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</si>
  <si>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</si>
  <si>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</si>
  <si>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</si>
  <si>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</si>
  <si>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</si>
  <si>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</si>
  <si>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</si>
  <si>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</si>
  <si>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</si>
  <si>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</si>
  <si>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</si>
  <si>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</si>
  <si>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</si>
  <si>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</si>
  <si>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</si>
  <si>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</si>
  <si>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</si>
  <si>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</si>
  <si>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</si>
  <si>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</si>
  <si>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</si>
  <si>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</si>
  <si>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</si>
  <si>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方正颜宋体"/>
        <charset val="134"/>
      </rPr>
      <t>《日本秘史》职业，</t>
    </r>
    <r>
      <rPr>
        <b/>
        <sz val="11"/>
        <color indexed="10"/>
        <rFont val="方正颜宋体"/>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</si>
  <si>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</si>
  <si>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</si>
  <si>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</si>
  <si>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</si>
  <si>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</si>
  <si>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</si>
  <si>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</si>
  <si>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</si>
  <si>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</si>
  <si>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</si>
  <si>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</si>
  <si>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</si>
  <si>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</si>
  <si>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</si>
  <si>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</si>
  <si>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</si>
  <si>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</si>
  <si>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</si>
  <si>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</si>
  <si>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</si>
  <si>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</si>
  <si>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</si>
  <si>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</si>
  <si>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</si>
  <si>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</si>
  <si>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</si>
  <si>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</si>
  <si>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</si>
  <si>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</si>
  <si>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</si>
  <si>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</si>
  <si>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</si>
  <si>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</si>
  <si>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</si>
  <si>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</si>
  <si>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</si>
  <si>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</si>
  <si>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</si>
  <si>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</si>
  <si>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</si>
  <si>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相扑力士(SIZ&gt;80,STRA&gt;70)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</si>
  <si>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</si>
  <si>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</si>
  <si>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</si>
  <si>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</si>
  <si>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</si>
  <si>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</si>
  <si>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方正颜宋体"/>
        <charset val="134"/>
      </rPr>
      <t>日系特定规则《克苏鲁2010》职业，</t>
    </r>
    <r>
      <rPr>
        <b/>
        <sz val="11"/>
        <color indexed="10"/>
        <rFont val="方正颜宋体"/>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</si>
  <si>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</si>
  <si>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</si>
  <si>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</si>
  <si>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</si>
  <si>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</si>
  <si>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方正颜宋体"/>
        <charset val="134"/>
      </rPr>
      <t>日系特定规则《克苏鲁与帝国》职业，</t>
    </r>
    <r>
      <rPr>
        <b/>
        <sz val="11"/>
        <color indexed="10"/>
        <rFont val="方正颜宋体"/>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</si>
  <si>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</si>
  <si>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</si>
  <si>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</si>
  <si>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</si>
  <si>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</si>
  <si>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方正颜宋体"/>
        <charset val="134"/>
      </rPr>
      <t>日系特定规则《克苏鲁2015》职业，</t>
    </r>
    <r>
      <rPr>
        <b/>
        <sz val="11"/>
        <color indexed="10"/>
        <rFont val="方正颜宋体"/>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</si>
  <si>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</si>
  <si>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</si>
  <si>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</si>
  <si>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</si>
  <si>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</si>
  <si>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</si>
  <si>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</si>
  <si>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</si>
  <si>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</si>
  <si>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</si>
  <si>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</si>
  <si>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</si>
  <si>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</si>
  <si>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</si>
  <si>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</si>
  <si>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</si>
  <si>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</si>
  <si>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</si>
  <si>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</si>
  <si>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</si>
  <si>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</si>
  <si>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</si>
  <si>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</si>
  <si>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</si>
  <si>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</si>
  <si>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</si>
  <si>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</si>
  <si>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</si>
  <si>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</si>
  <si>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</si>
  <si>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</si>
  <si>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</si>
  <si>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</si>
  <si>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</si>
  <si>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</si>
  <si>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</si>
  <si>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</si>
  <si>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</si>
  <si>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</si>
  <si>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</si>
  <si>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</si>
  <si>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</si>
  <si>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</si>
  <si>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</si>
  <si>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</si>
  <si>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</si>
  <si>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</si>
  <si>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</si>
  <si>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</si>
  <si>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</si>
  <si>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</si>
  <si>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</si>
  <si>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</si>
  <si>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</si>
  <si>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</si>
  <si>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</si>
  <si>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</si>
  <si>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方正颜宋体"/>
        <charset val="134"/>
      </rPr>
      <t>《克苏鲁煤气灯》1980s职业，</t>
    </r>
    <r>
      <rPr>
        <b/>
        <sz val="11"/>
        <color rgb="FFFF0000"/>
        <rFont val="方正颜宋体"/>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</si>
  <si>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</si>
  <si>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</si>
  <si>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</si>
  <si>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</si>
  <si>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</si>
  <si>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</si>
  <si>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</si>
  <si>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</si>
  <si>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</si>
  <si>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</si>
  <si>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</si>
  <si>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</si>
  <si>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</si>
  <si>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</si>
  <si>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</si>
  <si>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</si>
  <si>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</si>
  <si>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</si>
  <si>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</si>
  <si>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</si>
  <si>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</si>
  <si>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</si>
  <si>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</si>
  <si>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</si>
  <si>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</si>
  <si>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</si>
  <si>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</si>
  <si>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</si>
  <si>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</si>
  <si>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</si>
  <si>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</si>
  <si>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</si>
  <si>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</si>
  <si>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</si>
  <si>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</si>
  <si>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</si>
  <si>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</si>
  <si>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</si>
  <si>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</si>
  <si>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</si>
  <si>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</si>
  <si>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</si>
  <si>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</si>
  <si>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</si>
  <si>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</si>
  <si>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</si>
  <si>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</si>
  <si>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</si>
  <si>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</si>
  <si>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</si>
  <si>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这个表仅作为额外内容，起到辅助记录作用</t>
  </si>
  <si>
    <t>成长+初始</t>
  </si>
  <si>
    <t>总计成长</t>
  </si>
  <si>
    <t>示例</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</si>
  <si>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</si>
  <si>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</si>
  <si>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</si>
  <si>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</si>
  <si>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</si>
  <si>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</si>
  <si>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</si>
  <si>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</si>
  <si>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</si>
  <si>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</si>
  <si>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</si>
  <si>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</si>
  <si>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</si>
  <si>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</si>
  <si>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</si>
  <si>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</si>
  <si>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</si>
  <si>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</si>
  <si>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</si>
  <si>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</si>
  <si>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</si>
  <si>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</si>
  <si>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</si>
  <si>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</si>
  <si>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</si>
  <si>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</si>
  <si>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</si>
  <si>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</si>
  <si>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</si>
  <si>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</si>
  <si>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</si>
  <si>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</si>
  <si>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</si>
  <si>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</si>
  <si>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</si>
  <si>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</si>
  <si>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</si>
  <si>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</si>
  <si>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</si>
  <si>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</si>
  <si>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</si>
  <si>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</si>
  <si>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</si>
  <si>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</si>
  <si>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</si>
  <si>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</si>
  <si>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</si>
  <si>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</si>
  <si>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</si>
  <si>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</si>
  <si>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</si>
  <si>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</si>
  <si>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</si>
  <si>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</si>
  <si>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</si>
  <si>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</si>
  <si>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</si>
  <si>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</si>
  <si>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</si>
  <si>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</si>
  <si>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</si>
  <si>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</si>
  <si>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</si>
  <si>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</si>
  <si>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</si>
  <si>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</si>
  <si>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</si>
  <si>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</si>
  <si>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</si>
  <si>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</si>
  <si>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</si>
  <si>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</si>
  <si>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</si>
  <si>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</si>
  <si>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</si>
  <si>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</si>
  <si>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</si>
  <si>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</si>
  <si>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</si>
  <si>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</si>
  <si>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</si>
  <si>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</si>
  <si>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</si>
  <si>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</si>
  <si>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</si>
  <si>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</si>
  <si>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</si>
  <si>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</si>
  <si>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</si>
  <si>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</si>
  <si>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</si>
  <si>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</si>
  <si>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</si>
  <si>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</si>
  <si>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</si>
  <si>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</si>
  <si>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</si>
  <si>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</si>
  <si>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</si>
  <si>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此处填入成长数值</t>
  </si>
  <si>
    <t>后面依次类推哦</t>
  </si>
  <si>
    <t>如果需要补充成长属性的相关经历</t>
  </si>
  <si>
    <t>可以解锁工作表后右键单元格</t>
  </si>
  <si>
    <t>添加批注</t>
  </si>
  <si>
    <t>就像这样，点击此单元格可以看到批注</t>
  </si>
  <si>
    <t>有些时候我们的属性没有发生变化</t>
  </si>
  <si>
    <t>但也影响了调查员</t>
  </si>
  <si>
    <t>此类内容可移动至该表格的最下方进行描述</t>
  </si>
  <si>
    <t>格斗：斗殴</t>
  </si>
  <si>
    <t>射击：手枪</t>
  </si>
  <si>
    <t>驯兽</t>
  </si>
  <si>
    <t>模组内容经历</t>
  </si>
  <si>
    <t>模组内容经历描述，此类事件一般没有改变属性，但是对调查员的其他方面造成了一些影响。</t>
  </si>
  <si>
    <t>得到了一只听话的小狗</t>
  </si>
  <si>
    <t>在XX地区结识了当地的权贵</t>
  </si>
  <si>
    <t>XX欠了你一个大人情</t>
  </si>
  <si>
    <t>得到了一本《XXXX》</t>
  </si>
  <si>
    <t>动物行为学家</t>
  </si>
  <si>
    <t>事务所侦探</t>
  </si>
  <si>
    <t>非熟练工人</t>
  </si>
  <si>
    <t>司法家</t>
  </si>
  <si>
    <t>赛车手/赛艇手</t>
  </si>
  <si>
    <t>相扑力士(SIZ&gt;80,STR&gt;70)</t>
  </si>
  <si>
    <t>☆</t>
  </si>
  <si>
    <t>⊙</t>
  </si>
  <si>
    <t>☯</t>
  </si>
  <si>
    <t>※</t>
  </si>
  <si>
    <t>艇船球</t>
  </si>
  <si>
    <t>山</t>
  </si>
  <si>
    <t>海上</t>
  </si>
  <si>
    <t>海洋</t>
  </si>
  <si>
    <t>海</t>
  </si>
  <si>
    <r>
      <rPr>
        <sz val="10"/>
        <color rgb="FF000000"/>
        <rFont val="宋体"/>
        <family val="3"/>
        <charset val="134"/>
      </rPr>
      <t>技艺</t>
    </r>
    <r>
      <rPr>
        <sz val="10"/>
        <color rgb="FF000000"/>
        <rFont val="Calibri"/>
        <family val="2"/>
      </rPr>
      <t>①</t>
    </r>
  </si>
  <si>
    <t>制图</t>
  </si>
  <si>
    <t>文学</t>
  </si>
  <si>
    <t>演☆</t>
  </si>
  <si>
    <t>表</t>
  </si>
  <si>
    <t>摄影☆</t>
  </si>
  <si>
    <t>乐器</t>
  </si>
  <si>
    <t>驯养</t>
  </si>
  <si>
    <t>游戏</t>
  </si>
  <si>
    <t>演</t>
  </si>
  <si>
    <t>艺☆</t>
  </si>
  <si>
    <t>字☆</t>
  </si>
  <si>
    <t>喜剧</t>
  </si>
  <si>
    <t>焊接</t>
  </si>
  <si>
    <t>类</t>
  </si>
  <si>
    <t>记☆</t>
  </si>
  <si>
    <t>管道</t>
  </si>
  <si>
    <r>
      <rPr>
        <sz val="10"/>
        <color rgb="FF000000"/>
        <rFont val="宋体"/>
        <family val="3"/>
        <charset val="134"/>
      </rPr>
      <t>技艺</t>
    </r>
    <r>
      <rPr>
        <sz val="10"/>
        <color rgb="FF000000"/>
        <rFont val="Calibri"/>
        <family val="2"/>
      </rPr>
      <t>④</t>
    </r>
  </si>
  <si>
    <r>
      <rPr>
        <sz val="10"/>
        <color rgb="FF000000"/>
        <rFont val="宋体"/>
        <family val="3"/>
        <charset val="134"/>
      </rPr>
      <t>技艺</t>
    </r>
    <r>
      <rPr>
        <sz val="10"/>
        <color rgb="FF000000"/>
        <rFont val="Calibri"/>
        <family val="2"/>
      </rPr>
      <t>⑤</t>
    </r>
  </si>
  <si>
    <t>动物</t>
  </si>
  <si>
    <t>生物</t>
  </si>
  <si>
    <t>工程</t>
  </si>
  <si>
    <t>生物☆</t>
  </si>
  <si>
    <t>地质</t>
  </si>
  <si>
    <t>天文</t>
  </si>
  <si>
    <t>物理</t>
  </si>
  <si>
    <t>植物</t>
  </si>
  <si>
    <t>司法</t>
  </si>
  <si>
    <t>植☆</t>
  </si>
  <si>
    <t>制药</t>
  </si>
  <si>
    <r>
      <rPr>
        <sz val="10"/>
        <color rgb="FF000000"/>
        <rFont val="宋体"/>
        <family val="3"/>
        <charset val="134"/>
      </rPr>
      <t>科学</t>
    </r>
    <r>
      <rPr>
        <sz val="10"/>
        <color rgb="FF000000"/>
        <rFont val="Calibri"/>
        <family val="2"/>
      </rPr>
      <t>④</t>
    </r>
  </si>
  <si>
    <r>
      <rPr>
        <sz val="10"/>
        <color rgb="FF000000"/>
        <rFont val="宋体"/>
        <family val="3"/>
        <charset val="134"/>
      </rPr>
      <t>科学</t>
    </r>
    <r>
      <rPr>
        <sz val="10"/>
        <color rgb="FF000000"/>
        <rFont val="Calibri"/>
        <family val="2"/>
      </rPr>
      <t>⑤</t>
    </r>
  </si>
  <si>
    <t>拉丁</t>
  </si>
  <si>
    <t>置换</t>
  </si>
  <si>
    <t>希伯来</t>
  </si>
  <si>
    <t>汉语</t>
  </si>
  <si>
    <t>欧洲</t>
  </si>
  <si>
    <t>梵语</t>
  </si>
  <si>
    <r>
      <rPr>
        <sz val="10"/>
        <color rgb="FF000000"/>
        <rFont val="宋体"/>
        <family val="3"/>
        <charset val="134"/>
      </rPr>
      <t>外语</t>
    </r>
    <r>
      <rPr>
        <sz val="10"/>
        <color rgb="FF000000"/>
        <rFont val="Calibri"/>
        <family val="2"/>
      </rPr>
      <t>⑤</t>
    </r>
  </si>
  <si>
    <t>鞭</t>
  </si>
  <si>
    <t>链锯</t>
  </si>
  <si>
    <r>
      <rPr>
        <sz val="10"/>
        <color rgb="FF000000"/>
        <rFont val="宋体"/>
        <family val="3"/>
        <charset val="134"/>
      </rPr>
      <t>格斗</t>
    </r>
    <r>
      <rPr>
        <sz val="10"/>
        <color rgb="FF000000"/>
        <rFont val="Calibri"/>
        <family val="2"/>
      </rPr>
      <t>④</t>
    </r>
  </si>
  <si>
    <r>
      <rPr>
        <sz val="10"/>
        <color rgb="FF000000"/>
        <rFont val="宋体"/>
        <family val="3"/>
        <charset val="134"/>
      </rPr>
      <t>格斗</t>
    </r>
    <r>
      <rPr>
        <sz val="10"/>
        <color rgb="FF000000"/>
        <rFont val="Calibri"/>
        <family val="2"/>
      </rPr>
      <t>⑤</t>
    </r>
  </si>
  <si>
    <t>步/霰</t>
  </si>
  <si>
    <t>霰弹</t>
  </si>
  <si>
    <t>来复</t>
  </si>
  <si>
    <r>
      <rPr>
        <sz val="10"/>
        <color rgb="FF000000"/>
        <rFont val="宋体"/>
        <family val="3"/>
        <charset val="134"/>
      </rPr>
      <t>射击</t>
    </r>
    <r>
      <rPr>
        <sz val="10"/>
        <color rgb="FF000000"/>
        <rFont val="Calibri"/>
        <family val="2"/>
      </rPr>
      <t>④</t>
    </r>
  </si>
  <si>
    <r>
      <rPr>
        <sz val="10"/>
        <rFont val="宋体"/>
        <family val="3"/>
        <charset val="134"/>
      </rPr>
      <t>射击</t>
    </r>
    <r>
      <rPr>
        <sz val="10"/>
        <rFont val="Calibri"/>
        <family val="2"/>
      </rPr>
      <t>⑤</t>
    </r>
  </si>
  <si>
    <t>需要注意的是：艺术与手艺是试做部分，这些技能的注释仅供参考。
玩家也可以添加更多手艺，比如：游戏，木工，油漆工，铁匠等。
具体作用和KP交流好左边是自定义表,在下面写好改技能的备注(用法)</t>
  </si>
  <si>
    <t>技能查询</t>
  </si>
  <si>
    <t>请注意，这些解释的描述可能与规则书有所出入，但大体含义相同，如有解释差异请以规则书为准！
详见规则书第四章：技能</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</si>
  <si>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</si>
  <si>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</si>
  <si>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</si>
  <si>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</si>
  <si>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</si>
  <si>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</si>
  <si>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</si>
  <si>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</si>
  <si>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</si>
  <si>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</si>
  <si>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</si>
  <si>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</si>
  <si>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</si>
  <si>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</si>
  <si>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</si>
  <si>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</si>
  <si>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</si>
  <si>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</si>
  <si>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如果以凭借此技能来谋生至少要达到50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</si>
  <si>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</si>
  <si>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</si>
  <si>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</si>
  <si>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</si>
  <si>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</si>
  <si>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</si>
  <si>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</si>
  <si>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</si>
  <si>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</si>
  <si>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</si>
  <si>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</si>
  <si>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</si>
  <si>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</si>
  <si>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</si>
  <si>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</si>
  <si>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</si>
  <si>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</si>
  <si>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</si>
  <si>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</si>
  <si>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</si>
  <si>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</si>
  <si>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</si>
  <si>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</si>
  <si>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</si>
  <si>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</si>
  <si>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</si>
  <si>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</si>
  <si>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</si>
  <si>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</si>
  <si>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</si>
  <si>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</si>
  <si>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</si>
  <si>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</si>
  <si>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</si>
  <si>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</si>
  <si>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</si>
  <si>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</si>
  <si>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</si>
  <si>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</si>
  <si>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</si>
  <si>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</si>
  <si>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</si>
  <si>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</si>
  <si>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</si>
  <si>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</si>
  <si>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</si>
  <si>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</si>
  <si>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</si>
  <si>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</si>
  <si>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</si>
  <si>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</si>
  <si>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</si>
  <si>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</si>
  <si>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</si>
  <si>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</si>
  <si>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</si>
  <si>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</si>
  <si>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</si>
  <si>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</si>
  <si>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</si>
  <si>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</si>
  <si>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</si>
  <si>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</si>
  <si>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</si>
  <si>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</si>
  <si>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</si>
  <si>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</si>
  <si>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</si>
  <si>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</si>
  <si>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</si>
  <si>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</si>
  <si>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</si>
  <si>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</si>
  <si>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</si>
  <si>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</si>
  <si>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</si>
  <si>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</si>
  <si>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</si>
  <si>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</si>
  <si>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</si>
  <si>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</si>
  <si>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</si>
  <si>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</si>
  <si>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</si>
  <si>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</si>
  <si>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</si>
  <si>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</si>
  <si>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</si>
  <si>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</si>
  <si>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</si>
  <si>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</si>
  <si>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</si>
  <si>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</si>
  <si>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</si>
  <si>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</si>
  <si>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</si>
  <si>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</si>
  <si>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</si>
  <si>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</si>
  <si>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</si>
  <si>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</si>
  <si>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</si>
  <si>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</si>
  <si>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</si>
  <si>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</si>
  <si>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</si>
  <si>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</si>
  <si>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</si>
  <si>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</si>
  <si>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</si>
  <si>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</si>
  <si>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</si>
  <si>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</si>
  <si>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</si>
  <si>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</si>
  <si>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</si>
  <si>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</si>
  <si>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</si>
  <si>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</si>
  <si>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</si>
  <si>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</si>
  <si>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</si>
  <si>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</si>
  <si>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</si>
  <si>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</si>
  <si>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</si>
  <si>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</si>
  <si>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</si>
  <si>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</si>
  <si>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</si>
  <si>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</si>
  <si>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</si>
  <si>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</si>
  <si>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</si>
  <si>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</si>
  <si>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</si>
  <si>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</si>
  <si>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</si>
  <si>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</si>
  <si>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</si>
  <si>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</si>
  <si>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</si>
  <si>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</si>
  <si>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</si>
  <si>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</si>
  <si>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</si>
  <si>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</si>
  <si>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</si>
  <si>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</si>
  <si>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</si>
  <si>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</si>
  <si>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</si>
  <si>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</si>
  <si>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</si>
  <si>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</si>
  <si>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</si>
  <si>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</si>
  <si>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</si>
  <si>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</si>
  <si>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</si>
  <si>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</si>
  <si>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</si>
  <si>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</si>
  <si>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</si>
  <si>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</si>
  <si>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</si>
  <si>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</si>
  <si>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</si>
  <si>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</si>
  <si>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</si>
  <si>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</si>
  <si>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</si>
  <si>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</si>
  <si>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</si>
  <si>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</si>
  <si>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</si>
  <si>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</si>
  <si>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</si>
  <si>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</si>
  <si>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</si>
  <si>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</si>
  <si>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</si>
  <si>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</si>
  <si>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</si>
  <si>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</si>
  <si>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</si>
  <si>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</si>
  <si>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</si>
  <si>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</si>
  <si>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</si>
  <si>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</si>
  <si>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</si>
  <si>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</si>
  <si>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</si>
  <si>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</si>
  <si>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</si>
  <si>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</si>
  <si>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</si>
  <si>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</si>
  <si>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</si>
  <si>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</si>
  <si>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</si>
  <si>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</si>
  <si>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</si>
  <si>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</si>
  <si>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</si>
  <si>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</si>
  <si>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</si>
  <si>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</si>
  <si>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</si>
  <si>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</si>
  <si>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</si>
  <si>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</si>
  <si>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</si>
  <si>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</si>
  <si>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</si>
  <si>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</si>
  <si>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</si>
  <si>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</si>
  <si>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</si>
  <si>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</si>
  <si>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</si>
  <si>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</si>
  <si>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</si>
  <si>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</si>
  <si>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</si>
  <si>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</si>
  <si>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</si>
  <si>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</si>
  <si>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</si>
  <si>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</si>
  <si>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</si>
  <si>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</si>
  <si>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</si>
  <si>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</si>
  <si>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</si>
  <si>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</si>
  <si>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</si>
  <si>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</si>
  <si>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</si>
  <si>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</si>
  <si>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</si>
  <si>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</si>
  <si>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</si>
  <si>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</si>
  <si>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</si>
  <si>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</si>
  <si>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</si>
  <si>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</si>
  <si>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</si>
  <si>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</si>
  <si>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</si>
  <si>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</si>
  <si>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</si>
  <si>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</si>
  <si>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</si>
  <si>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</si>
  <si>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</si>
  <si>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</si>
  <si>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</si>
  <si>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</si>
  <si>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</si>
  <si>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</si>
  <si>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</si>
  <si>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</si>
  <si>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</si>
  <si>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</si>
  <si>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</si>
  <si>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</si>
  <si>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</si>
  <si>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</si>
  <si>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</si>
  <si>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</si>
  <si>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</si>
  <si>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</si>
  <si>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</si>
  <si>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</si>
  <si>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</si>
  <si>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</si>
  <si>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</si>
  <si>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</si>
  <si>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</si>
  <si>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</si>
  <si>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</si>
  <si>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</si>
  <si>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</si>
  <si>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</si>
  <si>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</si>
  <si>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</si>
  <si>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</si>
  <si>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</si>
  <si>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</si>
  <si>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</si>
  <si>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</si>
  <si>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</si>
  <si>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</si>
  <si>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</si>
  <si>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</si>
  <si>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</si>
  <si>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</si>
  <si>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</si>
  <si>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</si>
  <si>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</si>
  <si>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</si>
  <si>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</si>
  <si>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</si>
  <si>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</si>
  <si>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</si>
  <si>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</si>
  <si>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</si>
  <si>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</si>
  <si>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</si>
  <si>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</si>
  <si>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</si>
  <si>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</si>
  <si>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</si>
  <si>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</si>
  <si>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</si>
  <si>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</si>
  <si>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</si>
  <si>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</si>
  <si>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</si>
  <si>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</si>
  <si>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</si>
  <si>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</si>
  <si>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</si>
  <si>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</si>
  <si>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</si>
  <si>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</si>
  <si>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</si>
  <si>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</si>
  <si>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</si>
  <si>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</si>
  <si>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</si>
  <si>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</si>
  <si>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</si>
  <si>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</si>
  <si>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</si>
  <si>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</si>
  <si>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</si>
  <si>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</si>
  <si>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</si>
  <si>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</si>
  <si>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</si>
  <si>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</si>
  <si>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</si>
  <si>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</si>
  <si>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</si>
  <si>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</si>
  <si>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</si>
  <si>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</si>
  <si>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</si>
  <si>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</si>
  <si>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</si>
  <si>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</si>
  <si>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</si>
  <si>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</si>
  <si>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</si>
  <si>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</si>
  <si>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</si>
  <si>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</si>
  <si>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</si>
  <si>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</si>
  <si>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</si>
  <si>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</si>
  <si>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</si>
  <si>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</si>
  <si>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</si>
  <si>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</si>
  <si>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</si>
  <si>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</si>
  <si>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</si>
  <si>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</si>
  <si>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</si>
  <si>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</si>
  <si>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</si>
  <si>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</si>
  <si>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</si>
  <si>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</si>
  <si>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</si>
  <si>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</si>
  <si>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</si>
  <si>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</si>
  <si>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</si>
  <si>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</si>
  <si>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</si>
  <si>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</si>
  <si>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</si>
  <si>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</si>
  <si>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</si>
  <si>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</si>
  <si>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</si>
  <si>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</si>
  <si>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</si>
  <si>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</si>
  <si>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</si>
  <si>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</si>
  <si>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</si>
  <si>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</si>
  <si>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</si>
  <si>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</si>
  <si>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</si>
  <si>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</si>
  <si>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</si>
  <si>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</si>
  <si>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</si>
  <si>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</si>
  <si>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</si>
  <si>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</si>
  <si>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</si>
  <si>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</si>
  <si>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</si>
  <si>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</si>
  <si>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</si>
  <si>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</si>
  <si>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</si>
  <si>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</si>
  <si>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</si>
  <si>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</si>
  <si>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</si>
  <si>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</si>
  <si>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</si>
  <si>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</si>
  <si>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</si>
  <si>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</si>
  <si>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</si>
  <si>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</si>
  <si>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</si>
  <si>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</si>
  <si>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</si>
  <si>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</si>
  <si>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</si>
  <si>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</si>
  <si>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</si>
  <si>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</si>
  <si>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</si>
  <si>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</si>
  <si>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</si>
  <si>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</si>
  <si>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</si>
  <si>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</si>
  <si>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</si>
  <si>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</si>
  <si>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</si>
  <si>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</si>
  <si>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</si>
  <si>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</si>
  <si>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</si>
  <si>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</si>
  <si>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</si>
  <si>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</si>
  <si>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</si>
  <si>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</si>
  <si>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</si>
  <si>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</si>
  <si>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</si>
  <si>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</si>
  <si>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</si>
  <si>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</si>
  <si>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</si>
  <si>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</si>
  <si>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</si>
  <si>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</si>
  <si>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</si>
  <si>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</si>
  <si>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</si>
  <si>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</si>
  <si>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</si>
  <si>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</si>
  <si>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</si>
  <si>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</si>
  <si>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</si>
  <si>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</si>
  <si>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</si>
  <si>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</si>
  <si>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</si>
  <si>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</si>
  <si>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</si>
  <si>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</si>
  <si>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</si>
  <si>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</si>
  <si>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</si>
  <si>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</si>
  <si>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</si>
  <si>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</si>
  <si>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</si>
  <si>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</si>
  <si>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</si>
  <si>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</si>
  <si>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</si>
  <si>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</si>
  <si>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</si>
  <si>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</si>
  <si>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</si>
  <si>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</si>
  <si>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</si>
  <si>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</si>
  <si>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</si>
  <si>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</si>
  <si>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</si>
  <si>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</si>
  <si>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</si>
  <si>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</si>
  <si>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</si>
  <si>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</si>
  <si>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</si>
  <si>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</si>
  <si>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</si>
  <si>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</si>
  <si>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</si>
  <si>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</si>
  <si>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</si>
  <si>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</si>
  <si>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</si>
  <si>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</si>
  <si>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</si>
  <si>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</si>
  <si>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</si>
  <si>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</si>
  <si>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</si>
  <si>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</si>
  <si>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</si>
  <si>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</si>
  <si>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</si>
  <si>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</si>
  <si>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</si>
  <si>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</si>
  <si>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</si>
  <si>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</si>
  <si>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</si>
  <si>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</si>
  <si>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</si>
  <si>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</si>
  <si>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</si>
  <si>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</si>
  <si>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</si>
  <si>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</si>
  <si>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</si>
  <si>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</si>
  <si>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</si>
  <si>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</si>
  <si>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</si>
  <si>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</si>
  <si>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</si>
  <si>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</si>
  <si>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</si>
  <si>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</si>
  <si>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</si>
  <si>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</si>
  <si>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</si>
  <si>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</si>
  <si>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</si>
  <si>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</si>
  <si>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</si>
  <si>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</si>
  <si>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</si>
  <si>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</si>
  <si>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</si>
  <si>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</si>
  <si>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</si>
  <si>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</si>
  <si>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</si>
  <si>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</si>
  <si>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</si>
  <si>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</si>
  <si>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</si>
  <si>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</si>
  <si>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</si>
  <si>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</si>
  <si>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</si>
  <si>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</si>
  <si>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</si>
  <si>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</si>
  <si>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</si>
  <si>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</si>
  <si>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</si>
  <si>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</si>
  <si>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</si>
  <si>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</si>
  <si>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</si>
  <si>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</si>
  <si>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</si>
  <si>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</si>
  <si>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</si>
  <si>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</si>
  <si>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</si>
  <si>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</si>
  <si>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</si>
  <si>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</si>
  <si>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</si>
  <si>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</si>
  <si>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</si>
  <si>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</si>
  <si>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</si>
  <si>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</si>
  <si>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</si>
  <si>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</si>
  <si>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</si>
  <si>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</si>
  <si>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</si>
  <si>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</si>
  <si>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</si>
  <si>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</si>
  <si>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</si>
  <si>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</si>
  <si>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</si>
  <si>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</si>
  <si>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</si>
  <si>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</si>
  <si>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</si>
  <si>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</si>
  <si>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</si>
  <si>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</si>
  <si>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</si>
  <si>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</si>
  <si>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</si>
  <si>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</si>
  <si>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</si>
  <si>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</si>
  <si>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</si>
  <si>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</si>
  <si>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</si>
  <si>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</si>
  <si>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</si>
  <si>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</si>
  <si>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</si>
  <si>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</si>
  <si>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</si>
  <si>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</si>
  <si>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</si>
  <si>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</si>
  <si>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</si>
  <si>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</si>
  <si>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</si>
  <si>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</si>
  <si>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</si>
  <si>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</si>
  <si>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</si>
  <si>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</si>
  <si>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</si>
  <si>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</si>
  <si>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</si>
  <si>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</si>
  <si>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</si>
  <si>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</si>
  <si>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</si>
  <si>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</si>
  <si>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</si>
  <si>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</si>
  <si>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</si>
  <si>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</si>
  <si>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</si>
  <si>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</si>
  <si>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</si>
  <si>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</si>
  <si>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</si>
  <si>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</si>
  <si>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</si>
  <si>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</si>
  <si>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</si>
  <si>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</si>
  <si>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</si>
  <si>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</si>
  <si>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</si>
  <si>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</si>
  <si>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</si>
  <si>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</si>
  <si>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</si>
  <si>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</si>
  <si>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</si>
  <si>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</si>
  <si>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</si>
  <si>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</si>
  <si>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</si>
  <si>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</si>
  <si>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</si>
  <si>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</si>
  <si>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</si>
  <si>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</si>
  <si>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</si>
  <si>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</si>
  <si>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</si>
  <si>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</si>
  <si>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</si>
  <si>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</si>
  <si>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</si>
  <si>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</si>
  <si>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</si>
  <si>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</si>
  <si>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</si>
  <si>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</si>
  <si>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</si>
  <si>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</si>
  <si>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</si>
  <si>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</si>
  <si>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</si>
  <si>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</si>
  <si>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</si>
  <si>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</si>
  <si>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</si>
  <si>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</si>
  <si>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</si>
  <si>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</si>
  <si>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</si>
  <si>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</si>
  <si>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</si>
  <si>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</si>
  <si>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</si>
  <si>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</si>
  <si>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</si>
  <si>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</si>
  <si>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</si>
  <si>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</si>
  <si>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</si>
  <si>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</si>
  <si>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</si>
  <si>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</si>
  <si>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</si>
  <si>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</si>
  <si>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</si>
  <si>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</si>
  <si>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</si>
  <si>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</si>
  <si>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</si>
  <si>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</si>
  <si>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</si>
  <si>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</si>
  <si>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</si>
  <si>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</si>
  <si>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</si>
  <si>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</si>
  <si>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</si>
  <si>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</si>
  <si>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</si>
  <si>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</si>
  <si>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</si>
  <si>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</si>
  <si>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</si>
  <si>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</si>
  <si>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</si>
  <si>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</si>
  <si>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</si>
  <si>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</si>
  <si>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</si>
  <si>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</si>
  <si>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</si>
  <si>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</si>
  <si>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</si>
  <si>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</si>
  <si>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</si>
  <si>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</si>
  <si>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</si>
  <si>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</si>
  <si>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</si>
  <si>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</si>
  <si>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</si>
  <si>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</si>
  <si>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</si>
  <si>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</si>
  <si>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</si>
  <si>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</si>
  <si>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</si>
  <si>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</si>
  <si>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</si>
  <si>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</si>
  <si>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</si>
  <si>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</si>
  <si>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</si>
  <si>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</si>
  <si>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</si>
  <si>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</si>
  <si>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</si>
  <si>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</si>
  <si>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</si>
  <si>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</si>
  <si>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</si>
  <si>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</si>
  <si>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</si>
  <si>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</si>
  <si>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</si>
  <si>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交通工具</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</si>
  <si>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</si>
  <si>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</si>
  <si>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</si>
  <si>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</si>
  <si>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</si>
  <si>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</si>
  <si>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</si>
  <si>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</si>
  <si>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</si>
  <si>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</si>
  <si>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</si>
  <si>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</si>
  <si>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</si>
  <si>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</si>
  <si>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</si>
  <si>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</si>
  <si>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</si>
  <si>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</si>
  <si>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</si>
  <si>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</si>
  <si>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</si>
  <si>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</si>
  <si>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</si>
  <si>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</si>
  <si>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</si>
  <si>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</si>
  <si>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</si>
  <si>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</si>
  <si>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</si>
  <si>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</si>
  <si>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</si>
  <si>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</si>
  <si>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</si>
  <si>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*名称*</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</si>
  <si>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</si>
  <si>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</si>
  <si>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</si>
  <si>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</si>
  <si>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</si>
  <si>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</si>
  <si>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</si>
  <si>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</si>
  <si>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</si>
  <si>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</si>
  <si>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</si>
  <si>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</si>
  <si>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</si>
  <si>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</si>
  <si>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</si>
  <si>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</si>
  <si>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</si>
  <si>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</si>
  <si>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</si>
  <si>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</si>
  <si>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</si>
  <si>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</si>
  <si>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</si>
  <si>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</si>
  <si>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</si>
  <si>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</si>
  <si>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</si>
  <si>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</si>
  <si>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</si>
  <si>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</si>
  <si>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</si>
  <si>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</si>
  <si>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</si>
  <si>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</si>
  <si>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</si>
  <si>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</si>
  <si>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</si>
  <si>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</si>
  <si>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</si>
  <si>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</si>
  <si>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</si>
  <si>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</si>
  <si>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</si>
  <si>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</si>
  <si>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</si>
  <si>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</si>
  <si>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</si>
  <si>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</si>
  <si>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</si>
  <si>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</si>
  <si>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——住宿——</t>
  </si>
  <si>
    <t>1917 年二手别克</t>
  </si>
  <si>
    <t>雷明顿牌打字机</t>
  </si>
  <si>
    <t>泳帽</t>
  </si>
  <si>
    <t>*名称（每晚）*</t>
  </si>
  <si>
    <t>雪佛兰皮卡，1929 年</t>
  </si>
  <si>
    <t>哈里斯牌打字机</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</si>
  <si>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</si>
  <si>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</si>
  <si>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</si>
  <si>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</si>
  <si>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</si>
  <si>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</si>
  <si>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</si>
  <si>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</si>
  <si>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</si>
  <si>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</si>
  <si>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</si>
  <si>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</si>
  <si>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</si>
  <si>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</si>
  <si>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</si>
  <si>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</si>
  <si>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</si>
  <si>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</si>
  <si>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</si>
  <si>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</si>
  <si>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</si>
  <si>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</si>
  <si>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</si>
  <si>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</si>
  <si>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</si>
  <si>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</si>
  <si>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</si>
  <si>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</si>
  <si>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</si>
  <si>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</si>
  <si>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</si>
  <si>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</si>
  <si>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</si>
  <si>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</si>
  <si>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</si>
  <si>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</si>
  <si>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</si>
  <si>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</si>
  <si>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</si>
  <si>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</si>
  <si>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</si>
  <si>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</si>
  <si>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</si>
  <si>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</si>
  <si>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</si>
  <si>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</si>
  <si>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</si>
  <si>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</si>
  <si>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</si>
  <si>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</si>
  <si>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</si>
  <si>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</si>
  <si>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</si>
  <si>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</si>
  <si>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</si>
  <si>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</si>
  <si>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</si>
  <si>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</si>
  <si>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</si>
  <si>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</si>
  <si>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</si>
  <si>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</si>
  <si>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</si>
  <si>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</si>
  <si>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</si>
  <si>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</si>
  <si>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</si>
  <si>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</si>
  <si>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</si>
  <si>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</si>
  <si>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</si>
  <si>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</si>
  <si>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</si>
  <si>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</si>
  <si>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</si>
  <si>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</si>
  <si>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</si>
  <si>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</si>
  <si>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</si>
  <si>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</si>
  <si>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</si>
  <si>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</si>
  <si>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</si>
  <si>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</si>
  <si>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</si>
  <si>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</si>
  <si>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</si>
  <si>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</si>
  <si>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</si>
  <si>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</si>
  <si>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</si>
  <si>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</si>
  <si>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</si>
  <si>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</si>
  <si>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</si>
  <si>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</si>
  <si>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</si>
  <si>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</si>
  <si>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</si>
  <si>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</si>
  <si>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</si>
  <si>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</si>
  <si>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</si>
  <si>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</si>
  <si>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</si>
  <si>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</si>
  <si>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</si>
  <si>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</si>
  <si>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</si>
  <si>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</si>
  <si>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</si>
  <si>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</si>
  <si>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</si>
  <si>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</si>
  <si>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</si>
  <si>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</si>
  <si>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</si>
  <si>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</si>
  <si>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</si>
  <si>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</si>
  <si>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</si>
  <si>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</si>
  <si>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</si>
  <si>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</si>
  <si>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</si>
  <si>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</si>
  <si>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</si>
  <si>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</si>
  <si>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</si>
  <si>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</si>
  <si>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</si>
  <si>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</si>
  <si>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</si>
  <si>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</si>
  <si>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</si>
  <si>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</si>
  <si>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</si>
  <si>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</si>
  <si>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</si>
  <si>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</si>
  <si>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</si>
  <si>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</si>
  <si>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</si>
  <si>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</si>
  <si>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</si>
  <si>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</si>
  <si>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</si>
  <si>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</si>
  <si>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</si>
  <si>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</si>
  <si>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</si>
  <si>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</si>
  <si>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武器名称前面的*和-：
带*的武器代表这是罕见武器
带-的武器代表这是不合时代的武器（根据人物卡的时代进行判定）</t>
  </si>
  <si>
    <t>1D6+半DB</t>
  </si>
  <si>
    <t>30码</t>
  </si>
  <si>
    <t>1</t>
  </si>
  <si>
    <t>97</t>
  </si>
  <si>
    <t>1920s,现代</t>
  </si>
  <si>
    <t>7/75</t>
  </si>
  <si>
    <t>常
规
武
器</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</si>
  <si>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</si>
  <si>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</si>
  <si>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弓箭</t>
  </si>
  <si>
    <t>1D8+半DB</t>
  </si>
  <si>
    <t>90码</t>
  </si>
  <si>
    <t>复合弓</t>
  </si>
  <si>
    <t>1D8+2</t>
  </si>
  <si>
    <t>50码</t>
  </si>
  <si>
    <t>√</t>
  </si>
  <si>
    <t>1/2</t>
  </si>
  <si>
    <t>10/100</t>
  </si>
  <si>
    <t>公元前210年</t>
  </si>
  <si>
    <t>弩</t>
  </si>
  <si>
    <t>1D2+半DB</t>
  </si>
  <si>
    <t>15码</t>
  </si>
  <si>
    <t>2/30</t>
  </si>
  <si>
    <t>弹弓（木质/石质弹丸）</t>
  </si>
  <si>
    <t>1D4+半DB</t>
  </si>
  <si>
    <t>弹弓（金属制弹丸）</t>
  </si>
  <si>
    <t>1D3+1+DB</t>
  </si>
  <si>
    <t>接触</t>
  </si>
  <si>
    <t>1/10</t>
  </si>
  <si>
    <t>1D3+1+[DB]</t>
  </si>
  <si>
    <t>黄铜指虎</t>
  </si>
  <si>
    <t>1D3+半DB</t>
  </si>
  <si>
    <t>10英尺</t>
  </si>
  <si>
    <t>5/50</t>
  </si>
  <si>
    <t>1D3+[DB]/2</t>
  </si>
  <si>
    <t>长软鞭</t>
  </si>
  <si>
    <t>竹节软鞭</t>
  </si>
  <si>
    <t>1D5+1+半DB</t>
  </si>
  <si>
    <t>15英尺</t>
  </si>
  <si>
    <t>15/100</t>
  </si>
  <si>
    <t>绞索：目标需要用一个战技摆脱，
否则每轮受到 武器标准 伤害。只对人类和相近的对手有效。</t>
  </si>
  <si>
    <t>纹铁软鞭</t>
  </si>
  <si>
    <t>1D6+1+DB</t>
  </si>
  <si>
    <t>25/100</t>
  </si>
  <si>
    <t>棱铁锏</t>
  </si>
  <si>
    <t>1D6+燃烧</t>
  </si>
  <si>
    <t>0.05/0.5</t>
  </si>
  <si>
    <t>1D6</t>
  </si>
  <si>
    <t>燃烧的火把</t>
  </si>
  <si>
    <t>2D8</t>
  </si>
  <si>
    <t>95</t>
  </si>
  <si>
    <t>——/300</t>
  </si>
  <si>
    <t>1926年</t>
  </si>
  <si>
    <t>1D8+DB</t>
  </si>
  <si>
    <t>2/15</t>
  </si>
  <si>
    <t>1940年</t>
  </si>
  <si>
    <t>1D8+[DB]</t>
  </si>
  <si>
    <t>包皮铁棍(甩棍、大头棍、护身棒)</t>
  </si>
  <si>
    <t>3/35</t>
  </si>
  <si>
    <t>一般有锁链或者类似绳子部分的武器可以做到</t>
  </si>
  <si>
    <t>大型棍状物(棒球棍、板球棒、拨火棍等)</t>
  </si>
  <si>
    <t>1D6+DB</t>
  </si>
  <si>
    <t>1D6+[DB]</t>
  </si>
  <si>
    <t>小型棍状物(警棍等)</t>
  </si>
  <si>
    <t>双炳纤维绳</t>
  </si>
  <si>
    <t>1D5+DB</t>
  </si>
  <si>
    <t>催泪瓦斯：抵近射击规则无效；目标须通过一个极难的 敏捷 检定否则暂时目盲。只对人类和相近的对手有效。</t>
  </si>
  <si>
    <t>双环铁链</t>
  </si>
  <si>
    <t>0.5/3</t>
  </si>
  <si>
    <t>双炳麻绳</t>
  </si>
  <si>
    <t>1D4+1+DB</t>
  </si>
  <si>
    <t>3/9</t>
  </si>
  <si>
    <t>1D6+1+[DB]</t>
  </si>
  <si>
    <t>手斧/镰刀</t>
  </si>
  <si>
    <t>板斧/钉头锤</t>
  </si>
  <si>
    <t>1D8+1+DB</t>
  </si>
  <si>
    <t>电击枪：仅对体格 2 及以下的目标有效，目标在 1D6 回合内不能行动（或 KP 决定)</t>
  </si>
  <si>
    <t>巨斧/巨锤</t>
  </si>
  <si>
    <t>4/50</t>
  </si>
  <si>
    <t>大型刀具(甘蔗刀等)</t>
  </si>
  <si>
    <t>1D4+2+DB</t>
  </si>
  <si>
    <t>1D4+2+[DB]</t>
  </si>
  <si>
    <t>中型刀具(切肉菜刀等)</t>
  </si>
  <si>
    <t>1D4+DB</t>
  </si>
  <si>
    <t>2/6</t>
  </si>
  <si>
    <t>1D4+[DB]</t>
  </si>
  <si>
    <t>小型刀具(弹簧折叠刀等)</t>
  </si>
  <si>
    <t>1-20 1D2+半DB</t>
  </si>
  <si>
    <t>任何时代</t>
  </si>
  <si>
    <t xml:space="preserve">武术：作为技巧性打击，武术的打击能力基本取决于熟练水平，且应不依赖自身以外的武器。
</t>
  </si>
  <si>
    <t>21-40 1D3+半DB</t>
  </si>
  <si>
    <t>41-60 1D4+DB</t>
  </si>
  <si>
    <t>61-80 1D4+1+DB</t>
  </si>
  <si>
    <t>81-90 1D4+2+DB</t>
  </si>
  <si>
    <t>91-94 1D4+3+DB</t>
  </si>
  <si>
    <t xml:space="preserve">在成为此方面的宗师后，甚至能够以更加迅速的行动进行攻击。
</t>
  </si>
  <si>
    <t>94+ 1D4+4+DB</t>
  </si>
  <si>
    <t>2D8+眩晕</t>
  </si>
  <si>
    <t>1894年</t>
  </si>
  <si>
    <t>220v通电导线</t>
  </si>
  <si>
    <t>如有任何冲突情况请以规则书为准！</t>
  </si>
  <si>
    <t>眩晕</t>
  </si>
  <si>
    <t>6英尺</t>
  </si>
  <si>
    <t>25次</t>
  </si>
  <si>
    <t>——/10</t>
  </si>
  <si>
    <t>1912年</t>
  </si>
  <si>
    <t>催泪瓦斯</t>
  </si>
  <si>
    <t>960年</t>
  </si>
  <si>
    <t>STR英尺</t>
  </si>
  <si>
    <t>可装备特殊护具避免自身在进行攻击时受伤。</t>
  </si>
  <si>
    <t>1D4+[DB]/2</t>
  </si>
  <si>
    <t>投石</t>
  </si>
  <si>
    <t>20码</t>
  </si>
  <si>
    <t>2</t>
  </si>
  <si>
    <t>一次性</t>
  </si>
  <si>
    <t>手里剑</t>
  </si>
  <si>
    <t>1D8+1</t>
  </si>
  <si>
    <t>25/150</t>
  </si>
  <si>
    <t>调查员应当在选择武术前，向KP说明此点</t>
  </si>
  <si>
    <t>矛、骑士长枪</t>
  </si>
  <si>
    <t>STR码</t>
  </si>
  <si>
    <t>罕见</t>
  </si>
  <si>
    <t>1/25</t>
  </si>
  <si>
    <t>1D8+[DB]/2</t>
  </si>
  <si>
    <t>*掷矛</t>
  </si>
  <si>
    <t>30/75</t>
  </si>
  <si>
    <t>1D8+1+[DB]</t>
  </si>
  <si>
    <t>大型剑（马刀）</t>
  </si>
  <si>
    <t>中型剑（佩剑、重剑）</t>
  </si>
  <si>
    <t>轻型剑（花剑、剑杖）</t>
  </si>
  <si>
    <t>1D3+眩晕</t>
  </si>
  <si>
    <t>——/200</t>
  </si>
  <si>
    <t>2006年</t>
  </si>
  <si>
    <t>1D3</t>
  </si>
  <si>
    <t>电棍、电击枪(接触)</t>
  </si>
  <si>
    <t>3</t>
  </si>
  <si>
    <t>——/400</t>
  </si>
  <si>
    <t>1974年</t>
  </si>
  <si>
    <t>电击枪(远程)</t>
  </si>
  <si>
    <t>2/4</t>
  </si>
  <si>
    <t>*战斗回力镖</t>
  </si>
  <si>
    <t>1D6+1</t>
  </si>
  <si>
    <t>10</t>
  </si>
  <si>
    <t>1/4</t>
  </si>
  <si>
    <t>30/300</t>
  </si>
  <si>
    <t>1547年</t>
  </si>
  <si>
    <t>手
枪</t>
  </si>
  <si>
    <t>正常来说每回合只能击发一次，
括号内是连发最大数。</t>
  </si>
  <si>
    <t>没有特定指向的枪械发明时间以该口径子弹发明时间为准
有指定的枪械发明时间以服役时间为准
无法考据的发明时间填近似时间或划掉</t>
  </si>
  <si>
    <t>*遂发枪</t>
  </si>
  <si>
    <t>1(3)</t>
  </si>
  <si>
    <t>6</t>
  </si>
  <si>
    <t>25/190</t>
  </si>
  <si>
    <t>1857年</t>
  </si>
  <si>
    <t>.22(5.6mm)小型自动手枪</t>
  </si>
  <si>
    <t>12/55</t>
  </si>
  <si>
    <t>1920年</t>
  </si>
  <si>
    <t>.25(6.35mm)短口手枪(单管)</t>
  </si>
  <si>
    <t>1D8</t>
  </si>
  <si>
    <t>15</t>
  </si>
  <si>
    <t>15/200</t>
  </si>
  <si>
    <t>1930年</t>
  </si>
  <si>
    <t>.32(7.65mm)左轮手枪</t>
  </si>
  <si>
    <t>8</t>
  </si>
  <si>
    <t>99</t>
  </si>
  <si>
    <t>20/350</t>
  </si>
  <si>
    <t>.32(7.65mm)自动手枪</t>
  </si>
  <si>
    <t>1D8+1D4</t>
  </si>
  <si>
    <t>——/425</t>
  </si>
  <si>
    <t>1934年</t>
  </si>
  <si>
    <t>.357 马格南左轮</t>
  </si>
  <si>
    <t>25/200</t>
  </si>
  <si>
    <t>1898年</t>
  </si>
  <si>
    <t>.38(9mm)左轮手枪</t>
  </si>
  <si>
    <t>30/375</t>
  </si>
  <si>
    <t>.38(9mm)自动手枪</t>
  </si>
  <si>
    <t>98</t>
  </si>
  <si>
    <t>——/500</t>
  </si>
  <si>
    <t>1990年</t>
  </si>
  <si>
    <t>如果连发则每次投掷都会承受一个惩罚骰</t>
  </si>
  <si>
    <t>贝瑞塔 M9</t>
  </si>
  <si>
    <t>17</t>
  </si>
  <si>
    <t>1983年</t>
  </si>
  <si>
    <t>9mm 格洛克 17</t>
  </si>
  <si>
    <t>75/600</t>
  </si>
  <si>
    <t>1902年</t>
  </si>
  <si>
    <t>9mm 鲁格 P08</t>
  </si>
  <si>
    <t>1920s,罕见</t>
  </si>
  <si>
    <t>30/——</t>
  </si>
  <si>
    <t>1860年</t>
  </si>
  <si>
    <t>*.41(10.4mm) 左轮手枪</t>
  </si>
  <si>
    <t>1D10+1D4+2</t>
  </si>
  <si>
    <t>1950年</t>
  </si>
  <si>
    <t>.44(11.2mm) 马格南左轮手枪</t>
  </si>
  <si>
    <t>1D10+2</t>
  </si>
  <si>
    <t>1904年</t>
  </si>
  <si>
    <t>.45(11.43mm) 左轮手枪</t>
  </si>
  <si>
    <t>7</t>
  </si>
  <si>
    <t>40/375</t>
  </si>
  <si>
    <t>.45(11.43mm) 自动手枪</t>
  </si>
  <si>
    <t>1D10+1D6+3</t>
  </si>
  <si>
    <t>94</t>
  </si>
  <si>
    <t>1982年</t>
  </si>
  <si>
    <t>IMI 沙漠之鹰</t>
  </si>
  <si>
    <t>1D10+4</t>
  </si>
  <si>
    <t>60</t>
  </si>
  <si>
    <t>25/350</t>
  </si>
  <si>
    <t>1885年</t>
  </si>
  <si>
    <t>步
枪</t>
  </si>
  <si>
    <t>这种步枪是不可连发的
通常一次只能发射一发
威力极大</t>
  </si>
  <si>
    <t>莫兰上校的气动步枪：靠压缩空气发射，不需要火药，因而比较安静。</t>
  </si>
  <si>
    <t>*.58 (14.7mm)1855 年式春田步枪</t>
  </si>
  <si>
    <t>30</t>
  </si>
  <si>
    <t>13/70</t>
  </si>
  <si>
    <t>.22 (5.6mm)栓式枪机步枪</t>
  </si>
  <si>
    <t>2D6</t>
  </si>
  <si>
    <t>19/150</t>
  </si>
  <si>
    <t>1952年</t>
  </si>
  <si>
    <t>.30 (7.62mm)杠杆式枪机步枪</t>
  </si>
  <si>
    <t>1D8+1D6+3</t>
  </si>
  <si>
    <t>80</t>
  </si>
  <si>
    <t>1/3</t>
  </si>
  <si>
    <t>20/200</t>
  </si>
  <si>
    <t>1871年</t>
  </si>
  <si>
    <t>.45 马提尼·亨利步枪</t>
  </si>
  <si>
    <t>2D6+1</t>
  </si>
  <si>
    <t>20</t>
  </si>
  <si>
    <t>88</t>
  </si>
  <si>
    <t>200</t>
  </si>
  <si>
    <t>莫兰上校的气动步枪</t>
  </si>
  <si>
    <t>2D6+4</t>
  </si>
  <si>
    <t>110</t>
  </si>
  <si>
    <t>400</t>
  </si>
  <si>
    <t>1936年</t>
  </si>
  <si>
    <t>加兰德M1、M2步枪</t>
  </si>
  <si>
    <t>90</t>
  </si>
  <si>
    <t>1(2)</t>
  </si>
  <si>
    <t>1945年</t>
  </si>
  <si>
    <t>SKS 半自动步枪(56 半)</t>
  </si>
  <si>
    <t>50/300</t>
  </si>
  <si>
    <t>1895年</t>
  </si>
  <si>
    <t>.303 (7.7mm) 李·恩菲尔德</t>
  </si>
  <si>
    <t>5</t>
  </si>
  <si>
    <t>75/175</t>
  </si>
  <si>
    <t>.30——06 (7.62mm) 栓式枪机步枪</t>
  </si>
  <si>
    <t>275</t>
  </si>
  <si>
    <t>1955年</t>
  </si>
  <si>
    <t>.30——06 (7.62mm) 半自动步枪</t>
  </si>
  <si>
    <t>2D8+4</t>
  </si>
  <si>
    <t>.444 (11.28mm) 马林步枪</t>
  </si>
  <si>
    <t>3D6+4</t>
  </si>
  <si>
    <t>1 or 2</t>
  </si>
  <si>
    <t>400/1000</t>
  </si>
  <si>
    <t>1890年</t>
  </si>
  <si>
    <t>霰
弹
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</si>
  <si>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</si>
  <si>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</si>
  <si>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</si>
  <si>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猎象枪(双管)</t>
  </si>
  <si>
    <t>2D6/1D6/1D3</t>
  </si>
  <si>
    <t>10/20/50</t>
  </si>
  <si>
    <t>35/稀有</t>
  </si>
  <si>
    <t>1914年</t>
  </si>
  <si>
    <t>20 号霰弹枪(双管)</t>
  </si>
  <si>
    <t>2D6+2/1D6+1/1D4</t>
  </si>
  <si>
    <t>40/稀有</t>
  </si>
  <si>
    <t>2D6+2</t>
  </si>
  <si>
    <t>16 号霰弹枪(双管)</t>
  </si>
  <si>
    <t>4D6/2D6/1D6</t>
  </si>
  <si>
    <t>40/200</t>
  </si>
  <si>
    <t>4D6</t>
  </si>
  <si>
    <t>12 号霰弹枪(双管)</t>
  </si>
  <si>
    <t>45/100</t>
  </si>
  <si>
    <t>1980年</t>
  </si>
  <si>
    <t>12 号霰弹枪(泵动)</t>
  </si>
  <si>
    <t>12 号霰弹枪(半自动)</t>
  </si>
  <si>
    <t>4D6/1D6</t>
  </si>
  <si>
    <t>5/10</t>
  </si>
  <si>
    <t>N/A</t>
  </si>
  <si>
    <t>1790年</t>
  </si>
  <si>
    <t>12 号霰弹枪(双管,锯短)</t>
  </si>
  <si>
    <t>4D6+2/2D6+1/1D4</t>
  </si>
  <si>
    <t>稀有</t>
  </si>
  <si>
    <t>4D6+2</t>
  </si>
  <si>
    <t>*10 号霰弹枪(双管)</t>
  </si>
  <si>
    <t>——/895</t>
  </si>
  <si>
    <t>1999年</t>
  </si>
  <si>
    <t>12 号贝里尼 M3(折叠式枪托)</t>
  </si>
  <si>
    <t>——/600</t>
  </si>
  <si>
    <t>1979年</t>
  </si>
  <si>
    <t>12 号 SPAS (折叠式枪托)</t>
  </si>
  <si>
    <t>1(2)or全自动</t>
  </si>
  <si>
    <t>1951年</t>
  </si>
  <si>
    <t>突
击
步
枪</t>
  </si>
  <si>
    <t>单发射击以[步枪]技能判定，
全自动射击以[冲锋枪]技能判定</t>
  </si>
  <si>
    <t>装填武器</t>
  </si>
  <si>
    <t>冲锋枪和机枪的价格为黑市价格
稀有或非法的武器可以在黑市入手。
购买流程是找到卖家，谈妥价钱，钱货交易，拿货走人。
交易可能会被警察干涉，卖家也可能试图打劫或杀死买家。</t>
  </si>
  <si>
    <t>AK-47 或 AKM</t>
  </si>
  <si>
    <t>——/1000</t>
  </si>
  <si>
    <t>为任何手枪，步枪或霰弹枪装填两发枪弹需要一个行动轮的时间。
用弹匣供弹的武器换弹匣需要一个行动轮的时间；
用弹链供弹的机枪重新装弹需要两个行动轮的时间。</t>
  </si>
  <si>
    <t>AK-74</t>
  </si>
  <si>
    <t>2D10+1D8+6</t>
  </si>
  <si>
    <t>250</t>
  </si>
  <si>
    <t>11</t>
  </si>
  <si>
    <t>96</t>
  </si>
  <si>
    <t>——/3000</t>
  </si>
  <si>
    <t>1989年</t>
  </si>
  <si>
    <t>巴雷特M82</t>
  </si>
  <si>
    <t>1(2)or3连射</t>
  </si>
  <si>
    <t>——/1500</t>
  </si>
  <si>
    <t>1954年</t>
  </si>
  <si>
    <t>FN FAL</t>
  </si>
  <si>
    <t>1(2)or连射</t>
  </si>
  <si>
    <t>——/2000</t>
  </si>
  <si>
    <t>1972年</t>
  </si>
  <si>
    <t>加利尔突击步枪</t>
  </si>
  <si>
    <t>1964年</t>
  </si>
  <si>
    <t>M16A2</t>
  </si>
  <si>
    <t>1or3连射</t>
  </si>
  <si>
    <t>1994年</t>
  </si>
  <si>
    <t>M4</t>
  </si>
  <si>
    <t>——/1100</t>
  </si>
  <si>
    <t>1978年</t>
  </si>
  <si>
    <t>斯泰尔 AUG</t>
  </si>
  <si>
    <t>1or全自动</t>
  </si>
  <si>
    <t>——/2800</t>
  </si>
  <si>
    <t>1970年</t>
  </si>
  <si>
    <t>贝雷塔 M70/90</t>
  </si>
  <si>
    <t>20/30/32</t>
  </si>
  <si>
    <t>1000/20000</t>
  </si>
  <si>
    <t>1917年</t>
  </si>
  <si>
    <t>冲
锋
枪</t>
  </si>
  <si>
    <t>MP18I/MP28II</t>
  </si>
  <si>
    <t>15/30</t>
  </si>
  <si>
    <t>1966年</t>
  </si>
  <si>
    <t>MP5</t>
  </si>
  <si>
    <t>1(3)or全自动</t>
  </si>
  <si>
    <t>32</t>
  </si>
  <si>
    <t>——/750</t>
  </si>
  <si>
    <t>MAC-11</t>
  </si>
  <si>
    <t>1961年</t>
  </si>
  <si>
    <t>蝎式冲锋枪</t>
  </si>
  <si>
    <t>20/30/50</t>
  </si>
  <si>
    <t>200+/1600</t>
  </si>
  <si>
    <t>1938年</t>
  </si>
  <si>
    <t>乌兹微型冲锋枪</t>
  </si>
  <si>
    <t>全自动</t>
  </si>
  <si>
    <t>2000/14000</t>
  </si>
  <si>
    <t>1882年</t>
  </si>
  <si>
    <t>机
枪</t>
  </si>
  <si>
    <t>速射机枪：装在直升机上的加特林机枪。要不经过安装直接使用，使用者必须达到体格 2。</t>
  </si>
  <si>
    <t>*1882 年式加特林</t>
  </si>
  <si>
    <t>800/1500</t>
  </si>
  <si>
    <t>M1918 式勃朗宁自动步枪</t>
  </si>
  <si>
    <t>3000/30000</t>
  </si>
  <si>
    <t>1916年</t>
  </si>
  <si>
    <t>勃朗宁 M1917A1(7.62mm)</t>
  </si>
  <si>
    <t>30/100</t>
  </si>
  <si>
    <t>3000/50000</t>
  </si>
  <si>
    <t>布伦轻机枪</t>
  </si>
  <si>
    <t>27/97</t>
  </si>
  <si>
    <t>3000/20000</t>
  </si>
  <si>
    <t>路易斯Ⅰ型机枪</t>
  </si>
  <si>
    <t>4000</t>
  </si>
  <si>
    <t>1963年</t>
  </si>
  <si>
    <t>GE M134 式 7.62mm 速射机枪</t>
  </si>
  <si>
    <t>30/200</t>
  </si>
  <si>
    <t>FN 米尼米(5.56mm)，弹夹/弹带</t>
  </si>
  <si>
    <t>维克斯.303 机枪</t>
  </si>
  <si>
    <t>2D6+燃烧</t>
  </si>
  <si>
    <t>特
殊
武
器</t>
  </si>
  <si>
    <t>这些武器通常分三个距离
每超出一个距离便从右边降低一格伤害</t>
  </si>
  <si>
    <t>16D10</t>
  </si>
  <si>
    <t>如果威力不符合这里任何一个，以上更强的为标准</t>
  </si>
  <si>
    <t>莫洛托夫燃烧瓶</t>
  </si>
  <si>
    <t>1D10+1D3+燃烧</t>
  </si>
  <si>
    <t>15/75</t>
  </si>
  <si>
    <t>1975年</t>
  </si>
  <si>
    <t>8D10</t>
  </si>
  <si>
    <t>1D10+1D3</t>
  </si>
  <si>
    <t>信号枪(信号弹枪)</t>
  </si>
  <si>
    <t>3D10/2码</t>
  </si>
  <si>
    <t>3D10</t>
  </si>
  <si>
    <t>M79 40mm 榴弹发射器</t>
  </si>
  <si>
    <t>4D10/3码</t>
  </si>
  <si>
    <t>2/5</t>
  </si>
  <si>
    <t>808年</t>
  </si>
  <si>
    <t>炸药棒</t>
  </si>
  <si>
    <t>2D10/1码</t>
  </si>
  <si>
    <t>20/整盒</t>
  </si>
  <si>
    <t>1865年</t>
  </si>
  <si>
    <t>比如3D10算作4D10
下降之后为2D10</t>
  </si>
  <si>
    <t>雷管</t>
  </si>
  <si>
    <t>1D10/3码</t>
  </si>
  <si>
    <t>就地</t>
  </si>
  <si>
    <t>一次使用</t>
  </si>
  <si>
    <t>1899年</t>
  </si>
  <si>
    <t>伤害栏左侧是近距伤害，右侧是减伤距离</t>
  </si>
  <si>
    <t>爆破筒</t>
  </si>
  <si>
    <t>6D10/3码</t>
  </si>
  <si>
    <t>1956年</t>
  </si>
  <si>
    <t>6D10</t>
  </si>
  <si>
    <t>塑胶炸弹(C4) 100克</t>
  </si>
  <si>
    <t>1232年</t>
  </si>
  <si>
    <t>1D4</t>
  </si>
  <si>
    <t>手榴弹</t>
  </si>
  <si>
    <t>6D10/6码</t>
  </si>
  <si>
    <t>500码</t>
  </si>
  <si>
    <t>独立装弹</t>
  </si>
  <si>
    <t>下降了三次之后再次下降，伤害归零，也就是安全区域</t>
  </si>
  <si>
    <t>81mm迫击炮</t>
  </si>
  <si>
    <t>10D10/2码</t>
  </si>
  <si>
    <t>1500/——</t>
  </si>
  <si>
    <t>1897年</t>
  </si>
  <si>
    <t>例：炸药筒和手雷：
每枚对 3 码之内的物体造成4D10 点伤害，
（超过 3 码且在）6 码之内的造成 2D10点伤害，
（超过 6 码且在）9 码之内的造成 1D10 点伤害。</t>
  </si>
  <si>
    <t>阔剑地雷：这种武器的弹道是密集的射束流，其杀伤范围为 120 度。</t>
  </si>
  <si>
    <t>10D10</t>
  </si>
  <si>
    <t>75mm野战火炮</t>
  </si>
  <si>
    <t>2000码</t>
  </si>
  <si>
    <t>15D10</t>
  </si>
  <si>
    <t>120mm坦克炮(稳定)</t>
  </si>
  <si>
    <t>15D10/4码</t>
  </si>
  <si>
    <t>3000码</t>
  </si>
  <si>
    <t>自动上弹</t>
  </si>
  <si>
    <t>1910年</t>
  </si>
  <si>
    <t>12D10</t>
  </si>
  <si>
    <t>5英寸舰载炮(稳定)</t>
  </si>
  <si>
    <t>4D10/5码</t>
  </si>
  <si>
    <t>布置</t>
  </si>
  <si>
    <t>1403年</t>
  </si>
  <si>
    <t>反步兵地雷</t>
  </si>
  <si>
    <t>6D6/20码</t>
  </si>
  <si>
    <t>6D6</t>
  </si>
  <si>
    <t>阔剑地雷</t>
  </si>
  <si>
    <t>25码</t>
  </si>
  <si>
    <t>至少10</t>
  </si>
  <si>
    <t>93</t>
  </si>
  <si>
    <t>1901年</t>
  </si>
  <si>
    <t>火焰喷射器</t>
  </si>
  <si>
    <t>8d10/1码</t>
  </si>
  <si>
    <t>150码</t>
  </si>
  <si>
    <t>8d10</t>
  </si>
  <si>
    <t>M72 式单发轻型反坦克炮</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</si>
  <si>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</si>
  <si>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</si>
  <si>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</si>
  <si>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</si>
  <si>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</si>
  <si>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</si>
  <si>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</si>
  <si>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</si>
  <si>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</si>
  <si>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</si>
  <si>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</si>
  <si>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</si>
  <si>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</si>
  <si>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</si>
  <si>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</si>
  <si>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</si>
  <si>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</si>
  <si>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</si>
  <si>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</si>
  <si>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</si>
  <si>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</si>
  <si>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</si>
  <si>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</si>
  <si>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</si>
  <si>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</si>
  <si>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</si>
  <si>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</si>
  <si>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</si>
  <si>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</si>
  <si>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</si>
  <si>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</si>
  <si>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</si>
  <si>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</si>
  <si>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</si>
  <si>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</si>
  <si>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</si>
  <si>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</si>
  <si>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</si>
  <si>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</si>
  <si>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</si>
  <si>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</si>
  <si>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</si>
  <si>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</si>
  <si>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</si>
  <si>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</si>
  <si>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</si>
  <si>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</si>
  <si>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</si>
  <si>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</si>
  <si>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</si>
  <si>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</si>
  <si>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</si>
  <si>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</si>
  <si>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</si>
  <si>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</si>
  <si>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</si>
  <si>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</si>
  <si>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</si>
  <si>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</si>
  <si>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</si>
  <si>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</si>
  <si>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</si>
  <si>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</si>
  <si>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</si>
  <si>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</si>
  <si>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</si>
  <si>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</si>
  <si>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</si>
  <si>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</si>
  <si>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</si>
  <si>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</si>
  <si>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</si>
  <si>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</si>
  <si>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</si>
  <si>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</si>
  <si>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</si>
  <si>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</si>
  <si>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</si>
  <si>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</si>
  <si>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</si>
  <si>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</si>
  <si>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</si>
  <si>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</si>
  <si>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</si>
  <si>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</si>
  <si>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</si>
  <si>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</si>
  <si>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</si>
  <si>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</si>
  <si>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</si>
  <si>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</si>
  <si>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</si>
  <si>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</si>
  <si>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</si>
  <si>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</si>
  <si>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</si>
  <si>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</si>
  <si>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</si>
  <si>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</si>
  <si>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</si>
  <si>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</si>
  <si>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</si>
  <si>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</si>
  <si>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</si>
  <si>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</si>
  <si>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</si>
  <si>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</si>
  <si>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</si>
  <si>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</si>
  <si>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</si>
  <si>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</si>
  <si>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</si>
  <si>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</si>
  <si>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</si>
  <si>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</si>
  <si>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</si>
  <si>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</si>
  <si>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</si>
  <si>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</si>
  <si>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</si>
  <si>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r>
      <rPr>
        <b/>
        <sz val="18"/>
        <rFont val="微软雅黑"/>
        <family val="2"/>
        <charset val="134"/>
      </rPr>
      <t>建立攻击次序</t>
    </r>
    <r>
      <rPr>
        <sz val="14"/>
        <rFont val="微软雅黑"/>
        <family val="2"/>
        <charset val="134"/>
      </rPr>
      <t xml:space="preserve">
按照DEX降序：
最高的最先行动。
准备好的枪械+50敏捷。</t>
    </r>
  </si>
  <si>
    <r>
      <rPr>
        <b/>
        <sz val="18"/>
        <rFont val="微软雅黑"/>
        <family val="2"/>
        <charset val="134"/>
      </rPr>
      <t>突袭</t>
    </r>
    <r>
      <rPr>
        <sz val="14"/>
        <rFont val="微软雅黑"/>
        <family val="2"/>
        <charset val="134"/>
      </rPr>
      <t xml:space="preserve">
允许技能检定
目标意识到攻击了吗？
侦查、聆听、心理学</t>
    </r>
  </si>
  <si>
    <t>角色在单次受伤
中受到的伤害</t>
  </si>
  <si>
    <t>—————&gt;</t>
  </si>
  <si>
    <t>↓</t>
  </si>
  <si>
    <t>伤害低于角色
最大HP的一半</t>
  </si>
  <si>
    <t>伤害等于或高于
角色最大HP的一半</t>
  </si>
  <si>
    <t>伤害超过角色最大HP</t>
  </si>
  <si>
    <r>
      <rPr>
        <b/>
        <sz val="18"/>
        <rFont val="微软雅黑"/>
        <family val="2"/>
        <charset val="134"/>
      </rPr>
      <t>按DEX次序决定行动</t>
    </r>
    <r>
      <rPr>
        <sz val="14"/>
        <rFont val="微软雅黑"/>
        <family val="2"/>
        <charset val="134"/>
      </rPr>
      <t xml:space="preserve">
</t>
    </r>
    <r>
      <rPr>
        <sz val="10"/>
        <rFont val="微软雅黑"/>
        <family val="2"/>
        <charset val="134"/>
      </rPr>
      <t>a:发动攻击、逃跑、或战纪
b:防守方选择闪避反击或战技能
c:攻击方和防御方进行对抗</t>
    </r>
  </si>
  <si>
    <t>是：
使用正常DEX次序来战斗。</t>
  </si>
  <si>
    <t>否：
攻击自动成功或有奖励骰</t>
  </si>
  <si>
    <t>正常伤害
急救：恢复1点 
医学：恢复1D3点</t>
  </si>
  <si>
    <t>重伤（重伤标记）
1:倒地
2:CON检定
失败则失去意识</t>
  </si>
  <si>
    <r>
      <rPr>
        <b/>
        <sz val="18"/>
        <rFont val="微软雅黑"/>
        <family val="2"/>
        <charset val="134"/>
      </rPr>
      <t>如果是战技：</t>
    </r>
    <r>
      <rPr>
        <sz val="16"/>
        <rFont val="微软雅黑"/>
        <family val="2"/>
        <charset val="134"/>
      </rPr>
      <t xml:space="preserve">
</t>
    </r>
    <r>
      <rPr>
        <sz val="14"/>
        <rFont val="微软雅黑"/>
        <family val="2"/>
        <charset val="134"/>
      </rPr>
      <t>比较体格。
如果攻击方体格较小，每点差别一个惩罚骰。
如果差异在3以上无法发动战技。</t>
    </r>
  </si>
  <si>
    <r>
      <rPr>
        <b/>
        <sz val="12"/>
        <rFont val="微软雅黑"/>
        <family val="2"/>
        <charset val="134"/>
      </rPr>
      <t>闪避：</t>
    </r>
    <r>
      <rPr>
        <sz val="12"/>
        <rFont val="微软雅黑"/>
        <family val="2"/>
        <charset val="134"/>
      </rPr>
      <t xml:space="preserve">成功等级较高的一方胜利。平局防守方胜利。若双方均失败，没有伤害产生
</t>
    </r>
    <r>
      <rPr>
        <b/>
        <sz val="12"/>
        <rFont val="微软雅黑"/>
        <family val="2"/>
        <charset val="134"/>
      </rPr>
      <t>反击：</t>
    </r>
    <r>
      <rPr>
        <sz val="12"/>
        <rFont val="微软雅黑"/>
        <family val="2"/>
        <charset val="134"/>
      </rPr>
      <t xml:space="preserve">成功等级高的获胜，平局攻击方胜利。均失败没有伤害。
</t>
    </r>
    <r>
      <rPr>
        <b/>
        <sz val="12"/>
        <rFont val="微软雅黑"/>
        <family val="2"/>
        <charset val="134"/>
      </rPr>
      <t>战技：</t>
    </r>
    <r>
      <rPr>
        <sz val="12"/>
        <rFont val="微软雅黑"/>
        <family val="2"/>
        <charset val="134"/>
      </rPr>
      <t>和反击类似，但不造成伤害，应用战技效果</t>
    </r>
  </si>
  <si>
    <t>&lt;————</t>
  </si>
  <si>
    <t>HP归零后</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</si>
  <si>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</si>
  <si>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</si>
  <si>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</si>
  <si>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</si>
  <si>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</si>
  <si>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</si>
  <si>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</si>
  <si>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</si>
  <si>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战斗不可孤注一骰</t>
  </si>
  <si>
    <r>
      <rPr>
        <b/>
        <sz val="14"/>
        <rFont val="微软雅黑"/>
        <family val="2"/>
        <charset val="134"/>
      </rPr>
      <t>极难成功？</t>
    </r>
    <r>
      <rPr>
        <sz val="14"/>
        <rFont val="微软雅黑"/>
        <family val="2"/>
        <charset val="134"/>
      </rPr>
      <t xml:space="preserve">
（反击无效）
</t>
    </r>
    <r>
      <rPr>
        <b/>
        <sz val="14"/>
        <rFont val="微软雅黑"/>
        <family val="2"/>
        <charset val="134"/>
      </rPr>
      <t xml:space="preserve">
贯穿武器</t>
    </r>
    <r>
      <rPr>
        <sz val="14"/>
        <rFont val="微软雅黑"/>
        <family val="2"/>
        <charset val="134"/>
      </rPr>
      <t xml:space="preserve">=最大伤害+最大伤害加值+额外一次武器伤害
</t>
    </r>
    <r>
      <rPr>
        <b/>
        <sz val="14"/>
        <rFont val="微软雅黑"/>
        <family val="2"/>
        <charset val="134"/>
      </rPr>
      <t>非贯穿武器</t>
    </r>
    <r>
      <rPr>
        <sz val="14"/>
        <rFont val="微软雅黑"/>
        <family val="2"/>
        <charset val="134"/>
      </rPr>
      <t>=最大伤害+最大伤害加值</t>
    </r>
  </si>
  <si>
    <t>下一小时内
是否有人给予成功的医学？</t>
  </si>
  <si>
    <t>↗</t>
  </si>
  <si>
    <t>↓
否
↓</t>
  </si>
  <si>
    <t>↑
con检定成功
↑</t>
  </si>
  <si>
    <r>
      <rPr>
        <b/>
        <sz val="14"/>
        <rFont val="微软雅黑"/>
        <family val="2"/>
        <charset val="134"/>
      </rPr>
      <t>寡不敌众？</t>
    </r>
    <r>
      <rPr>
        <b/>
        <sz val="16"/>
        <rFont val="微软雅黑"/>
        <family val="2"/>
        <charset val="134"/>
      </rPr>
      <t xml:space="preserve">
</t>
    </r>
    <r>
      <rPr>
        <sz val="11"/>
        <rFont val="微软雅黑"/>
        <family val="2"/>
        <charset val="134"/>
      </rPr>
      <t>当角色在一轮中进行过闪避或反击后，对他们的所有(格斗)后续攻击都有一个奖励骰。
一轮多动的生物不受这个限制
（他们可以反击/闪避等于他们攻击的次数，然后才应用寡不敌众）</t>
    </r>
  </si>
  <si>
    <t>con检定失败
↑</t>
  </si>
  <si>
    <t>↓
是
↓</t>
  </si>
  <si>
    <r>
      <rPr>
        <sz val="16"/>
        <rFont val="微软雅黑"/>
        <family val="2"/>
        <charset val="134"/>
      </rPr>
      <t>↑</t>
    </r>
    <r>
      <rPr>
        <sz val="11"/>
        <rFont val="微软雅黑"/>
        <family val="2"/>
        <charset val="134"/>
      </rPr>
      <t xml:space="preserve">
</t>
    </r>
    <r>
      <rPr>
        <sz val="8"/>
        <rFont val="微软雅黑"/>
        <family val="2"/>
        <charset val="134"/>
      </rPr>
      <t>con检定成功</t>
    </r>
  </si>
  <si>
    <t>此后每轮结束时都必须进行con检定
失败则死亡</t>
  </si>
  <si>
    <t>每小时结束时
进行con检定</t>
  </si>
  <si>
    <r>
      <rPr>
        <b/>
        <sz val="14"/>
        <rFont val="微软雅黑"/>
        <family val="2"/>
        <charset val="134"/>
      </rPr>
      <t>重伤恢复</t>
    </r>
    <r>
      <rPr>
        <sz val="11"/>
        <rFont val="微软雅黑"/>
        <family val="2"/>
        <charset val="134"/>
      </rPr>
      <t xml:space="preserve">
每周结束时进行一次con检定
失败：无恢复
成功：恢复1D3
极难成功：恢复2D3并清除重伤标记
优良医疗可获得奖励骰(医学)
静养和环境良好可获得奖励骰
环境恶劣获得惩罚骰
</t>
    </r>
  </si>
  <si>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</si>
  <si>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</si>
  <si>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</si>
  <si>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</si>
  <si>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</si>
  <si>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</si>
  <si>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</si>
  <si>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</si>
  <si>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</si>
  <si>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</si>
  <si>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</si>
  <si>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</si>
  <si>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</si>
  <si>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</si>
  <si>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</si>
  <si>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</si>
  <si>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</si>
  <si>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</si>
  <si>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</si>
  <si>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</si>
  <si>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3或4</t>
  </si>
  <si>
    <t>-1,0,1</t>
  </si>
  <si>
    <t>≤2</t>
  </si>
  <si>
    <t>规则书内的载具</t>
  </si>
  <si>
    <t>一战标准钢盔</t>
  </si>
  <si>
    <t>人类、有明显头颅的生物</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</si>
  <si>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</si>
  <si>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</si>
  <si>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</si>
  <si>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</si>
  <si>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</si>
  <si>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</si>
  <si>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</si>
  <si>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</si>
  <si>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</si>
  <si>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</si>
  <si>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</si>
  <si>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</si>
  <si>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</si>
  <si>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</si>
  <si>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</si>
  <si>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</si>
  <si>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</si>
  <si>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</si>
  <si>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</si>
  <si>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</si>
  <si>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</si>
  <si>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</si>
  <si>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</si>
  <si>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</si>
  <si>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</si>
  <si>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</si>
  <si>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</si>
  <si>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</si>
  <si>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</si>
  <si>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</si>
  <si>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</si>
  <si>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</si>
  <si>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</si>
  <si>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</si>
  <si>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</si>
  <si>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</si>
  <si>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</si>
  <si>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</si>
  <si>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</si>
  <si>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</si>
  <si>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</si>
  <si>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</si>
  <si>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</si>
  <si>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</si>
  <si>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</si>
  <si>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</si>
  <si>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</si>
  <si>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</si>
  <si>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</si>
  <si>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</si>
  <si>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</si>
  <si>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</si>
  <si>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</si>
  <si>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</si>
  <si>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</si>
  <si>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</si>
  <si>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</si>
  <si>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</si>
  <si>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</si>
  <si>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</si>
  <si>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注意：
除“规则书内的防护物”的
“注释”、“防具类型”、“护甲值”，
“规则书内的载具”的“载具类型”、“技能”、“移动力”、“体格”、“乘客护甲”、“乘客数”、“注释”外
均为非规则书内容，使用前需要和KP商议</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</si>
  <si>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</si>
  <si>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</si>
  <si>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</si>
  <si>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</si>
  <si>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</si>
  <si>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</si>
  <si>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</si>
  <si>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</si>
  <si>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</si>
  <si>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</si>
  <si>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</si>
  <si>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</si>
  <si>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</si>
  <si>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</si>
  <si>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</si>
  <si>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</si>
  <si>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</si>
  <si>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</si>
  <si>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</si>
  <si>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</si>
  <si>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</si>
  <si>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</si>
  <si>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</si>
  <si>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</si>
  <si>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</si>
  <si>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</si>
  <si>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</si>
  <si>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</si>
  <si>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</si>
  <si>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</si>
  <si>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</si>
  <si>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</si>
  <si>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</si>
  <si>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</si>
  <si>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</si>
  <si>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</si>
  <si>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</si>
  <si>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</si>
  <si>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</si>
  <si>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</si>
  <si>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</si>
  <si>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</si>
  <si>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</si>
  <si>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</si>
  <si>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</si>
  <si>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</si>
  <si>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</si>
  <si>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</si>
  <si>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</si>
  <si>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</si>
  <si>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</si>
  <si>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</si>
  <si>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</si>
  <si>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</si>
  <si>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</si>
  <si>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</si>
  <si>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</si>
  <si>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</si>
  <si>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</si>
  <si>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</si>
  <si>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</si>
  <si>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</si>
  <si>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</si>
  <si>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</si>
  <si>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</si>
  <si>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</si>
  <si>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</si>
  <si>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</si>
  <si>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</si>
  <si>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</si>
  <si>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</si>
  <si>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</si>
  <si>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</si>
  <si>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</si>
  <si>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</si>
  <si>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</si>
  <si>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</si>
  <si>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</si>
  <si>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</si>
  <si>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</si>
  <si>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</si>
  <si>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</si>
  <si>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</si>
  <si>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</si>
  <si>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</si>
  <si>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再来一遍！！！注意：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</si>
  <si>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</si>
  <si>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</si>
  <si>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</si>
  <si>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</si>
  <si>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</si>
  <si>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</si>
  <si>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</si>
  <si>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</si>
  <si>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</si>
  <si>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</si>
  <si>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</si>
  <si>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</si>
  <si>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</si>
  <si>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</si>
  <si>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</si>
  <si>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</si>
  <si>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</si>
  <si>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</si>
  <si>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</si>
  <si>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</si>
  <si>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</si>
  <si>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</si>
  <si>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</si>
  <si>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</si>
  <si>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</si>
  <si>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</si>
  <si>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</si>
  <si>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</si>
  <si>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</si>
  <si>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</si>
  <si>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</si>
  <si>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</si>
  <si>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</si>
  <si>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</si>
  <si>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</si>
  <si>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</si>
  <si>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</si>
  <si>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</si>
  <si>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</si>
  <si>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</si>
  <si>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</si>
  <si>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</si>
  <si>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</si>
  <si>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</si>
  <si>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</si>
  <si>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</si>
  <si>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</si>
  <si>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</si>
  <si>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</si>
  <si>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</si>
  <si>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</si>
  <si>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</si>
  <si>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</si>
  <si>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</si>
  <si>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</si>
  <si>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</si>
  <si>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</si>
  <si>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</si>
  <si>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</si>
  <si>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</si>
  <si>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</si>
  <si>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</si>
  <si>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</si>
  <si>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</si>
  <si>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</si>
  <si>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</si>
  <si>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</si>
  <si>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</si>
  <si>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</si>
  <si>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</si>
  <si>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</si>
  <si>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</si>
  <si>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</si>
  <si>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</si>
  <si>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</si>
  <si>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</si>
  <si>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</si>
  <si>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</si>
  <si>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</si>
  <si>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</si>
  <si>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</si>
  <si>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</si>
  <si>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</si>
  <si>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</si>
  <si>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</si>
  <si>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</si>
  <si>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</si>
  <si>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</si>
  <si>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</si>
  <si>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</si>
  <si>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</si>
  <si>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</si>
  <si>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</si>
  <si>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</si>
  <si>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</si>
  <si>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</si>
  <si>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</si>
  <si>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</si>
  <si>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</si>
  <si>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</si>
  <si>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</si>
  <si>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</si>
  <si>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</si>
  <si>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</si>
  <si>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</si>
  <si>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</si>
  <si>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</si>
  <si>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</si>
  <si>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</si>
  <si>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</si>
  <si>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</si>
  <si>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</si>
  <si>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</si>
  <si>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</si>
  <si>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</si>
  <si>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</si>
  <si>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</si>
  <si>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</si>
  <si>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</si>
  <si>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</si>
  <si>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</si>
  <si>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</si>
  <si>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</si>
  <si>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</si>
  <si>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</si>
  <si>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</si>
  <si>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</si>
  <si>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</si>
  <si>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</si>
  <si>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</si>
  <si>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</si>
  <si>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</si>
  <si>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</si>
  <si>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</si>
  <si>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</si>
  <si>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</si>
  <si>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</si>
  <si>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</si>
  <si>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</si>
  <si>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</si>
  <si>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</si>
  <si>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</si>
  <si>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</si>
  <si>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</si>
  <si>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</si>
  <si>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</si>
  <si>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</si>
  <si>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</si>
  <si>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</si>
  <si>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</si>
  <si>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</si>
  <si>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</si>
  <si>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</si>
  <si>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</si>
  <si>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</si>
  <si>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</si>
  <si>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</si>
  <si>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</si>
  <si>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</si>
  <si>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</si>
  <si>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</si>
  <si>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</si>
  <si>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</si>
  <si>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</si>
  <si>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</si>
  <si>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</si>
  <si>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</si>
  <si>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</si>
  <si>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</si>
  <si>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</si>
  <si>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</si>
  <si>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</si>
  <si>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</si>
  <si>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</si>
  <si>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</si>
  <si>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</si>
  <si>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</si>
  <si>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</si>
  <si>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</si>
  <si>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</si>
  <si>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</si>
  <si>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</si>
  <si>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</si>
  <si>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</si>
  <si>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</si>
  <si>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</si>
  <si>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</si>
  <si>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</si>
  <si>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</si>
  <si>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</si>
  <si>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</si>
  <si>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</si>
  <si>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</si>
  <si>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</si>
  <si>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</si>
  <si>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</si>
  <si>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</si>
  <si>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</si>
  <si>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</si>
  <si>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</si>
  <si>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</si>
  <si>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</si>
  <si>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</si>
  <si>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</si>
  <si>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</si>
  <si>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</si>
  <si>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</si>
  <si>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</si>
  <si>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</si>
  <si>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</si>
  <si>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</si>
  <si>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</si>
  <si>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</si>
  <si>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</si>
  <si>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</si>
  <si>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</si>
  <si>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</si>
  <si>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</si>
  <si>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</si>
  <si>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</si>
  <si>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</si>
  <si>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</si>
  <si>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</si>
  <si>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</si>
  <si>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</si>
  <si>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</si>
  <si>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</si>
  <si>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</si>
  <si>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</si>
  <si>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</si>
  <si>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</si>
  <si>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</si>
  <si>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</si>
  <si>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</si>
  <si>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</si>
  <si>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</si>
  <si>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</si>
  <si>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</si>
  <si>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</si>
  <si>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</si>
  <si>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</si>
  <si>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</si>
  <si>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</si>
  <si>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</si>
  <si>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</si>
  <si>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</si>
  <si>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</si>
  <si>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链接</t>
  </si>
  <si>
    <t>SK版本</t>
  </si>
  <si>
    <t>CY版本</t>
  </si>
  <si>
    <t>之前的版本</t>
  </si>
  <si>
    <t>史前版本</t>
  </si>
  <si>
    <t>七版规则书
仅学习交流使用</t>
  </si>
  <si>
    <t>https://skring.lanzouq.com/i3ha022h7yeh</t>
  </si>
  <si>
    <t>2024.7.10更新 版本号：24SK1.45</t>
  </si>
  <si>
    <t>2024.3.14更新 版本号：24SK1.0</t>
  </si>
  <si>
    <t>2019.11.7更新 版本号：19.11.1</t>
  </si>
  <si>
    <t>声明</t>
  </si>
  <si>
    <t>更新</t>
  </si>
  <si>
    <t>【人物卡】：添加了调查员的诞辰，并进一步添加了半自动化。
在“国籍”“住地”“故乡”添加了可选取的国家/政权组织，总计有174个；
添加了可选取的第一行政区，总计有2834</t>
  </si>
  <si>
    <t>将成长表移动至主卡中，现在属性、技能成长以及调查员的经历更加清晰可可见了。
添加了NPC通讯录，便于想要在克苏鲁世界里发展人脉的调查员广交好友，也为沉浸感添砖加瓦。</t>
  </si>
  <si>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</si>
  <si>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</si>
  <si>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</si>
  <si>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</si>
  <si>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调查员手册
（建议新手阅读）</t>
  </si>
  <si>
    <t>https://skring.lanzouq.com/iOnEb22h7ysb</t>
  </si>
  <si>
    <t>增加“其他资产表”“剩余资产”
修复其他资产表总值计算</t>
  </si>
  <si>
    <t>怪物之锤
（密码ehmg）</t>
  </si>
  <si>
    <t>https://skring.lanzouq.com/iamGb22h7yle</t>
  </si>
  <si>
    <t>将“本职属性”移动到“剩余点数”前
更改雷达图位置
删除其余装饰性介绍</t>
  </si>
  <si>
    <t>(〃'▽'〃)</t>
  </si>
  <si>
    <t>此版本微改于丛雨大佬，至此先膜拜大佬，大佬辛苦~
根据本人的跑团经历，想要为跑团世界捐献微薄之力，故改此卡。</t>
  </si>
  <si>
    <t>克苏鲁神话魔法大典</t>
  </si>
  <si>
    <t>https://skring.lanzouq.com/iW8ws22h7yoh</t>
  </si>
  <si>
    <t>COC跑团群
（密码31ed）</t>
  </si>
  <si>
    <t>https://skring.lanzouq.com/i1SvX22h7ypi</t>
  </si>
  <si>
    <t>职业列表更新</t>
  </si>
  <si>
    <t>更改自定义职业点数的计算方式
允许自定义职业自定义属性倍数和计算方式
允许自定义职业选择或取消教育与幸运</t>
  </si>
  <si>
    <t>2024.6.23更新 版本号：24SK1.41</t>
  </si>
  <si>
    <t>2023.12.06更新 版本号：CY23Final</t>
  </si>
  <si>
    <t>空白人物卡下载（密码SK25）</t>
  </si>
  <si>
    <t>https://skring.lanzouq.com/b00rn1x7ra</t>
  </si>
  <si>
    <t>【人物卡】：添加了车卡引导流程，并且有明显变化提示。
添加了“武器”“载具”“房产”的下拉栏，可以直接获取较为详细的信息，而不必总是寻找。</t>
  </si>
  <si>
    <t>武器列表页面进行了较大幅度的改动，更换了页面风格，根据人物卡的时代选择能够自动识别武器是否适应当前时代，这个在人物卡的下拉武器栏依旧可以显示，不必再一一对照。且战斗流程的页面进行了优化。
人物卡的某些技能进行了描述重置与核对。</t>
  </si>
  <si>
    <t>属性注释更新</t>
  </si>
  <si>
    <t>修复部分bug</t>
  </si>
  <si>
    <t>武器列表更新</t>
  </si>
  <si>
    <t>更改催泪瓦斯的注释</t>
  </si>
  <si>
    <t>一些问答</t>
  </si>
  <si>
    <t>更新说明更新</t>
  </si>
  <si>
    <t>更新“跑团群”</t>
  </si>
  <si>
    <t>从咕咕1.8.1到现在的更新</t>
  </si>
  <si>
    <t>Q：本卡是无偿使用的嘛
A：是哒，虽然觉得不太可能但是如果你是花了钱才得到这份人物卡的话，您可能是盗版软件的受害者233</t>
  </si>
  <si>
    <t>原本打算更新职业的，但是在群里的小伙伴的建议下，还是打算更新一下与引导性、便捷性相关的内容-_-||</t>
  </si>
  <si>
    <t>今年应该不会更了~然后隔壁的Plus版本应该之后就停更了（基本上是完善的而且现在车卡教程好多），只会更新这个通用版本了~</t>
  </si>
  <si>
    <t>2019.8.25更新 版本号：19.8.3</t>
  </si>
  <si>
    <t>添加自选护甲移动力减值是否开启</t>
  </si>
  <si>
    <t>Q：本卡可以进行改造吗，改造之后可以传播吗
A：可以，但还是希望联系我说明一下</t>
  </si>
  <si>
    <t>修复武器栏bug</t>
  </si>
  <si>
    <t>修复移动力年龄减值bug</t>
  </si>
  <si>
    <t>Q：本卡可以丢到群里或者上传到网站上之类的吗
A：嗯！当然可以</t>
  </si>
  <si>
    <t>2024.6.18更新 版本号：24SK1.39</t>
  </si>
  <si>
    <t>2023.11.30更新 版本号：CY23.5</t>
  </si>
  <si>
    <t>修复“自定义经历包”“技能增长”无法输入非数值的bug</t>
  </si>
  <si>
    <t>【人物卡】:修改了成长卡的格式,拓展了物品栏格数。
下方添加了"组织名片",一份主用，一份备用人物名片添加了组织基本信息。
【 成长经历】:添加了冒险经历的字数统计；添加了各个栏目的展开/收起栏，略微美化了。</t>
  </si>
  <si>
    <t>骰娘导入栏目进行了更新，因为最近“考编”骰无法适应之前的长导入方式，根据https://github.com/OlivOS-Team/OlivaDiceCore/blob/main/OlivaDiceCore/pcCardData.py#L174规则进行了短导入的设置。</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</si>
  <si>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</si>
  <si>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</si>
  <si>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</si>
  <si>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</si>
  <si>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</si>
  <si>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</si>
  <si>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</si>
  <si>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工作薄及工作表锁定：密码请联系SK版本作者，QQ为2571104061.</t>
  </si>
  <si>
    <t>2019.8.21更新 版本号：19.8.2</t>
  </si>
  <si>
    <t>已经想将此版本作为稳定版了，后续或许只会专注于武器、防具、规则、职业的拓展吧。</t>
  </si>
  <si>
    <r>
      <rPr>
        <sz val="11"/>
        <color rgb="FF36363D"/>
        <rFont val="微软雅黑"/>
        <family val="2"/>
        <charset val="134"/>
      </rPr>
      <t>目前这种骰子无法暗骰，因为目前不能私聊，长指令不能使用（</t>
    </r>
    <r>
      <rPr>
        <sz val="11"/>
        <color rgb="FF7030A0"/>
        <rFont val="微软雅黑"/>
        <family val="2"/>
        <charset val="134"/>
      </rPr>
      <t>因此更新了人物卡</t>
    </r>
    <r>
      <rPr>
        <sz val="11"/>
        <color rgb="FF36363D"/>
        <rFont val="微软雅黑"/>
        <family val="2"/>
        <charset val="134"/>
      </rPr>
      <t>），无法记录log， 必须at后才能使用，好处就是不会冻结了。</t>
    </r>
  </si>
  <si>
    <t>合并“自定义艺术”“自定义技能”
将“自定义其他技能”改为“自定义子技能”（包括艺术与手艺、格斗、射击、科学、驾驶）
解锁技能初始值（如果不是要自定义技能请不要动好嘛w）</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</si>
  <si>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</si>
  <si>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梦星夜（2571104061），人物卡有任何问题或者建议请及时联系我</t>
  </si>
  <si>
    <t>修复“年龄补正：”bug
将年龄的出错“警告”改为“提示”</t>
  </si>
  <si>
    <t>2024.5.30更新 版本号：24SK1.36</t>
  </si>
  <si>
    <t>2023.09.26更新 版本号：CY23.4</t>
  </si>
  <si>
    <t>我的骰娘：小阿星：QQ2172998071，但请不要通过骰娘联系我</t>
  </si>
  <si>
    <t>【人物卡】的名片中，“住地”“故乡”两栏增加了细化单元格，将“背景故事”中的各个填写栏细化，方便更加细节地填写。
“非随身物品”中的载具和房产实现了自动化填写，玩家现在只需填写载具证与房产证即可。
“统计栏”中，新添加了“冒险次数”即经历模组数的统计。</t>
  </si>
  <si>
    <t>修复了格斗③技能的错误，这个错误使“矛”技能无法正常的显示初始值，并且在骰娘导入数据时会错误的判断成格斗②的技能，变成四位数字，这太强大了。
修复了拖拉机的体格错误，这个体格之前是负数，这肯定不合理。
CY23.4.1紧急修复自定义职业选择敏捷作为职业属性的问题。
现在人物卡的技能可以正确的在同一行里显示了。（10/17更新）</t>
  </si>
  <si>
    <t>交换“魔法”、“幸运”与“移动力”的位置
删除“幸运”最大值
删除“大成功”“大失败”计数
删除“消耗规则”
添加“幸运困难成功率”“幸运极难成功率”
添加“移动方式”</t>
  </si>
  <si>
    <t>我的群聊：743720717 喵苏鲁窝，欢迎各位KP/PL/KPL/OB加入大家庭~</t>
  </si>
  <si>
    <t>感谢名单（均已征得同意）</t>
  </si>
  <si>
    <t>基本的美化已经完成,下一步或许是开始拓展调查员冒险途中留下的“伤痕”“精神创伤”,还有煤气灯拓展也已经在计划中了。</t>
  </si>
  <si>
    <t>换新群了，群号145626992，如果左侧链接打不开了或者有问题可以加群看看群文件。</t>
  </si>
  <si>
    <t>感谢人</t>
  </si>
  <si>
    <t>帕琪（806672431）</t>
  </si>
  <si>
    <t>添加“自定义经历包”</t>
  </si>
  <si>
    <t>分
支
技
能
更
改</t>
  </si>
  <si>
    <t>增加“技能成功等级阶段介绍”图</t>
  </si>
  <si>
    <t>梦之雨（2923502026）</t>
  </si>
  <si>
    <t>锁定自定义经历包编辑</t>
  </si>
  <si>
    <t>增加“技能可选规则”：
-“专业技能：可以转移的技能优势”
-“可选规则：给技能等级按个保险”
-“语系地图”（来自维基百科）</t>
  </si>
  <si>
    <t>浅田阳子（3065875927）</t>
  </si>
  <si>
    <t>2024.5.29更新 版本号：24SK1.35</t>
  </si>
  <si>
    <t>2023.04.10更新 版本号：CY23.3Plus</t>
  </si>
  <si>
    <t>取消更新介绍保护</t>
  </si>
  <si>
    <t>哦哦君（554983922）</t>
  </si>
  <si>
    <t>【人物卡】的下拉表已隐藏在最上方，成长表已隐藏在最左方，展示列表已挪动至右方。
根据Aphasi的想法，淡化了用于分类技能的单元格背景颜色。
将【PC接触】更名为【成长经历】，并且在该工作表中添加了“成长经历表”，预设了13个模组栏位。</t>
  </si>
  <si>
    <t>修改了职业列表中存在的问题：部分职业的本职技能与实际显示不符
改动了部分技能的描述
将链接替换成最新的了</t>
  </si>
  <si>
    <t>更新“coc跑团群”</t>
  </si>
  <si>
    <t>反智（——）</t>
  </si>
  <si>
    <t>添加FAQ（是常见问题的意思，不是花Q233333）</t>
  </si>
  <si>
    <t>本杰猫（690013210）</t>
  </si>
  <si>
    <t>职
业
列
表
更
改</t>
  </si>
  <si>
    <t>增强“自定义职业”、“自定义职业本职技能”的存在感
增加“推荐关系人”列表
增加“职业介绍”列表</t>
  </si>
  <si>
    <t>Schatten（1010233005）</t>
  </si>
  <si>
    <t>信用评级 (Credit Rating)可不可以使用兴趣点加?
    兴趣技能点可以添加到任意技能(不包含克苏鲁神话)上.
    职业技能点可以点至推荐范围下限, 在守秘人允许情况下, 可以用兴趣点点出推荐范围上限.
    规则书速查-&gt;第三章-创建调查员-3.3 第三步：决定技能并分配技能点
我们当时给Chaosium发了邮件，由主编Mike进行了回复。
allot the points to any skills (which can include adding further points to occupation skills), except Cthulhu Mythos (unless otherwise agreed with the Keeper).”
As the rule says above (p36) - ‘any’ skill except Cthulhu Mythos, - and Credit Rating is included with your Occupation Skills (as you must spend Occupation skill points on Credit Rating).
Thus, you can spend Personal Interest skill points on Credit Rating. Each occupation has a Credit Rating range - you may go above or below this range with the Keeper’s permission.
You must spend points on credit rating from Professional Occupation points.
You may increase credit rating with Personal Interest points with the Keeper's agreement.</t>
  </si>
  <si>
    <t>2019.8.20更新 版本号：19.8.1</t>
  </si>
  <si>
    <t>か博丽西鹿☆（1206678982）</t>
  </si>
  <si>
    <t>更新了排版</t>
  </si>
  <si>
    <t>海可斯（1658605847）</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</si>
  <si>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</si>
  <si>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</si>
  <si>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</si>
  <si>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添加“自定义身体/精神状态”
更新“体力”的“状态”下拉框
更新“理智”的“状态”下拉框</t>
  </si>
  <si>
    <t>Trotyl（495568205）</t>
  </si>
  <si>
    <t>缘，妙不可言（1992752152）</t>
  </si>
  <si>
    <t>2024.5.18更新 版本号：24SK1.30</t>
  </si>
  <si>
    <t>Истина.（993032722）</t>
  </si>
  <si>
    <t>【人物卡】下方添加了“阅读书籍”、“法术”的下拉表，方便查询PC和世界的关系
【PC接触】表添加了“书籍”“法术”的相关记录
【人物卡】大改了“随身物品”，分解为了“随身物品”“武器装备”“穿着打扮”“非随身物品”四个栏目，并分别计算有关花费
添加了“载具表”“房产表”，现在能够更好地记录调查员的房产与载具细节了</t>
  </si>
  <si>
    <t>移除基础属性：“体力”“理智”“幸运”“魔法”上限栏保护
移除“魔法”“每小时恢复”栏位保护
移除“伤害加值”、“体格”数值栏位保护</t>
  </si>
  <si>
    <t>西擎庄（3605330799）</t>
  </si>
  <si>
    <t>属
性
和
掷
骰
更
新</t>
  </si>
  <si>
    <t>增加“各个属性的数字意味着什么？”、“每个属性的骰点骰子”</t>
  </si>
  <si>
    <t>缄（920068575）</t>
  </si>
  <si>
    <t>增加“属性可选规则”
-“花费幸运值”
-“回复幸运值”
-“看透疯狂”增加沼跃鱼
-“精神固化”
-“多重理智检定”
增加“追逐轮可选规则”
-“选择一条道路”
-“随机的险境和障碍”
-“突发险境”
-“猛踩油门”</t>
  </si>
  <si>
    <t>安妍色（3258528467）</t>
  </si>
  <si>
    <t>SHIKI系骰娘开发者</t>
  </si>
  <si>
    <t>更新汇率</t>
  </si>
  <si>
    <t>初音未来zkw（3200767064）</t>
  </si>
  <si>
    <t>资产改动已完成，下一步或许是开始拓展调查员冒险途中留下的“伤痕”“精神创伤”</t>
  </si>
  <si>
    <t>添加货币：
      雷亚尔（巴西）
      墨西哥元（墨西哥）
      泰铢（泰国）
      新加坡元（新加坡）
      南非兰特（南非）</t>
  </si>
  <si>
    <t>天不错（1057354813）</t>
  </si>
  <si>
    <t>韩艺瑟（993032722）</t>
  </si>
  <si>
    <t>2023.04.05更新 版本号：CY23.2</t>
  </si>
  <si>
    <t>グ（1115183244）</t>
  </si>
  <si>
    <t>成长表现在更加完善了</t>
  </si>
  <si>
    <t>仑质（137334701）</t>
  </si>
  <si>
    <t>OlivaDice骰娘开发者</t>
  </si>
  <si>
    <t>2024.5.17更新 版本号：24SK1.28</t>
  </si>
  <si>
    <t>赵喵喵（357826834）</t>
  </si>
  <si>
    <t>ZhaoDice骰娘开发者</t>
  </si>
  <si>
    <t>改动：【人物卡】下方添加了“可联系人员”、“神话怪物&amp;可憎之物”、“旧日支配者&amp;外神”的下拉表，方便查询PC和世界的关系
大添加：添加了新工作表【PC接触】，内容大致是：
“神话怪物&amp;可憎之物”、“旧日支配者&amp;外神”记录表，共有“假名”“真名”“SC检定”“SC减免”“SC免疫”“初次目击”的项目，以便更好地记录数据；
"人员联络表”已移动进“PC接触”中，以后可以独立记录模组中结识的人员了</t>
  </si>
  <si>
    <t>更新资产单位下拉列表，更新资产算法(这个功能研究了好久。。。excel大于小于的bug真要命)</t>
  </si>
  <si>
    <t>Sandy_Lab（2248790595）</t>
  </si>
  <si>
    <t>更改雷达图位置</t>
  </si>
  <si>
    <t>下骰姐（2715945014）</t>
  </si>
  <si>
    <t>2023.01.12更新 版本号：CY23.1</t>
  </si>
  <si>
    <t>删除“不算幸运：”
将“算幸运：”改为“已用点数：”
添加“年龄补正：”</t>
  </si>
  <si>
    <t>丛雨（2224263497）</t>
  </si>
  <si>
    <t>CY版本创始者，本卡的原模版</t>
  </si>
  <si>
    <t>修复了武器列表内某些武器的命名错误
人物卡右下侧的时代介绍现在更新至2023年</t>
  </si>
  <si>
    <t>武
器
列
表
更
新</t>
  </si>
  <si>
    <t>为武器列表增加“类型”</t>
  </si>
  <si>
    <t>Aphasi（2155335343）</t>
  </si>
  <si>
    <t>下一步预计是改动资产表，具体可能包括不动产房产债券之类的改革，以便玩家对于信誉有更深的了解。</t>
  </si>
  <si>
    <t>将特殊武器介绍改为“注释”
为“术语解释”排版</t>
  </si>
  <si>
    <t>添加
“规则书”“玩家手册”“怪物之锤”“法术大典”“跑团群”
 文件链接</t>
  </si>
  <si>
    <t>增加“会造成惩罚骰的情况”
增加“特殊伤害解读”
增加受伤程度列表</t>
  </si>
  <si>
    <t>只是一次无关紧要的小更新</t>
  </si>
  <si>
    <t>2024.5.16更新 版本号：24SK1.27</t>
  </si>
  <si>
    <t>更改</t>
  </si>
  <si>
    <t>修复一些bug</t>
  </si>
  <si>
    <t>大改动：【人物卡】的属性成长表已上移至名片旁，名片下方也添加了和理智相关的两种新选项；
添加了技能、属性排行榜，可查询排名前三的技能与属性；属性概括也添加了属性大于99时的内容
添加了技能、属性、携带物品/武器/金钱、背景字数的简洁记录；
放置了人员联系列表，方便随时查阅相关人员；改动了人员联络表，能够更详细的记录信息。
职业：添加了一种新职业——武学者（致敬某位著名佛山斗士！）</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</si>
  <si>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</si>
  <si>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</si>
  <si>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将“技能表”的科学①②③的“数学”基础值改为10</t>
  </si>
  <si>
    <t>2022.12.21更新 版本号：CY22.4</t>
  </si>
  <si>
    <t>修复初始理智值不自动计算的问题</t>
  </si>
  <si>
    <t>修改了武器列表中5发弹仓的双发半自动12号霰弹枪的时代描述，该枪械由1902年开始就不断大规模产生了接近100年，并由数间枪械制造商生产，直到1998年才停止生产。
修改了更新说明中的部分描述，现在我直接告诉你了表格解锁密码是congyu，所以此类问题请不要再问我了。</t>
  </si>
  <si>
    <t>修复“理智参考规则”与“快速参考规则”的错误</t>
  </si>
  <si>
    <t>重新保护部分单元格</t>
  </si>
  <si>
    <t>除上述之外，我将我的署名改成了丛雨，因为大家都叫我这个，也对应了CY这个版本分支。
因为蓝奏云是小云盘，链接略不稳定，链接失效的情况时有发生，这种事情暂时没有办法，可以去各类跑团群找寻资料，获取人物卡更新可以加入联系方式中的群聊。
关于骰娘导入：目前我没有继续同步其他骰系的发展和可能产生的新的导入方式，但是基本上用默认就没问题。</t>
  </si>
  <si>
    <t>2019.6.22更新 版本号：19.6.1</t>
  </si>
  <si>
    <t>2024.5.8更新 版本号：24SK1.25</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</si>
  <si>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</si>
  <si>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大改动：【人物卡】的成长表以及【理智上限】以移动至技能表左方，模组遭遇事件也已同步转移
武器：添加了3种弓，2种斧，2种绞具；以及一种新技能【武术】，一种极其依赖熟练的格斗分支
职业：添加了一种新职业——动物行为家（致敬R·W·华莱士，独创"自然选择"而著名的生物学家）
优化：再次优化了点数算法，现在调查员幕间成长的属性可以带来更多职业/技能点了^_^</t>
  </si>
  <si>
    <t>2022.06.19更新 版本号：CY22.3</t>
  </si>
  <si>
    <t xml:space="preserve">序号214号职业的本职技能可以正常的显示多个“格斗”技能了
防具表 载具表中，现在有多处红字提醒，来说明规则书以外的内容清与KP商议
技能注释中，现在加入了红字提醒来说明部分描述与规则书有出入
</t>
  </si>
  <si>
    <t xml:space="preserve">增加“魔法可选规则”
-“克苏鲁神话技能的自发用法”
-“对单一目标造成物理伤害”
-“追逐怪物”
-“和死者交流”
</t>
  </si>
  <si>
    <t>未来预计添加更多武器和职业，以便更加贴近现实，带来更加丰富的游戏体验。</t>
  </si>
  <si>
    <t>修复“克苏鲁神话”的“本职标记”不显示问题
修复分配自由本职技能下拉选框无法选择“格斗③”“射击③”“外语③”“自定义”技能的问题</t>
  </si>
  <si>
    <t>更改最顶端注释</t>
  </si>
  <si>
    <t>2024.4.29更新 版本号：24SK1.21</t>
  </si>
  <si>
    <t>喵？</t>
  </si>
  <si>
    <t>添加“时代介绍”</t>
  </si>
  <si>
    <t>将1个月内的内容都总结一下：
武器：添加了3种鞭，分别为2种软鞭以及1种硬鞭。
职业：添加了3中彩蛋职业，可以猜猜是在致敬何人。（PS：是现实中著名的人物）
注释：在人物卡页面添加了各种灰色注释，更好的引导调查员建卡。
细节：添加了调查员的参考身高和体重，在肖像右侧。</t>
  </si>
  <si>
    <t>重新排版</t>
  </si>
  <si>
    <t>删除“将力量与体型相加之后”、“体格的作用”</t>
  </si>
  <si>
    <t>2022.02.25更新 版本号：CY22.2</t>
  </si>
  <si>
    <t>删除了简化卡内一些不该出现的内容
更正了武器列表内某些武器的发明时间和某些武器的错别字
增添了建卡页面中的一些描述
优化了人物卡的关键连接部分</t>
  </si>
  <si>
    <t>为武器表的武器类型下拉框添加空白框格</t>
  </si>
  <si>
    <t xml:space="preserve">未来预计添加更多的武器和职业，以及更丰富的调查员细节;可能会优先添加一些通俗克苏鲁的注释和拓展规则；目前有将随机背景（重要之人、重要之物、特质之类的）添加进卡中的想法，但预计需要很长时间。（FLAG已立，望实现）
</t>
  </si>
  <si>
    <t>修复9号职业“文物学家（原作向）”没有“估价”本职标记问题</t>
  </si>
  <si>
    <t>将“性别”改为“性别/性取向”</t>
  </si>
  <si>
    <r>
      <rPr>
        <sz val="11"/>
        <color rgb="FF36363D"/>
        <rFont val="微软雅黑"/>
        <family val="2"/>
        <charset val="134"/>
      </rPr>
      <t>规则书第三章3-4第四步：创造背景中，对关键连接有这样一段描述，意为“纵观一下你调查员的背景，选出你认为最重要的一个条目。这就是关键连接：它对调查员人生的意义比其他条目都要高。”但规则书并</t>
    </r>
    <r>
      <rPr>
        <sz val="11"/>
        <color rgb="FFFF0000"/>
        <rFont val="微软雅黑"/>
        <family val="2"/>
        <charset val="134"/>
      </rPr>
      <t>没有对关键连接使用的背景做出一个限制</t>
    </r>
    <r>
      <rPr>
        <sz val="11"/>
        <color rgb="FF36363D"/>
        <rFont val="微软雅黑"/>
        <family val="2"/>
        <charset val="134"/>
      </rPr>
      <t>。因为背景同样也包括出身地、性别、姓名、头像。这种自由度是主持人应该去和玩家商讨创造的，它不应该是由人物卡来添加备注的内容。您可以合理使用规则书内的自由条目，但人物卡的建立之初是为了方便玩家对基础框架的理解，并非规则的制定者。</t>
    </r>
  </si>
  <si>
    <t>修改san初始值可能超过最大值的bug</t>
  </si>
  <si>
    <t>修复"☆ 二选一""⊙ 二选一""☯ 社交技能""※ 多选，或X选一"不显示问题（这么明显的bug都半年了居然才发现。。）</t>
  </si>
  <si>
    <t>技能注释更新</t>
  </si>
  <si>
    <t>添加新功能“技能查询”</t>
  </si>
  <si>
    <t>删除“艺术与手艺”“科学”“射击”“驾驶”“格斗”</t>
  </si>
  <si>
    <t>更改理发，酿酒，捕鱼，打字，技术制图的解释</t>
  </si>
  <si>
    <t>2021.11.23更新 版本号：CY22Preview</t>
  </si>
  <si>
    <t>修复“自定义职业本职技能”技能下拉选框无法选择“格斗③”“射击③”“外语③”“自定义”技能的问题</t>
  </si>
  <si>
    <t>修正了载具表的错别字，修改了骰娘导入的文本描述。
在此期间更新可能较为频繁，请及时关注左侧人物卡下载链接。</t>
  </si>
  <si>
    <t>为额外的职业表添加注释</t>
  </si>
  <si>
    <t>删除自动掷骰部分</t>
  </si>
  <si>
    <t>更改“将力量与体型相加之后”的色块</t>
  </si>
  <si>
    <t>2021.11.06更新 版本号：CY22beta</t>
  </si>
  <si>
    <t>修正唯二可以超过99的错误（可以超过100）</t>
  </si>
  <si>
    <t>修正了链接，解锁密码在人物卡的下载链接里。
各种小毛病的修复，然后骰娘导入有不能用的，给出提示了。
现在开始接受反馈了，大概。
22年初会按照反馈内容进行一次更新。</t>
  </si>
  <si>
    <t>将“特殊伤害解读”的注释格式改为向左对其</t>
  </si>
  <si>
    <t>更改“战斗轮可选规则”的“先攻检定”“击晕”“相杀”“火力压制”“瞄准具”“支架”“在战斗中移动”“完全隐蔽”“击穿掩体”“俯卧”“毒性”“毒性示例”可选规则的注释 / 增加“抵近射击调整”</t>
  </si>
  <si>
    <t>2021.01.29更新 版本号：CY21.1</t>
  </si>
  <si>
    <t>添加：发明时间</t>
  </si>
  <si>
    <r>
      <rPr>
        <sz val="11"/>
        <color rgb="FF36363D"/>
        <rFont val="微软雅黑"/>
        <family val="2"/>
        <charset val="134"/>
      </rP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</si>
  <si>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防具表 载具表更新</t>
  </si>
  <si>
    <t>删除“防护等级”</t>
  </si>
  <si>
    <t>更改“术语解释/规则”的名称与排版</t>
  </si>
  <si>
    <t>添加“MOV与速度对照值”</t>
  </si>
  <si>
    <t>2020.06.08更新 版本号：CY20.06.1</t>
  </si>
  <si>
    <t>修改载具表的大量问题</t>
  </si>
  <si>
    <t>人物卡更新</t>
  </si>
  <si>
    <t>右侧报社/报纸，学校/博物馆信息补充完毕
右侧时代介绍更新至2020年
自定义子技能现在有了标注指引，并且可以给不同的子项进行自定义了
删除了“难言之隐”，这玩意早该删的</t>
  </si>
  <si>
    <t>将【分支技能】改为【技能注释】</t>
  </si>
  <si>
    <t>将【属性和掷骰】改为【属性注释】</t>
  </si>
  <si>
    <t>反正我在这随 "便写点" 啥再加几个括号引号你们:也不会发现，完全没得人看更新说明我好伤心</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</si>
  <si>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</si>
  <si>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</si>
  <si>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取消除【更新说明】外所有页面的锁定</t>
  </si>
  <si>
    <t>2019.5.9更新 版本号：19.5.1</t>
  </si>
  <si>
    <t>修改15-19岁年龄调整值的错误</t>
  </si>
  <si>
    <t>简化卡更新</t>
  </si>
  <si>
    <t>简化卡的顶部，可以正常的显示调查员的名称了</t>
  </si>
  <si>
    <t>缩小“现时间”，“成功率 普通/困难/极难”与“成功标”字号</t>
  </si>
  <si>
    <t>密码，密码看左边，左边的人物卡下载链接里就有密码啊（瘫）</t>
  </si>
  <si>
    <t>分支技能更新</t>
  </si>
  <si>
    <t>将以下板块重新排版：
可选规则：给技能等级安个保险
格斗、生存、驾驶、社交类、治疗类、维修类、科学、神话等
这是一张展示世界语系的地图（来自维基百科2018）</t>
  </si>
  <si>
    <t>2020.05.10更新 版本号：CY20.05.1</t>
  </si>
  <si>
    <t>武器名称处加入了提示：不要忘记写武器名称
自定义经历包点数问题修复
修复戏剧演员任意特产bug</t>
  </si>
  <si>
    <t>汉化语系地图</t>
  </si>
  <si>
    <t>更新定义：
专业技能：可以转移的技能优势   语言解释
超越人体极限：多调查员协作检定</t>
  </si>
  <si>
    <t>弓道和薙刀错行问题解决
相扑力士职业描述里的「体型+2D6」确认了是不存在的设定，已删除</t>
  </si>
  <si>
    <t>资产及物价参考更新</t>
  </si>
  <si>
    <t>将【资产参考】更名为【资产及物价参考】</t>
  </si>
  <si>
    <t>修复描述错误</t>
  </si>
  <si>
    <t>增加“简单易懂英制的长度单位教学~~~”</t>
  </si>
  <si>
    <t>增加“现代物价参考表”</t>
  </si>
  <si>
    <t>大概7月份才会更新了x，取消了人物卡和简化卡 骰娘导入的密码，其他密码请看左侧人物卡链接</t>
  </si>
  <si>
    <t>增加“1920年代物价参考表”</t>
  </si>
  <si>
    <t>纠正射程单位
更新武器名称
将“布置”改为“就地”
将武器名称和规则书同步</t>
  </si>
  <si>
    <t>2020.02.24更新 版本号：CY20.02.2</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</si>
  <si>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</si>
  <si>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将“术语解释”中的：
“+db注释”更改为“英制单位的简易理解方式”
更改“罕见”的注释</t>
  </si>
  <si>
    <t>在“特殊伤害解读”中增加“晕（眩）”</t>
  </si>
  <si>
    <t>将“会造成惩罚骰或奖励骰的情况”改为“远程武器会造成惩罚骰或奖励骰的情况”</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</si>
  <si>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</si>
  <si>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太多了（悲），懒得分类了</t>
  </si>
  <si>
    <t>2020.02.11更新 版本号：CY20.02.1（区分不重名）</t>
  </si>
  <si>
    <t>更改以下载具乘客数值
地铁                                 缆车
空轨                                 高铁
客船                                 独木舟
木筏                                 货轮
热气球</t>
  </si>
  <si>
    <t>更改了弩的需求技能描述，弓→弓术，现在可以在人物卡和导入里正确显示该武器的成功率了</t>
  </si>
  <si>
    <t>在规则书Version2002版本中（最新版本）译名“学问”→“学识”此处同步更改</t>
  </si>
  <si>
    <t>修复了了法医职业的本职技能错误</t>
  </si>
  <si>
    <t>更改四马马车的技能，和常见时代</t>
  </si>
  <si>
    <t>将载具表下的“术语解释”重命名为“术语解释/规则”</t>
  </si>
  <si>
    <t>修复了古典艺术家职业的技能点计算公式错误</t>
  </si>
  <si>
    <t>将2018版本更新放置右侧</t>
  </si>
  <si>
    <t>删除“debug组成员”改为“我要把你的名字写在这里！”</t>
  </si>
  <si>
    <t>修复了现代美元的信用评级对照表格的一个错误</t>
  </si>
  <si>
    <t>2018.4.1更新 版本号：19.4.1</t>
  </si>
  <si>
    <t>修复“剩余经历包点数”bug</t>
  </si>
  <si>
    <t>降低“战斗流程图”的文件大小</t>
  </si>
  <si>
    <t>规则书链接更新，添加本表格更新链接，可随时访问查看本表有没有更新</t>
  </si>
  <si>
    <t>2019.3.?更新 版本号：19.3.1</t>
  </si>
  <si>
    <t>看下面，这个只是为了照顾非1920*1080屏幕的玩家做的改动（简化）</t>
  </si>
  <si>
    <t>对一些表格的版式和美观度进行了更新，表格名称修改，小细节修改</t>
  </si>
  <si>
    <t>2018.12.12更新 版本号：18.12.1</t>
  </si>
  <si>
    <t>修复：
91号职业没有任意特长的问题
229号职业 聆听，机械维修没有本职标记
75号职业没有社交技能数</t>
  </si>
  <si>
    <t>有什么问题随时联系窝！联系方式在左边，在左边啦——</t>
  </si>
  <si>
    <t>2020.01.16更新 版本号：20.1</t>
  </si>
  <si>
    <t>更新汇率
更新货币单位提示</t>
  </si>
  <si>
    <t>修复了【人物卡→法术一览】的锁定问题</t>
  </si>
  <si>
    <t>取消格斗②与格斗①绑定标记
取消射击②与射击①绑定标记</t>
  </si>
  <si>
    <t>快捷输入描述微调</t>
  </si>
  <si>
    <t>在“调查员经历”增加：有故事的调查员
并在“剩余职业点”“剩余兴趣点”之后增加了“剩余经历包点”</t>
  </si>
  <si>
    <t>自定义职业注释去除（因为显示不出），并且修复了维多利亚年代的错误问题</t>
  </si>
  <si>
    <t>删除现时间的下拉列表，合并为一个格，并改名为“当前时间”</t>
  </si>
  <si>
    <t>更新说明大幅度改动，“感谢……”去除，更新说明更加直观，新增感谢名单，并将提供建议和帮助的你们加入其中（在本页面左边）</t>
  </si>
  <si>
    <t>将属性的困难极难成功率设置为“如果普通成功率没有数值则变为隐藏”</t>
  </si>
  <si>
    <t>将“今日损失”改为“不定疯狂值”</t>
  </si>
  <si>
    <t>对表格整体进行了美化处理（比如对很多单元格文字设置了居中，观感更好）</t>
  </si>
  <si>
    <t>将“移动力调整值”分为“属性调整值”“年龄调整值”“护甲调整值”</t>
  </si>
  <si>
    <t>删除“您的角色可能”
删除“←这个职业 要这样获得技能点→”
删除“将力量与体型相加之后”“体格的作用”（曾在【属性和掷骰】里复制，未删除）</t>
  </si>
  <si>
    <t>丛雨在这里祝愿大家！2020新年快乐！天天大成功！无论是跑团还是别的事情都要大成功哦！</t>
  </si>
  <si>
    <t>将“.st指令快捷输入”从【人物卡】中移动到【简化卡】</t>
  </si>
  <si>
    <t>2019.12.20更新 版本号：19.12.3beta</t>
  </si>
  <si>
    <t>更
改</t>
  </si>
  <si>
    <t>分离【分支技能】与【资产】，并将资产改名为【资产参考】</t>
  </si>
  <si>
    <t>已修复【人物卡→护甲区块显示不完全】的问题</t>
  </si>
  <si>
    <t>将所有表格的行列表隐藏</t>
  </si>
  <si>
    <t>将横轴滚轮所占空间缩小（为了给选项卡分出空间）</t>
  </si>
  <si>
    <t>现在【人物卡→技能名称】可以选定了
现在【人物卡→疯狂症状出目】（在左下部分）也可以选定了
取悦（原魅惑），导航（原领航）的注释描述已经同步更改</t>
  </si>
  <si>
    <t>美化人物卡，灵感来源于DND5E角色卡</t>
  </si>
  <si>
    <t>更改版本号格式</t>
  </si>
  <si>
    <t>2018.11.05更新 版本号：18.11.1</t>
  </si>
  <si>
    <t>现在表格所有初始缩放比例调整为100%，电脑看起来会更舒服了吧</t>
  </si>
  <si>
    <t>修复武器表“弓”“电器维修”“炮术”“投掷”技能#REF!问题</t>
  </si>
  <si>
    <t>让“本职标志”跟随“任意特长”变化
为“任意特长数”随已选特长变动，若选择过多则显示“过多！”</t>
  </si>
  <si>
    <t>表格大小缩小！</t>
  </si>
  <si>
    <t>让自定义职业的本职技能显示本职标志</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</si>
  <si>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</si>
  <si>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将其他资产表五项设置为顶端左侧对齐</t>
  </si>
  <si>
    <t>修复“自定义职业”的“属性点”非最大值的问题</t>
  </si>
  <si>
    <t>将.st输出移动至【人物卡】</t>
  </si>
  <si>
    <t>分支技能与资产更新</t>
  </si>
  <si>
    <t>将“火焰喷射器”改为“喷射器”</t>
  </si>
  <si>
    <t>2019.12.08更新 版本号：19.12.2beta</t>
  </si>
  <si>
    <t>已修复【人物卡→武器表中的一些文本没有居中】的问题</t>
  </si>
  <si>
    <t>将“机关枪”改为“机枪”</t>
  </si>
  <si>
    <t>2018.10.28更新 版本号：18.10.6</t>
  </si>
  <si>
    <t>格斗②③，射击②③，外语②③，科学③的本职技能标记在之前发生了重复和不显示的错误，现在已经可以正常的显示了</t>
  </si>
  <si>
    <t>将临时体力值的数值字体设置为黑色</t>
  </si>
  <si>
    <t>为“调查员信息”添加“当前时间”</t>
  </si>
  <si>
    <t>【射击：弓】更名为【射击：弓术】</t>
  </si>
  <si>
    <t>为“护甲值”与“覆盖部位”设置保护</t>
  </si>
  <si>
    <t>将“护甲类型”设置为“请看护甲表”
将“护甲类型”的字体颜色设置为黑色</t>
  </si>
  <si>
    <t>已修复【导入时导入的是弓的数据，而骰娘识别的是弓术导致检定弓术时失效】的问题</t>
  </si>
  <si>
    <t>将人物表设置为即使锁定也可以插入头像</t>
  </si>
  <si>
    <t>MDice骰娘（惠惠）专属导入，
加入便于电脑复制导入的本文框</t>
  </si>
  <si>
    <t>将“.st指令快捷输入”设置为即使属性为0也可以使用</t>
  </si>
  <si>
    <t>将母语设置为常亮
将信用评级设置为常亮
将闪避设置为常亮</t>
  </si>
  <si>
    <t>呜噫噫呜，有错误请一定要联系我哦，欢迎扩散这份表格！你们的使用是我最大的动力！</t>
  </si>
  <si>
    <t>在调查员信息中增加职业</t>
  </si>
  <si>
    <t>2019.12.03更新 版本号：19.12.1beta</t>
  </si>
  <si>
    <t>增加“当前时间”
增加“调查员伙伴”
-自写框
增加“神话相关”
-自写框</t>
  </si>
  <si>
    <t>在人物表最下方加入引导内容【骰娘快捷输入见简化卡】
【调查员信息】中，原“性别/性取向”改为“性别”</t>
  </si>
  <si>
    <t>shiki Exp10骰娘专属导入，
造成表格体积变大的图片引导已修改，并更加完善引导过程</t>
  </si>
  <si>
    <t>改变“.st指令快捷输入”</t>
  </si>
  <si>
    <t>目前快捷输入已经有三种了，具体是哪种，可以看一下简化卡的说明，我尽可能的给大家说的明白，总之，希望可以方便一下大家吧。
有什么问题请随时给我说，在左边就有我的联系方式啦。</t>
  </si>
  <si>
    <t>将简化表设置为即使锁定也可以插入头像</t>
  </si>
  <si>
    <t>增加“自定义职业属性”</t>
  </si>
  <si>
    <t>为“自定义职业”增加“职业属性”自动计算
为“自定义职业”增加“技能点”自动计算</t>
  </si>
  <si>
    <t>删除自定义栏</t>
  </si>
  <si>
    <t>2019.11.26更新 版本号：19.11.4beta</t>
  </si>
  <si>
    <t>增加“注意事项”</t>
  </si>
  <si>
    <t>已修复【人物表→其他资产表→其他栏目无法选定】的问题</t>
  </si>
  <si>
    <t>为“盾”类型增加“注释”
为“格斗盾”增加“注释”
为“盾”类型增加“剑格、护手”和其“注释”</t>
  </si>
  <si>
    <t>已修复【人物卡→资产→消费水平、其他资产、当前现金不会随年代和信用评级的变化而变化】的问题</t>
  </si>
  <si>
    <t>将规则书内物品设置为仿宋深蓝字体</t>
  </si>
  <si>
    <t>2018.10.25更新 版本号：18.10.5</t>
  </si>
  <si>
    <t>调整了货币之间的汇率（按照19年11月25日当日全球汇率进行调整）</t>
  </si>
  <si>
    <t>将职业范围和剩余点数在职业序号为0的时候设置为隐藏</t>
  </si>
  <si>
    <t>将“信用评级”的“成功标志”禁用
将“克苏鲁神话”的“成功标志”禁用</t>
  </si>
  <si>
    <t>对【人物卡→资产】内的一些本文错误（错字，没有句号逗号等）进行了修复</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</si>
  <si>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</si>
  <si>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修改了几乎所有技能的注释</t>
  </si>
  <si>
    <t>大量修正技能的注释与名称
-“驯兽”没有改为“动物驯养”
-将“作画”改为“美术”
-将“弓术”改为“弓”
-将“机关枪”改为“机枪”
-将“自然学”改为“博物学”
并添加“也译作‘自然学’”</t>
  </si>
  <si>
    <t>2019.11.25更新 版本号：19.11.3beta</t>
  </si>
  <si>
    <t>现已修复【考古学家没有本职技能估价星标显示】问题</t>
  </si>
  <si>
    <t>修复“技能”会显示“0”的情况（简化卡）</t>
  </si>
  <si>
    <t>增加“.st指令快捷输入”
-“.st指令快捷输入”
-“技能名的改变”
-“注意”
-文本化用“txt框”
（这条函数超长的qwq）</t>
  </si>
  <si>
    <t>2019.11.23更新 版本号：19.11beta</t>
  </si>
  <si>
    <t>“技艺”，“格斗”，“驾驶”和“成功标”等下拉框修复</t>
  </si>
  <si>
    <t>为了规范起见，也为了防止pl误操作，现在除了“自定义技能”，其余技能名称均已锁定</t>
  </si>
  <si>
    <t>在表格最下方的浅字署名更改为神楽桜（丛雨Official）2019.11.23</t>
  </si>
  <si>
    <t>将“资产参考表”上移</t>
  </si>
  <si>
    <t>增加“驾驶”
-船
-飞行器</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</si>
  <si>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</si>
  <si>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</si>
  <si>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增加“学问：”
增加“自定义技能”</t>
  </si>
  <si>
    <t>为“艺术与手艺”增加：
理发
莫里斯舞
歌剧歌唱
粉刷匠和油漆工
吹制玻璃管</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</si>
  <si>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</si>
  <si>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</si>
  <si>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</si>
  <si>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</si>
  <si>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</si>
  <si>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</si>
  <si>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</si>
  <si>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</si>
  <si>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</si>
  <si>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</si>
  <si>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</si>
  <si>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</si>
  <si>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</si>
  <si>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</si>
  <si>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</si>
  <si>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</si>
  <si>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</si>
  <si>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</si>
  <si>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</si>
  <si>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</si>
  <si>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</si>
  <si>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</si>
  <si>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</si>
  <si>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</si>
  <si>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</si>
  <si>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</si>
  <si>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</si>
  <si>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</si>
  <si>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</si>
  <si>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</si>
  <si>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</si>
  <si>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</si>
  <si>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</si>
  <si>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</si>
  <si>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</si>
  <si>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</si>
  <si>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</si>
  <si>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</si>
  <si>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</si>
  <si>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</si>
  <si>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</si>
  <si>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</si>
  <si>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</si>
  <si>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</si>
  <si>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</si>
  <si>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</si>
  <si>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</si>
  <si>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</si>
  <si>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</si>
  <si>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</si>
  <si>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</si>
  <si>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</si>
  <si>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</si>
  <si>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</si>
  <si>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</si>
  <si>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</si>
  <si>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</si>
  <si>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</si>
  <si>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</si>
  <si>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</si>
  <si>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</si>
  <si>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</si>
  <si>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</si>
  <si>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</si>
  <si>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</si>
  <si>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</si>
  <si>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</si>
  <si>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</si>
  <si>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</si>
  <si>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</si>
  <si>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</si>
  <si>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</si>
  <si>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</si>
  <si>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</si>
  <si>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</si>
  <si>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</si>
  <si>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</si>
  <si>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</si>
  <si>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</si>
  <si>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</si>
  <si>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</si>
  <si>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</si>
  <si>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</si>
  <si>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</si>
  <si>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</si>
  <si>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</si>
  <si>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</si>
  <si>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</si>
  <si>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</si>
  <si>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</si>
  <si>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</si>
  <si>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</si>
  <si>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</si>
  <si>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</si>
  <si>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</si>
  <si>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</si>
  <si>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</si>
  <si>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</si>
  <si>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</si>
  <si>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</si>
  <si>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手机版教学</t>
  </si>
  <si>
    <t>电脑版教学</t>
  </si>
  <si>
    <t>PS:建议使用最新版WPS进行操作</t>
  </si>
  <si>
    <r>
      <rPr>
        <sz val="11"/>
        <color theme="1"/>
        <rFont val="宋体"/>
        <family val="3"/>
        <charset val="134"/>
        <scheme val="minor"/>
      </rPr>
      <t>找到文档左上角，随后单击行上的字母（随便一个都行），之后会出现以下选项</t>
    </r>
    <r>
      <rPr>
        <b/>
        <sz val="11"/>
        <color theme="1"/>
        <rFont val="宋体"/>
        <family val="3"/>
        <charset val="134"/>
        <scheme val="minor"/>
      </rPr>
      <t>（左图）</t>
    </r>
  </si>
  <si>
    <t>寻找到空白卡左上角的“+”，并单击，即可，如图</t>
  </si>
  <si>
    <t xml:space="preserve">点击“行列操作”，选择下方的“管理隐藏行列”，最后单击第一行的右侧图标（右图）
最后完整成长表展开。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</si>
</sst>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24" formatCode="\$#,##0_);[Red]\(\$#,##0\)"/>
    <numFmt numFmtId="176" formatCode="[=0]General;&quot;1920s,罕见&quot;"/>
    <numFmt numFmtId="177" formatCode="\$0"/>
    <numFmt numFmtId="178" formatCode="[=0]&quot;&quot;;General"/>
    <numFmt numFmtId="179" formatCode="0_);[Red]\(0\)"/>
    <numFmt numFmtId="180" formatCode="[=0]&quot;&quot;;&quot;/&quot;0"/>
    <numFmt numFmtId="181" formatCode="&quot;/&quot;0"/>
    <numFmt numFmtId="182" formatCode="\+@"/>
    <numFmt numFmtId="183" formatCode="0_ "/>
    <numFmt numFmtId="184" formatCode="&quot;[&quot;0&quot;]&quot;"/>
    <numFmt numFmtId="185" formatCode="0.00_ "/>
    <numFmt numFmtId="186" formatCode="0.00_);[Red]\(0.00\)"/>
    <numFmt numFmtId="187" formatCode="0&quot;岁&quot;"/>
    <numFmt numFmtId="188" formatCode="0&quot;年&quot;"/>
    <numFmt numFmtId="189" formatCode="h:mm;@"/>
    <numFmt numFmtId="190" formatCode="[=1]&quot;☆ 二选一&quot;;[=0]&quot;&quot;"/>
    <numFmt numFmtId="191" formatCode="[=1]&quot;⊙ 二选一&quot;;[=0]&quot;&quot;"/>
    <numFmt numFmtId="192" formatCode="[=0]&quot;&quot;;&quot;☯ 社交技能（&quot;0&quot;项）&quot;"/>
    <numFmt numFmtId="193" formatCode="[=1]&quot;※ 多选，或X选一&quot;;[=0]&quot;&quot;"/>
    <numFmt numFmtId="194" formatCode="\/0_ "/>
    <numFmt numFmtId="195" formatCode="\+0;\-0;&quot;±&quot;0"/>
    <numFmt numFmtId="196" formatCode="0.0_ "/>
    <numFmt numFmtId="197" formatCode="@&quot;/&quot;&quot;年&quot;"/>
  </numFmts>
  <fonts count="283">
    <font>
      <sz val="11"/>
      <color theme="1"/>
      <name val="宋体"/>
      <charset val="134"/>
      <scheme val="minor"/>
    </font>
    <font>
      <sz val="18"/>
      <color theme="1"/>
      <name val="华文中宋"/>
      <charset val="134"/>
    </font>
    <font>
      <b/>
      <sz val="10"/>
      <color theme="1"/>
      <name val="微软雅黑"/>
      <charset val="134"/>
    </font>
    <font>
      <sz val="11"/>
      <color theme="1"/>
      <name val="宋体"/>
      <charset val="134"/>
    </font>
    <font>
      <sz val="11"/>
      <name val="宋体"/>
      <charset val="134"/>
    </font>
    <font>
      <sz val="11"/>
      <color rgb="FF000000"/>
      <name val="微软雅黑"/>
      <charset val="134"/>
    </font>
    <font>
      <sz val="20"/>
      <color rgb="FF000000"/>
      <name val="微软雅黑"/>
      <charset val="134"/>
    </font>
    <font>
      <u/>
      <sz val="14"/>
      <color indexed="20"/>
      <name val="宋体"/>
      <charset val="134"/>
    </font>
    <font>
      <u/>
      <sz val="14"/>
      <color rgb="FF0000FF"/>
      <name val="微软雅黑"/>
      <charset val="134"/>
    </font>
    <font>
      <sz val="11"/>
      <color rgb="FFFFFFFF"/>
      <name val="微软雅黑"/>
      <charset val="134"/>
    </font>
    <font>
      <sz val="14"/>
      <name val="微软雅黑"/>
      <charset val="134"/>
    </font>
    <font>
      <sz val="11"/>
      <color rgb="FF36363D"/>
      <name val="微软雅黑"/>
      <charset val="134"/>
    </font>
    <font>
      <sz val="11"/>
      <name val="微软雅黑"/>
      <charset val="134"/>
    </font>
    <font>
      <sz val="14"/>
      <color rgb="FFFF0000"/>
      <name val="微软雅黑"/>
      <charset val="134"/>
    </font>
    <font>
      <sz val="8"/>
      <name val="微软雅黑"/>
      <charset val="134"/>
    </font>
    <font>
      <sz val="11"/>
      <color rgb="FFFF0000"/>
      <name val="微软雅黑"/>
      <charset val="134"/>
    </font>
    <font>
      <sz val="11"/>
      <color rgb="FFBF0000"/>
      <name val="微软雅黑"/>
      <charset val="134"/>
    </font>
    <font>
      <sz val="1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1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b/>
      <sz val="11"/>
      <color rgb="FFFFFFFF"/>
      <name val="宋体"/>
      <charset val="134"/>
    </font>
    <font>
      <b/>
      <sz val="11"/>
      <name val="宋体"/>
      <charset val="134"/>
    </font>
    <font>
      <sz val="10"/>
      <color rgb="FF1F3964"/>
      <name val="微软雅黑"/>
      <charset val="134"/>
    </font>
    <font>
      <b/>
      <sz val="12"/>
      <color rgb="FF1F3964"/>
      <name val="微软雅黑"/>
      <charset val="134"/>
    </font>
    <font>
      <sz val="9"/>
      <color rgb="FF1F3964"/>
      <name val="微软雅黑"/>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0"/>
      <color rgb="FF000000"/>
      <name val="等线"/>
      <charset val="134"/>
    </font>
    <font>
      <sz val="36"/>
      <name val="等线"/>
      <charset val="134"/>
    </font>
    <font>
      <sz val="11"/>
      <color rgb="FFFF0000"/>
      <name val="等线"/>
      <charset val="134"/>
    </font>
    <font>
      <sz val="16"/>
      <color rgb="FF1F3964"/>
      <name val="微软雅黑"/>
      <charset val="134"/>
    </font>
    <font>
      <sz val="28"/>
      <name val="等线"/>
      <charset val="134"/>
    </font>
    <font>
      <sz val="12"/>
      <color rgb="FFFF0000"/>
      <name val="等线"/>
      <charset val="134"/>
    </font>
    <font>
      <sz val="9"/>
      <name val="等线"/>
      <charset val="134"/>
    </font>
    <font>
      <sz val="14"/>
      <color rgb="FFFF0000"/>
      <name val="等线"/>
      <charset val="134"/>
    </font>
    <font>
      <sz val="24"/>
      <name val="等线"/>
      <charset val="134"/>
    </font>
    <font>
      <sz val="8"/>
      <color rgb="FF000000"/>
      <name val="等线"/>
      <charset val="134"/>
    </font>
    <font>
      <sz val="18"/>
      <name val="等线"/>
      <charset val="134"/>
    </font>
    <font>
      <sz val="11"/>
      <color rgb="FFFFFFFF"/>
      <name val="等线"/>
      <charset val="134"/>
    </font>
    <font>
      <sz val="10"/>
      <color rgb="FF000000"/>
      <name val="宋体"/>
      <charset val="134"/>
    </font>
    <font>
      <sz val="10"/>
      <color rgb="FFFFFFFF"/>
      <name val="微软雅黑"/>
      <charset val="134"/>
    </font>
    <font>
      <sz val="16"/>
      <name val="宋体"/>
      <charset val="134"/>
    </font>
    <font>
      <b/>
      <sz val="11"/>
      <name val="微软雅黑"/>
      <charset val="134"/>
    </font>
    <font>
      <sz val="16"/>
      <name val="等线"/>
      <charset val="134"/>
    </font>
    <font>
      <b/>
      <sz val="9"/>
      <name val="微软雅黑"/>
      <charset val="134"/>
    </font>
    <font>
      <b/>
      <sz val="10"/>
      <name val="微软雅黑"/>
      <charset val="134"/>
    </font>
    <font>
      <sz val="20"/>
      <name val="微软雅黑"/>
      <charset val="134"/>
    </font>
    <font>
      <sz val="28"/>
      <name val="微软雅黑"/>
      <charset val="134"/>
    </font>
    <font>
      <b/>
      <sz val="15"/>
      <name val="微软雅黑"/>
      <charset val="134"/>
    </font>
    <font>
      <b/>
      <sz val="12"/>
      <name val="等线"/>
      <charset val="134"/>
    </font>
    <font>
      <b/>
      <sz val="18"/>
      <name val="微软雅黑"/>
      <charset val="134"/>
    </font>
    <font>
      <i/>
      <sz val="9"/>
      <name val="微软雅黑"/>
      <charset val="134"/>
    </font>
    <font>
      <b/>
      <sz val="11"/>
      <color theme="0"/>
      <name val="宋体"/>
      <charset val="134"/>
      <scheme val="minor"/>
    </font>
    <font>
      <b/>
      <sz val="9"/>
      <color theme="0"/>
      <name val="宋体"/>
      <charset val="134"/>
      <scheme val="minor"/>
    </font>
    <font>
      <b/>
      <sz val="11"/>
      <name val="宋体"/>
      <charset val="134"/>
      <scheme val="major"/>
    </font>
    <font>
      <b/>
      <sz val="9"/>
      <name val="宋体"/>
      <charset val="134"/>
    </font>
    <font>
      <sz val="10"/>
      <color rgb="FFFF0000"/>
      <name val="等线"/>
      <charset val="134"/>
    </font>
    <font>
      <sz val="10"/>
      <color theme="1"/>
      <name val="宋体"/>
      <charset val="134"/>
    </font>
    <font>
      <sz val="12"/>
      <name val="等线"/>
      <charset val="134"/>
    </font>
    <font>
      <sz val="26"/>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8"/>
      <color theme="1"/>
      <name val="微软雅黑"/>
      <charset val="134"/>
    </font>
    <font>
      <sz val="11"/>
      <color theme="1"/>
      <name val="微软雅黑"/>
      <charset val="134"/>
    </font>
    <font>
      <sz val="24"/>
      <name val="微软雅黑"/>
      <charset val="134"/>
    </font>
    <font>
      <sz val="16"/>
      <name val="微软雅黑"/>
      <charset val="134"/>
    </font>
    <font>
      <sz val="18"/>
      <name val="微软雅黑"/>
      <charset val="134"/>
    </font>
    <font>
      <sz val="22"/>
      <name val="微软雅黑"/>
      <charset val="134"/>
    </font>
    <font>
      <b/>
      <sz val="20"/>
      <name val="微软雅黑"/>
      <charset val="134"/>
    </font>
    <font>
      <b/>
      <sz val="12"/>
      <name val="微软雅黑"/>
      <charset val="134"/>
    </font>
    <font>
      <b/>
      <sz val="14"/>
      <name val="微软雅黑"/>
      <charset val="134"/>
    </font>
    <font>
      <sz val="26"/>
      <name val="微软雅黑"/>
      <charset val="134"/>
    </font>
    <font>
      <sz val="9"/>
      <color rgb="FF000000"/>
      <name val="微软雅黑"/>
      <charset val="134"/>
    </font>
    <font>
      <b/>
      <sz val="11"/>
      <color rgb="FFFF0000"/>
      <name val="等线"/>
      <charset val="134"/>
    </font>
    <font>
      <sz val="12"/>
      <color rgb="FF000000"/>
      <name val="等线"/>
      <charset val="134"/>
    </font>
    <font>
      <sz val="11"/>
      <color rgb="FF000000"/>
      <name val="等线"/>
      <charset val="134"/>
    </font>
    <font>
      <sz val="9"/>
      <color rgb="FF000000"/>
      <name val="等线"/>
      <charset val="134"/>
    </font>
    <font>
      <sz val="8"/>
      <name val="等线"/>
      <charset val="134"/>
    </font>
    <font>
      <sz val="7"/>
      <color rgb="FF000000"/>
      <name val="等线"/>
      <charset val="134"/>
    </font>
    <font>
      <sz val="12"/>
      <color rgb="FFFFFFFF"/>
      <name val="微软雅黑 Light"/>
      <charset val="134"/>
    </font>
    <font>
      <sz val="12"/>
      <color rgb="FF000000"/>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8"/>
      <name val="微软雅黑 Light"/>
      <charset val="134"/>
    </font>
    <font>
      <b/>
      <sz val="12"/>
      <name val="微软雅黑 Light"/>
      <charset val="134"/>
    </font>
    <font>
      <sz val="12"/>
      <color rgb="FF2F75B6"/>
      <name val="微软雅黑 Light"/>
      <charset val="134"/>
    </font>
    <font>
      <sz val="9"/>
      <color rgb="FF000000"/>
      <name val="宋体"/>
      <charset val="134"/>
    </font>
    <font>
      <b/>
      <sz val="12"/>
      <color rgb="FFD58B43"/>
      <name val="微软雅黑 Light"/>
      <charset val="134"/>
    </font>
    <font>
      <sz val="12"/>
      <color rgb="FFD58B43"/>
      <name val="微软雅黑 Light"/>
      <charset val="134"/>
    </font>
    <font>
      <b/>
      <sz val="9"/>
      <color rgb="FF000000"/>
      <name val="宋体"/>
      <charset val="134"/>
    </font>
    <font>
      <sz val="9"/>
      <color rgb="FF000000"/>
      <name val="微软雅黑 Light"/>
      <charset val="134"/>
    </font>
    <font>
      <i/>
      <sz val="9"/>
      <color rgb="FF000000"/>
      <name val="微软雅黑"/>
      <charset val="134"/>
    </font>
    <font>
      <sz val="12"/>
      <color rgb="FFFFFFFF"/>
      <name val="微软雅黑"/>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宋体"/>
      <charset val="134"/>
    </font>
    <font>
      <sz val="11"/>
      <color rgb="FF32D3F6"/>
      <name val="微软雅黑"/>
      <charset val="134"/>
    </font>
    <font>
      <sz val="14"/>
      <name val="等线"/>
      <charset val="134"/>
    </font>
    <font>
      <sz val="10"/>
      <color indexed="8"/>
      <name val="Calibri"/>
      <family val="2"/>
    </font>
    <font>
      <sz val="14"/>
      <color rgb="FF000000"/>
      <name val="等线"/>
      <charset val="134"/>
    </font>
    <font>
      <sz val="14"/>
      <color indexed="8"/>
      <name val="Calibri"/>
      <family val="2"/>
    </font>
    <font>
      <sz val="14"/>
      <color indexed="8"/>
      <name val="等线"/>
      <charset val="134"/>
    </font>
    <font>
      <sz val="10"/>
      <color rgb="FF000000"/>
      <name val="Calibri"/>
      <family val="2"/>
    </font>
    <font>
      <sz val="10"/>
      <name val="Calibri"/>
      <family val="2"/>
    </font>
    <font>
      <sz val="8"/>
      <color indexed="8"/>
      <name val="Calibri"/>
      <family val="2"/>
    </font>
    <font>
      <sz val="11"/>
      <name val="Calibri"/>
      <family val="2"/>
    </font>
    <font>
      <sz val="8"/>
      <color rgb="FF000000"/>
      <name val="Calibri"/>
      <family val="2"/>
    </font>
    <font>
      <sz val="8"/>
      <color rgb="FF000000"/>
      <name val="宋体"/>
      <charset val="134"/>
    </font>
    <font>
      <sz val="11"/>
      <color rgb="FF000000"/>
      <name val="Calibri"/>
      <family val="2"/>
    </font>
    <font>
      <sz val="11"/>
      <color theme="0"/>
      <name val="宋体"/>
      <charset val="134"/>
    </font>
    <font>
      <sz val="20"/>
      <name val="宋体"/>
      <charset val="134"/>
    </font>
    <font>
      <sz val="14"/>
      <color rgb="FFFF0000"/>
      <name val="宋体"/>
      <charset val="134"/>
    </font>
    <font>
      <sz val="11"/>
      <color theme="0"/>
      <name val="微软雅黑"/>
      <charset val="134"/>
    </font>
    <font>
      <sz val="11"/>
      <color rgb="FF000000"/>
      <name val="方正颜宋体"/>
      <charset val="134"/>
    </font>
    <font>
      <sz val="11"/>
      <name val="微软雅黑 Light"/>
      <family val="2"/>
      <charset val="134"/>
    </font>
    <font>
      <sz val="11"/>
      <color rgb="FFFFFFFF"/>
      <name val="微软雅黑 Light"/>
      <family val="2"/>
      <charset val="134"/>
    </font>
    <font>
      <sz val="11"/>
      <color rgb="FFFFFFFF"/>
      <name val="方正颜宋体"/>
      <charset val="134"/>
    </font>
    <font>
      <sz val="11"/>
      <color rgb="FFC00000"/>
      <name val="微软雅黑 Light"/>
      <family val="2"/>
      <charset val="134"/>
    </font>
    <font>
      <sz val="11"/>
      <color rgb="FFFFFFFF"/>
      <name val="宋体"/>
      <family val="3"/>
      <charset val="134"/>
    </font>
    <font>
      <sz val="11"/>
      <name val="方正颜宋体"/>
      <charset val="134"/>
    </font>
    <font>
      <sz val="11"/>
      <color theme="5" tint="0.79998168889431442"/>
      <name val="微软雅黑 Light"/>
      <family val="2"/>
      <charset val="134"/>
    </font>
    <font>
      <sz val="14"/>
      <color rgb="FF000000"/>
      <name val="微软雅黑 Light"/>
      <family val="2"/>
      <charset val="134"/>
    </font>
    <font>
      <sz val="11"/>
      <color rgb="FFFF0000"/>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0"/>
      <color theme="0"/>
      <name val="微软雅黑"/>
      <family val="2"/>
      <charset val="134"/>
    </font>
    <font>
      <b/>
      <sz val="10"/>
      <color theme="0"/>
      <name val="微软雅黑"/>
      <family val="2"/>
      <charset val="134"/>
    </font>
    <font>
      <b/>
      <sz val="10"/>
      <color rgb="FF7030A0"/>
      <name val="微软雅黑"/>
      <family val="2"/>
      <charset val="134"/>
    </font>
    <font>
      <sz val="10"/>
      <color rgb="FFC00000"/>
      <name val="微软雅黑"/>
      <family val="2"/>
      <charset val="134"/>
    </font>
    <font>
      <sz val="10"/>
      <name val="微软雅黑 Light"/>
      <family val="2"/>
      <charset val="134"/>
    </font>
    <font>
      <b/>
      <sz val="11"/>
      <color theme="1"/>
      <name val="宋体"/>
      <family val="3"/>
      <charset val="134"/>
      <scheme val="minor"/>
    </font>
    <font>
      <sz val="10"/>
      <color theme="1"/>
      <name val="华文中宋"/>
      <family val="3"/>
      <charset val="134"/>
    </font>
    <font>
      <sz val="9"/>
      <color theme="1"/>
      <name val="华文中宋"/>
      <family val="3"/>
      <charset val="134"/>
    </font>
    <font>
      <b/>
      <sz val="9"/>
      <color theme="1"/>
      <name val="华文中宋"/>
      <family val="3"/>
      <charset val="134"/>
    </font>
    <font>
      <sz val="10"/>
      <color theme="1"/>
      <name val="微软雅黑"/>
      <family val="2"/>
      <charset val="134"/>
    </font>
    <font>
      <b/>
      <sz val="11"/>
      <color theme="1"/>
      <name val="微软雅黑 Light"/>
      <family val="2"/>
      <charset val="134"/>
    </font>
    <font>
      <sz val="10"/>
      <color rgb="FF000000"/>
      <name val="华文中宋"/>
      <family val="3"/>
      <charset val="134"/>
    </font>
    <font>
      <b/>
      <sz val="11"/>
      <color rgb="FF000000"/>
      <name val="微软雅黑 Light"/>
      <family val="2"/>
      <charset val="134"/>
    </font>
    <font>
      <sz val="11"/>
      <color rgb="FF000000"/>
      <name val="华文中宋"/>
      <family val="3"/>
      <charset val="134"/>
    </font>
    <font>
      <sz val="15"/>
      <color rgb="FF05073B"/>
      <name val="宋体"/>
      <family val="3"/>
      <charset val="134"/>
    </font>
    <font>
      <sz val="13.5"/>
      <color rgb="FF05073B"/>
      <name val="宋体"/>
      <family val="3"/>
      <charset val="134"/>
    </font>
    <font>
      <sz val="11.25"/>
      <color rgb="FF05073B"/>
      <name val="PingFang-SC-Regular"/>
      <family val="1"/>
    </font>
    <font>
      <sz val="11"/>
      <color rgb="FF05073B"/>
      <name val="华文中宋"/>
      <family val="3"/>
      <charset val="134"/>
    </font>
    <font>
      <sz val="11.5"/>
      <color rgb="FF05073B"/>
      <name val="华文中宋"/>
      <family val="3"/>
      <charset val="134"/>
    </font>
    <font>
      <sz val="11"/>
      <color theme="1"/>
      <name val="华文中宋"/>
      <family val="3"/>
      <charset val="134"/>
    </font>
    <font>
      <sz val="11.25"/>
      <color rgb="FF05073B"/>
      <name val="华文中宋"/>
      <family val="3"/>
      <charset val="134"/>
    </font>
    <font>
      <b/>
      <sz val="11"/>
      <color rgb="FF000000"/>
      <name val="华文中宋"/>
      <family val="3"/>
      <charset val="134"/>
    </font>
    <font>
      <sz val="10"/>
      <color rgb="FF222222"/>
      <name val="宋体"/>
      <family val="3"/>
      <charset val="134"/>
    </font>
    <font>
      <sz val="11.25"/>
      <color rgb="FF05073B"/>
      <name val="Segoe UI"/>
      <family val="2"/>
    </font>
    <font>
      <sz val="9"/>
      <color rgb="FFFFFFFF"/>
      <name val="微软雅黑"/>
      <family val="2"/>
      <charset val="134"/>
    </font>
    <font>
      <sz val="12"/>
      <color theme="1"/>
      <name val="微软雅黑"/>
      <family val="2"/>
      <charset val="134"/>
    </font>
    <font>
      <sz val="10"/>
      <color rgb="FF7F7F7F"/>
      <name val="等线"/>
      <family val="3"/>
      <charset val="134"/>
    </font>
    <font>
      <sz val="11.5"/>
      <color rgb="FF05073B"/>
      <name val="宋体"/>
      <family val="3"/>
      <charset val="134"/>
    </font>
    <font>
      <sz val="12"/>
      <color rgb="FF05073B"/>
      <name val="宋体"/>
      <family val="3"/>
      <charset val="134"/>
    </font>
    <font>
      <sz val="10"/>
      <color rgb="FF333333"/>
      <name val="微软雅黑"/>
      <family val="2"/>
      <charset val="134"/>
    </font>
    <font>
      <b/>
      <sz val="12"/>
      <color rgb="FF000000"/>
      <name val="微软雅黑 Light"/>
      <family val="2"/>
      <charset val="134"/>
    </font>
    <font>
      <sz val="10"/>
      <color rgb="FF000000"/>
      <name val="FZBIAOYSK--GBK1-0"/>
      <family val="1"/>
    </font>
    <font>
      <i/>
      <sz val="11.25"/>
      <color rgb="FF05073B"/>
      <name val="Segoe UI"/>
      <family val="2"/>
    </font>
    <font>
      <i/>
      <sz val="11"/>
      <color rgb="FF05073B"/>
      <name val="华文中宋"/>
      <family val="3"/>
      <charset val="134"/>
    </font>
    <font>
      <sz val="10"/>
      <color rgb="FF65A3D7"/>
      <name val="微软雅黑"/>
      <family val="2"/>
      <charset val="134"/>
    </font>
    <font>
      <sz val="11"/>
      <color rgb="FF65A3D7"/>
      <name val="微软雅黑"/>
      <family val="2"/>
      <charset val="134"/>
    </font>
    <font>
      <sz val="10"/>
      <color theme="1"/>
      <name val="宋体"/>
      <family val="3"/>
      <charset val="134"/>
      <scheme val="minor"/>
    </font>
    <font>
      <sz val="10"/>
      <color rgb="FFF2F2F2"/>
      <name val="微软雅黑"/>
      <family val="2"/>
      <charset val="134"/>
    </font>
    <font>
      <sz val="9"/>
      <color rgb="FFF2F2F2"/>
      <name val="微软雅黑"/>
      <family val="2"/>
      <charset val="134"/>
    </font>
    <font>
      <sz val="11"/>
      <color rgb="FFF2F2F2"/>
      <name val="微软雅黑"/>
      <family val="2"/>
      <charset val="134"/>
    </font>
    <font>
      <sz val="10"/>
      <color theme="0" tint="-0.14999847407452621"/>
      <name val="微软雅黑"/>
      <family val="2"/>
      <charset val="134"/>
    </font>
    <font>
      <b/>
      <sz val="10"/>
      <color rgb="FF000000"/>
      <name val="微软雅黑"/>
      <family val="2"/>
      <charset val="134"/>
    </font>
    <font>
      <sz val="10"/>
      <color theme="8"/>
      <name val="微软雅黑"/>
      <family val="2"/>
      <charset val="134"/>
    </font>
    <font>
      <sz val="11"/>
      <color theme="8"/>
      <name val="微软雅黑"/>
      <family val="2"/>
      <charset val="134"/>
    </font>
    <font>
      <sz val="11"/>
      <color theme="0"/>
      <name val="方正颜宋体"/>
      <charset val="134"/>
    </font>
    <font>
      <sz val="12"/>
      <name val="方正颜宋体"/>
      <charset val="134"/>
    </font>
    <font>
      <b/>
      <sz val="14"/>
      <color rgb="FF000000"/>
      <name val="宋体"/>
      <family val="3"/>
      <charset val="134"/>
    </font>
    <font>
      <sz val="10"/>
      <color rgb="FF02A5E3"/>
      <name val="微软雅黑"/>
      <family val="2"/>
      <charset val="134"/>
    </font>
    <font>
      <sz val="10"/>
      <color theme="0" tint="-0.499984740745262"/>
      <name val="微软雅黑"/>
      <family val="2"/>
      <charset val="134"/>
    </font>
    <font>
      <sz val="10"/>
      <color rgb="FFFF0000"/>
      <name val="宋体"/>
      <family val="3"/>
      <charset val="134"/>
    </font>
    <font>
      <sz val="10"/>
      <color rgb="FF3F3F3F"/>
      <name val="微软雅黑"/>
      <family val="2"/>
      <charset val="134"/>
    </font>
    <font>
      <sz val="11"/>
      <color rgb="FF3F3F3F"/>
      <name val="微软雅黑"/>
      <family val="2"/>
      <charset val="134"/>
    </font>
    <font>
      <sz val="10"/>
      <color rgb="FF595959"/>
      <name val="微软雅黑"/>
      <family val="2"/>
      <charset val="134"/>
    </font>
    <font>
      <sz val="9"/>
      <color rgb="FF595959"/>
      <name val="微软雅黑"/>
      <family val="2"/>
      <charset val="134"/>
    </font>
    <font>
      <b/>
      <sz val="10"/>
      <color rgb="FFBF0000"/>
      <name val="微软雅黑"/>
      <family val="2"/>
      <charset val="134"/>
    </font>
    <font>
      <b/>
      <sz val="11"/>
      <color rgb="FFBF0000"/>
      <name val="微软雅黑"/>
      <family val="2"/>
      <charset val="134"/>
    </font>
    <font>
      <sz val="24"/>
      <color rgb="FF0C0C0C"/>
      <name val="微软雅黑"/>
      <family val="2"/>
      <charset val="134"/>
    </font>
    <font>
      <sz val="9"/>
      <color theme="1" tint="4.9989318521683403E-2"/>
      <name val="微软雅黑"/>
      <family val="2"/>
      <charset val="134"/>
    </font>
    <font>
      <sz val="10"/>
      <color rgb="FF7F7F7F"/>
      <name val="微软雅黑"/>
      <family val="2"/>
      <charset val="134"/>
    </font>
    <font>
      <sz val="16"/>
      <color rgb="FF000000"/>
      <name val="微软雅黑"/>
      <family val="2"/>
      <charset val="134"/>
    </font>
    <font>
      <sz val="10"/>
      <color theme="1" tint="0.499984740745262"/>
      <name val="微软雅黑"/>
      <family val="2"/>
      <charset val="134"/>
    </font>
    <font>
      <sz val="11"/>
      <color theme="1" tint="0.499984740745262"/>
      <name val="微软雅黑"/>
      <family val="2"/>
      <charset val="134"/>
    </font>
    <font>
      <sz val="8"/>
      <color rgb="FF2F5597"/>
      <name val="微软雅黑"/>
      <family val="2"/>
      <charset val="134"/>
    </font>
    <font>
      <sz val="12"/>
      <color rgb="FF000000"/>
      <name val="宋体"/>
      <family val="3"/>
      <charset val="134"/>
    </font>
    <font>
      <b/>
      <sz val="9"/>
      <color rgb="FF000000"/>
      <name val="微软雅黑"/>
      <family val="2"/>
      <charset val="134"/>
    </font>
    <font>
      <sz val="9"/>
      <color rgb="FF2F5597"/>
      <name val="华文中宋"/>
      <family val="3"/>
      <charset val="134"/>
    </font>
    <font>
      <b/>
      <sz val="9"/>
      <color rgb="FF2F5597"/>
      <name val="微软雅黑"/>
      <family val="2"/>
      <charset val="134"/>
    </font>
    <font>
      <b/>
      <sz val="11"/>
      <color rgb="FF2F5597"/>
      <name val="微软雅黑"/>
      <family val="2"/>
      <charset val="134"/>
    </font>
    <font>
      <sz val="8"/>
      <color rgb="FFFF0000"/>
      <name val="微软雅黑"/>
      <family val="2"/>
      <charset val="134"/>
    </font>
    <font>
      <sz val="12"/>
      <color theme="1"/>
      <name val="宋体"/>
      <family val="3"/>
      <charset val="134"/>
      <scheme val="minor"/>
    </font>
    <font>
      <b/>
      <sz val="12"/>
      <color theme="0"/>
      <name val="微软雅黑"/>
      <family val="2"/>
      <charset val="134"/>
    </font>
    <font>
      <sz val="14"/>
      <color rgb="FFC00000"/>
      <name val="微软雅黑"/>
      <family val="2"/>
      <charset val="134"/>
    </font>
    <font>
      <b/>
      <sz val="11"/>
      <color theme="0"/>
      <name val="微软雅黑"/>
      <family val="2"/>
      <charset val="134"/>
    </font>
    <font>
      <sz val="14"/>
      <color rgb="FF00B050"/>
      <name val="等线"/>
      <family val="3"/>
      <charset val="134"/>
    </font>
    <font>
      <sz val="14"/>
      <color rgb="FFBFBFBF"/>
      <name val="等线"/>
      <family val="3"/>
      <charset val="134"/>
    </font>
    <font>
      <u/>
      <sz val="11"/>
      <color rgb="FF0000FF"/>
      <name val="宋体"/>
      <family val="3"/>
      <charset val="134"/>
      <scheme val="minor"/>
    </font>
    <font>
      <sz val="11"/>
      <color theme="0"/>
      <name val="宋体"/>
      <family val="3"/>
      <charset val="134"/>
      <scheme val="minor"/>
    </font>
    <font>
      <sz val="11"/>
      <color theme="1"/>
      <name val="宋体"/>
      <family val="3"/>
      <charset val="134"/>
      <scheme val="minor"/>
    </font>
    <font>
      <b/>
      <sz val="11"/>
      <color indexed="10"/>
      <name val="方正颜宋体"/>
      <charset val="134"/>
    </font>
    <font>
      <sz val="11.5"/>
      <color rgb="FF05073B"/>
      <name val="Segoe UI"/>
      <family val="2"/>
    </font>
    <font>
      <sz val="11"/>
      <color indexed="8"/>
      <name val="微软雅黑 Light"/>
      <family val="2"/>
      <charset val="134"/>
    </font>
    <font>
      <sz val="10"/>
      <color indexed="8"/>
      <name val="Arial Unicode MS"/>
      <family val="2"/>
    </font>
    <font>
      <sz val="11.5"/>
      <color rgb="FF05073B"/>
      <name val="PingFang-SC-Regular"/>
      <family val="1"/>
    </font>
    <font>
      <sz val="13.5"/>
      <color rgb="FF05073B"/>
      <name val="Segoe UI"/>
      <family val="2"/>
    </font>
    <font>
      <sz val="10"/>
      <name val="方正颜宋体"/>
      <charset val="134"/>
    </font>
    <font>
      <b/>
      <sz val="14"/>
      <color rgb="FF000000"/>
      <name val="微软雅黑"/>
      <family val="2"/>
      <charset val="134"/>
    </font>
    <font>
      <b/>
      <sz val="14"/>
      <color indexed="8"/>
      <name val="微软雅黑"/>
      <family val="2"/>
      <charset val="134"/>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sz val="11"/>
      <color rgb="FF7030A0"/>
      <name val="微软雅黑"/>
      <family val="2"/>
      <charset val="134"/>
    </font>
    <font>
      <b/>
      <sz val="11"/>
      <color rgb="FFFF0000"/>
      <name val="方正颜宋体"/>
      <charset val="134"/>
    </font>
    <font>
      <sz val="11"/>
      <name val="宋体"/>
      <family val="3"/>
      <charset val="134"/>
    </font>
    <font>
      <b/>
      <sz val="9"/>
      <name val="宋体"/>
      <family val="3"/>
      <charset val="134"/>
    </font>
    <font>
      <sz val="9"/>
      <name val="宋体"/>
      <family val="3"/>
      <charset val="134"/>
    </font>
    <font>
      <sz val="8"/>
      <name val="方正颜宋体"/>
      <charset val="134"/>
    </font>
    <font>
      <sz val="10"/>
      <color rgb="FF000000"/>
      <name val="微软雅黑"/>
      <family val="2"/>
      <charset val="134"/>
    </font>
    <font>
      <sz val="11"/>
      <color rgb="FF000000"/>
      <name val="微软雅黑 Light"/>
      <family val="2"/>
      <charset val="134"/>
    </font>
    <font>
      <sz val="10"/>
      <color rgb="FF000000"/>
      <name val="宋体"/>
      <family val="3"/>
      <charset val="134"/>
    </font>
    <font>
      <sz val="10"/>
      <name val="宋体"/>
      <family val="3"/>
      <charset val="134"/>
    </font>
    <font>
      <sz val="14"/>
      <color rgb="FF000000"/>
      <name val="微软雅黑"/>
      <family val="2"/>
      <charset val="134"/>
    </font>
    <font>
      <sz val="12"/>
      <color rgb="FF000000"/>
      <name val="微软雅黑"/>
      <family val="2"/>
      <charset val="134"/>
    </font>
    <font>
      <b/>
      <sz val="12"/>
      <color rgb="FF000000"/>
      <name val="微软雅黑"/>
      <family val="2"/>
      <charset val="134"/>
    </font>
    <font>
      <sz val="18"/>
      <color rgb="FF000000"/>
      <name val="微软雅黑"/>
      <family val="2"/>
      <charset val="134"/>
    </font>
    <font>
      <sz val="10"/>
      <color rgb="FF000000"/>
      <name val="微软雅黑 Light"/>
      <family val="2"/>
      <charset val="134"/>
    </font>
    <font>
      <sz val="12"/>
      <name val="微软雅黑 Light"/>
      <family val="2"/>
      <charset val="134"/>
    </font>
    <font>
      <sz val="12"/>
      <color rgb="FF2F75B6"/>
      <name val="微软雅黑 Light"/>
      <family val="2"/>
      <charset val="134"/>
    </font>
    <font>
      <b/>
      <sz val="12"/>
      <color rgb="FFD58B43"/>
      <name val="微软雅黑 Light"/>
      <family val="2"/>
      <charset val="134"/>
    </font>
    <font>
      <b/>
      <sz val="12"/>
      <name val="微软雅黑 Light"/>
      <family val="2"/>
      <charset val="134"/>
    </font>
    <font>
      <b/>
      <sz val="18"/>
      <name val="微软雅黑"/>
      <family val="2"/>
      <charset val="134"/>
    </font>
    <font>
      <sz val="14"/>
      <name val="微软雅黑"/>
      <family val="2"/>
      <charset val="134"/>
    </font>
    <font>
      <sz val="10"/>
      <name val="微软雅黑"/>
      <family val="2"/>
      <charset val="134"/>
    </font>
    <font>
      <sz val="16"/>
      <name val="微软雅黑"/>
      <family val="2"/>
      <charset val="134"/>
    </font>
    <font>
      <b/>
      <sz val="12"/>
      <name val="微软雅黑"/>
      <family val="2"/>
      <charset val="134"/>
    </font>
    <font>
      <sz val="12"/>
      <name val="微软雅黑"/>
      <family val="2"/>
      <charset val="134"/>
    </font>
    <font>
      <b/>
      <sz val="14"/>
      <name val="微软雅黑"/>
      <family val="2"/>
      <charset val="134"/>
    </font>
    <font>
      <b/>
      <sz val="16"/>
      <name val="微软雅黑"/>
      <family val="2"/>
      <charset val="134"/>
    </font>
    <font>
      <sz val="11"/>
      <name val="微软雅黑"/>
      <family val="2"/>
      <charset val="134"/>
    </font>
    <font>
      <sz val="8"/>
      <name val="微软雅黑"/>
      <family val="2"/>
      <charset val="134"/>
    </font>
    <font>
      <b/>
      <sz val="11"/>
      <color rgb="FF000000"/>
      <name val="微软雅黑"/>
      <family val="2"/>
      <charset val="134"/>
    </font>
    <font>
      <sz val="11"/>
      <color rgb="FF000000"/>
      <name val="微软雅黑"/>
      <family val="2"/>
      <charset val="134"/>
    </font>
    <font>
      <i/>
      <sz val="9"/>
      <color rgb="FF000000"/>
      <name val="微软雅黑"/>
      <family val="2"/>
      <charset val="134"/>
    </font>
    <font>
      <sz val="11"/>
      <color rgb="FF36363D"/>
      <name val="微软雅黑"/>
      <family val="2"/>
      <charset val="134"/>
    </font>
    <font>
      <sz val="11"/>
      <color rgb="FFFF0000"/>
      <name val="微软雅黑"/>
      <family val="2"/>
      <charset val="134"/>
    </font>
    <font>
      <sz val="9"/>
      <name val="宋体"/>
      <family val="3"/>
      <charset val="134"/>
      <scheme val="minor"/>
    </font>
  </fonts>
  <fills count="144">
    <fill>
      <patternFill patternType="none"/>
    </fill>
    <fill>
      <patternFill patternType="gray125"/>
    </fill>
    <fill>
      <patternFill patternType="solid">
        <fgColor rgb="FFF2F2F2"/>
        <bgColor indexed="64"/>
      </patternFill>
    </fill>
    <fill>
      <patternFill patternType="solid">
        <fgColor rgb="FF2F75B6"/>
        <bgColor indexed="64"/>
      </patternFill>
    </fill>
    <fill>
      <patternFill patternType="solid">
        <fgColor rgb="FFBED7EE"/>
        <bgColor indexed="64"/>
      </patternFill>
    </fill>
    <fill>
      <patternFill patternType="solid">
        <fgColor theme="0"/>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2F75B5"/>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D8D8D8"/>
        <bgColor indexed="64"/>
      </patternFill>
    </fill>
    <fill>
      <patternFill patternType="solid">
        <fgColor rgb="FFFEE299"/>
        <bgColor indexed="64"/>
      </patternFill>
    </fill>
    <fill>
      <patternFill patternType="solid">
        <fgColor rgb="FFCEFFC1"/>
        <bgColor indexed="64"/>
      </patternFill>
    </fill>
    <fill>
      <patternFill patternType="solid">
        <fgColor rgb="FFBCFFE8"/>
        <bgColor indexed="64"/>
      </patternFill>
    </fill>
    <fill>
      <patternFill patternType="solid">
        <fgColor rgb="FFE4BAFF"/>
        <bgColor indexed="64"/>
      </patternFill>
    </fill>
    <fill>
      <patternFill patternType="solid">
        <fgColor rgb="FFFFFFCD"/>
        <bgColor indexed="64"/>
      </patternFill>
    </fill>
    <fill>
      <patternFill patternType="solid">
        <fgColor rgb="FFFEB497"/>
        <bgColor indexed="64"/>
      </patternFill>
    </fill>
    <fill>
      <patternFill patternType="solid">
        <fgColor rgb="FF3284CA"/>
        <bgColor indexed="64"/>
      </patternFill>
    </fill>
    <fill>
      <patternFill patternType="solid">
        <fgColor rgb="FFEDEDED"/>
        <bgColor indexed="64"/>
      </patternFill>
    </fill>
    <fill>
      <patternFill patternType="solid">
        <fgColor rgb="FFFFD3D3"/>
        <bgColor indexed="64"/>
      </patternFill>
    </fill>
    <fill>
      <patternFill patternType="solid">
        <fgColor rgb="FFFFEDED"/>
        <bgColor indexed="64"/>
      </patternFill>
    </fill>
    <fill>
      <patternFill patternType="solid">
        <fgColor theme="4" tint="-0.249977111117893"/>
        <bgColor indexed="64"/>
      </patternFill>
    </fill>
    <fill>
      <patternFill patternType="solid">
        <fgColor rgb="FFDDEBF7"/>
        <bgColor indexed="64"/>
      </patternFill>
    </fill>
    <fill>
      <patternFill patternType="solid">
        <fgColor rgb="FFD4D6F7"/>
        <bgColor indexed="64"/>
      </patternFill>
    </fill>
    <fill>
      <patternFill patternType="solid">
        <fgColor rgb="FFD5F4F6"/>
        <bgColor indexed="64"/>
      </patternFill>
    </fill>
    <fill>
      <patternFill patternType="solid">
        <fgColor rgb="FF80BEF8"/>
        <bgColor indexed="64"/>
      </patternFill>
    </fill>
    <fill>
      <patternFill patternType="solid">
        <fgColor rgb="FFBBD8FB"/>
        <bgColor indexed="64"/>
      </patternFill>
    </fill>
    <fill>
      <patternFill patternType="solid">
        <fgColor rgb="FFFFFF00"/>
        <bgColor indexed="64"/>
      </patternFill>
    </fill>
    <fill>
      <patternFill patternType="solid">
        <fgColor rgb="FFC4D9FF"/>
        <bgColor indexed="64"/>
      </patternFill>
    </fill>
    <fill>
      <patternFill patternType="solid">
        <fgColor theme="4" tint="0.79992065187536243"/>
        <bgColor indexed="64"/>
      </patternFill>
    </fill>
    <fill>
      <patternFill patternType="solid">
        <fgColor rgb="FFCFF8DF"/>
        <bgColor indexed="64"/>
      </patternFill>
    </fill>
    <fill>
      <patternFill patternType="solid">
        <fgColor theme="4" tint="0.79995117038483843"/>
        <bgColor indexed="64"/>
      </patternFill>
    </fill>
    <fill>
      <patternFill patternType="solid">
        <fgColor rgb="FFC7D5F2"/>
        <bgColor indexed="64"/>
      </patternFill>
    </fill>
    <fill>
      <patternFill patternType="solid">
        <fgColor rgb="FFD1CDF4"/>
        <bgColor indexed="64"/>
      </patternFill>
    </fill>
    <fill>
      <patternFill patternType="solid">
        <fgColor rgb="FFD0FBF3"/>
        <bgColor indexed="64"/>
      </patternFill>
    </fill>
    <fill>
      <patternFill patternType="solid">
        <fgColor rgb="FFBDD7EE"/>
        <bgColor indexed="64"/>
      </patternFill>
    </fill>
    <fill>
      <patternFill patternType="solid">
        <fgColor theme="4" tint="0.59999389629810485"/>
        <bgColor indexed="64"/>
      </patternFill>
    </fill>
    <fill>
      <patternFill patternType="solid">
        <fgColor rgb="FF3D6DBD"/>
        <bgColor indexed="64"/>
      </patternFill>
    </fill>
    <fill>
      <patternFill patternType="solid">
        <fgColor rgb="FF0066FF"/>
        <bgColor indexed="64"/>
      </patternFill>
    </fill>
    <fill>
      <patternFill patternType="solid">
        <fgColor rgb="FFC5E0B3"/>
        <bgColor indexed="64"/>
      </patternFill>
    </fill>
    <fill>
      <patternFill patternType="solid">
        <fgColor rgb="FFA8D08E"/>
        <bgColor indexed="64"/>
      </patternFill>
    </fill>
    <fill>
      <patternFill patternType="solid">
        <fgColor rgb="FFE2EFD9"/>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A3FF71"/>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C0C0C0"/>
        <bgColor indexed="64"/>
      </patternFill>
    </fill>
    <fill>
      <patternFill patternType="solid">
        <fgColor rgb="FFFFF1C5"/>
        <bgColor indexed="64"/>
      </patternFill>
    </fill>
    <fill>
      <patternFill patternType="solid">
        <fgColor rgb="FFE5FD99"/>
        <bgColor indexed="64"/>
      </patternFill>
    </fill>
    <fill>
      <patternFill patternType="solid">
        <fgColor rgb="FFFFD865"/>
        <bgColor indexed="64"/>
      </patternFill>
    </fill>
    <fill>
      <patternFill patternType="solid">
        <fgColor rgb="FFD8ECD9"/>
        <bgColor indexed="64"/>
      </patternFill>
    </fill>
    <fill>
      <patternFill patternType="solid">
        <fgColor rgb="FF548235"/>
        <bgColor indexed="64"/>
      </patternFill>
    </fill>
    <fill>
      <patternFill patternType="solid">
        <fgColor rgb="FFB6B6B6"/>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C69CFF"/>
        <bgColor indexed="64"/>
      </patternFill>
    </fill>
    <fill>
      <patternFill patternType="solid">
        <fgColor rgb="FFFFCFCF"/>
        <bgColor indexed="64"/>
      </patternFill>
    </fill>
    <fill>
      <patternFill patternType="solid">
        <fgColor rgb="FF7030A0"/>
        <bgColor indexed="64"/>
      </patternFill>
    </fill>
    <fill>
      <patternFill patternType="solid">
        <fgColor rgb="FFFFFFFF"/>
        <bgColor indexed="64"/>
      </patternFill>
    </fill>
    <fill>
      <patternFill patternType="solid">
        <fgColor theme="4"/>
        <bgColor indexed="64"/>
      </patternFill>
    </fill>
    <fill>
      <patternFill patternType="solid">
        <fgColor rgb="FF78B64A"/>
        <bgColor indexed="64"/>
      </patternFill>
    </fill>
    <fill>
      <patternFill patternType="solid">
        <fgColor rgb="FFCCFECC"/>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8" tint="0.39997558519241921"/>
        <bgColor indexed="64"/>
      </patternFill>
    </fill>
    <fill>
      <patternFill patternType="solid">
        <fgColor rgb="FFDEEAF6"/>
        <bgColor rgb="FFDEEAF6"/>
      </patternFill>
    </fill>
    <fill>
      <patternFill patternType="solid">
        <fgColor theme="0"/>
        <bgColor rgb="FFDEEAF6"/>
      </patternFill>
    </fill>
    <fill>
      <patternFill patternType="solid">
        <fgColor rgb="FF8AC08E"/>
        <bgColor indexed="64"/>
      </patternFill>
    </fill>
    <fill>
      <patternFill patternType="solid">
        <fgColor theme="4" tint="0.39991454817346722"/>
        <bgColor indexed="64"/>
      </patternFill>
    </fill>
    <fill>
      <patternFill patternType="solid">
        <fgColor rgb="FF91AADF"/>
        <bgColor indexed="64"/>
      </patternFill>
    </fill>
    <fill>
      <patternFill patternType="solid">
        <fgColor rgb="FF7CB1DE"/>
        <bgColor indexed="64"/>
      </patternFill>
    </fill>
    <fill>
      <patternFill patternType="solid">
        <fgColor rgb="FF5C9BD5"/>
        <bgColor rgb="FF5C9BD5"/>
      </patternFill>
    </fill>
    <fill>
      <patternFill patternType="solid">
        <fgColor rgb="FFD7E7DD"/>
        <bgColor indexed="64"/>
      </patternFill>
    </fill>
    <fill>
      <patternFill patternType="solid">
        <fgColor rgb="FFEBDBAC"/>
        <bgColor indexed="64"/>
      </patternFill>
    </fill>
    <fill>
      <patternFill patternType="solid">
        <fgColor rgb="FFCEFDBC"/>
        <bgColor indexed="64"/>
      </patternFill>
    </fill>
    <fill>
      <patternFill patternType="solid">
        <fgColor rgb="FFE9C998"/>
        <bgColor indexed="64"/>
      </patternFill>
    </fill>
    <fill>
      <patternFill patternType="solid">
        <fgColor theme="7" tint="0.39997558519241921"/>
        <bgColor indexed="64"/>
      </patternFill>
    </fill>
    <fill>
      <patternFill patternType="solid">
        <fgColor rgb="FFF7FD9D"/>
        <bgColor indexed="64"/>
      </patternFill>
    </fill>
    <fill>
      <patternFill patternType="solid">
        <fgColor theme="4" tint="0.79998168889431442"/>
        <bgColor indexed="64"/>
      </patternFill>
    </fill>
    <fill>
      <patternFill patternType="solid">
        <fgColor rgb="FFA2C7B6"/>
        <bgColor indexed="64"/>
      </patternFill>
    </fill>
    <fill>
      <patternFill patternType="solid">
        <fgColor rgb="FFF7FC7E"/>
        <bgColor indexed="64"/>
      </patternFill>
    </fill>
    <fill>
      <patternFill patternType="solid">
        <fgColor rgb="FFC2BFD0"/>
        <bgColor indexed="64"/>
      </patternFill>
    </fill>
    <fill>
      <patternFill patternType="solid">
        <fgColor theme="0" tint="-4.9989318521683403E-2"/>
        <bgColor indexed="64"/>
      </patternFill>
    </fill>
    <fill>
      <patternFill patternType="solid">
        <fgColor theme="8" tint="0.59999389629810485"/>
        <bgColor indexed="64"/>
      </patternFill>
    </fill>
    <fill>
      <patternFill patternType="solid">
        <fgColor theme="5" tint="0.79995117038483843"/>
        <bgColor indexed="64"/>
      </patternFill>
    </fill>
    <fill>
      <patternFill patternType="solid">
        <fgColor rgb="FFCEEC72"/>
        <bgColor indexed="64"/>
      </patternFill>
    </fill>
    <fill>
      <patternFill patternType="solid">
        <fgColor rgb="FFA8A0B7"/>
        <bgColor indexed="64"/>
      </patternFill>
    </fill>
    <fill>
      <patternFill patternType="solid">
        <fgColor rgb="FFC9DFF1"/>
        <bgColor indexed="64"/>
      </patternFill>
    </fill>
    <fill>
      <patternFill patternType="solid">
        <fgColor rgb="FFDAE8CE"/>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rgb="FFF5F2C9"/>
        <bgColor indexed="64"/>
      </patternFill>
    </fill>
    <fill>
      <patternFill patternType="solid">
        <fgColor rgb="FFF7EA68"/>
        <bgColor indexed="64"/>
      </patternFill>
    </fill>
    <fill>
      <patternFill patternType="solid">
        <fgColor rgb="FFEDD9B4"/>
        <bgColor indexed="64"/>
      </patternFill>
    </fill>
    <fill>
      <patternFill patternType="solid">
        <fgColor theme="5" tint="0.79998168889431442"/>
        <bgColor indexed="64"/>
      </patternFill>
    </fill>
    <fill>
      <patternFill patternType="solid">
        <fgColor rgb="FFF6EDCE"/>
        <bgColor indexed="64"/>
      </patternFill>
    </fill>
    <fill>
      <patternFill patternType="solid">
        <fgColor theme="6" tint="0.39997558519241921"/>
        <bgColor indexed="64"/>
      </patternFill>
    </fill>
    <fill>
      <patternFill patternType="solid">
        <fgColor rgb="FFA19AAC"/>
        <bgColor indexed="64"/>
      </patternFill>
    </fill>
    <fill>
      <patternFill patternType="solid">
        <fgColor rgb="FFA9A3BF"/>
        <bgColor indexed="64"/>
      </patternFill>
    </fill>
    <fill>
      <patternFill patternType="solid">
        <fgColor rgb="FF9BC2E6"/>
        <bgColor indexed="64"/>
      </patternFill>
    </fill>
    <fill>
      <patternFill patternType="solid">
        <fgColor theme="2" tint="-0.499984740745262"/>
        <bgColor indexed="64"/>
      </patternFill>
    </fill>
    <fill>
      <patternFill patternType="solid">
        <fgColor rgb="FFB9B7C4"/>
        <bgColor indexed="64"/>
      </patternFill>
    </fill>
    <fill>
      <patternFill patternType="solid">
        <fgColor theme="0" tint="-0.249977111117893"/>
        <bgColor indexed="64"/>
      </patternFill>
    </fill>
    <fill>
      <patternFill patternType="solid">
        <fgColor rgb="FFC6E0B4"/>
        <bgColor indexed="64"/>
      </patternFill>
    </fill>
    <fill>
      <patternFill patternType="solid">
        <fgColor theme="7" tint="0.79998168889431442"/>
        <bgColor indexed="64"/>
      </patternFill>
    </fill>
    <fill>
      <patternFill patternType="solid">
        <fgColor rgb="FFB4C6E7"/>
        <bgColor indexed="64"/>
      </patternFill>
    </fill>
    <fill>
      <patternFill patternType="solid">
        <fgColor rgb="FFE2EFDA"/>
        <bgColor indexed="64"/>
      </patternFill>
    </fill>
    <fill>
      <patternFill patternType="solid">
        <fgColor rgb="FFD9E1F2"/>
        <bgColor indexed="64"/>
      </patternFill>
    </fill>
    <fill>
      <patternFill patternType="solid">
        <fgColor rgb="FFD9E1F4"/>
        <bgColor indexed="64"/>
      </patternFill>
    </fill>
    <fill>
      <patternFill patternType="solid">
        <fgColor rgb="FFD4DFA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8B7E9A"/>
        <bgColor indexed="64"/>
      </patternFill>
    </fill>
    <fill>
      <patternFill patternType="solid">
        <fgColor theme="9" tint="0.39997558519241921"/>
        <bgColor indexed="64"/>
      </patternFill>
    </fill>
    <fill>
      <patternFill patternType="solid">
        <fgColor rgb="FF9AC6A3"/>
        <bgColor indexed="64"/>
      </patternFill>
    </fill>
    <fill>
      <patternFill patternType="solid">
        <fgColor rgb="FFF8F7E5"/>
        <bgColor indexed="64"/>
      </patternFill>
    </fill>
    <fill>
      <patternFill patternType="solid">
        <fgColor rgb="FF63973D"/>
        <bgColor indexed="64"/>
      </patternFill>
    </fill>
    <fill>
      <patternFill patternType="solid">
        <fgColor rgb="FF4176CF"/>
        <bgColor indexed="64"/>
      </patternFill>
    </fill>
    <fill>
      <patternFill patternType="solid">
        <fgColor rgb="FFB8D0ED"/>
        <bgColor indexed="64"/>
      </patternFill>
    </fill>
    <fill>
      <patternFill patternType="solid">
        <fgColor rgb="FF499EA1"/>
        <bgColor indexed="64"/>
      </patternFill>
    </fill>
    <fill>
      <patternFill patternType="solid">
        <fgColor rgb="FFBCEDEF"/>
        <bgColor indexed="64"/>
      </patternFill>
    </fill>
    <fill>
      <patternFill patternType="solid">
        <fgColor rgb="FFDDEBDE"/>
        <bgColor indexed="64"/>
      </patternFill>
    </fill>
    <fill>
      <patternFill patternType="solid">
        <fgColor rgb="FF23AF6B"/>
        <bgColor indexed="64"/>
      </patternFill>
    </fill>
    <fill>
      <patternFill patternType="solid">
        <fgColor rgb="FFAEF1D2"/>
        <bgColor indexed="64"/>
      </patternFill>
    </fill>
    <fill>
      <patternFill patternType="solid">
        <fgColor theme="4" tint="0.39994506668294322"/>
        <bgColor indexed="64"/>
      </patternFill>
    </fill>
  </fills>
  <borders count="406">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right style="medium">
        <color auto="1"/>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right style="medium">
        <color auto="1"/>
      </right>
      <top/>
      <bottom style="thin">
        <color rgb="FF7F7F7F"/>
      </bottom>
      <diagonal/>
    </border>
    <border>
      <left style="medium">
        <color auto="1"/>
      </left>
      <right/>
      <top style="thin">
        <color auto="1"/>
      </top>
      <bottom/>
      <diagonal/>
    </border>
    <border>
      <left/>
      <right style="medium">
        <color auto="1"/>
      </right>
      <top style="thin">
        <color auto="1"/>
      </top>
      <bottom/>
      <diagonal/>
    </border>
    <border>
      <left/>
      <right style="medium">
        <color auto="1"/>
      </right>
      <top/>
      <bottom style="thin">
        <color auto="1"/>
      </bottom>
      <diagonal/>
    </border>
    <border>
      <left style="medium">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right style="thin">
        <color rgb="FF7F7F7F"/>
      </right>
      <top/>
      <bottom style="thin">
        <color rgb="FF7F7F7F"/>
      </bottom>
      <diagonal/>
    </border>
    <border>
      <left/>
      <right style="thin">
        <color rgb="FF7F7F7F"/>
      </right>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bottom/>
      <diagonal/>
    </border>
    <border>
      <left style="thin">
        <color rgb="FF7F7F7F"/>
      </left>
      <right/>
      <top/>
      <bottom style="thin">
        <color rgb="FF7F7F7F"/>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right style="medium">
        <color auto="1"/>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medium">
        <color auto="1"/>
      </right>
      <top/>
      <bottom style="thin">
        <color rgb="FFA5A5A5"/>
      </bottom>
      <diagonal/>
    </border>
    <border>
      <left style="thin">
        <color rgb="FFA5A5A5"/>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thin">
        <color rgb="FFBFBFBF"/>
      </top>
      <bottom/>
      <diagonal/>
    </border>
    <border>
      <left/>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medium">
        <color auto="1"/>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style="thin">
        <color rgb="FFBFBFBF"/>
      </right>
      <top/>
      <bottom/>
      <diagonal/>
    </border>
    <border>
      <left style="thin">
        <color rgb="FFBFBFBF"/>
      </left>
      <right/>
      <top/>
      <bottom/>
      <diagonal/>
    </border>
    <border>
      <left style="thin">
        <color rgb="FFBFBFBF"/>
      </left>
      <right/>
      <top/>
      <bottom style="thin">
        <color rgb="FFBFBFBF"/>
      </bottom>
      <diagonal/>
    </border>
    <border>
      <left/>
      <right style="medium">
        <color auto="1"/>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right style="medium">
        <color auto="1"/>
      </right>
      <top style="thin">
        <color rgb="FFBFBFBF"/>
      </top>
      <bottom style="thin">
        <color rgb="FFBFBFBF"/>
      </bottom>
      <diagonal/>
    </border>
    <border>
      <left/>
      <right style="thin">
        <color rgb="FFBFBFBF"/>
      </right>
      <top/>
      <bottom/>
      <diagonal/>
    </border>
    <border>
      <left/>
      <right style="thin">
        <color rgb="FFBFBFBF"/>
      </right>
      <top/>
      <bottom style="medium">
        <color auto="1"/>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n">
        <color rgb="FFBFBFBF"/>
      </left>
      <right style="thin">
        <color rgb="FFBFBFBF"/>
      </right>
      <top/>
      <bottom style="medium">
        <color auto="1"/>
      </bottom>
      <diagonal/>
    </border>
    <border>
      <left style="thick">
        <color rgb="FFC0C0C0"/>
      </left>
      <right/>
      <top/>
      <bottom/>
      <diagonal/>
    </border>
    <border>
      <left style="thick">
        <color rgb="FFFF66CC"/>
      </left>
      <right style="thin">
        <color auto="1"/>
      </right>
      <top/>
      <bottom style="thin">
        <color auto="1"/>
      </bottom>
      <diagonal/>
    </border>
    <border>
      <left style="thick">
        <color rgb="FFFF8787"/>
      </left>
      <right/>
      <top/>
      <bottom/>
      <diagonal/>
    </border>
    <border>
      <left/>
      <right style="thick">
        <color rgb="FFFCF584"/>
      </right>
      <top/>
      <bottom/>
      <diagonal/>
    </border>
    <border>
      <left/>
      <right style="thick">
        <color rgb="FF8DFF81"/>
      </right>
      <top/>
      <bottom/>
      <diagonal/>
    </border>
    <border>
      <left/>
      <right style="thick">
        <color rgb="FFA3FF71"/>
      </right>
      <top/>
      <bottom/>
      <diagonal/>
    </border>
    <border>
      <left style="thick">
        <color rgb="FF81E9FF"/>
      </left>
      <right/>
      <top/>
      <bottom/>
      <diagonal/>
    </border>
    <border>
      <left/>
      <right style="thick">
        <color rgb="FFBD81FF"/>
      </right>
      <top/>
      <bottom/>
      <diagonal/>
    </border>
    <border>
      <left/>
      <right style="thick">
        <color rgb="FFC0C0C0"/>
      </right>
      <top/>
      <bottom/>
      <diagonal/>
    </border>
    <border>
      <left style="thick">
        <color rgb="FFFFF1C5"/>
      </left>
      <right/>
      <top/>
      <bottom/>
      <diagonal/>
    </border>
    <border>
      <left/>
      <right style="thick">
        <color rgb="FF81E9FF"/>
      </right>
      <top/>
      <bottom/>
      <diagonal/>
    </border>
    <border>
      <left style="thick">
        <color rgb="FF8DFF81"/>
      </left>
      <right/>
      <top style="thick">
        <color rgb="FF8DFF81"/>
      </top>
      <bottom/>
      <diagonal/>
    </border>
    <border>
      <left/>
      <right/>
      <top style="thick">
        <color rgb="FF8DFF81"/>
      </top>
      <bottom/>
      <diagonal/>
    </border>
    <border>
      <left/>
      <right style="thick">
        <color rgb="FFA3FF71"/>
      </right>
      <top style="thick">
        <color rgb="FF8DFF81"/>
      </top>
      <bottom/>
      <diagonal/>
    </border>
    <border>
      <left/>
      <right/>
      <top style="thick">
        <color rgb="FFB6B6B6"/>
      </top>
      <bottom/>
      <diagonal/>
    </border>
    <border>
      <left/>
      <right style="thick">
        <color rgb="FFB6B6B6"/>
      </right>
      <top style="thick">
        <color rgb="FFB6B6B6"/>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style="thick">
        <color rgb="FFB6B6B6"/>
      </right>
      <top/>
      <bottom/>
      <diagonal/>
    </border>
    <border>
      <left/>
      <right/>
      <top style="thick">
        <color rgb="FFFF8787"/>
      </top>
      <bottom/>
      <diagonal/>
    </border>
    <border>
      <left style="thick">
        <color rgb="FFFF8787"/>
      </left>
      <right/>
      <top style="thick">
        <color rgb="FFFF8787"/>
      </top>
      <bottom/>
      <diagonal/>
    </border>
    <border>
      <left/>
      <right/>
      <top/>
      <bottom style="thick">
        <color rgb="FFB6B6B6"/>
      </bottom>
      <diagonal/>
    </border>
    <border>
      <left/>
      <right/>
      <top style="thick">
        <color rgb="FFA3FF71"/>
      </top>
      <bottom/>
      <diagonal/>
    </border>
    <border>
      <left/>
      <right style="mediumDashed">
        <color rgb="FFC0C0C0"/>
      </right>
      <top/>
      <bottom/>
      <diagonal/>
    </border>
    <border>
      <left/>
      <right style="thick">
        <color rgb="FFFF8787"/>
      </right>
      <top/>
      <bottom/>
      <diagonal/>
    </border>
    <border>
      <left/>
      <right/>
      <top/>
      <bottom style="thick">
        <color rgb="FFFF8787"/>
      </bottom>
      <diagonal/>
    </border>
    <border>
      <left/>
      <right/>
      <top/>
      <bottom style="thick">
        <color rgb="FFA3FF71"/>
      </bottom>
      <diagonal/>
    </border>
    <border>
      <left/>
      <right style="thick">
        <color rgb="FFA3FF71"/>
      </right>
      <top/>
      <bottom style="thick">
        <color rgb="FFA3FF71"/>
      </bottom>
      <diagonal/>
    </border>
    <border>
      <left style="thick">
        <color rgb="FFA3FF71"/>
      </left>
      <right/>
      <top/>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right style="medium">
        <color auto="1"/>
      </right>
      <top style="medium">
        <color auto="1"/>
      </top>
      <bottom style="thin">
        <color rgb="FFBFBFBF"/>
      </bottom>
      <diagonal/>
    </border>
    <border>
      <left style="thin">
        <color rgb="FFBFBFBF"/>
      </left>
      <right style="thin">
        <color rgb="FFBFBFBF"/>
      </right>
      <top/>
      <bottom style="thin">
        <color rgb="FFBFBFBF"/>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n">
        <color auto="1"/>
      </right>
      <top/>
      <bottom style="thick">
        <color auto="1"/>
      </bottom>
      <diagonal/>
    </border>
    <border>
      <left/>
      <right style="thick">
        <color auto="1"/>
      </right>
      <top/>
      <bottom style="thick">
        <color auto="1"/>
      </bottom>
      <diagonal/>
    </border>
    <border>
      <left style="medium">
        <color auto="1"/>
      </left>
      <right style="thick">
        <color theme="0" tint="-0.14999847407452621"/>
      </right>
      <top/>
      <bottom/>
      <diagonal/>
    </border>
    <border>
      <left style="thick">
        <color theme="0" tint="-0.14999847407452621"/>
      </left>
      <right style="thick">
        <color theme="0" tint="-0.14999847407452621"/>
      </right>
      <top/>
      <bottom/>
      <diagonal/>
    </border>
    <border>
      <left style="thick">
        <color theme="0" tint="-0.14999847407452621"/>
      </left>
      <right style="thick">
        <color theme="0" tint="-0.14999847407452621"/>
      </right>
      <top/>
      <bottom style="thin">
        <color theme="0" tint="-4.9989318521683403E-2"/>
      </bottom>
      <diagonal/>
    </border>
    <border>
      <left style="thick">
        <color theme="0" tint="-0.14999847407452621"/>
      </left>
      <right style="medium">
        <color auto="1"/>
      </right>
      <top/>
      <bottom style="thin">
        <color theme="0" tint="-4.9989318521683403E-2"/>
      </bottom>
      <diagonal/>
    </border>
    <border>
      <left style="medium">
        <color auto="1"/>
      </left>
      <right style="medium">
        <color theme="0" tint="-4.9989318521683403E-2"/>
      </right>
      <top style="medium">
        <color auto="1"/>
      </top>
      <bottom style="medium">
        <color theme="0" tint="-4.9989318521683403E-2"/>
      </bottom>
      <diagonal/>
    </border>
    <border>
      <left style="medium">
        <color theme="0" tint="-4.9989318521683403E-2"/>
      </left>
      <right style="medium">
        <color auto="1"/>
      </right>
      <top style="medium">
        <color auto="1"/>
      </top>
      <bottom style="medium">
        <color theme="0" tint="-4.9989318521683403E-2"/>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style="medium">
        <color auto="1"/>
      </right>
      <top style="thin">
        <color theme="0" tint="-4.9989318521683403E-2"/>
      </top>
      <bottom style="thin">
        <color theme="0" tint="-4.9989318521683403E-2"/>
      </bottom>
      <diagonal/>
    </border>
    <border>
      <left style="medium">
        <color auto="1"/>
      </left>
      <right style="medium">
        <color theme="0" tint="-4.9989318521683403E-2"/>
      </right>
      <top style="medium">
        <color theme="0" tint="-4.9989318521683403E-2"/>
      </top>
      <bottom style="medium">
        <color theme="0" tint="-4.9989318521683403E-2"/>
      </bottom>
      <diagonal/>
    </border>
    <border>
      <left style="medium">
        <color theme="0" tint="-4.9989318521683403E-2"/>
      </left>
      <right style="medium">
        <color auto="1"/>
      </right>
      <top style="medium">
        <color theme="0" tint="-4.9989318521683403E-2"/>
      </top>
      <bottom style="medium">
        <color theme="0" tint="-4.9989318521683403E-2"/>
      </bottom>
      <diagonal/>
    </border>
    <border>
      <left/>
      <right/>
      <top style="thin">
        <color theme="0" tint="-4.9989318521683403E-2"/>
      </top>
      <bottom/>
      <diagonal/>
    </border>
    <border>
      <left/>
      <right style="thin">
        <color theme="0" tint="-4.9989318521683403E-2"/>
      </right>
      <top style="thin">
        <color theme="0" tint="-4.9989318521683403E-2"/>
      </top>
      <bottom/>
      <diagonal/>
    </border>
    <border>
      <left/>
      <right/>
      <top/>
      <bottom style="thin">
        <color theme="0" tint="-4.9989318521683403E-2"/>
      </bottom>
      <diagonal/>
    </border>
    <border>
      <left/>
      <right style="thin">
        <color theme="0" tint="-4.9989318521683403E-2"/>
      </right>
      <top/>
      <bottom style="thin">
        <color theme="0" tint="-4.9989318521683403E-2"/>
      </bottom>
      <diagonal/>
    </border>
    <border>
      <left/>
      <right style="thin">
        <color theme="0" tint="-4.9989318521683403E-2"/>
      </right>
      <top style="thin">
        <color theme="0" tint="-4.9989318521683403E-2"/>
      </top>
      <bottom style="thick">
        <color auto="1"/>
      </bottom>
      <diagonal/>
    </border>
    <border>
      <left style="thin">
        <color theme="0" tint="-4.9989318521683403E-2"/>
      </left>
      <right style="thin">
        <color theme="0" tint="-4.9989318521683403E-2"/>
      </right>
      <top style="thin">
        <color theme="0" tint="-4.9989318521683403E-2"/>
      </top>
      <bottom style="thick">
        <color auto="1"/>
      </bottom>
      <diagonal/>
    </border>
    <border>
      <left style="thin">
        <color theme="0" tint="-4.9989318521683403E-2"/>
      </left>
      <right style="medium">
        <color auto="1"/>
      </right>
      <top style="thin">
        <color theme="0" tint="-4.9989318521683403E-2"/>
      </top>
      <bottom style="thick">
        <color auto="1"/>
      </bottom>
      <diagonal/>
    </border>
    <border>
      <left style="medium">
        <color auto="1"/>
      </left>
      <right style="medium">
        <color theme="0" tint="-4.9989318521683403E-2"/>
      </right>
      <top style="medium">
        <color theme="0" tint="-4.9989318521683403E-2"/>
      </top>
      <bottom style="medium">
        <color auto="1"/>
      </bottom>
      <diagonal/>
    </border>
    <border>
      <left style="medium">
        <color theme="0" tint="-4.9989318521683403E-2"/>
      </left>
      <right style="medium">
        <color auto="1"/>
      </right>
      <top style="medium">
        <color theme="0" tint="-4.9989318521683403E-2"/>
      </top>
      <bottom style="medium">
        <color auto="1"/>
      </bottom>
      <diagonal/>
    </border>
    <border>
      <left style="medium">
        <color theme="1"/>
      </left>
      <right/>
      <top style="medium">
        <color theme="1"/>
      </top>
      <bottom/>
      <diagonal/>
    </border>
    <border>
      <left/>
      <right/>
      <top style="medium">
        <color theme="1"/>
      </top>
      <bottom/>
      <diagonal/>
    </border>
    <border>
      <left style="medium">
        <color theme="1"/>
      </left>
      <right/>
      <top/>
      <bottom/>
      <diagonal/>
    </border>
    <border>
      <left style="medium">
        <color theme="2" tint="-0.249977111117893"/>
      </left>
      <right style="medium">
        <color theme="2" tint="-0.249977111117893"/>
      </right>
      <top/>
      <bottom/>
      <diagonal/>
    </border>
    <border>
      <left style="medium">
        <color theme="2" tint="-0.249977111117893"/>
      </left>
      <right/>
      <top/>
      <bottom/>
      <diagonal/>
    </border>
    <border>
      <left/>
      <right style="medium">
        <color theme="2" tint="-0.249977111117893"/>
      </right>
      <top/>
      <bottom/>
      <diagonal/>
    </border>
    <border>
      <left/>
      <right style="medium">
        <color theme="1"/>
      </right>
      <top/>
      <bottom/>
      <diagonal/>
    </border>
    <border>
      <left style="medium">
        <color auto="1"/>
      </left>
      <right style="medium">
        <color theme="0" tint="-0.14999847407452621"/>
      </right>
      <top style="medium">
        <color auto="1"/>
      </top>
      <bottom style="medium">
        <color theme="0" tint="-0.14999847407452621"/>
      </bottom>
      <diagonal/>
    </border>
    <border>
      <left style="medium">
        <color theme="0" tint="-0.14999847407452621"/>
      </left>
      <right style="medium">
        <color theme="0" tint="-0.14999847407452621"/>
      </right>
      <top style="medium">
        <color auto="1"/>
      </top>
      <bottom style="medium">
        <color theme="0" tint="-0.14999847407452621"/>
      </bottom>
      <diagonal/>
    </border>
    <border>
      <left style="medium">
        <color theme="0" tint="-0.14999847407452621"/>
      </left>
      <right style="medium">
        <color auto="1"/>
      </right>
      <top style="medium">
        <color auto="1"/>
      </top>
      <bottom style="medium">
        <color theme="0" tint="-0.14999847407452621"/>
      </bottom>
      <diagonal/>
    </border>
    <border>
      <left style="medium">
        <color theme="1"/>
      </left>
      <right/>
      <top style="thin">
        <color theme="2"/>
      </top>
      <bottom/>
      <diagonal/>
    </border>
    <border>
      <left/>
      <right/>
      <top style="thin">
        <color theme="2"/>
      </top>
      <bottom/>
      <diagonal/>
    </border>
    <border>
      <left style="thin">
        <color theme="0" tint="-4.9989318521683403E-2"/>
      </left>
      <right/>
      <top style="thin">
        <color theme="0" tint="-4.9989318521683403E-2"/>
      </top>
      <bottom style="thin">
        <color theme="0" tint="-4.9989318521683403E-2"/>
      </bottom>
      <diagonal/>
    </border>
    <border>
      <left/>
      <right/>
      <top style="thin">
        <color theme="0" tint="-4.9989318521683403E-2"/>
      </top>
      <bottom style="thin">
        <color theme="0" tint="-4.9989318521683403E-2"/>
      </bottom>
      <diagonal/>
    </border>
    <border>
      <left style="medium">
        <color auto="1"/>
      </left>
      <right style="medium">
        <color theme="0" tint="-0.14999847407452621"/>
      </right>
      <top style="medium">
        <color theme="0" tint="-0.14999847407452621"/>
      </top>
      <bottom style="medium">
        <color theme="0" tint="-0.14999847407452621"/>
      </bottom>
      <diagonal/>
    </border>
    <border>
      <left style="medium">
        <color theme="0" tint="-0.14999847407452621"/>
      </left>
      <right style="medium">
        <color theme="0" tint="-0.14999847407452621"/>
      </right>
      <top style="medium">
        <color theme="0" tint="-0.14999847407452621"/>
      </top>
      <bottom style="medium">
        <color theme="0" tint="-0.14999847407452621"/>
      </bottom>
      <diagonal/>
    </border>
    <border>
      <left style="medium">
        <color theme="0" tint="-0.14999847407452621"/>
      </left>
      <right style="medium">
        <color auto="1"/>
      </right>
      <top style="medium">
        <color theme="0" tint="-0.14999847407452621"/>
      </top>
      <bottom style="medium">
        <color theme="0" tint="-0.14999847407452621"/>
      </bottom>
      <diagonal/>
    </border>
    <border>
      <left style="thin">
        <color theme="0" tint="-4.9989318521683403E-2"/>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style="medium">
        <color theme="1"/>
      </left>
      <right/>
      <top/>
      <bottom style="medium">
        <color theme="1"/>
      </bottom>
      <diagonal/>
    </border>
    <border>
      <left/>
      <right/>
      <top/>
      <bottom style="medium">
        <color theme="1"/>
      </bottom>
      <diagonal/>
    </border>
    <border>
      <left style="thin">
        <color theme="0" tint="-4.9989318521683403E-2"/>
      </left>
      <right style="thin">
        <color theme="0" tint="-4.9989318521683403E-2"/>
      </right>
      <top style="thin">
        <color theme="0" tint="-4.9989318521683403E-2"/>
      </top>
      <bottom style="medium">
        <color theme="1"/>
      </bottom>
      <diagonal/>
    </border>
    <border>
      <left style="thin">
        <color theme="0" tint="-4.9989318521683403E-2"/>
      </left>
      <right/>
      <top style="thin">
        <color theme="0" tint="-4.9989318521683403E-2"/>
      </top>
      <bottom style="medium">
        <color theme="1"/>
      </bottom>
      <diagonal/>
    </border>
    <border>
      <left/>
      <right/>
      <top style="thin">
        <color theme="0" tint="-4.9989318521683403E-2"/>
      </top>
      <bottom style="medium">
        <color theme="1"/>
      </bottom>
      <diagonal/>
    </border>
    <border>
      <left/>
      <right style="thin">
        <color theme="0" tint="-4.9989318521683403E-2"/>
      </right>
      <top style="thin">
        <color theme="0" tint="-4.9989318521683403E-2"/>
      </top>
      <bottom style="medium">
        <color theme="1"/>
      </bottom>
      <diagonal/>
    </border>
    <border>
      <left/>
      <right style="medium">
        <color theme="1"/>
      </right>
      <top/>
      <bottom style="medium">
        <color theme="1"/>
      </bottom>
      <diagonal/>
    </border>
    <border>
      <left style="medium">
        <color auto="1"/>
      </left>
      <right style="medium">
        <color theme="0" tint="-0.14999847407452621"/>
      </right>
      <top style="medium">
        <color theme="0" tint="-0.14999847407452621"/>
      </top>
      <bottom style="medium">
        <color auto="1"/>
      </bottom>
      <diagonal/>
    </border>
    <border>
      <left style="medium">
        <color theme="0" tint="-0.14999847407452621"/>
      </left>
      <right style="medium">
        <color theme="0" tint="-0.14999847407452621"/>
      </right>
      <top style="medium">
        <color theme="0" tint="-0.14999847407452621"/>
      </top>
      <bottom style="medium">
        <color auto="1"/>
      </bottom>
      <diagonal/>
    </border>
    <border>
      <left style="medium">
        <color theme="0" tint="-0.14999847407452621"/>
      </left>
      <right style="medium">
        <color auto="1"/>
      </right>
      <top style="medium">
        <color theme="0" tint="-0.14999847407452621"/>
      </top>
      <bottom style="medium">
        <color auto="1"/>
      </bottom>
      <diagonal/>
    </border>
    <border>
      <left style="medium">
        <color auto="1"/>
      </left>
      <right style="medium">
        <color theme="0" tint="-0.14999847407452621"/>
      </right>
      <top style="medium">
        <color auto="1"/>
      </top>
      <bottom/>
      <diagonal/>
    </border>
    <border>
      <left style="medium">
        <color theme="0" tint="-0.14999847407452621"/>
      </left>
      <right style="medium">
        <color theme="0" tint="-0.14999847407452621"/>
      </right>
      <top style="medium">
        <color auto="1"/>
      </top>
      <bottom/>
      <diagonal/>
    </border>
    <border>
      <left style="thin">
        <color auto="1"/>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top/>
      <bottom/>
      <diagonal/>
    </border>
    <border>
      <left style="medium">
        <color theme="1"/>
      </left>
      <right style="medium">
        <color theme="0" tint="-0.14999847407452621"/>
      </right>
      <top/>
      <bottom style="medium">
        <color theme="0" tint="-0.14999847407452621"/>
      </bottom>
      <diagonal/>
    </border>
    <border>
      <left style="medium">
        <color theme="0" tint="-0.14999847407452621"/>
      </left>
      <right style="medium">
        <color theme="0" tint="-0.14999847407452621"/>
      </right>
      <top/>
      <bottom style="medium">
        <color theme="0" tint="-0.14999847407452621"/>
      </bottom>
      <diagonal/>
    </border>
    <border>
      <left style="medium">
        <color theme="0" tint="-0.14999847407452621"/>
      </left>
      <right style="medium">
        <color theme="1"/>
      </right>
      <top/>
      <bottom style="medium">
        <color theme="0" tint="-0.14999847407452621"/>
      </bottom>
      <diagonal/>
    </border>
    <border>
      <left style="thin">
        <color auto="1"/>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1"/>
      </left>
      <right style="medium">
        <color theme="0" tint="-0.14999847407452621"/>
      </right>
      <top style="medium">
        <color theme="0" tint="-0.14999847407452621"/>
      </top>
      <bottom style="medium">
        <color theme="0" tint="-0.14999847407452621"/>
      </bottom>
      <diagonal/>
    </border>
    <border>
      <left style="medium">
        <color theme="0" tint="-0.14999847407452621"/>
      </left>
      <right style="medium">
        <color theme="1"/>
      </right>
      <top style="medium">
        <color theme="0" tint="-0.14999847407452621"/>
      </top>
      <bottom style="medium">
        <color theme="0" tint="-0.14999847407452621"/>
      </bottom>
      <diagonal/>
    </border>
    <border>
      <left style="thin">
        <color auto="1"/>
      </left>
      <right style="thin">
        <color theme="2" tint="-9.9978637043366805E-2"/>
      </right>
      <top/>
      <bottom style="thin">
        <color auto="1"/>
      </bottom>
      <diagonal/>
    </border>
    <border>
      <left style="thin">
        <color theme="2" tint="-9.9978637043366805E-2"/>
      </left>
      <right style="thin">
        <color theme="2" tint="-9.9978637043366805E-2"/>
      </right>
      <top/>
      <bottom style="thin">
        <color auto="1"/>
      </bottom>
      <diagonal/>
    </border>
    <border>
      <left style="thin">
        <color theme="2" tint="-9.9978637043366805E-2"/>
      </left>
      <right/>
      <top/>
      <bottom style="thin">
        <color auto="1"/>
      </bottom>
      <diagonal/>
    </border>
    <border>
      <left style="medium">
        <color theme="1"/>
      </left>
      <right style="medium">
        <color theme="0" tint="-0.14999847407452621"/>
      </right>
      <top style="medium">
        <color theme="0" tint="-0.14999847407452621"/>
      </top>
      <bottom style="medium">
        <color theme="1"/>
      </bottom>
      <diagonal/>
    </border>
    <border>
      <left style="medium">
        <color theme="0" tint="-0.14999847407452621"/>
      </left>
      <right style="medium">
        <color theme="0" tint="-0.14999847407452621"/>
      </right>
      <top style="medium">
        <color theme="0" tint="-0.14999847407452621"/>
      </top>
      <bottom style="medium">
        <color theme="1"/>
      </bottom>
      <diagonal/>
    </border>
    <border>
      <left style="medium">
        <color theme="0" tint="-0.14999847407452621"/>
      </left>
      <right style="medium">
        <color theme="1"/>
      </right>
      <top style="medium">
        <color theme="0" tint="-0.14999847407452621"/>
      </top>
      <bottom style="medium">
        <color theme="1"/>
      </bottom>
      <diagonal/>
    </border>
    <border>
      <left style="medium">
        <color theme="1"/>
      </left>
      <right style="medium">
        <color theme="0" tint="-0.14999847407452621"/>
      </right>
      <top style="medium">
        <color theme="1"/>
      </top>
      <bottom style="medium">
        <color theme="0" tint="-0.14999847407452621"/>
      </bottom>
      <diagonal/>
    </border>
    <border>
      <left style="medium">
        <color theme="0" tint="-0.14999847407452621"/>
      </left>
      <right style="medium">
        <color theme="0" tint="-0.14999847407452621"/>
      </right>
      <top style="medium">
        <color theme="1"/>
      </top>
      <bottom style="medium">
        <color theme="0" tint="-0.14999847407452621"/>
      </bottom>
      <diagonal/>
    </border>
    <border>
      <left style="medium">
        <color theme="0" tint="-0.14999847407452621"/>
      </left>
      <right style="medium">
        <color theme="1"/>
      </right>
      <top style="medium">
        <color theme="1"/>
      </top>
      <bottom style="medium">
        <color theme="0" tint="-0.1499984740745262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thin">
        <color auto="1"/>
      </top>
      <bottom/>
      <diagonal/>
    </border>
    <border>
      <left style="thin">
        <color rgb="FFBFBFBF"/>
      </left>
      <right/>
      <top style="thin">
        <color rgb="FFBFBFBF"/>
      </top>
      <bottom style="medium">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style="thin">
        <color rgb="FFBFBFBF"/>
      </left>
      <right/>
      <top style="medium">
        <color auto="1"/>
      </top>
      <bottom style="thin">
        <color rgb="FFBFBFBF"/>
      </bottom>
      <diagonal/>
    </border>
    <border>
      <left/>
      <right style="thin">
        <color rgb="FFBFBFBF"/>
      </right>
      <top style="medium">
        <color auto="1"/>
      </top>
      <bottom style="thin">
        <color rgb="FFBFBFBF"/>
      </bottom>
      <diagonal/>
    </border>
    <border>
      <left/>
      <right style="thin">
        <color rgb="FFBFBFBF"/>
      </right>
      <top style="thin">
        <color rgb="FFBFBFBF"/>
      </top>
      <bottom/>
      <diagonal/>
    </border>
    <border>
      <left/>
      <right/>
      <top style="medium">
        <color auto="1"/>
      </top>
      <bottom style="thin">
        <color auto="1"/>
      </bottom>
      <diagonal/>
    </border>
    <border>
      <left style="medium">
        <color auto="1"/>
      </left>
      <right style="thin">
        <color rgb="FFBFBFBF"/>
      </right>
      <top/>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right style="medium">
        <color auto="1"/>
      </right>
      <top style="medium">
        <color auto="1"/>
      </top>
      <bottom style="thin">
        <color rgb="FFD8D8D8"/>
      </bottom>
      <diagonal/>
    </border>
    <border>
      <left style="medium">
        <color auto="1"/>
      </left>
      <right style="thin">
        <color rgb="FFBFBFBF"/>
      </right>
      <top/>
      <bottom style="thin">
        <color rgb="FFBFBFBF"/>
      </bottom>
      <diagonal/>
    </border>
    <border>
      <left style="medium">
        <color theme="1"/>
      </left>
      <right style="thin">
        <color rgb="FFBFBFBF"/>
      </right>
      <top style="medium">
        <color theme="1"/>
      </top>
      <bottom style="thin">
        <color rgb="FFBFBFBF"/>
      </bottom>
      <diagonal/>
    </border>
    <border>
      <left style="thin">
        <color rgb="FFBFBFBF"/>
      </left>
      <right style="thin">
        <color rgb="FFBFBFBF"/>
      </right>
      <top style="medium">
        <color theme="1"/>
      </top>
      <bottom style="thin">
        <color rgb="FFBFBFBF"/>
      </bottom>
      <diagonal/>
    </border>
    <border>
      <left style="thin">
        <color rgb="FFBFBFBF"/>
      </left>
      <right style="medium">
        <color theme="1"/>
      </right>
      <top style="medium">
        <color theme="1"/>
      </top>
      <bottom style="thin">
        <color rgb="FFBFBFBF"/>
      </bottom>
      <diagonal/>
    </border>
    <border>
      <left style="medium">
        <color auto="1"/>
      </left>
      <right/>
      <top style="medium">
        <color auto="1"/>
      </top>
      <bottom style="thin">
        <color auto="1"/>
      </bottom>
      <diagonal/>
    </border>
    <border>
      <left style="medium">
        <color theme="1"/>
      </left>
      <right style="thin">
        <color rgb="FFBFBFBF"/>
      </right>
      <top style="thin">
        <color rgb="FFBFBFBF"/>
      </top>
      <bottom style="thin">
        <color rgb="FFBFBFBF"/>
      </bottom>
      <diagonal/>
    </border>
    <border>
      <left style="thin">
        <color rgb="FFBFBFBF"/>
      </left>
      <right style="medium">
        <color theme="1"/>
      </right>
      <top style="thin">
        <color rgb="FFBFBFBF"/>
      </top>
      <bottom style="thin">
        <color rgb="FFBFBFBF"/>
      </bottom>
      <diagonal/>
    </border>
    <border>
      <left/>
      <right style="medium">
        <color theme="0" tint="-0.14999847407452621"/>
      </right>
      <top style="thin">
        <color rgb="FFBFBFBF"/>
      </top>
      <bottom style="medium">
        <color theme="0" tint="-0.14999847407452621"/>
      </bottom>
      <diagonal/>
    </border>
    <border>
      <left style="medium">
        <color theme="0" tint="-0.14999847407452621"/>
      </left>
      <right style="medium">
        <color theme="0" tint="-0.14999847407452621"/>
      </right>
      <top style="thin">
        <color rgb="FFBFBFBF"/>
      </top>
      <bottom style="medium">
        <color theme="0" tint="-0.14999847407452621"/>
      </bottom>
      <diagonal/>
    </border>
    <border>
      <left style="medium">
        <color theme="0" tint="-0.14999847407452621"/>
      </left>
      <right/>
      <top style="thin">
        <color rgb="FFBFBFBF"/>
      </top>
      <bottom style="medium">
        <color theme="0" tint="-0.14999847407452621"/>
      </bottom>
      <diagonal/>
    </border>
    <border>
      <left style="medium">
        <color theme="0" tint="-0.14999847407452621"/>
      </left>
      <right style="medium">
        <color auto="1"/>
      </right>
      <top style="thin">
        <color rgb="FFBFBFBF"/>
      </top>
      <bottom style="medium">
        <color theme="0" tint="-0.14999847407452621"/>
      </bottom>
      <diagonal/>
    </border>
    <border>
      <left/>
      <right style="thin">
        <color rgb="FFBFBFBF"/>
      </right>
      <top style="thin">
        <color rgb="FFBFBFBF"/>
      </top>
      <bottom style="medium">
        <color auto="1"/>
      </bottom>
      <diagonal/>
    </border>
    <border>
      <left style="medium">
        <color auto="1"/>
      </left>
      <right style="thin">
        <color rgb="FFBFBFBF"/>
      </right>
      <top style="thin">
        <color rgb="FFBFBFBF"/>
      </top>
      <bottom/>
      <diagonal/>
    </border>
    <border>
      <left/>
      <right style="medium">
        <color theme="0" tint="-0.14999847407452621"/>
      </right>
      <top style="medium">
        <color theme="0" tint="-0.14999847407452621"/>
      </top>
      <bottom/>
      <diagonal/>
    </border>
    <border>
      <left style="medium">
        <color theme="0" tint="-0.14999847407452621"/>
      </left>
      <right style="medium">
        <color theme="0" tint="-0.14999847407452621"/>
      </right>
      <top style="medium">
        <color theme="0" tint="-0.14999847407452621"/>
      </top>
      <bottom/>
      <diagonal/>
    </border>
    <border>
      <left style="medium">
        <color theme="0" tint="-0.14999847407452621"/>
      </left>
      <right/>
      <top style="medium">
        <color theme="0" tint="-0.14999847407452621"/>
      </top>
      <bottom/>
      <diagonal/>
    </border>
    <border>
      <left style="medium">
        <color theme="0" tint="-0.14999847407452621"/>
      </left>
      <right style="medium">
        <color auto="1"/>
      </right>
      <top style="medium">
        <color theme="0" tint="-0.14999847407452621"/>
      </top>
      <bottom/>
      <diagonal/>
    </border>
    <border>
      <left style="medium">
        <color auto="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auto="1"/>
      </right>
      <top style="thin">
        <color theme="0" tint="-0.14999847407452621"/>
      </top>
      <bottom style="thin">
        <color theme="0" tint="-0.14999847407452621"/>
      </bottom>
      <diagonal/>
    </border>
    <border>
      <left style="medium">
        <color auto="1"/>
      </left>
      <right style="thin">
        <color rgb="FFBFBFBF"/>
      </right>
      <top/>
      <bottom style="medium">
        <color auto="1"/>
      </bottom>
      <diagonal/>
    </border>
    <border>
      <left style="medium">
        <color theme="1"/>
      </left>
      <right style="thin">
        <color rgb="FFBFBFBF"/>
      </right>
      <top style="thin">
        <color rgb="FFBFBFBF"/>
      </top>
      <bottom/>
      <diagonal/>
    </border>
    <border>
      <left style="thin">
        <color rgb="FFBFBFBF"/>
      </left>
      <right style="medium">
        <color theme="1"/>
      </right>
      <top style="thin">
        <color rgb="FFBFBFBF"/>
      </top>
      <bottom/>
      <diagonal/>
    </border>
    <border>
      <left style="thin">
        <color auto="1"/>
      </left>
      <right/>
      <top style="medium">
        <color auto="1"/>
      </top>
      <bottom style="thin">
        <color auto="1"/>
      </bottom>
      <diagonal/>
    </border>
    <border>
      <left style="medium">
        <color auto="1"/>
      </left>
      <right style="thin">
        <color auto="1"/>
      </right>
      <top style="thin">
        <color auto="1"/>
      </top>
      <bottom/>
      <diagonal/>
    </border>
    <border>
      <left style="thin">
        <color rgb="FFBFBFBF"/>
      </left>
      <right/>
      <top style="medium">
        <color auto="1"/>
      </top>
      <bottom/>
      <diagonal/>
    </border>
    <border>
      <left style="double">
        <color auto="1"/>
      </left>
      <right/>
      <top style="medium">
        <color auto="1"/>
      </top>
      <bottom/>
      <diagonal/>
    </border>
    <border>
      <left/>
      <right style="double">
        <color auto="1"/>
      </right>
      <top style="medium">
        <color auto="1"/>
      </top>
      <bottom/>
      <diagonal/>
    </border>
    <border>
      <left/>
      <right style="thin">
        <color rgb="FFBFBFBF"/>
      </right>
      <top style="medium">
        <color auto="1"/>
      </top>
      <bottom/>
      <diagonal/>
    </border>
    <border>
      <left/>
      <right style="double">
        <color rgb="FF010000"/>
      </right>
      <top style="medium">
        <color auto="1"/>
      </top>
      <bottom/>
      <diagonal/>
    </border>
    <border>
      <left style="double">
        <color auto="1"/>
      </left>
      <right/>
      <top/>
      <bottom style="medium">
        <color auto="1"/>
      </bottom>
      <diagonal/>
    </border>
    <border>
      <left/>
      <right style="double">
        <color auto="1"/>
      </right>
      <top/>
      <bottom style="medium">
        <color auto="1"/>
      </bottom>
      <diagonal/>
    </border>
    <border>
      <left/>
      <right style="double">
        <color rgb="FF010000"/>
      </right>
      <top/>
      <bottom style="medium">
        <color auto="1"/>
      </bottom>
      <diagonal/>
    </border>
    <border>
      <left style="double">
        <color auto="1"/>
      </left>
      <right/>
      <top/>
      <bottom style="thin">
        <color auto="1"/>
      </bottom>
      <diagonal/>
    </border>
    <border>
      <left/>
      <right style="double">
        <color rgb="FF010000"/>
      </right>
      <top/>
      <bottom style="thin">
        <color auto="1"/>
      </bottom>
      <diagonal/>
    </border>
    <border>
      <left/>
      <right style="thin">
        <color rgb="FFBFBFBF"/>
      </right>
      <top/>
      <bottom style="thin">
        <color auto="1"/>
      </bottom>
      <diagonal/>
    </border>
    <border>
      <left/>
      <right style="medium">
        <color auto="1"/>
      </right>
      <top style="medium">
        <color auto="1"/>
      </top>
      <bottom style="thin">
        <color auto="1"/>
      </bottom>
      <diagonal/>
    </border>
    <border>
      <left/>
      <right style="thin">
        <color theme="0" tint="-0.14999847407452621"/>
      </right>
      <top style="medium">
        <color theme="1"/>
      </top>
      <bottom/>
      <diagonal/>
    </border>
    <border>
      <left style="thin">
        <color theme="0" tint="-0.14999847407452621"/>
      </left>
      <right/>
      <top style="medium">
        <color theme="1"/>
      </top>
      <bottom/>
      <diagonal/>
    </border>
    <border>
      <left/>
      <right style="medium">
        <color theme="1"/>
      </right>
      <top style="medium">
        <color theme="1"/>
      </top>
      <bottom/>
      <diagonal/>
    </border>
    <border>
      <left style="medium">
        <color auto="1"/>
      </left>
      <right style="thin">
        <color theme="0" tint="-4.9989318521683403E-2"/>
      </right>
      <top/>
      <bottom style="thin">
        <color theme="0" tint="-4.9989318521683403E-2"/>
      </bottom>
      <diagonal/>
    </border>
    <border>
      <left style="thin">
        <color theme="0" tint="-4.9989318521683403E-2"/>
      </left>
      <right style="thin">
        <color theme="0" tint="-4.9989318521683403E-2"/>
      </right>
      <top/>
      <bottom style="thin">
        <color theme="0" tint="-4.9989318521683403E-2"/>
      </bottom>
      <diagonal/>
    </border>
    <border>
      <left style="thin">
        <color theme="0" tint="-4.9989318521683403E-2"/>
      </left>
      <right style="medium">
        <color auto="1"/>
      </right>
      <top/>
      <bottom style="thin">
        <color theme="0" tint="-4.9989318521683403E-2"/>
      </bottom>
      <diagonal/>
    </border>
    <border>
      <left style="medium">
        <color auto="1"/>
      </left>
      <right style="thin">
        <color theme="0" tint="-4.9989318521683403E-2"/>
      </right>
      <top style="thin">
        <color theme="0" tint="-4.9989318521683403E-2"/>
      </top>
      <bottom style="thin">
        <color theme="0" tint="-4.9989318521683403E-2"/>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auto="1"/>
      </left>
      <right style="thin">
        <color theme="0" tint="-4.9989318521683403E-2"/>
      </right>
      <top style="thin">
        <color theme="0" tint="-4.9989318521683403E-2"/>
      </top>
      <bottom style="medium">
        <color auto="1"/>
      </bottom>
      <diagonal/>
    </border>
    <border>
      <left style="thin">
        <color theme="0" tint="-4.9989318521683403E-2"/>
      </left>
      <right style="thin">
        <color theme="0" tint="-4.9989318521683403E-2"/>
      </right>
      <top style="thin">
        <color theme="0" tint="-4.9989318521683403E-2"/>
      </top>
      <bottom style="medium">
        <color auto="1"/>
      </bottom>
      <diagonal/>
    </border>
    <border>
      <left style="thin">
        <color theme="0" tint="-4.9989318521683403E-2"/>
      </left>
      <right style="medium">
        <color auto="1"/>
      </right>
      <top style="thin">
        <color theme="0" tint="-4.9989318521683403E-2"/>
      </top>
      <bottom style="medium">
        <color auto="1"/>
      </bottom>
      <diagonal/>
    </border>
    <border>
      <left style="thin">
        <color auto="1"/>
      </left>
      <right/>
      <top style="thin">
        <color auto="1"/>
      </top>
      <bottom style="medium">
        <color auto="1"/>
      </bottom>
      <diagonal/>
    </border>
    <border>
      <left style="medium">
        <color theme="0" tint="-4.9989318521683403E-2"/>
      </left>
      <right style="medium">
        <color theme="0" tint="-4.9989318521683403E-2"/>
      </right>
      <top style="medium">
        <color theme="0" tint="-4.9989318521683403E-2"/>
      </top>
      <bottom style="medium">
        <color theme="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theme="0" tint="-0.14999847407452621"/>
      </right>
      <top style="medium">
        <color auto="1"/>
      </top>
      <bottom style="thin">
        <color theme="0" tint="-0.14999847407452621"/>
      </bottom>
      <diagonal/>
    </border>
    <border>
      <left style="thin">
        <color theme="0" tint="-0.14999847407452621"/>
      </left>
      <right style="thin">
        <color theme="0" tint="-0.14999847407452621"/>
      </right>
      <top style="medium">
        <color auto="1"/>
      </top>
      <bottom style="thin">
        <color theme="0" tint="-0.14999847407452621"/>
      </bottom>
      <diagonal/>
    </border>
    <border>
      <left style="thin">
        <color theme="0" tint="-0.14999847407452621"/>
      </left>
      <right style="medium">
        <color auto="1"/>
      </right>
      <top style="medium">
        <color auto="1"/>
      </top>
      <bottom style="thin">
        <color theme="0" tint="-0.14999847407452621"/>
      </bottom>
      <diagonal/>
    </border>
    <border>
      <left/>
      <right/>
      <top style="thin">
        <color theme="0" tint="-0.14999847407452621"/>
      </top>
      <bottom style="thin">
        <color theme="0" tint="-0.14999847407452621"/>
      </bottom>
      <diagonal/>
    </border>
    <border>
      <left/>
      <right style="medium">
        <color auto="1"/>
      </right>
      <top style="thin">
        <color theme="0" tint="-0.14999847407452621"/>
      </top>
      <bottom style="thin">
        <color theme="0" tint="-0.14999847407452621"/>
      </bottom>
      <diagonal/>
    </border>
    <border>
      <left style="medium">
        <color auto="1"/>
      </left>
      <right style="thin">
        <color theme="0" tint="-0.14999847407452621"/>
      </right>
      <top style="thin">
        <color theme="0" tint="-0.14999847407452621"/>
      </top>
      <bottom style="medium">
        <color auto="1"/>
      </bottom>
      <diagonal/>
    </border>
    <border>
      <left style="thin">
        <color theme="0" tint="-0.14999847407452621"/>
      </left>
      <right style="thin">
        <color theme="0" tint="-0.14999847407452621"/>
      </right>
      <top style="thin">
        <color theme="0" tint="-0.14999847407452621"/>
      </top>
      <bottom style="medium">
        <color auto="1"/>
      </bottom>
      <diagonal/>
    </border>
    <border>
      <left style="thin">
        <color theme="0" tint="-0.14999847407452621"/>
      </left>
      <right/>
      <top style="thin">
        <color theme="0" tint="-0.14999847407452621"/>
      </top>
      <bottom style="medium">
        <color auto="1"/>
      </bottom>
      <diagonal/>
    </border>
    <border>
      <left/>
      <right/>
      <top style="thin">
        <color theme="0" tint="-0.14999847407452621"/>
      </top>
      <bottom style="medium">
        <color auto="1"/>
      </bottom>
      <diagonal/>
    </border>
    <border>
      <left/>
      <right style="medium">
        <color auto="1"/>
      </right>
      <top style="thin">
        <color theme="0" tint="-0.14999847407452621"/>
      </top>
      <bottom style="medium">
        <color auto="1"/>
      </bottom>
      <diagonal/>
    </border>
    <border>
      <left/>
      <right style="thin">
        <color theme="0" tint="-0.14999847407452621"/>
      </right>
      <top style="medium">
        <color auto="1"/>
      </top>
      <bottom/>
      <diagonal/>
    </border>
    <border>
      <left style="thin">
        <color theme="0" tint="-0.14999847407452621"/>
      </left>
      <right/>
      <top style="medium">
        <color auto="1"/>
      </top>
      <bottom/>
      <diagonal/>
    </border>
    <border>
      <left style="thin">
        <color rgb="FFBFBFBF"/>
      </left>
      <right style="double">
        <color rgb="FFBFBFBF"/>
      </right>
      <top style="thin">
        <color rgb="FFBFBFBF"/>
      </top>
      <bottom style="thin">
        <color rgb="FFBFBFBF"/>
      </bottom>
      <diagonal/>
    </border>
    <border>
      <left style="thin">
        <color rgb="FFBFBFBF"/>
      </left>
      <right style="thin">
        <color theme="0" tint="-4.9989318521683403E-2"/>
      </right>
      <top/>
      <bottom style="thin">
        <color theme="0" tint="-4.9989318521683403E-2"/>
      </bottom>
      <diagonal/>
    </border>
    <border>
      <left style="thin">
        <color theme="0" tint="-4.9989318521683403E-2"/>
      </left>
      <right style="thin">
        <color theme="0" tint="-4.9989318521683403E-2"/>
      </right>
      <top style="thin">
        <color rgb="FFBFBFBF"/>
      </top>
      <bottom style="thin">
        <color theme="0" tint="-4.9989318521683403E-2"/>
      </bottom>
      <diagonal/>
    </border>
    <border>
      <left style="thin">
        <color theme="0" tint="-4.9989318521683403E-2"/>
      </left>
      <right/>
      <top style="thin">
        <color rgb="FFBFBFBF"/>
      </top>
      <bottom style="thin">
        <color theme="0" tint="-4.9989318521683403E-2"/>
      </bottom>
      <diagonal/>
    </border>
    <border>
      <left style="thin">
        <color rgb="FFBFBFBF"/>
      </left>
      <right style="thin">
        <color theme="0" tint="-4.9989318521683403E-2"/>
      </right>
      <top style="thin">
        <color theme="0" tint="-4.9989318521683403E-2"/>
      </top>
      <bottom style="thin">
        <color theme="0" tint="-4.9989318521683403E-2"/>
      </bottom>
      <diagonal/>
    </border>
    <border>
      <left style="thin">
        <color theme="0" tint="-4.9989318521683403E-2"/>
      </left>
      <right style="thin">
        <color rgb="FFBFBFBF"/>
      </right>
      <top style="thin">
        <color theme="0" tint="-4.9989318521683403E-2"/>
      </top>
      <bottom style="thin">
        <color theme="0" tint="-4.9989318521683403E-2"/>
      </bottom>
      <diagonal/>
    </border>
    <border>
      <left style="thin">
        <color rgb="FFBFBFBF"/>
      </left>
      <right style="double">
        <color rgb="FFBFBFBF"/>
      </right>
      <top style="thin">
        <color rgb="FFBFBFBF"/>
      </top>
      <bottom style="medium">
        <color auto="1"/>
      </bottom>
      <diagonal/>
    </border>
    <border>
      <left/>
      <right style="thin">
        <color rgb="FFBFBFBF"/>
      </right>
      <top style="thin">
        <color theme="0" tint="-4.9989318521683403E-2"/>
      </top>
      <bottom style="thin">
        <color theme="0" tint="-4.9989318521683403E-2"/>
      </bottom>
      <diagonal/>
    </border>
    <border>
      <left style="medium">
        <color auto="1"/>
      </left>
      <right/>
      <top style="thin">
        <color rgb="FFBFBFBF"/>
      </top>
      <bottom style="thin">
        <color theme="0" tint="-0.14999847407452621"/>
      </bottom>
      <diagonal/>
    </border>
    <border>
      <left/>
      <right/>
      <top style="thin">
        <color rgb="FFBFBFBF"/>
      </top>
      <bottom style="thin">
        <color theme="0" tint="-0.14999847407452621"/>
      </bottom>
      <diagonal/>
    </border>
    <border>
      <left/>
      <right style="thin">
        <color theme="0" tint="-0.14999847407452621"/>
      </right>
      <top style="thin">
        <color rgb="FFBFBFBF"/>
      </top>
      <bottom style="thin">
        <color theme="0" tint="-0.14999847407452621"/>
      </bottom>
      <diagonal/>
    </border>
    <border>
      <left style="medium">
        <color auto="1"/>
      </left>
      <right/>
      <top style="thin">
        <color theme="0" tint="-0.14999847407452621"/>
      </top>
      <bottom style="thin">
        <color theme="0" tint="-0.14999847407452621"/>
      </bottom>
      <diagonal/>
    </border>
    <border>
      <left style="medium">
        <color auto="1"/>
      </left>
      <right style="medium">
        <color theme="0" tint="-4.9989318521683403E-2"/>
      </right>
      <top style="thin">
        <color theme="0" tint="-0.14999847407452621"/>
      </top>
      <bottom style="medium">
        <color theme="0" tint="-4.9989318521683403E-2"/>
      </bottom>
      <diagonal/>
    </border>
    <border>
      <left style="medium">
        <color theme="0" tint="-4.9989318521683403E-2"/>
      </left>
      <right style="medium">
        <color theme="0" tint="-4.9989318521683403E-2"/>
      </right>
      <top style="thin">
        <color theme="0" tint="-0.14999847407452621"/>
      </top>
      <bottom style="medium">
        <color theme="0" tint="-4.9989318521683403E-2"/>
      </bottom>
      <diagonal/>
    </border>
    <border>
      <left style="medium">
        <color theme="0" tint="-4.9989318521683403E-2"/>
      </left>
      <right style="medium">
        <color theme="0" tint="-4.9989318521683403E-2"/>
      </right>
      <top style="thin">
        <color theme="0" tint="-4.9989318521683403E-2"/>
      </top>
      <bottom style="medium">
        <color theme="0" tint="-4.9989318521683403E-2"/>
      </bottom>
      <diagonal/>
    </border>
    <border>
      <left style="medium">
        <color theme="0" tint="-4.9989318521683403E-2"/>
      </left>
      <right style="medium">
        <color theme="0" tint="-4.9989318521683403E-2"/>
      </right>
      <top style="thin">
        <color rgb="FFBFBFBF"/>
      </top>
      <bottom style="medium">
        <color theme="0" tint="-4.9989318521683403E-2"/>
      </bottom>
      <diagonal/>
    </border>
    <border>
      <left style="medium">
        <color theme="0" tint="-4.9989318521683403E-2"/>
      </left>
      <right style="medium">
        <color auto="1"/>
      </right>
      <top style="thin">
        <color rgb="FFBFBFBF"/>
      </top>
      <bottom style="medium">
        <color theme="0" tint="-4.9989318521683403E-2"/>
      </bottom>
      <diagonal/>
    </border>
    <border>
      <left style="medium">
        <color theme="0" tint="-4.9989318521683403E-2"/>
      </left>
      <right style="medium">
        <color theme="0" tint="-4.9989318521683403E-2"/>
      </right>
      <top style="medium">
        <color theme="0" tint="-4.9989318521683403E-2"/>
      </top>
      <bottom/>
      <diagonal/>
    </border>
    <border>
      <left style="medium">
        <color theme="0" tint="-4.9989318521683403E-2"/>
      </left>
      <right style="medium">
        <color theme="0" tint="-4.9989318521683403E-2"/>
      </right>
      <top/>
      <bottom style="medium">
        <color theme="0" tint="-4.9989318521683403E-2"/>
      </bottom>
      <diagonal/>
    </border>
    <border>
      <left style="medium">
        <color theme="0" tint="-4.9989318521683403E-2"/>
      </left>
      <right/>
      <top style="medium">
        <color theme="0" tint="-4.9989318521683403E-2"/>
      </top>
      <bottom/>
      <diagonal/>
    </border>
    <border>
      <left/>
      <right style="medium">
        <color theme="0" tint="-4.9989318521683403E-2"/>
      </right>
      <top style="medium">
        <color theme="0" tint="-4.9989318521683403E-2"/>
      </top>
      <bottom/>
      <diagonal/>
    </border>
    <border>
      <left/>
      <right/>
      <top style="medium">
        <color theme="0" tint="-4.9989318521683403E-2"/>
      </top>
      <bottom/>
      <diagonal/>
    </border>
    <border>
      <left style="medium">
        <color theme="0" tint="-4.9989318521683403E-2"/>
      </left>
      <right/>
      <top/>
      <bottom style="medium">
        <color theme="0" tint="-4.9989318521683403E-2"/>
      </bottom>
      <diagonal/>
    </border>
    <border>
      <left/>
      <right style="medium">
        <color theme="0" tint="-4.9989318521683403E-2"/>
      </right>
      <top/>
      <bottom style="medium">
        <color theme="0" tint="-4.9989318521683403E-2"/>
      </bottom>
      <diagonal/>
    </border>
    <border>
      <left/>
      <right/>
      <top/>
      <bottom style="medium">
        <color theme="0" tint="-4.9989318521683403E-2"/>
      </bottom>
      <diagonal/>
    </border>
    <border>
      <left/>
      <right/>
      <top style="thin">
        <color auto="1"/>
      </top>
      <bottom style="medium">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medium">
        <color theme="0" tint="-4.9989318521683403E-2"/>
      </left>
      <right style="medium">
        <color theme="0" tint="-4.9989318521683403E-2"/>
      </right>
      <top style="medium">
        <color theme="0" tint="-4.9989318521683403E-2"/>
      </top>
      <bottom style="medium">
        <color auto="1"/>
      </bottom>
      <diagonal/>
    </border>
    <border>
      <left style="thin">
        <color auto="1"/>
      </left>
      <right style="thin">
        <color theme="0" tint="-0.34998626667073579"/>
      </right>
      <top style="thin">
        <color auto="1"/>
      </top>
      <bottom style="thin">
        <color theme="0" tint="-0.34998626667073579"/>
      </bottom>
      <diagonal/>
    </border>
    <border>
      <left style="thin">
        <color theme="0" tint="-0.34998626667073579"/>
      </left>
      <right style="thin">
        <color theme="0" tint="-0.34998626667073579"/>
      </right>
      <top style="thin">
        <color auto="1"/>
      </top>
      <bottom style="thin">
        <color theme="0" tint="-0.34998626667073579"/>
      </bottom>
      <diagonal/>
    </border>
    <border>
      <left style="thin">
        <color theme="0" tint="-0.34998626667073579"/>
      </left>
      <right style="medium">
        <color auto="1"/>
      </right>
      <top style="thin">
        <color auto="1"/>
      </top>
      <bottom style="thin">
        <color theme="0" tint="-0.34998626667073579"/>
      </bottom>
      <diagonal/>
    </border>
    <border>
      <left style="thin">
        <color auto="1"/>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medium">
        <color auto="1"/>
      </right>
      <top style="thin">
        <color theme="0" tint="-0.34998626667073579"/>
      </top>
      <bottom style="thin">
        <color theme="0" tint="-0.34998626667073579"/>
      </bottom>
      <diagonal/>
    </border>
    <border>
      <left style="medium">
        <color auto="1"/>
      </left>
      <right/>
      <top/>
      <bottom style="thin">
        <color theme="6"/>
      </bottom>
      <diagonal/>
    </border>
    <border>
      <left/>
      <right/>
      <top/>
      <bottom style="thin">
        <color theme="6"/>
      </bottom>
      <diagonal/>
    </border>
    <border>
      <left style="thin">
        <color theme="6"/>
      </left>
      <right/>
      <top/>
      <bottom style="thin">
        <color theme="6"/>
      </bottom>
      <diagonal/>
    </border>
    <border>
      <left style="thin">
        <color auto="1"/>
      </left>
      <right/>
      <top/>
      <bottom style="thin">
        <color theme="6"/>
      </bottom>
      <diagonal/>
    </border>
    <border>
      <left/>
      <right style="thin">
        <color theme="6"/>
      </right>
      <top/>
      <bottom style="thin">
        <color theme="6"/>
      </bottom>
      <diagonal/>
    </border>
    <border>
      <left style="medium">
        <color auto="1"/>
      </left>
      <right style="medium">
        <color theme="0" tint="-0.14999847407452621"/>
      </right>
      <top/>
      <bottom style="thin">
        <color theme="6"/>
      </bottom>
      <diagonal/>
    </border>
    <border>
      <left style="medium">
        <color theme="0" tint="-0.14999847407452621"/>
      </left>
      <right style="medium">
        <color theme="0" tint="-0.14999847407452621"/>
      </right>
      <top/>
      <bottom style="thin">
        <color theme="6"/>
      </bottom>
      <diagonal/>
    </border>
    <border>
      <left style="medium">
        <color theme="0" tint="-0.14999847407452621"/>
      </left>
      <right/>
      <top/>
      <bottom style="thin">
        <color theme="6"/>
      </bottom>
      <diagonal/>
    </border>
    <border>
      <left style="thin">
        <color theme="6"/>
      </left>
      <right style="thin">
        <color theme="6"/>
      </right>
      <top/>
      <bottom style="thin">
        <color theme="6"/>
      </bottom>
      <diagonal/>
    </border>
    <border>
      <left style="thin">
        <color theme="6"/>
      </left>
      <right style="medium">
        <color auto="1"/>
      </right>
      <top/>
      <bottom style="thin">
        <color theme="6"/>
      </bottom>
      <diagonal/>
    </border>
    <border>
      <left style="thin">
        <color theme="6"/>
      </left>
      <right/>
      <top/>
      <bottom/>
      <diagonal/>
    </border>
    <border>
      <left/>
      <right style="thin">
        <color theme="6"/>
      </right>
      <top/>
      <bottom/>
      <diagonal/>
    </border>
    <border>
      <left style="thin">
        <color theme="6"/>
      </left>
      <right style="thin">
        <color theme="6"/>
      </right>
      <top style="thin">
        <color theme="6"/>
      </top>
      <bottom/>
      <diagonal/>
    </border>
    <border>
      <left style="thin">
        <color theme="6"/>
      </left>
      <right style="medium">
        <color auto="1"/>
      </right>
      <top style="thin">
        <color theme="6"/>
      </top>
      <bottom/>
      <diagonal/>
    </border>
    <border>
      <left style="medium">
        <color theme="0" tint="-0.14999847407452621"/>
      </left>
      <right/>
      <top style="medium">
        <color theme="0" tint="-0.14999847407452621"/>
      </top>
      <bottom style="medium">
        <color theme="0" tint="-0.14999847407452621"/>
      </bottom>
      <diagonal/>
    </border>
    <border>
      <left/>
      <right/>
      <top style="medium">
        <color theme="0" tint="-0.14999847407452621"/>
      </top>
      <bottom style="medium">
        <color theme="0" tint="-0.14999847407452621"/>
      </bottom>
      <diagonal/>
    </border>
    <border>
      <left/>
      <right style="medium">
        <color theme="0" tint="-0.14999847407452621"/>
      </right>
      <top style="medium">
        <color theme="0" tint="-0.14999847407452621"/>
      </top>
      <bottom style="medium">
        <color theme="0" tint="-0.14999847407452621"/>
      </bottom>
      <diagonal/>
    </border>
    <border>
      <left style="thin">
        <color theme="6"/>
      </left>
      <right style="thin">
        <color theme="6"/>
      </right>
      <top/>
      <bottom style="thin">
        <color auto="1"/>
      </bottom>
      <diagonal/>
    </border>
    <border>
      <left style="thin">
        <color theme="6"/>
      </left>
      <right/>
      <top/>
      <bottom style="thin">
        <color auto="1"/>
      </bottom>
      <diagonal/>
    </border>
    <border>
      <left/>
      <right style="thin">
        <color theme="6"/>
      </right>
      <top/>
      <bottom style="thin">
        <color auto="1"/>
      </bottom>
      <diagonal/>
    </border>
    <border>
      <left style="thin">
        <color auto="1"/>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medium">
        <color auto="1"/>
      </right>
      <top style="thin">
        <color theme="0" tint="-0.34998626667073579"/>
      </top>
      <bottom/>
      <diagonal/>
    </border>
    <border>
      <left/>
      <right style="medium">
        <color auto="1"/>
      </right>
      <top/>
      <bottom style="thin">
        <color theme="6"/>
      </bottom>
      <diagonal/>
    </border>
    <border>
      <left style="thin">
        <color auto="1"/>
      </left>
      <right style="thin">
        <color theme="0" tint="-0.14999847407452621"/>
      </right>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
      <left style="thin">
        <color theme="0" tint="-0.14999847407452621"/>
      </left>
      <right style="medium">
        <color auto="1"/>
      </right>
      <top/>
      <bottom style="thin">
        <color theme="0" tint="-0.14999847407452621"/>
      </bottom>
      <diagonal/>
    </border>
    <border>
      <left style="thin">
        <color auto="1"/>
      </left>
      <right style="thin">
        <color theme="0" tint="-0.14999847407452621"/>
      </right>
      <top style="thin">
        <color theme="0" tint="-0.14999847407452621"/>
      </top>
      <bottom style="thin">
        <color theme="0" tint="-0.14999847407452621"/>
      </bottom>
      <diagonal/>
    </border>
    <border>
      <left style="thin">
        <color auto="1"/>
      </left>
      <right style="thin">
        <color theme="0" tint="-0.14999847407452621"/>
      </right>
      <top style="thin">
        <color theme="0" tint="-0.14999847407452621"/>
      </top>
      <bottom style="medium">
        <color auto="1"/>
      </bottom>
      <diagonal/>
    </border>
    <border>
      <left style="thin">
        <color theme="0" tint="-0.14999847407452621"/>
      </left>
      <right style="medium">
        <color auto="1"/>
      </right>
      <top style="thin">
        <color theme="0" tint="-0.14999847407452621"/>
      </top>
      <bottom style="medium">
        <color auto="1"/>
      </bottom>
      <diagonal/>
    </border>
  </borders>
  <cellStyleXfs count="7">
    <xf numFmtId="0" fontId="0" fillId="0" borderId="0">
      <alignment vertical="center"/>
    </xf>
    <xf numFmtId="0" fontId="233" fillId="0" borderId="0" applyNumberFormat="0" applyFill="0" applyBorder="0" applyAlignment="0" applyProtection="0">
      <alignment vertical="center"/>
    </xf>
    <xf numFmtId="0" fontId="234" fillId="78" borderId="0" applyNumberFormat="0" applyBorder="0" applyAlignment="0" applyProtection="0">
      <alignment vertical="center"/>
    </xf>
    <xf numFmtId="0" fontId="235" fillId="43" borderId="0" applyNumberFormat="0" applyBorder="0" applyAlignment="0" applyProtection="0">
      <alignment vertical="center"/>
    </xf>
    <xf numFmtId="0" fontId="235" fillId="48" borderId="0" applyNumberFormat="0" applyBorder="0" applyAlignment="0" applyProtection="0">
      <alignment vertical="center"/>
    </xf>
    <xf numFmtId="0" fontId="234" fillId="143" borderId="0" applyNumberFormat="0" applyBorder="0" applyAlignment="0" applyProtection="0">
      <alignment vertical="center"/>
    </xf>
    <xf numFmtId="0" fontId="32" fillId="0" borderId="0">
      <protection locked="0"/>
    </xf>
  </cellStyleXfs>
  <cellXfs count="458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4" xfId="0" applyBorder="1">
      <alignment vertical="center"/>
    </xf>
    <xf numFmtId="0" fontId="0" fillId="0" borderId="6" xfId="0" applyBorder="1">
      <alignment vertical="center"/>
    </xf>
    <xf numFmtId="0" fontId="0" fillId="0" borderId="7" xfId="0" applyBorder="1">
      <alignment vertical="center"/>
    </xf>
    <xf numFmtId="0" fontId="0" fillId="0" borderId="0" xfId="0" applyAlignment="1">
      <alignment horizontal="center"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4" fillId="0" borderId="0" xfId="0" applyFont="1">
      <alignment vertical="center"/>
    </xf>
    <xf numFmtId="0" fontId="5" fillId="0" borderId="0" xfId="0" applyFont="1">
      <alignment vertical="center"/>
    </xf>
    <xf numFmtId="0" fontId="5" fillId="2" borderId="0" xfId="0" applyFont="1" applyFill="1">
      <alignment vertical="center"/>
    </xf>
    <xf numFmtId="0" fontId="12" fillId="4" borderId="3" xfId="0" applyFont="1" applyFill="1" applyBorder="1" applyAlignment="1">
      <alignment horizontal="center" vertical="center" wrapText="1"/>
    </xf>
    <xf numFmtId="0" fontId="14" fillId="4" borderId="3" xfId="0" applyFont="1" applyFill="1" applyBorder="1" applyAlignment="1">
      <alignment vertical="center" wrapText="1"/>
    </xf>
    <xf numFmtId="0" fontId="5" fillId="0" borderId="0" xfId="0" applyFont="1" applyAlignment="1">
      <alignment vertical="center" wrapText="1"/>
    </xf>
    <xf numFmtId="0" fontId="14" fillId="4" borderId="3" xfId="0" applyFont="1" applyFill="1" applyBorder="1" applyAlignment="1">
      <alignment horizontal="center" vertical="center" wrapText="1"/>
    </xf>
    <xf numFmtId="0" fontId="17" fillId="4" borderId="3" xfId="0" applyFont="1" applyFill="1" applyBorder="1" applyAlignment="1">
      <alignment horizontal="center" vertical="top" wrapText="1"/>
    </xf>
    <xf numFmtId="0" fontId="12" fillId="4" borderId="3" xfId="0" applyFont="1" applyFill="1" applyBorder="1" applyAlignment="1">
      <alignment horizontal="center" vertical="top" wrapText="1"/>
    </xf>
    <xf numFmtId="0" fontId="19" fillId="0" borderId="3" xfId="0" applyFont="1" applyBorder="1" applyAlignment="1">
      <alignment horizontal="left" vertical="center"/>
    </xf>
    <xf numFmtId="0" fontId="20" fillId="4" borderId="3" xfId="0" applyFont="1" applyFill="1" applyBorder="1" applyAlignment="1">
      <alignment vertical="center" wrapText="1"/>
    </xf>
    <xf numFmtId="0" fontId="17" fillId="4" borderId="3" xfId="0" applyFont="1" applyFill="1" applyBorder="1" applyAlignment="1">
      <alignment vertical="center" wrapText="1"/>
    </xf>
    <xf numFmtId="0" fontId="22" fillId="4" borderId="3" xfId="0" applyFont="1" applyFill="1" applyBorder="1" applyAlignment="1">
      <alignment vertical="center" wrapText="1"/>
    </xf>
    <xf numFmtId="0" fontId="23" fillId="4" borderId="3" xfId="0" applyFont="1" applyFill="1" applyBorder="1" applyAlignment="1">
      <alignment vertical="center" wrapText="1"/>
    </xf>
    <xf numFmtId="0" fontId="12" fillId="4" borderId="3" xfId="0" applyFont="1" applyFill="1" applyBorder="1" applyAlignment="1">
      <alignment vertical="center" wrapText="1"/>
    </xf>
    <xf numFmtId="0" fontId="20" fillId="4" borderId="3" xfId="0" applyFont="1" applyFill="1" applyBorder="1" applyAlignment="1">
      <alignment horizontal="left" vertical="center" wrapText="1"/>
    </xf>
    <xf numFmtId="0" fontId="5" fillId="5" borderId="0" xfId="0" applyFont="1" applyFill="1">
      <alignment vertical="center"/>
    </xf>
    <xf numFmtId="0" fontId="5" fillId="0" borderId="0" xfId="0" applyFont="1" applyAlignment="1">
      <alignment horizontal="center" vertical="center"/>
    </xf>
    <xf numFmtId="0" fontId="12" fillId="8" borderId="6" xfId="0" applyFont="1" applyFill="1" applyBorder="1" applyAlignment="1">
      <alignment horizontal="center" vertical="center"/>
    </xf>
    <xf numFmtId="0" fontId="12" fillId="8" borderId="7" xfId="0" applyFont="1" applyFill="1" applyBorder="1" applyAlignment="1">
      <alignment horizontal="center" vertical="center"/>
    </xf>
    <xf numFmtId="0" fontId="24" fillId="0" borderId="6" xfId="0" applyFont="1" applyBorder="1" applyAlignment="1">
      <alignment horizontal="center" vertical="center"/>
    </xf>
    <xf numFmtId="0" fontId="25" fillId="0" borderId="7" xfId="0" applyFont="1" applyBorder="1" applyAlignment="1">
      <alignment horizontal="left" vertical="center" wrapText="1"/>
    </xf>
    <xf numFmtId="0" fontId="24" fillId="9" borderId="6" xfId="0" applyFont="1" applyFill="1" applyBorder="1" applyAlignment="1">
      <alignment horizontal="center" vertical="center"/>
    </xf>
    <xf numFmtId="0" fontId="25" fillId="9" borderId="7" xfId="0" applyFont="1" applyFill="1" applyBorder="1" applyAlignment="1">
      <alignment horizontal="left" vertical="center" wrapText="1"/>
    </xf>
    <xf numFmtId="0" fontId="24" fillId="9" borderId="8" xfId="0" applyFont="1" applyFill="1" applyBorder="1" applyAlignment="1">
      <alignment horizontal="center" vertical="center"/>
    </xf>
    <xf numFmtId="0" fontId="25" fillId="9" borderId="10" xfId="0" applyFont="1" applyFill="1" applyBorder="1" applyAlignment="1">
      <alignment horizontal="left" vertical="center" wrapText="1"/>
    </xf>
    <xf numFmtId="0" fontId="26" fillId="9" borderId="10" xfId="0" applyFont="1" applyFill="1" applyBorder="1" applyAlignment="1">
      <alignment horizontal="left" vertical="center" wrapText="1"/>
    </xf>
    <xf numFmtId="0" fontId="5" fillId="8" borderId="6" xfId="0" applyFont="1" applyFill="1" applyBorder="1" applyAlignment="1" applyProtection="1">
      <alignment horizontal="center" vertical="center"/>
      <protection hidden="1"/>
    </xf>
    <xf numFmtId="0" fontId="5" fillId="8" borderId="7" xfId="0" applyFont="1" applyFill="1" applyBorder="1" applyAlignment="1" applyProtection="1">
      <alignment horizontal="center" vertical="center" wrapText="1"/>
      <protection hidden="1"/>
    </xf>
    <xf numFmtId="0" fontId="5" fillId="0" borderId="0" xfId="0" applyFont="1" applyAlignment="1">
      <alignment horizontal="left" vertical="center"/>
    </xf>
    <xf numFmtId="0" fontId="24" fillId="0" borderId="0" xfId="0" applyFont="1" applyAlignment="1">
      <alignment vertical="center" wrapText="1"/>
    </xf>
    <xf numFmtId="0" fontId="30" fillId="0" borderId="0" xfId="0" applyFont="1" applyAlignment="1">
      <alignment horizontal="left"/>
    </xf>
    <xf numFmtId="0" fontId="31" fillId="0" borderId="0" xfId="6" applyFont="1" applyAlignment="1">
      <alignment vertical="center"/>
      <protection locked="0"/>
    </xf>
    <xf numFmtId="0" fontId="32" fillId="0" borderId="0" xfId="6" applyAlignment="1">
      <alignment vertical="center"/>
      <protection locked="0"/>
    </xf>
    <xf numFmtId="0" fontId="33" fillId="0" borderId="0" xfId="0" applyFont="1" applyProtection="1">
      <alignment vertical="center"/>
      <protection locked="0"/>
    </xf>
    <xf numFmtId="49" fontId="34" fillId="3" borderId="1" xfId="0" applyNumberFormat="1" applyFont="1" applyFill="1" applyBorder="1" applyAlignment="1">
      <alignment horizontal="center" vertical="center"/>
    </xf>
    <xf numFmtId="49" fontId="34" fillId="3" borderId="2" xfId="0" applyNumberFormat="1" applyFont="1" applyFill="1" applyBorder="1" applyAlignment="1">
      <alignment horizontal="center" vertical="center"/>
    </xf>
    <xf numFmtId="49" fontId="35" fillId="3" borderId="2" xfId="0" applyNumberFormat="1" applyFont="1" applyFill="1" applyBorder="1" applyAlignment="1">
      <alignment horizontal="center" vertical="center" wrapText="1"/>
    </xf>
    <xf numFmtId="49" fontId="34" fillId="3" borderId="4" xfId="0" applyNumberFormat="1" applyFont="1" applyFill="1" applyBorder="1" applyAlignment="1">
      <alignment horizontal="center" vertical="center"/>
    </xf>
    <xf numFmtId="0" fontId="32" fillId="0" borderId="0" xfId="6" applyAlignment="1" applyProtection="1">
      <alignment vertical="center"/>
    </xf>
    <xf numFmtId="49" fontId="36" fillId="3" borderId="1" xfId="0" applyNumberFormat="1" applyFont="1" applyFill="1" applyBorder="1" applyAlignment="1">
      <alignment horizontal="center" vertical="center"/>
    </xf>
    <xf numFmtId="49" fontId="36" fillId="3" borderId="2" xfId="0" applyNumberFormat="1" applyFont="1" applyFill="1" applyBorder="1" applyAlignment="1">
      <alignment horizontal="center" vertical="center"/>
    </xf>
    <xf numFmtId="49" fontId="36" fillId="3" borderId="2" xfId="0" applyNumberFormat="1" applyFont="1" applyFill="1" applyBorder="1" applyAlignment="1">
      <alignment horizontal="center" vertical="center" wrapText="1"/>
    </xf>
    <xf numFmtId="49" fontId="36" fillId="3" borderId="4" xfId="0" applyNumberFormat="1" applyFont="1" applyFill="1" applyBorder="1" applyAlignment="1">
      <alignment horizontal="center" vertical="center"/>
    </xf>
    <xf numFmtId="0" fontId="4" fillId="0" borderId="0" xfId="6" applyFont="1" applyAlignment="1">
      <alignment vertical="center"/>
      <protection locked="0"/>
    </xf>
    <xf numFmtId="49" fontId="37" fillId="0" borderId="0" xfId="0" applyNumberFormat="1" applyFont="1" applyProtection="1">
      <alignment vertical="center"/>
      <protection locked="0"/>
    </xf>
    <xf numFmtId="0" fontId="38" fillId="0" borderId="6" xfId="0" applyFont="1" applyBorder="1" applyAlignment="1">
      <alignment horizontal="left" vertical="center"/>
    </xf>
    <xf numFmtId="0" fontId="38" fillId="0" borderId="0" xfId="0" applyFont="1" applyAlignment="1">
      <alignment horizontal="center" vertical="center"/>
    </xf>
    <xf numFmtId="0" fontId="38" fillId="0" borderId="7" xfId="0" applyFont="1" applyBorder="1" applyAlignment="1">
      <alignment horizontal="center" vertical="center"/>
    </xf>
    <xf numFmtId="0" fontId="38" fillId="0" borderId="0" xfId="6" applyFont="1" applyAlignment="1" applyProtection="1">
      <alignment horizontal="center" vertical="center"/>
    </xf>
    <xf numFmtId="0" fontId="43" fillId="0" borderId="0" xfId="6" applyFont="1" applyAlignment="1" applyProtection="1">
      <alignment vertical="center" wrapText="1"/>
    </xf>
    <xf numFmtId="0" fontId="43" fillId="0" borderId="0" xfId="6" applyFont="1" applyAlignment="1" applyProtection="1">
      <alignment vertical="center"/>
    </xf>
    <xf numFmtId="0" fontId="32" fillId="0" borderId="0" xfId="6" applyAlignment="1">
      <alignment vertical="center" wrapText="1"/>
      <protection locked="0"/>
    </xf>
    <xf numFmtId="0" fontId="38" fillId="0" borderId="38" xfId="0" applyFont="1" applyBorder="1" applyAlignment="1">
      <alignment horizontal="left" vertical="center"/>
    </xf>
    <xf numFmtId="0" fontId="38" fillId="0" borderId="39" xfId="0" applyFont="1" applyBorder="1" applyAlignment="1">
      <alignment horizontal="center" vertical="center"/>
    </xf>
    <xf numFmtId="0" fontId="38" fillId="0" borderId="40" xfId="0" applyFont="1" applyBorder="1" applyAlignment="1">
      <alignment horizontal="center" vertical="center"/>
    </xf>
    <xf numFmtId="0" fontId="44" fillId="0" borderId="0" xfId="6" applyFont="1" applyAlignment="1">
      <alignment vertical="center"/>
      <protection locked="0"/>
    </xf>
    <xf numFmtId="0" fontId="38" fillId="0" borderId="41" xfId="0" applyFont="1" applyBorder="1" applyAlignment="1">
      <alignment horizontal="left" vertical="center"/>
    </xf>
    <xf numFmtId="0" fontId="38" fillId="0" borderId="17" xfId="0" applyFont="1" applyBorder="1" applyAlignment="1">
      <alignment horizontal="center" vertical="center"/>
    </xf>
    <xf numFmtId="0" fontId="38" fillId="0" borderId="17" xfId="6" applyFont="1" applyBorder="1" applyAlignment="1" applyProtection="1">
      <alignment horizontal="center" vertical="center"/>
    </xf>
    <xf numFmtId="0" fontId="38" fillId="0" borderId="42" xfId="0" applyFont="1" applyBorder="1" applyAlignment="1">
      <alignment horizontal="center" vertical="center"/>
    </xf>
    <xf numFmtId="0" fontId="38" fillId="0" borderId="23" xfId="0" applyFont="1" applyBorder="1" applyAlignment="1">
      <alignment horizontal="center" vertical="center"/>
    </xf>
    <xf numFmtId="0" fontId="38" fillId="0" borderId="43" xfId="0" applyFont="1" applyBorder="1" applyAlignment="1">
      <alignment horizontal="center" vertical="center"/>
    </xf>
    <xf numFmtId="0" fontId="38" fillId="12" borderId="38" xfId="0" applyFont="1" applyFill="1" applyBorder="1" applyAlignment="1">
      <alignment horizontal="left" vertical="center"/>
    </xf>
    <xf numFmtId="0" fontId="38" fillId="12" borderId="39" xfId="0" applyFont="1" applyFill="1" applyBorder="1" applyAlignment="1">
      <alignment horizontal="center" vertical="center"/>
    </xf>
    <xf numFmtId="0" fontId="38" fillId="12" borderId="40" xfId="0" applyFont="1" applyFill="1" applyBorder="1" applyAlignment="1">
      <alignment horizontal="center" vertical="center"/>
    </xf>
    <xf numFmtId="0" fontId="38" fillId="12" borderId="6" xfId="0" applyFont="1" applyFill="1" applyBorder="1" applyAlignment="1">
      <alignment horizontal="left" vertical="center"/>
    </xf>
    <xf numFmtId="0" fontId="38" fillId="12" borderId="0" xfId="0" applyFont="1" applyFill="1" applyAlignment="1">
      <alignment horizontal="center" vertical="center"/>
    </xf>
    <xf numFmtId="0" fontId="38" fillId="12" borderId="0" xfId="6" applyFont="1" applyFill="1" applyAlignment="1" applyProtection="1">
      <alignment horizontal="center" vertical="center"/>
    </xf>
    <xf numFmtId="0" fontId="38" fillId="12" borderId="7" xfId="0" applyFont="1" applyFill="1" applyBorder="1" applyAlignment="1">
      <alignment horizontal="center" vertical="center"/>
    </xf>
    <xf numFmtId="0" fontId="46" fillId="13" borderId="6" xfId="0" applyFont="1" applyFill="1" applyBorder="1" applyAlignment="1">
      <alignment horizontal="left" vertical="center"/>
    </xf>
    <xf numFmtId="0" fontId="46" fillId="14" borderId="0" xfId="0" applyFont="1" applyFill="1" applyAlignment="1">
      <alignment horizontal="center" vertical="center"/>
    </xf>
    <xf numFmtId="0" fontId="46" fillId="14" borderId="7" xfId="0" applyFont="1" applyFill="1" applyBorder="1" applyAlignment="1">
      <alignment horizontal="center" vertical="center"/>
    </xf>
    <xf numFmtId="0" fontId="46" fillId="0" borderId="0" xfId="0" applyFont="1" applyAlignment="1">
      <alignment horizontal="center" vertical="center"/>
    </xf>
    <xf numFmtId="0" fontId="38" fillId="14" borderId="6" xfId="0" applyFont="1" applyFill="1" applyBorder="1" applyAlignment="1">
      <alignment horizontal="left" vertical="center"/>
    </xf>
    <xf numFmtId="0" fontId="38" fillId="14" borderId="0" xfId="0" applyFont="1" applyFill="1" applyAlignment="1">
      <alignment horizontal="center" vertical="center"/>
    </xf>
    <xf numFmtId="0" fontId="38" fillId="14" borderId="7" xfId="0" applyFont="1" applyFill="1" applyBorder="1" applyAlignment="1">
      <alignment horizontal="center" vertical="center"/>
    </xf>
    <xf numFmtId="0" fontId="31" fillId="0" borderId="6" xfId="6" applyFont="1" applyBorder="1" applyAlignment="1" applyProtection="1">
      <alignment horizontal="left" vertical="center"/>
    </xf>
    <xf numFmtId="0" fontId="31" fillId="0" borderId="0" xfId="6" applyFont="1" applyAlignment="1" applyProtection="1">
      <alignment horizontal="center" vertical="center"/>
    </xf>
    <xf numFmtId="0" fontId="31" fillId="0" borderId="7" xfId="6" applyFont="1" applyBorder="1" applyAlignment="1" applyProtection="1">
      <alignment horizontal="center" vertical="center"/>
    </xf>
    <xf numFmtId="0" fontId="46" fillId="14" borderId="6" xfId="0" applyFont="1" applyFill="1" applyBorder="1" applyAlignment="1">
      <alignment horizontal="left" vertical="center"/>
    </xf>
    <xf numFmtId="0" fontId="38" fillId="15" borderId="6" xfId="0" applyFont="1" applyFill="1" applyBorder="1" applyAlignment="1">
      <alignment horizontal="left" vertical="center"/>
    </xf>
    <xf numFmtId="0" fontId="38" fillId="15" borderId="0" xfId="0" applyFont="1" applyFill="1" applyAlignment="1">
      <alignment horizontal="center" vertical="center"/>
    </xf>
    <xf numFmtId="0" fontId="38" fillId="15" borderId="0" xfId="6" applyFont="1" applyFill="1" applyAlignment="1" applyProtection="1">
      <alignment horizontal="center" vertical="center"/>
    </xf>
    <xf numFmtId="0" fontId="38" fillId="15" borderId="7" xfId="0" applyFont="1" applyFill="1" applyBorder="1" applyAlignment="1">
      <alignment horizontal="center" vertical="center"/>
    </xf>
    <xf numFmtId="0" fontId="46" fillId="0" borderId="6" xfId="0" applyFont="1" applyBorder="1" applyAlignment="1">
      <alignment horizontal="left" vertical="center"/>
    </xf>
    <xf numFmtId="0" fontId="46" fillId="0" borderId="7" xfId="0" applyFont="1" applyBorder="1" applyAlignment="1">
      <alignment horizontal="center" vertical="center"/>
    </xf>
    <xf numFmtId="0" fontId="38" fillId="16" borderId="6" xfId="0" applyFont="1" applyFill="1" applyBorder="1" applyAlignment="1">
      <alignment horizontal="left" vertical="center"/>
    </xf>
    <xf numFmtId="0" fontId="46" fillId="17" borderId="6" xfId="0" applyFont="1" applyFill="1" applyBorder="1" applyAlignment="1">
      <alignment horizontal="left" vertical="center"/>
    </xf>
    <xf numFmtId="0" fontId="46" fillId="17" borderId="0" xfId="0" applyFont="1" applyFill="1" applyAlignment="1">
      <alignment horizontal="center" vertical="center"/>
    </xf>
    <xf numFmtId="0" fontId="31" fillId="17" borderId="0" xfId="6" applyFont="1" applyFill="1" applyAlignment="1" applyProtection="1">
      <alignment horizontal="center" vertical="center"/>
    </xf>
    <xf numFmtId="0" fontId="46" fillId="17" borderId="7" xfId="0" applyFont="1" applyFill="1" applyBorder="1" applyAlignment="1">
      <alignment horizontal="center" vertical="center"/>
    </xf>
    <xf numFmtId="0" fontId="4" fillId="0" borderId="0" xfId="6" applyFont="1" applyAlignment="1" applyProtection="1">
      <alignment vertical="center" wrapText="1"/>
    </xf>
    <xf numFmtId="0" fontId="4" fillId="0" borderId="0" xfId="6" applyFont="1" applyAlignment="1" applyProtection="1">
      <alignment vertical="center"/>
    </xf>
    <xf numFmtId="0" fontId="46" fillId="18" borderId="6" xfId="0" applyFont="1" applyFill="1" applyBorder="1" applyAlignment="1">
      <alignment horizontal="left" vertical="center"/>
    </xf>
    <xf numFmtId="0" fontId="46" fillId="18" borderId="0" xfId="0" applyFont="1" applyFill="1" applyAlignment="1">
      <alignment horizontal="center" vertical="center"/>
    </xf>
    <xf numFmtId="0" fontId="46" fillId="18" borderId="7" xfId="0" applyFont="1" applyFill="1" applyBorder="1" applyAlignment="1">
      <alignment horizontal="center" vertical="center"/>
    </xf>
    <xf numFmtId="0" fontId="46" fillId="19" borderId="6" xfId="0" applyFont="1" applyFill="1" applyBorder="1" applyAlignment="1">
      <alignment horizontal="left" vertical="center"/>
    </xf>
    <xf numFmtId="0" fontId="46" fillId="19" borderId="0" xfId="0" applyFont="1" applyFill="1" applyAlignment="1">
      <alignment horizontal="center" vertical="center"/>
    </xf>
    <xf numFmtId="0" fontId="46" fillId="19" borderId="7" xfId="0" applyFont="1" applyFill="1" applyBorder="1" applyAlignment="1">
      <alignment horizontal="center" vertical="center"/>
    </xf>
    <xf numFmtId="0" fontId="32" fillId="0" borderId="0" xfId="6" applyAlignment="1" applyProtection="1">
      <alignment vertical="center" wrapText="1"/>
    </xf>
    <xf numFmtId="0" fontId="46" fillId="20" borderId="6" xfId="0" applyFont="1" applyFill="1" applyBorder="1" applyAlignment="1">
      <alignment horizontal="left" vertical="center"/>
    </xf>
    <xf numFmtId="0" fontId="46" fillId="20" borderId="0" xfId="0" applyFont="1" applyFill="1" applyAlignment="1">
      <alignment horizontal="center" vertical="center"/>
    </xf>
    <xf numFmtId="0" fontId="46" fillId="20" borderId="7" xfId="0" applyFont="1" applyFill="1" applyBorder="1" applyAlignment="1">
      <alignment horizontal="center" vertical="center"/>
    </xf>
    <xf numFmtId="0" fontId="46" fillId="22" borderId="6" xfId="0" applyFont="1" applyFill="1" applyBorder="1" applyAlignment="1">
      <alignment horizontal="left" vertical="center"/>
    </xf>
    <xf numFmtId="0" fontId="46" fillId="22" borderId="0" xfId="0" applyFont="1" applyFill="1" applyAlignment="1">
      <alignment horizontal="center" vertical="center"/>
    </xf>
    <xf numFmtId="0" fontId="31" fillId="22" borderId="0" xfId="6" applyFont="1" applyFill="1" applyAlignment="1" applyProtection="1">
      <alignment horizontal="center" vertical="center"/>
    </xf>
    <xf numFmtId="0" fontId="46" fillId="22" borderId="7" xfId="0" applyFont="1" applyFill="1" applyBorder="1" applyAlignment="1">
      <alignment horizontal="center" vertical="center"/>
    </xf>
    <xf numFmtId="0" fontId="31" fillId="19" borderId="0" xfId="6" applyFont="1" applyFill="1" applyAlignment="1" applyProtection="1">
      <alignment horizontal="center" vertical="center"/>
    </xf>
    <xf numFmtId="0" fontId="46" fillId="21" borderId="6" xfId="0" applyFont="1" applyFill="1" applyBorder="1" applyAlignment="1">
      <alignment horizontal="left" vertical="center"/>
    </xf>
    <xf numFmtId="0" fontId="46" fillId="21" borderId="0" xfId="0" applyFont="1" applyFill="1" applyAlignment="1">
      <alignment horizontal="center" vertical="center"/>
    </xf>
    <xf numFmtId="0" fontId="31" fillId="21" borderId="0" xfId="6" applyFont="1" applyFill="1" applyAlignment="1" applyProtection="1">
      <alignment horizontal="center" vertical="center"/>
    </xf>
    <xf numFmtId="0" fontId="46" fillId="21" borderId="7" xfId="0" applyFont="1" applyFill="1" applyBorder="1" applyAlignment="1">
      <alignment horizontal="center" vertical="center"/>
    </xf>
    <xf numFmtId="0" fontId="46" fillId="24" borderId="6" xfId="0" applyFont="1" applyFill="1" applyBorder="1" applyAlignment="1">
      <alignment horizontal="left" vertical="center"/>
    </xf>
    <xf numFmtId="0" fontId="31" fillId="24" borderId="0" xfId="6" applyFont="1" applyFill="1" applyAlignment="1" applyProtection="1">
      <alignment horizontal="center" vertical="center"/>
    </xf>
    <xf numFmtId="0" fontId="46" fillId="24" borderId="0" xfId="0" applyFont="1" applyFill="1" applyAlignment="1">
      <alignment horizontal="center" vertical="center"/>
    </xf>
    <xf numFmtId="0" fontId="46" fillId="24" borderId="7" xfId="0" applyFont="1" applyFill="1" applyBorder="1" applyAlignment="1">
      <alignment horizontal="center" vertical="center"/>
    </xf>
    <xf numFmtId="0" fontId="31" fillId="23" borderId="6" xfId="6" applyFont="1" applyFill="1" applyBorder="1" applyAlignment="1" applyProtection="1">
      <alignment vertical="center"/>
    </xf>
    <xf numFmtId="0" fontId="52" fillId="23" borderId="0" xfId="6" applyFont="1" applyFill="1" applyAlignment="1" applyProtection="1">
      <alignment horizontal="center" vertical="center"/>
    </xf>
    <xf numFmtId="0" fontId="31" fillId="23" borderId="0" xfId="6" applyFont="1" applyFill="1" applyAlignment="1" applyProtection="1">
      <alignment horizontal="center" vertical="center"/>
    </xf>
    <xf numFmtId="0" fontId="46" fillId="23" borderId="0" xfId="0" applyFont="1" applyFill="1" applyAlignment="1">
      <alignment horizontal="center" vertical="center"/>
    </xf>
    <xf numFmtId="0" fontId="46" fillId="23" borderId="7" xfId="0" applyFont="1" applyFill="1" applyBorder="1" applyAlignment="1">
      <alignment horizontal="center" vertical="center"/>
    </xf>
    <xf numFmtId="0" fontId="53" fillId="0" borderId="0" xfId="6" applyFont="1" applyAlignment="1" applyProtection="1">
      <alignment vertical="center" wrapText="1"/>
    </xf>
    <xf numFmtId="0" fontId="31" fillId="14" borderId="0" xfId="6" applyFont="1" applyFill="1" applyAlignment="1" applyProtection="1">
      <alignment horizontal="center" vertical="center"/>
    </xf>
    <xf numFmtId="0" fontId="4" fillId="0" borderId="20" xfId="6" applyFont="1" applyBorder="1" applyAlignment="1" applyProtection="1">
      <alignment vertical="center"/>
    </xf>
    <xf numFmtId="0" fontId="46" fillId="25" borderId="6" xfId="0" applyFont="1" applyFill="1" applyBorder="1" applyAlignment="1">
      <alignment horizontal="left" vertical="center"/>
    </xf>
    <xf numFmtId="0" fontId="46" fillId="25" borderId="0" xfId="0" applyFont="1" applyFill="1" applyAlignment="1">
      <alignment horizontal="center" vertical="center"/>
    </xf>
    <xf numFmtId="0" fontId="31" fillId="25" borderId="0" xfId="6" applyFont="1" applyFill="1" applyAlignment="1" applyProtection="1">
      <alignment horizontal="center" vertical="center"/>
    </xf>
    <xf numFmtId="0" fontId="46" fillId="25" borderId="7" xfId="0" applyFont="1" applyFill="1" applyBorder="1" applyAlignment="1">
      <alignment horizontal="center" vertical="center"/>
    </xf>
    <xf numFmtId="0" fontId="55" fillId="0" borderId="0" xfId="0" applyFont="1" applyAlignment="1">
      <alignment horizontal="center" vertical="center"/>
    </xf>
    <xf numFmtId="0" fontId="31" fillId="0" borderId="6" xfId="6" applyFont="1" applyBorder="1" applyAlignment="1">
      <alignment vertical="center"/>
      <protection locked="0"/>
    </xf>
    <xf numFmtId="0" fontId="31" fillId="0" borderId="0" xfId="6" applyFont="1" applyAlignment="1">
      <alignment horizontal="center" vertical="center"/>
      <protection locked="0"/>
    </xf>
    <xf numFmtId="0" fontId="32" fillId="0" borderId="7" xfId="6" applyBorder="1" applyAlignment="1">
      <alignment horizontal="center" vertical="center"/>
      <protection locked="0"/>
    </xf>
    <xf numFmtId="0" fontId="46" fillId="26" borderId="6" xfId="0" applyFont="1" applyFill="1" applyBorder="1" applyAlignment="1">
      <alignment horizontal="left" vertical="center"/>
    </xf>
    <xf numFmtId="0" fontId="46" fillId="26" borderId="0" xfId="0" applyFont="1" applyFill="1" applyAlignment="1">
      <alignment horizontal="center" vertical="center"/>
    </xf>
    <xf numFmtId="0" fontId="31" fillId="26" borderId="0" xfId="6" applyFont="1" applyFill="1" applyAlignment="1" applyProtection="1">
      <alignment horizontal="center" vertical="center"/>
    </xf>
    <xf numFmtId="0" fontId="46" fillId="26" borderId="7" xfId="0" applyFont="1" applyFill="1" applyBorder="1" applyAlignment="1">
      <alignment horizontal="center" vertical="center"/>
    </xf>
    <xf numFmtId="0" fontId="31" fillId="10" borderId="6" xfId="0" applyFont="1" applyFill="1" applyBorder="1" applyAlignment="1">
      <alignment horizontal="left" vertical="center"/>
    </xf>
    <xf numFmtId="0" fontId="31" fillId="10" borderId="0" xfId="6" applyFont="1" applyFill="1" applyAlignment="1" applyProtection="1">
      <alignment horizontal="center" vertical="center"/>
    </xf>
    <xf numFmtId="0" fontId="31" fillId="10" borderId="0" xfId="0" applyFont="1" applyFill="1" applyAlignment="1">
      <alignment horizontal="center" vertical="center"/>
    </xf>
    <xf numFmtId="0" fontId="31" fillId="10" borderId="7" xfId="0" applyFont="1" applyFill="1" applyBorder="1" applyAlignment="1">
      <alignment horizontal="center" vertical="center"/>
    </xf>
    <xf numFmtId="49" fontId="46" fillId="0" borderId="0" xfId="0" applyNumberFormat="1" applyFont="1" applyAlignment="1">
      <alignment horizontal="center" vertical="center"/>
    </xf>
    <xf numFmtId="49" fontId="46" fillId="26" borderId="0" xfId="0" applyNumberFormat="1" applyFont="1" applyFill="1" applyAlignment="1">
      <alignment horizontal="center" vertical="center"/>
    </xf>
    <xf numFmtId="0" fontId="46" fillId="10" borderId="6" xfId="0" applyFont="1" applyFill="1" applyBorder="1" applyAlignment="1">
      <alignment horizontal="left" vertical="center"/>
    </xf>
    <xf numFmtId="0" fontId="46" fillId="10" borderId="0" xfId="0" applyFont="1" applyFill="1" applyAlignment="1">
      <alignment horizontal="center" vertical="center"/>
    </xf>
    <xf numFmtId="0" fontId="32" fillId="10" borderId="41" xfId="6" applyFill="1" applyBorder="1" applyAlignment="1" applyProtection="1">
      <alignment horizontal="center" vertical="center"/>
    </xf>
    <xf numFmtId="0" fontId="32" fillId="10" borderId="17" xfId="6" applyFill="1" applyBorder="1" applyAlignment="1" applyProtection="1">
      <alignment horizontal="center" vertical="center"/>
    </xf>
    <xf numFmtId="0" fontId="32" fillId="10" borderId="42" xfId="6" applyFill="1" applyBorder="1" applyAlignment="1" applyProtection="1">
      <alignment horizontal="center" vertical="center"/>
    </xf>
    <xf numFmtId="0" fontId="32" fillId="0" borderId="6" xfId="6" applyBorder="1" applyAlignment="1" applyProtection="1">
      <alignment horizontal="center" vertical="center"/>
    </xf>
    <xf numFmtId="0" fontId="32" fillId="0" borderId="0" xfId="6" applyAlignment="1" applyProtection="1">
      <alignment horizontal="center" vertical="center"/>
    </xf>
    <xf numFmtId="0" fontId="32" fillId="0" borderId="7" xfId="6" applyBorder="1" applyAlignment="1" applyProtection="1">
      <alignment horizontal="center" vertical="center"/>
    </xf>
    <xf numFmtId="0" fontId="46" fillId="10" borderId="7" xfId="0" applyFont="1" applyFill="1" applyBorder="1" applyAlignment="1">
      <alignment horizontal="center" vertical="center"/>
    </xf>
    <xf numFmtId="0" fontId="58" fillId="0" borderId="41" xfId="0" applyFont="1" applyBorder="1" applyAlignment="1">
      <alignment horizontal="left" vertical="center"/>
    </xf>
    <xf numFmtId="0" fontId="58" fillId="0" borderId="17" xfId="0" applyFont="1" applyBorder="1" applyAlignment="1">
      <alignment horizontal="center" vertical="center"/>
    </xf>
    <xf numFmtId="0" fontId="44" fillId="0" borderId="17" xfId="6" applyFont="1" applyBorder="1" applyAlignment="1" applyProtection="1">
      <alignment vertical="center"/>
    </xf>
    <xf numFmtId="0" fontId="58" fillId="0" borderId="42" xfId="0" applyFont="1" applyBorder="1" applyAlignment="1">
      <alignment horizontal="center" vertical="center"/>
    </xf>
    <xf numFmtId="0" fontId="58" fillId="0" borderId="6" xfId="0" applyFont="1" applyBorder="1" applyAlignment="1">
      <alignment horizontal="left" vertical="center"/>
    </xf>
    <xf numFmtId="0" fontId="58" fillId="0" borderId="0" xfId="0" applyFont="1" applyAlignment="1">
      <alignment horizontal="center" vertical="center"/>
    </xf>
    <xf numFmtId="0" fontId="44" fillId="0" borderId="0" xfId="6" applyFont="1" applyAlignment="1" applyProtection="1">
      <alignment vertical="center"/>
    </xf>
    <xf numFmtId="0" fontId="58" fillId="0" borderId="7" xfId="0" applyFont="1" applyBorder="1" applyAlignment="1">
      <alignment horizontal="center" vertical="center"/>
    </xf>
    <xf numFmtId="0" fontId="4" fillId="0" borderId="42" xfId="6" applyFont="1" applyBorder="1" applyAlignment="1" applyProtection="1">
      <alignment vertical="center" wrapText="1"/>
    </xf>
    <xf numFmtId="0" fontId="46" fillId="27" borderId="6" xfId="0" applyFont="1" applyFill="1" applyBorder="1" applyAlignment="1">
      <alignment horizontal="left" vertical="center"/>
    </xf>
    <xf numFmtId="0" fontId="31" fillId="27" borderId="0" xfId="6" applyFont="1" applyFill="1" applyAlignment="1" applyProtection="1">
      <alignment horizontal="center" vertical="center"/>
    </xf>
    <xf numFmtId="0" fontId="46" fillId="27" borderId="0" xfId="0" applyFont="1" applyFill="1" applyAlignment="1">
      <alignment horizontal="center" vertical="center"/>
    </xf>
    <xf numFmtId="0" fontId="46" fillId="27" borderId="7" xfId="0" applyFont="1" applyFill="1" applyBorder="1" applyAlignment="1">
      <alignment horizontal="center" vertical="center"/>
    </xf>
    <xf numFmtId="0" fontId="58" fillId="0" borderId="8" xfId="0" applyFont="1" applyBorder="1" applyAlignment="1">
      <alignment horizontal="left" vertical="center"/>
    </xf>
    <xf numFmtId="0" fontId="58" fillId="0" borderId="9" xfId="0" applyFont="1" applyBorder="1" applyAlignment="1">
      <alignment horizontal="center" vertical="center"/>
    </xf>
    <xf numFmtId="0" fontId="44" fillId="0" borderId="9" xfId="6" applyFont="1" applyBorder="1" applyAlignment="1" applyProtection="1">
      <alignment vertical="center"/>
    </xf>
    <xf numFmtId="0" fontId="4" fillId="0" borderId="10" xfId="6" applyFont="1" applyBorder="1" applyAlignment="1" applyProtection="1">
      <alignment vertical="center" wrapText="1"/>
    </xf>
    <xf numFmtId="0" fontId="32" fillId="0" borderId="8" xfId="6" applyBorder="1" applyAlignment="1" applyProtection="1">
      <alignment horizontal="center" vertical="center"/>
    </xf>
    <xf numFmtId="0" fontId="32" fillId="0" borderId="9" xfId="6" applyBorder="1" applyAlignment="1" applyProtection="1">
      <alignment horizontal="center" vertical="center"/>
    </xf>
    <xf numFmtId="0" fontId="32" fillId="0" borderId="10" xfId="6" applyBorder="1" applyAlignment="1" applyProtection="1">
      <alignment horizontal="center" vertical="center"/>
    </xf>
    <xf numFmtId="0" fontId="31" fillId="0" borderId="6" xfId="0" applyFont="1" applyBorder="1" applyAlignment="1">
      <alignment horizontal="left" vertical="center"/>
    </xf>
    <xf numFmtId="0" fontId="31" fillId="0" borderId="0" xfId="0" applyFont="1" applyAlignment="1">
      <alignment horizontal="center" vertical="center"/>
    </xf>
    <xf numFmtId="0" fontId="31" fillId="0" borderId="7" xfId="0" applyFont="1" applyBorder="1" applyAlignment="1">
      <alignment horizontal="center" vertical="center"/>
    </xf>
    <xf numFmtId="49" fontId="44" fillId="0" borderId="0" xfId="6" applyNumberFormat="1" applyFont="1" applyAlignment="1" applyProtection="1">
      <alignment vertical="center"/>
    </xf>
    <xf numFmtId="0" fontId="60" fillId="0" borderId="0" xfId="6" applyFont="1" applyAlignment="1" applyProtection="1">
      <alignment vertical="center" wrapText="1"/>
    </xf>
    <xf numFmtId="0" fontId="46" fillId="28" borderId="6" xfId="0" applyFont="1" applyFill="1" applyBorder="1" applyAlignment="1">
      <alignment horizontal="left" vertical="center"/>
    </xf>
    <xf numFmtId="0" fontId="31" fillId="28" borderId="0" xfId="6" applyFont="1" applyFill="1" applyAlignment="1" applyProtection="1">
      <alignment horizontal="center" vertical="center"/>
    </xf>
    <xf numFmtId="0" fontId="46" fillId="28" borderId="0" xfId="0" applyFont="1" applyFill="1" applyAlignment="1">
      <alignment horizontal="center" vertical="center"/>
    </xf>
    <xf numFmtId="0" fontId="46" fillId="28" borderId="7" xfId="0" applyFont="1" applyFill="1" applyBorder="1" applyAlignment="1">
      <alignment horizontal="center" vertical="center"/>
    </xf>
    <xf numFmtId="0" fontId="31" fillId="30" borderId="6" xfId="6" applyFont="1" applyFill="1" applyBorder="1" applyAlignment="1" applyProtection="1">
      <alignment vertical="center"/>
    </xf>
    <xf numFmtId="0" fontId="31" fillId="30" borderId="0" xfId="6" applyFont="1" applyFill="1" applyAlignment="1" applyProtection="1">
      <alignment horizontal="center" vertical="center"/>
    </xf>
    <xf numFmtId="0" fontId="31" fillId="30" borderId="7" xfId="6" applyFont="1" applyFill="1" applyBorder="1" applyAlignment="1" applyProtection="1">
      <alignment horizontal="center" vertical="center"/>
    </xf>
    <xf numFmtId="0" fontId="46" fillId="0" borderId="45" xfId="0" applyFont="1" applyBorder="1" applyAlignment="1" applyProtection="1">
      <alignment horizontal="left" vertical="center"/>
      <protection locked="0"/>
    </xf>
    <xf numFmtId="0" fontId="31" fillId="0" borderId="45" xfId="6" applyFont="1" applyBorder="1" applyAlignment="1">
      <alignment horizontal="center" vertical="center"/>
      <protection locked="0"/>
    </xf>
    <xf numFmtId="0" fontId="46" fillId="0" borderId="45" xfId="0" applyFont="1" applyBorder="1" applyAlignment="1" applyProtection="1">
      <alignment horizontal="center" vertical="center"/>
      <protection locked="0"/>
    </xf>
    <xf numFmtId="0" fontId="62" fillId="0" borderId="0" xfId="6" applyFont="1" applyAlignment="1" applyProtection="1">
      <alignment vertical="center" wrapText="1"/>
    </xf>
    <xf numFmtId="0" fontId="31" fillId="0" borderId="0" xfId="6" applyFont="1" applyAlignment="1" applyProtection="1">
      <alignment vertical="center"/>
    </xf>
    <xf numFmtId="0" fontId="63" fillId="0" borderId="0" xfId="6" applyFont="1" applyAlignment="1" applyProtection="1">
      <alignment vertical="center"/>
    </xf>
    <xf numFmtId="0" fontId="29" fillId="0" borderId="0" xfId="0" applyFont="1" applyAlignment="1">
      <alignment horizontal="center" vertical="center"/>
    </xf>
    <xf numFmtId="0" fontId="65" fillId="0" borderId="0" xfId="0" applyFont="1">
      <alignment vertical="center"/>
    </xf>
    <xf numFmtId="0" fontId="18" fillId="0" borderId="0" xfId="0" applyFont="1" applyAlignment="1">
      <alignment vertical="center" wrapText="1"/>
    </xf>
    <xf numFmtId="0" fontId="18" fillId="0" borderId="50" xfId="0" applyFont="1" applyBorder="1" applyAlignment="1">
      <alignment horizontal="center" vertical="center" wrapText="1"/>
    </xf>
    <xf numFmtId="0" fontId="18" fillId="0" borderId="53" xfId="0" applyFont="1" applyBorder="1" applyAlignment="1">
      <alignment horizontal="center" vertical="center" wrapText="1"/>
    </xf>
    <xf numFmtId="0" fontId="18" fillId="0" borderId="55" xfId="0" applyFont="1" applyBorder="1" applyAlignment="1">
      <alignment horizontal="center" vertical="center" wrapText="1"/>
    </xf>
    <xf numFmtId="0" fontId="29" fillId="0" borderId="0" xfId="0" applyFont="1" applyAlignment="1">
      <alignment vertical="center" wrapText="1"/>
    </xf>
    <xf numFmtId="0" fontId="65" fillId="0" borderId="0" xfId="0" applyFont="1" applyAlignment="1">
      <alignment vertical="center" wrapText="1"/>
    </xf>
    <xf numFmtId="0" fontId="18" fillId="0" borderId="0" xfId="0" applyFont="1">
      <alignment vertical="center"/>
    </xf>
    <xf numFmtId="49" fontId="31" fillId="0" borderId="0" xfId="6" applyNumberFormat="1" applyFont="1" applyAlignment="1">
      <alignment vertical="center"/>
      <protection locked="0"/>
    </xf>
    <xf numFmtId="0" fontId="12" fillId="0" borderId="0" xfId="6" applyFont="1" applyAlignment="1" applyProtection="1">
      <alignment horizontal="center" vertical="center"/>
    </xf>
    <xf numFmtId="0" fontId="12" fillId="0" borderId="0" xfId="6" applyFont="1" applyAlignment="1" applyProtection="1">
      <alignment vertical="center"/>
    </xf>
    <xf numFmtId="0" fontId="18" fillId="0" borderId="0" xfId="0" applyFont="1" applyAlignment="1">
      <alignment horizontal="center" vertical="center"/>
    </xf>
    <xf numFmtId="0" fontId="17" fillId="0" borderId="0" xfId="6" applyFont="1" applyAlignment="1" applyProtection="1">
      <alignment vertical="center"/>
    </xf>
    <xf numFmtId="0" fontId="17" fillId="0" borderId="0" xfId="6" applyFont="1" applyAlignment="1" applyProtection="1">
      <alignment vertical="center" wrapText="1"/>
    </xf>
    <xf numFmtId="0" fontId="12" fillId="0" borderId="0" xfId="6" applyFont="1" applyAlignment="1" applyProtection="1">
      <alignment vertical="center" wrapText="1"/>
    </xf>
    <xf numFmtId="0" fontId="12" fillId="0" borderId="0" xfId="6" applyFont="1" applyAlignment="1" applyProtection="1">
      <alignment horizontal="center" vertical="center" wrapText="1"/>
    </xf>
    <xf numFmtId="49" fontId="66" fillId="0" borderId="0" xfId="6" applyNumberFormat="1" applyFont="1" applyAlignment="1">
      <alignment vertical="center"/>
      <protection locked="0"/>
    </xf>
    <xf numFmtId="49" fontId="17" fillId="0" borderId="0" xfId="6" applyNumberFormat="1" applyFont="1" applyAlignment="1">
      <alignment vertical="center"/>
      <protection locked="0"/>
    </xf>
    <xf numFmtId="0" fontId="17" fillId="0" borderId="0" xfId="6" applyFont="1" applyAlignment="1">
      <alignment vertical="center"/>
      <protection locked="0"/>
    </xf>
    <xf numFmtId="0" fontId="12" fillId="0" borderId="0" xfId="6" applyFont="1" applyAlignment="1">
      <alignment vertical="center"/>
      <protection locked="0"/>
    </xf>
    <xf numFmtId="49" fontId="67" fillId="0" borderId="0" xfId="6" applyNumberFormat="1" applyFont="1" applyAlignment="1">
      <alignment horizontal="center" vertical="center"/>
      <protection locked="0"/>
    </xf>
    <xf numFmtId="49" fontId="12" fillId="0" borderId="0" xfId="6" applyNumberFormat="1" applyFont="1" applyAlignment="1">
      <alignment horizontal="center" vertical="center" wrapText="1"/>
      <protection locked="0"/>
    </xf>
    <xf numFmtId="0" fontId="12" fillId="0" borderId="0" xfId="6" applyFont="1" applyAlignment="1">
      <alignment horizontal="center" vertical="center"/>
      <protection locked="0"/>
    </xf>
    <xf numFmtId="0" fontId="12" fillId="0" borderId="0" xfId="6" applyFont="1" applyAlignment="1">
      <alignment vertical="center" wrapText="1"/>
      <protection locked="0"/>
    </xf>
    <xf numFmtId="0" fontId="17" fillId="0" borderId="0" xfId="6" applyFont="1" applyAlignment="1">
      <alignment vertical="center" wrapText="1"/>
      <protection locked="0"/>
    </xf>
    <xf numFmtId="0" fontId="27" fillId="0" borderId="0" xfId="0" applyFont="1" applyProtection="1">
      <alignment vertical="center"/>
      <protection locked="0"/>
    </xf>
    <xf numFmtId="0" fontId="12" fillId="0" borderId="0" xfId="0" applyFont="1" applyAlignment="1" applyProtection="1">
      <alignment horizontal="center" vertical="center"/>
      <protection locked="0"/>
    </xf>
    <xf numFmtId="0" fontId="5" fillId="0" borderId="0" xfId="0" applyFont="1" applyAlignment="1" applyProtection="1">
      <alignment horizontal="center" vertical="center"/>
      <protection locked="0"/>
    </xf>
    <xf numFmtId="0" fontId="12" fillId="0" borderId="0" xfId="0" applyFont="1" applyProtection="1">
      <alignment vertical="center"/>
      <protection locked="0"/>
    </xf>
    <xf numFmtId="0" fontId="44" fillId="0" borderId="0" xfId="0" applyFont="1" applyAlignment="1" applyProtection="1">
      <alignment horizontal="left" vertical="center"/>
      <protection locked="0"/>
    </xf>
    <xf numFmtId="49" fontId="44" fillId="0" borderId="0" xfId="0" applyNumberFormat="1" applyFont="1" applyAlignment="1" applyProtection="1">
      <alignment horizontal="center" vertical="center"/>
      <protection locked="0"/>
    </xf>
    <xf numFmtId="0" fontId="44" fillId="0" borderId="0" xfId="0" applyFont="1" applyAlignment="1" applyProtection="1">
      <alignment horizontal="center" vertical="center"/>
      <protection locked="0"/>
    </xf>
    <xf numFmtId="49" fontId="71" fillId="33" borderId="0" xfId="0" applyNumberFormat="1" applyFont="1" applyFill="1" applyAlignment="1" applyProtection="1">
      <alignment horizontal="center" vertical="center"/>
      <protection locked="0"/>
    </xf>
    <xf numFmtId="49" fontId="72" fillId="33" borderId="0" xfId="0" applyNumberFormat="1" applyFont="1" applyFill="1" applyAlignment="1" applyProtection="1">
      <alignment horizontal="center" vertical="center"/>
      <protection locked="0"/>
    </xf>
    <xf numFmtId="49" fontId="71" fillId="33" borderId="4" xfId="0" applyNumberFormat="1" applyFont="1" applyFill="1" applyBorder="1" applyAlignment="1" applyProtection="1">
      <alignment horizontal="center" vertical="center"/>
      <protection locked="0"/>
    </xf>
    <xf numFmtId="0" fontId="73" fillId="0" borderId="0" xfId="0" applyFont="1" applyProtection="1">
      <alignment vertical="center"/>
      <protection locked="0"/>
    </xf>
    <xf numFmtId="49" fontId="74" fillId="0" borderId="0" xfId="0" applyNumberFormat="1" applyFont="1" applyProtection="1">
      <alignment vertical="center"/>
      <protection locked="0"/>
    </xf>
    <xf numFmtId="0" fontId="76" fillId="5" borderId="16" xfId="0" applyFont="1" applyFill="1" applyBorder="1" applyAlignment="1" applyProtection="1">
      <alignment horizontal="left" vertical="center"/>
      <protection locked="0"/>
    </xf>
    <xf numFmtId="49" fontId="76" fillId="5" borderId="17" xfId="0" applyNumberFormat="1" applyFont="1" applyFill="1" applyBorder="1" applyAlignment="1" applyProtection="1">
      <alignment horizontal="center" vertical="center"/>
      <protection locked="0"/>
    </xf>
    <xf numFmtId="0" fontId="76" fillId="5" borderId="17" xfId="0" applyFont="1" applyFill="1" applyBorder="1" applyAlignment="1" applyProtection="1">
      <alignment horizontal="center" vertical="center"/>
      <protection locked="0"/>
    </xf>
    <xf numFmtId="0" fontId="76" fillId="5" borderId="18" xfId="0" applyFont="1" applyFill="1" applyBorder="1" applyAlignment="1" applyProtection="1">
      <alignment horizontal="center" vertical="center"/>
      <protection locked="0"/>
    </xf>
    <xf numFmtId="0" fontId="57" fillId="0" borderId="0" xfId="0" applyFont="1">
      <alignment vertical="center"/>
    </xf>
    <xf numFmtId="49" fontId="44" fillId="0" borderId="0" xfId="0" applyNumberFormat="1" applyFont="1" applyProtection="1">
      <alignment vertical="center"/>
      <protection locked="0"/>
    </xf>
    <xf numFmtId="0" fontId="44" fillId="0" borderId="0" xfId="0" applyFont="1" applyProtection="1">
      <alignment vertical="center"/>
      <protection locked="0"/>
    </xf>
    <xf numFmtId="14" fontId="44" fillId="0" borderId="0" xfId="0" applyNumberFormat="1" applyFont="1" applyProtection="1">
      <alignment vertical="center"/>
      <protection locked="0"/>
    </xf>
    <xf numFmtId="0" fontId="47" fillId="0" borderId="0" xfId="6" applyFont="1" applyAlignment="1">
      <alignment vertical="center" wrapText="1"/>
      <protection locked="0"/>
    </xf>
    <xf numFmtId="0" fontId="76" fillId="5" borderId="20" xfId="0" applyFont="1" applyFill="1" applyBorder="1" applyAlignment="1" applyProtection="1">
      <alignment horizontal="left" vertical="center"/>
      <protection locked="0"/>
    </xf>
    <xf numFmtId="49" fontId="76" fillId="5" borderId="0" xfId="0" applyNumberFormat="1" applyFont="1" applyFill="1" applyAlignment="1" applyProtection="1">
      <alignment horizontal="center" vertical="center"/>
      <protection locked="0"/>
    </xf>
    <xf numFmtId="0" fontId="76" fillId="5" borderId="0" xfId="0" applyFont="1" applyFill="1" applyAlignment="1" applyProtection="1">
      <alignment horizontal="center" vertical="center"/>
      <protection locked="0"/>
    </xf>
    <xf numFmtId="0" fontId="76" fillId="5" borderId="21" xfId="0" applyFont="1" applyFill="1" applyBorder="1" applyAlignment="1" applyProtection="1">
      <alignment horizontal="center" vertical="center"/>
      <protection locked="0"/>
    </xf>
    <xf numFmtId="58" fontId="44" fillId="0" borderId="0" xfId="0" applyNumberFormat="1" applyFont="1" applyProtection="1">
      <alignment vertical="center"/>
      <protection locked="0"/>
    </xf>
    <xf numFmtId="0" fontId="76" fillId="34" borderId="20" xfId="0" applyFont="1" applyFill="1" applyBorder="1" applyAlignment="1" applyProtection="1">
      <alignment horizontal="left" vertical="center"/>
      <protection locked="0"/>
    </xf>
    <xf numFmtId="49" fontId="76" fillId="34" borderId="0" xfId="0" applyNumberFormat="1" applyFont="1" applyFill="1" applyAlignment="1" applyProtection="1">
      <alignment horizontal="center" vertical="center"/>
      <protection locked="0"/>
    </xf>
    <xf numFmtId="0" fontId="76" fillId="34" borderId="0" xfId="0" applyFont="1" applyFill="1" applyAlignment="1" applyProtection="1">
      <alignment horizontal="center" vertical="center"/>
      <protection locked="0"/>
    </xf>
    <xf numFmtId="0" fontId="76" fillId="34" borderId="21" xfId="0" applyFont="1" applyFill="1" applyBorder="1" applyAlignment="1" applyProtection="1">
      <alignment horizontal="center" vertical="center"/>
      <protection locked="0"/>
    </xf>
    <xf numFmtId="0" fontId="76" fillId="5" borderId="0" xfId="0" applyFont="1" applyFill="1" applyAlignment="1" applyProtection="1">
      <alignment horizontal="left" vertical="center"/>
      <protection locked="0"/>
    </xf>
    <xf numFmtId="0" fontId="76" fillId="35" borderId="20" xfId="0" applyFont="1" applyFill="1" applyBorder="1" applyAlignment="1" applyProtection="1">
      <alignment horizontal="left" vertical="center"/>
      <protection locked="0"/>
    </xf>
    <xf numFmtId="49" fontId="76" fillId="35" borderId="0" xfId="0" applyNumberFormat="1" applyFont="1" applyFill="1" applyAlignment="1" applyProtection="1">
      <alignment horizontal="center" vertical="center"/>
      <protection locked="0"/>
    </xf>
    <xf numFmtId="0" fontId="76" fillId="35" borderId="0" xfId="0" applyFont="1" applyFill="1" applyAlignment="1" applyProtection="1">
      <alignment horizontal="center" vertical="center"/>
      <protection locked="0"/>
    </xf>
    <xf numFmtId="0" fontId="76" fillId="35" borderId="21" xfId="0" applyFont="1" applyFill="1" applyBorder="1" applyAlignment="1" applyProtection="1">
      <alignment horizontal="center" vertical="center"/>
      <protection locked="0"/>
    </xf>
    <xf numFmtId="0" fontId="44" fillId="34" borderId="20" xfId="0" applyFont="1" applyFill="1" applyBorder="1" applyAlignment="1" applyProtection="1">
      <alignment horizontal="left" vertical="center"/>
      <protection locked="0"/>
    </xf>
    <xf numFmtId="49" fontId="44" fillId="34" borderId="0" xfId="0" applyNumberFormat="1" applyFont="1" applyFill="1" applyAlignment="1" applyProtection="1">
      <alignment horizontal="center" vertical="center"/>
      <protection locked="0"/>
    </xf>
    <xf numFmtId="0" fontId="44" fillId="34" borderId="0" xfId="0" applyFont="1" applyFill="1" applyAlignment="1" applyProtection="1">
      <alignment horizontal="center" vertical="center"/>
      <protection locked="0"/>
    </xf>
    <xf numFmtId="0" fontId="44" fillId="34" borderId="21" xfId="0" applyFont="1" applyFill="1" applyBorder="1" applyAlignment="1" applyProtection="1">
      <alignment horizontal="center" vertical="center"/>
      <protection locked="0"/>
    </xf>
    <xf numFmtId="0" fontId="76" fillId="36" borderId="20" xfId="0" applyFont="1" applyFill="1" applyBorder="1" applyAlignment="1" applyProtection="1">
      <alignment horizontal="left" vertical="center"/>
      <protection locked="0"/>
    </xf>
    <xf numFmtId="49" fontId="76" fillId="36" borderId="0" xfId="0" applyNumberFormat="1" applyFont="1" applyFill="1" applyAlignment="1" applyProtection="1">
      <alignment horizontal="center" vertical="center"/>
      <protection locked="0"/>
    </xf>
    <xf numFmtId="0" fontId="76" fillId="36" borderId="0" xfId="0" applyFont="1" applyFill="1" applyAlignment="1" applyProtection="1">
      <alignment horizontal="center" vertical="center"/>
      <protection locked="0"/>
    </xf>
    <xf numFmtId="0" fontId="76" fillId="36" borderId="21" xfId="0" applyFont="1" applyFill="1" applyBorder="1" applyAlignment="1" applyProtection="1">
      <alignment horizontal="center" vertical="center"/>
      <protection locked="0"/>
    </xf>
    <xf numFmtId="58" fontId="76" fillId="36" borderId="0" xfId="0" applyNumberFormat="1" applyFont="1" applyFill="1" applyAlignment="1" applyProtection="1">
      <alignment horizontal="center" vertical="center"/>
      <protection locked="0"/>
    </xf>
    <xf numFmtId="0" fontId="76" fillId="39" borderId="0" xfId="0" applyFont="1" applyFill="1" applyAlignment="1" applyProtection="1">
      <alignment horizontal="center" vertical="center"/>
      <protection locked="0"/>
    </xf>
    <xf numFmtId="0" fontId="76" fillId="39" borderId="3" xfId="0" applyFont="1" applyFill="1" applyBorder="1" applyAlignment="1" applyProtection="1">
      <alignment horizontal="center" vertical="center"/>
      <protection locked="0"/>
    </xf>
    <xf numFmtId="0" fontId="76" fillId="37" borderId="20" xfId="0" applyFont="1" applyFill="1" applyBorder="1" applyAlignment="1" applyProtection="1">
      <alignment horizontal="left" vertical="center"/>
      <protection locked="0"/>
    </xf>
    <xf numFmtId="49" fontId="76" fillId="37" borderId="0" xfId="0" applyNumberFormat="1" applyFont="1" applyFill="1" applyAlignment="1" applyProtection="1">
      <alignment horizontal="center" vertical="center"/>
      <protection locked="0"/>
    </xf>
    <xf numFmtId="0" fontId="76" fillId="37" borderId="0" xfId="0" applyFont="1" applyFill="1" applyAlignment="1" applyProtection="1">
      <alignment horizontal="center" vertical="center"/>
      <protection locked="0"/>
    </xf>
    <xf numFmtId="0" fontId="76" fillId="37" borderId="21" xfId="0" applyFont="1" applyFill="1" applyBorder="1" applyAlignment="1" applyProtection="1">
      <alignment horizontal="center" vertical="center"/>
      <protection locked="0"/>
    </xf>
    <xf numFmtId="0" fontId="47" fillId="34" borderId="21" xfId="6" applyFont="1" applyFill="1" applyBorder="1" applyAlignment="1">
      <alignment vertical="center" wrapText="1"/>
      <protection locked="0"/>
    </xf>
    <xf numFmtId="0" fontId="32" fillId="39" borderId="0" xfId="6" applyFill="1" applyAlignment="1">
      <alignment vertical="center" wrapText="1"/>
      <protection locked="0"/>
    </xf>
    <xf numFmtId="0" fontId="76" fillId="38" borderId="20" xfId="0" applyFont="1" applyFill="1" applyBorder="1" applyAlignment="1" applyProtection="1">
      <alignment horizontal="left" vertical="center"/>
      <protection locked="0"/>
    </xf>
    <xf numFmtId="49" fontId="76" fillId="38" borderId="0" xfId="0" applyNumberFormat="1" applyFont="1" applyFill="1" applyAlignment="1" applyProtection="1">
      <alignment horizontal="center" vertical="center"/>
      <protection locked="0"/>
    </xf>
    <xf numFmtId="0" fontId="76" fillId="38" borderId="0" xfId="0" applyFont="1" applyFill="1" applyAlignment="1" applyProtection="1">
      <alignment horizontal="center" vertical="center"/>
      <protection locked="0"/>
    </xf>
    <xf numFmtId="0" fontId="76" fillId="38" borderId="21" xfId="0" applyFont="1" applyFill="1" applyBorder="1" applyAlignment="1" applyProtection="1">
      <alignment horizontal="center" vertical="center"/>
      <protection locked="0"/>
    </xf>
    <xf numFmtId="0" fontId="47" fillId="34" borderId="24" xfId="6" applyFont="1" applyFill="1" applyBorder="1" applyAlignment="1">
      <alignment vertical="center" wrapText="1"/>
      <protection locked="0"/>
    </xf>
    <xf numFmtId="0" fontId="76" fillId="40" borderId="16" xfId="0" applyFont="1" applyFill="1" applyBorder="1" applyAlignment="1" applyProtection="1">
      <alignment horizontal="left" vertical="center"/>
      <protection locked="0"/>
    </xf>
    <xf numFmtId="49" fontId="76" fillId="40" borderId="17" xfId="0" applyNumberFormat="1" applyFont="1" applyFill="1" applyBorder="1" applyAlignment="1" applyProtection="1">
      <alignment horizontal="center" vertical="center"/>
      <protection locked="0"/>
    </xf>
    <xf numFmtId="0" fontId="76" fillId="40" borderId="17" xfId="0" applyFont="1" applyFill="1" applyBorder="1" applyAlignment="1" applyProtection="1">
      <alignment horizontal="center" vertical="center"/>
      <protection locked="0"/>
    </xf>
    <xf numFmtId="0" fontId="76" fillId="40" borderId="18" xfId="0" applyFont="1" applyFill="1" applyBorder="1" applyAlignment="1" applyProtection="1">
      <alignment horizontal="center" vertical="center"/>
      <protection locked="0"/>
    </xf>
    <xf numFmtId="0" fontId="10" fillId="0" borderId="0" xfId="6" applyFont="1" applyAlignment="1">
      <alignment vertical="center" wrapText="1"/>
      <protection locked="0"/>
    </xf>
    <xf numFmtId="0" fontId="76" fillId="40" borderId="20" xfId="0" applyFont="1" applyFill="1" applyBorder="1" applyAlignment="1" applyProtection="1">
      <alignment horizontal="left" vertical="center"/>
      <protection locked="0"/>
    </xf>
    <xf numFmtId="49" fontId="76" fillId="40" borderId="0" xfId="0" applyNumberFormat="1" applyFont="1" applyFill="1" applyAlignment="1" applyProtection="1">
      <alignment horizontal="center" vertical="center"/>
      <protection locked="0"/>
    </xf>
    <xf numFmtId="0" fontId="76" fillId="40" borderId="0" xfId="0" applyFont="1" applyFill="1" applyAlignment="1" applyProtection="1">
      <alignment horizontal="center" vertical="center"/>
      <protection locked="0"/>
    </xf>
    <xf numFmtId="0" fontId="76" fillId="40" borderId="21" xfId="0" applyFont="1" applyFill="1" applyBorder="1" applyAlignment="1" applyProtection="1">
      <alignment horizontal="center" vertical="center"/>
      <protection locked="0"/>
    </xf>
    <xf numFmtId="176" fontId="76" fillId="5" borderId="0" xfId="0" applyNumberFormat="1" applyFont="1" applyFill="1" applyAlignment="1" applyProtection="1">
      <alignment horizontal="center" vertical="center"/>
      <protection locked="0"/>
    </xf>
    <xf numFmtId="0" fontId="76" fillId="40" borderId="22" xfId="0" applyFont="1" applyFill="1" applyBorder="1" applyAlignment="1" applyProtection="1">
      <alignment horizontal="left" vertical="center"/>
      <protection locked="0"/>
    </xf>
    <xf numFmtId="49" fontId="76" fillId="40" borderId="23" xfId="0" applyNumberFormat="1" applyFont="1" applyFill="1" applyBorder="1" applyAlignment="1" applyProtection="1">
      <alignment horizontal="center" vertical="center"/>
      <protection locked="0"/>
    </xf>
    <xf numFmtId="0" fontId="76" fillId="40" borderId="23" xfId="0" applyFont="1" applyFill="1" applyBorder="1" applyAlignment="1" applyProtection="1">
      <alignment horizontal="center" vertical="center"/>
      <protection locked="0"/>
    </xf>
    <xf numFmtId="0" fontId="76" fillId="40" borderId="24" xfId="0" applyFont="1" applyFill="1" applyBorder="1" applyAlignment="1" applyProtection="1">
      <alignment horizontal="center" vertical="center"/>
      <protection locked="0"/>
    </xf>
    <xf numFmtId="0" fontId="76" fillId="34" borderId="16" xfId="0" applyFont="1" applyFill="1" applyBorder="1" applyAlignment="1" applyProtection="1">
      <alignment horizontal="left" vertical="center"/>
      <protection locked="0"/>
    </xf>
    <xf numFmtId="49" fontId="76" fillId="41" borderId="17" xfId="0" applyNumberFormat="1" applyFont="1" applyFill="1" applyBorder="1" applyAlignment="1" applyProtection="1">
      <alignment horizontal="center" vertical="center"/>
      <protection locked="0"/>
    </xf>
    <xf numFmtId="0" fontId="76" fillId="41" borderId="17" xfId="0" applyFont="1" applyFill="1" applyBorder="1" applyAlignment="1" applyProtection="1">
      <alignment horizontal="center" vertical="center"/>
      <protection locked="0"/>
    </xf>
    <xf numFmtId="0" fontId="76" fillId="41" borderId="18" xfId="0" applyFont="1" applyFill="1" applyBorder="1" applyAlignment="1" applyProtection="1">
      <alignment horizontal="center" vertical="center"/>
      <protection locked="0"/>
    </xf>
    <xf numFmtId="0" fontId="10" fillId="0" borderId="20" xfId="6" applyFont="1" applyBorder="1" applyAlignment="1">
      <alignment vertical="center" wrapText="1"/>
      <protection locked="0"/>
    </xf>
    <xf numFmtId="49" fontId="76" fillId="41" borderId="0" xfId="0" applyNumberFormat="1" applyFont="1" applyFill="1" applyAlignment="1" applyProtection="1">
      <alignment horizontal="center" vertical="center"/>
      <protection locked="0"/>
    </xf>
    <xf numFmtId="0" fontId="76" fillId="41" borderId="0" xfId="0" applyFont="1" applyFill="1" applyAlignment="1" applyProtection="1">
      <alignment horizontal="center" vertical="center"/>
      <protection locked="0"/>
    </xf>
    <xf numFmtId="0" fontId="76" fillId="41" borderId="21" xfId="0" applyFont="1" applyFill="1" applyBorder="1" applyAlignment="1" applyProtection="1">
      <alignment horizontal="center" vertical="center"/>
      <protection locked="0"/>
    </xf>
    <xf numFmtId="0" fontId="76" fillId="42" borderId="20" xfId="0" applyFont="1" applyFill="1" applyBorder="1" applyAlignment="1" applyProtection="1">
      <alignment horizontal="left" vertical="center"/>
      <protection locked="0"/>
    </xf>
    <xf numFmtId="49" fontId="76" fillId="42" borderId="0" xfId="0" applyNumberFormat="1" applyFont="1" applyFill="1" applyAlignment="1" applyProtection="1">
      <alignment horizontal="center" vertical="center"/>
      <protection locked="0"/>
    </xf>
    <xf numFmtId="0" fontId="76" fillId="42" borderId="0" xfId="0" applyFont="1" applyFill="1" applyAlignment="1" applyProtection="1">
      <alignment horizontal="center" vertical="center"/>
      <protection locked="0"/>
    </xf>
    <xf numFmtId="0" fontId="76" fillId="42" borderId="21" xfId="0" applyFont="1" applyFill="1" applyBorder="1" applyAlignment="1" applyProtection="1">
      <alignment horizontal="center" vertical="center"/>
      <protection locked="0"/>
    </xf>
    <xf numFmtId="49" fontId="76" fillId="43" borderId="0" xfId="0" applyNumberFormat="1" applyFont="1" applyFill="1" applyAlignment="1" applyProtection="1">
      <alignment horizontal="center" vertical="center"/>
      <protection locked="0"/>
    </xf>
    <xf numFmtId="0" fontId="76" fillId="43" borderId="0" xfId="0" applyFont="1" applyFill="1" applyAlignment="1" applyProtection="1">
      <alignment horizontal="center" vertical="center"/>
      <protection locked="0"/>
    </xf>
    <xf numFmtId="0" fontId="76" fillId="43" borderId="21" xfId="0" applyFont="1" applyFill="1" applyBorder="1" applyAlignment="1" applyProtection="1">
      <alignment horizontal="center" vertical="center"/>
      <protection locked="0"/>
    </xf>
    <xf numFmtId="49" fontId="76" fillId="0" borderId="0" xfId="0" applyNumberFormat="1" applyFont="1" applyAlignment="1" applyProtection="1">
      <alignment horizontal="center" vertical="center"/>
      <protection locked="0"/>
    </xf>
    <xf numFmtId="0" fontId="76" fillId="0" borderId="0" xfId="0" applyFont="1" applyAlignment="1" applyProtection="1">
      <alignment horizontal="center" vertical="center"/>
      <protection locked="0"/>
    </xf>
    <xf numFmtId="0" fontId="76" fillId="0" borderId="21" xfId="0" applyFont="1" applyBorder="1" applyAlignment="1" applyProtection="1">
      <alignment horizontal="center" vertical="center"/>
      <protection locked="0"/>
    </xf>
    <xf numFmtId="0" fontId="77" fillId="0" borderId="0" xfId="6" applyFont="1" applyAlignment="1">
      <alignment vertical="center" wrapText="1"/>
      <protection locked="0"/>
    </xf>
    <xf numFmtId="0" fontId="78" fillId="0" borderId="0" xfId="6" applyFont="1" applyAlignment="1">
      <alignment vertical="center" wrapText="1"/>
      <protection locked="0"/>
    </xf>
    <xf numFmtId="0" fontId="76" fillId="41" borderId="21" xfId="0" applyFont="1" applyFill="1" applyBorder="1" applyAlignment="1" applyProtection="1">
      <alignment horizontal="center" vertical="center" wrapText="1"/>
      <protection locked="0"/>
    </xf>
    <xf numFmtId="0" fontId="76" fillId="0" borderId="21" xfId="0" applyFont="1" applyBorder="1" applyAlignment="1" applyProtection="1">
      <alignment horizontal="center" vertical="center" wrapText="1"/>
      <protection locked="0"/>
    </xf>
    <xf numFmtId="0" fontId="50" fillId="0" borderId="0" xfId="6" applyFont="1" applyAlignment="1">
      <alignment vertical="center" wrapText="1"/>
      <protection locked="0"/>
    </xf>
    <xf numFmtId="0" fontId="76" fillId="34" borderId="22" xfId="0" applyFont="1" applyFill="1" applyBorder="1" applyAlignment="1" applyProtection="1">
      <alignment horizontal="left" vertical="center"/>
      <protection locked="0"/>
    </xf>
    <xf numFmtId="49" fontId="76" fillId="41" borderId="23" xfId="0" applyNumberFormat="1" applyFont="1" applyFill="1" applyBorder="1" applyAlignment="1" applyProtection="1">
      <alignment horizontal="center" vertical="center"/>
      <protection locked="0"/>
    </xf>
    <xf numFmtId="0" fontId="76" fillId="41" borderId="23" xfId="0" applyFont="1" applyFill="1" applyBorder="1" applyAlignment="1" applyProtection="1">
      <alignment horizontal="center" vertical="center"/>
      <protection locked="0"/>
    </xf>
    <xf numFmtId="0" fontId="76" fillId="41" borderId="24" xfId="0" applyFont="1" applyFill="1" applyBorder="1" applyAlignment="1" applyProtection="1">
      <alignment horizontal="center" vertical="center"/>
      <protection locked="0"/>
    </xf>
    <xf numFmtId="0" fontId="76" fillId="44" borderId="16" xfId="0" applyFont="1" applyFill="1" applyBorder="1" applyAlignment="1" applyProtection="1">
      <alignment horizontal="left" vertical="center"/>
      <protection locked="0"/>
    </xf>
    <xf numFmtId="49" fontId="76" fillId="44" borderId="17" xfId="0" applyNumberFormat="1" applyFont="1" applyFill="1" applyBorder="1" applyAlignment="1" applyProtection="1">
      <alignment horizontal="center" vertical="center"/>
      <protection locked="0"/>
    </xf>
    <xf numFmtId="0" fontId="76" fillId="44" borderId="17" xfId="0" applyFont="1" applyFill="1" applyBorder="1" applyAlignment="1" applyProtection="1">
      <alignment horizontal="center" vertical="center"/>
      <protection locked="0"/>
    </xf>
    <xf numFmtId="0" fontId="76" fillId="44" borderId="18" xfId="0" applyFont="1" applyFill="1" applyBorder="1" applyAlignment="1" applyProtection="1">
      <alignment horizontal="center" vertical="center"/>
      <protection locked="0"/>
    </xf>
    <xf numFmtId="0" fontId="76" fillId="0" borderId="20" xfId="0" applyFont="1" applyBorder="1" applyAlignment="1" applyProtection="1">
      <alignment horizontal="left" vertical="center"/>
      <protection locked="0"/>
    </xf>
    <xf numFmtId="0" fontId="76" fillId="44" borderId="20" xfId="0" applyFont="1" applyFill="1" applyBorder="1" applyAlignment="1" applyProtection="1">
      <alignment horizontal="left" vertical="center"/>
      <protection locked="0"/>
    </xf>
    <xf numFmtId="49" fontId="76" fillId="44" borderId="0" xfId="0" applyNumberFormat="1" applyFont="1" applyFill="1" applyAlignment="1" applyProtection="1">
      <alignment horizontal="center" vertical="center"/>
      <protection locked="0"/>
    </xf>
    <xf numFmtId="0" fontId="76" fillId="44" borderId="0" xfId="0" applyFont="1" applyFill="1" applyAlignment="1" applyProtection="1">
      <alignment horizontal="center" vertical="center"/>
      <protection locked="0"/>
    </xf>
    <xf numFmtId="0" fontId="76" fillId="44" borderId="21" xfId="0" applyFont="1" applyFill="1" applyBorder="1" applyAlignment="1" applyProtection="1">
      <alignment horizontal="center" vertical="center"/>
      <protection locked="0"/>
    </xf>
    <xf numFmtId="0" fontId="44" fillId="0" borderId="0" xfId="0" applyFont="1" applyAlignment="1" applyProtection="1">
      <alignment vertical="center" wrapText="1"/>
      <protection locked="0"/>
    </xf>
    <xf numFmtId="0" fontId="76" fillId="45" borderId="20" xfId="0" applyFont="1" applyFill="1" applyBorder="1" applyAlignment="1" applyProtection="1">
      <alignment horizontal="left" vertical="center"/>
      <protection locked="0"/>
    </xf>
    <xf numFmtId="49" fontId="76" fillId="45" borderId="0" xfId="0" applyNumberFormat="1" applyFont="1" applyFill="1" applyAlignment="1" applyProtection="1">
      <alignment horizontal="center" vertical="center"/>
      <protection locked="0"/>
    </xf>
    <xf numFmtId="0" fontId="76" fillId="45" borderId="0" xfId="0" applyFont="1" applyFill="1" applyAlignment="1" applyProtection="1">
      <alignment horizontal="center" vertical="center"/>
      <protection locked="0"/>
    </xf>
    <xf numFmtId="0" fontId="76" fillId="45" borderId="21" xfId="0" applyFont="1" applyFill="1" applyBorder="1" applyAlignment="1" applyProtection="1">
      <alignment horizontal="center" vertical="center"/>
      <protection locked="0"/>
    </xf>
    <xf numFmtId="0" fontId="76" fillId="44" borderId="22" xfId="0" applyFont="1" applyFill="1" applyBorder="1" applyAlignment="1" applyProtection="1">
      <alignment horizontal="left" vertical="center"/>
      <protection locked="0"/>
    </xf>
    <xf numFmtId="49" fontId="76" fillId="44" borderId="23" xfId="0" applyNumberFormat="1" applyFont="1" applyFill="1" applyBorder="1" applyAlignment="1" applyProtection="1">
      <alignment horizontal="center" vertical="center"/>
      <protection locked="0"/>
    </xf>
    <xf numFmtId="0" fontId="76" fillId="44" borderId="23" xfId="0" applyFont="1" applyFill="1" applyBorder="1" applyAlignment="1" applyProtection="1">
      <alignment horizontal="center" vertical="center"/>
      <protection locked="0"/>
    </xf>
    <xf numFmtId="0" fontId="76" fillId="44" borderId="24" xfId="0" applyFont="1" applyFill="1" applyBorder="1" applyAlignment="1" applyProtection="1">
      <alignment horizontal="center" vertical="center"/>
      <protection locked="0"/>
    </xf>
    <xf numFmtId="0" fontId="76" fillId="43" borderId="16" xfId="0" applyFont="1" applyFill="1" applyBorder="1" applyAlignment="1" applyProtection="1">
      <alignment horizontal="left" vertical="center"/>
      <protection locked="0"/>
    </xf>
    <xf numFmtId="49" fontId="76" fillId="43" borderId="17" xfId="0" applyNumberFormat="1" applyFont="1" applyFill="1" applyBorder="1" applyAlignment="1" applyProtection="1">
      <alignment horizontal="center" vertical="center"/>
      <protection locked="0"/>
    </xf>
    <xf numFmtId="0" fontId="76" fillId="43" borderId="17" xfId="0" applyFont="1" applyFill="1" applyBorder="1" applyAlignment="1" applyProtection="1">
      <alignment horizontal="center" vertical="center"/>
      <protection locked="0"/>
    </xf>
    <xf numFmtId="0" fontId="76" fillId="43" borderId="18" xfId="0" applyFont="1" applyFill="1" applyBorder="1" applyAlignment="1" applyProtection="1">
      <alignment horizontal="center" vertical="center"/>
      <protection locked="0"/>
    </xf>
    <xf numFmtId="0" fontId="32" fillId="46" borderId="3" xfId="6" applyFill="1" applyBorder="1" applyAlignment="1">
      <alignment vertical="center"/>
      <protection locked="0"/>
    </xf>
    <xf numFmtId="0" fontId="76" fillId="46" borderId="20" xfId="0" applyFont="1" applyFill="1" applyBorder="1" applyAlignment="1" applyProtection="1">
      <alignment horizontal="left" vertical="center"/>
      <protection locked="0"/>
    </xf>
    <xf numFmtId="49" fontId="76" fillId="48" borderId="0" xfId="0" applyNumberFormat="1" applyFont="1" applyFill="1" applyAlignment="1" applyProtection="1">
      <alignment horizontal="center" vertical="center"/>
      <protection locked="0"/>
    </xf>
    <xf numFmtId="0" fontId="76" fillId="48" borderId="0" xfId="0" applyFont="1" applyFill="1" applyAlignment="1" applyProtection="1">
      <alignment horizontal="center" vertical="center"/>
      <protection locked="0"/>
    </xf>
    <xf numFmtId="0" fontId="76" fillId="48" borderId="21" xfId="0" applyFont="1" applyFill="1" applyBorder="1" applyAlignment="1" applyProtection="1">
      <alignment horizontal="center" vertical="center"/>
      <protection locked="0"/>
    </xf>
    <xf numFmtId="0" fontId="76" fillId="46" borderId="22" xfId="0" applyFont="1" applyFill="1" applyBorder="1" applyAlignment="1" applyProtection="1">
      <alignment horizontal="left" vertical="center"/>
      <protection locked="0"/>
    </xf>
    <xf numFmtId="49" fontId="76" fillId="5" borderId="23" xfId="0" applyNumberFormat="1" applyFont="1" applyFill="1" applyBorder="1" applyAlignment="1" applyProtection="1">
      <alignment horizontal="center" vertical="center"/>
      <protection locked="0"/>
    </xf>
    <xf numFmtId="0" fontId="76" fillId="5" borderId="23" xfId="0" applyFont="1" applyFill="1" applyBorder="1" applyAlignment="1" applyProtection="1">
      <alignment horizontal="center" vertical="center"/>
      <protection locked="0"/>
    </xf>
    <xf numFmtId="0" fontId="76" fillId="5" borderId="24" xfId="0" applyFont="1" applyFill="1" applyBorder="1" applyAlignment="1" applyProtection="1">
      <alignment horizontal="center" vertical="center"/>
      <protection locked="0"/>
    </xf>
    <xf numFmtId="49" fontId="31" fillId="0" borderId="0" xfId="6" applyNumberFormat="1" applyFont="1" applyAlignment="1" applyProtection="1">
      <alignment vertical="center"/>
    </xf>
    <xf numFmtId="49" fontId="12" fillId="0" borderId="6" xfId="6" applyNumberFormat="1" applyFont="1" applyBorder="1" applyAlignment="1" applyProtection="1">
      <alignment horizontal="center" vertical="center" wrapText="1"/>
    </xf>
    <xf numFmtId="49" fontId="12" fillId="0" borderId="7" xfId="6" applyNumberFormat="1" applyFont="1" applyBorder="1" applyAlignment="1" applyProtection="1">
      <alignment horizontal="center" vertical="center" wrapText="1"/>
    </xf>
    <xf numFmtId="0" fontId="12" fillId="8" borderId="0" xfId="6" applyFont="1" applyFill="1" applyAlignment="1" applyProtection="1">
      <alignment vertical="center"/>
    </xf>
    <xf numFmtId="0" fontId="12" fillId="22" borderId="11" xfId="6" applyFont="1" applyFill="1" applyBorder="1" applyAlignment="1" applyProtection="1">
      <alignment horizontal="center" vertical="center"/>
    </xf>
    <xf numFmtId="0" fontId="12" fillId="22" borderId="19" xfId="6" applyFont="1" applyFill="1" applyBorder="1" applyAlignment="1" applyProtection="1">
      <alignment horizontal="center" vertical="center"/>
    </xf>
    <xf numFmtId="0" fontId="32" fillId="0" borderId="6" xfId="6" applyBorder="1" applyAlignment="1" applyProtection="1">
      <alignment vertical="center"/>
    </xf>
    <xf numFmtId="0" fontId="12" fillId="0" borderId="6" xfId="6" applyFont="1" applyBorder="1" applyAlignment="1" applyProtection="1">
      <alignment vertical="center"/>
    </xf>
    <xf numFmtId="0" fontId="12" fillId="22" borderId="19" xfId="6" applyFont="1" applyFill="1" applyBorder="1" applyAlignment="1" applyProtection="1">
      <alignment vertical="center"/>
    </xf>
    <xf numFmtId="49" fontId="17" fillId="0" borderId="0" xfId="6" applyNumberFormat="1" applyFont="1" applyAlignment="1" applyProtection="1">
      <alignment vertical="center"/>
    </xf>
    <xf numFmtId="0" fontId="12" fillId="22" borderId="64" xfId="6" applyFont="1" applyFill="1" applyBorder="1" applyAlignment="1" applyProtection="1">
      <alignment vertical="center"/>
    </xf>
    <xf numFmtId="0" fontId="32" fillId="0" borderId="2" xfId="6" applyBorder="1" applyAlignment="1" applyProtection="1">
      <alignment vertical="center"/>
    </xf>
    <xf numFmtId="49" fontId="67" fillId="9" borderId="76" xfId="6" applyNumberFormat="1" applyFont="1" applyFill="1" applyBorder="1" applyAlignment="1" applyProtection="1">
      <alignment horizontal="center" vertical="center"/>
    </xf>
    <xf numFmtId="49" fontId="17" fillId="0" borderId="0" xfId="6" applyNumberFormat="1" applyFont="1" applyAlignment="1" applyProtection="1">
      <alignment horizontal="left" vertical="center"/>
    </xf>
    <xf numFmtId="0" fontId="12" fillId="0" borderId="0" xfId="6" applyFont="1" applyAlignment="1" applyProtection="1">
      <alignment horizontal="left" vertical="center"/>
    </xf>
    <xf numFmtId="49" fontId="12" fillId="0" borderId="1" xfId="6" applyNumberFormat="1" applyFont="1" applyBorder="1" applyAlignment="1" applyProtection="1">
      <alignment horizontal="center" vertical="center" wrapText="1"/>
    </xf>
    <xf numFmtId="49" fontId="12" fillId="0" borderId="4" xfId="6" applyNumberFormat="1" applyFont="1" applyBorder="1" applyAlignment="1" applyProtection="1">
      <alignment horizontal="center" vertical="center" wrapText="1"/>
    </xf>
    <xf numFmtId="0" fontId="12" fillId="0" borderId="8" xfId="6" applyFont="1" applyBorder="1" applyAlignment="1" applyProtection="1">
      <alignment horizontal="center" vertical="center"/>
    </xf>
    <xf numFmtId="49" fontId="12" fillId="0" borderId="10" xfId="6" applyNumberFormat="1" applyFont="1" applyBorder="1" applyAlignment="1" applyProtection="1">
      <alignment horizontal="center" vertical="center" wrapText="1"/>
    </xf>
    <xf numFmtId="0" fontId="69" fillId="0" borderId="0" xfId="6" applyFont="1" applyAlignment="1">
      <alignment vertical="center"/>
      <protection locked="0"/>
    </xf>
    <xf numFmtId="0" fontId="18" fillId="0" borderId="0" xfId="6" applyFont="1" applyAlignment="1">
      <alignment vertical="center"/>
      <protection locked="0"/>
    </xf>
    <xf numFmtId="0" fontId="18" fillId="53" borderId="6" xfId="6" applyFont="1" applyFill="1" applyBorder="1" applyAlignment="1" applyProtection="1">
      <alignment horizontal="center" vertical="center"/>
    </xf>
    <xf numFmtId="0" fontId="18" fillId="0" borderId="6" xfId="6" applyFont="1" applyBorder="1" applyAlignment="1" applyProtection="1">
      <alignment horizontal="center" vertical="center"/>
    </xf>
    <xf numFmtId="0" fontId="24" fillId="0" borderId="0" xfId="0" applyFont="1" applyAlignment="1">
      <alignment horizontal="center" vertical="center" wrapText="1"/>
    </xf>
    <xf numFmtId="0" fontId="88" fillId="0" borderId="0" xfId="0" applyFont="1" applyProtection="1">
      <alignment vertical="center"/>
      <protection locked="0"/>
    </xf>
    <xf numFmtId="0" fontId="89" fillId="0" borderId="0" xfId="0" applyFont="1" applyAlignment="1" applyProtection="1">
      <alignment horizontal="center" vertical="center"/>
      <protection locked="0"/>
    </xf>
    <xf numFmtId="0" fontId="17" fillId="0" borderId="6" xfId="6" applyFont="1" applyBorder="1" applyAlignment="1">
      <alignment vertical="center"/>
      <protection locked="0"/>
    </xf>
    <xf numFmtId="0" fontId="12" fillId="0" borderId="23" xfId="6" applyFont="1" applyBorder="1" applyAlignment="1">
      <alignment vertical="center"/>
      <protection locked="0"/>
    </xf>
    <xf numFmtId="0" fontId="93" fillId="0" borderId="0" xfId="6" applyFont="1" applyAlignment="1">
      <alignment horizontal="right" vertical="center"/>
      <protection locked="0"/>
    </xf>
    <xf numFmtId="0" fontId="91" fillId="0" borderId="0" xfId="6" applyFont="1" applyAlignment="1">
      <alignment horizontal="center" vertical="center"/>
      <protection locked="0"/>
    </xf>
    <xf numFmtId="0" fontId="91" fillId="0" borderId="0" xfId="6" applyFont="1" applyAlignment="1">
      <alignment vertical="center"/>
      <protection locked="0"/>
    </xf>
    <xf numFmtId="0" fontId="91" fillId="0" borderId="0" xfId="6" applyFont="1" applyAlignment="1">
      <alignment horizontal="right" vertical="center"/>
      <protection locked="0"/>
    </xf>
    <xf numFmtId="0" fontId="12" fillId="0" borderId="2" xfId="6" applyFont="1" applyBorder="1" applyAlignment="1">
      <alignment vertical="center"/>
      <protection locked="0"/>
    </xf>
    <xf numFmtId="0" fontId="91" fillId="0" borderId="0" xfId="6" applyFont="1" applyAlignment="1">
      <alignment vertical="center" wrapText="1"/>
      <protection locked="0"/>
    </xf>
    <xf numFmtId="0" fontId="10" fillId="0" borderId="0" xfId="6" applyFont="1" applyAlignment="1">
      <alignment horizontal="center" vertical="center" wrapText="1"/>
      <protection locked="0"/>
    </xf>
    <xf numFmtId="49" fontId="67" fillId="41" borderId="76" xfId="6" applyNumberFormat="1" applyFont="1" applyFill="1" applyBorder="1" applyAlignment="1">
      <alignment horizontal="center" vertical="center"/>
      <protection locked="0"/>
    </xf>
    <xf numFmtId="0" fontId="33" fillId="0" borderId="0" xfId="0" applyFont="1">
      <alignment vertical="center"/>
    </xf>
    <xf numFmtId="0" fontId="66" fillId="0" borderId="0" xfId="0" applyFont="1">
      <alignment vertical="center"/>
    </xf>
    <xf numFmtId="0" fontId="9" fillId="0" borderId="0" xfId="0" applyFont="1" applyAlignment="1">
      <alignment horizontal="center" vertical="center"/>
    </xf>
    <xf numFmtId="0" fontId="15" fillId="0" borderId="0" xfId="0" applyFont="1">
      <alignment vertical="center"/>
    </xf>
    <xf numFmtId="0" fontId="19" fillId="0" borderId="0" xfId="0" applyFont="1" applyAlignment="1">
      <alignment horizontal="center" vertical="center"/>
    </xf>
    <xf numFmtId="0" fontId="19" fillId="55" borderId="6" xfId="0" applyFont="1" applyFill="1" applyBorder="1" applyAlignment="1">
      <alignment horizontal="center" vertical="center"/>
    </xf>
    <xf numFmtId="0" fontId="19" fillId="55" borderId="0" xfId="0" applyFont="1" applyFill="1" applyAlignment="1">
      <alignment horizontal="center" vertical="center"/>
    </xf>
    <xf numFmtId="0" fontId="19" fillId="55" borderId="7" xfId="0" applyFont="1" applyFill="1" applyBorder="1" applyAlignment="1">
      <alignment horizontal="center" vertical="center"/>
    </xf>
    <xf numFmtId="0" fontId="19" fillId="0" borderId="6" xfId="0" applyFont="1" applyBorder="1" applyAlignment="1">
      <alignment horizontal="center" vertical="center"/>
    </xf>
    <xf numFmtId="0" fontId="19" fillId="0" borderId="7" xfId="0" applyFont="1" applyBorder="1" applyAlignment="1">
      <alignment horizontal="center" vertical="center"/>
    </xf>
    <xf numFmtId="0" fontId="19" fillId="0" borderId="0" xfId="0" applyFont="1" applyAlignment="1">
      <alignment horizontal="left" vertical="center" wrapText="1"/>
    </xf>
    <xf numFmtId="0" fontId="19" fillId="0" borderId="7" xfId="0" applyFont="1" applyBorder="1" applyAlignment="1">
      <alignment horizontal="left" vertical="center" wrapText="1"/>
    </xf>
    <xf numFmtId="0" fontId="19" fillId="9" borderId="6" xfId="0" applyFont="1" applyFill="1" applyBorder="1" applyAlignment="1">
      <alignment horizontal="center" vertical="center"/>
    </xf>
    <xf numFmtId="0" fontId="19" fillId="9" borderId="0" xfId="0" applyFont="1" applyFill="1" applyAlignment="1">
      <alignment horizontal="center" vertical="center"/>
    </xf>
    <xf numFmtId="0" fontId="19" fillId="9" borderId="7" xfId="0" applyFont="1" applyFill="1" applyBorder="1" applyAlignment="1">
      <alignment horizontal="center" vertical="center"/>
    </xf>
    <xf numFmtId="0" fontId="19" fillId="9" borderId="8" xfId="0" applyFont="1" applyFill="1" applyBorder="1" applyAlignment="1">
      <alignment horizontal="center" vertical="center"/>
    </xf>
    <xf numFmtId="0" fontId="19" fillId="9" borderId="9" xfId="0" applyFont="1" applyFill="1" applyBorder="1" applyAlignment="1">
      <alignment horizontal="center" vertical="center"/>
    </xf>
    <xf numFmtId="0" fontId="19" fillId="9" borderId="10" xfId="0" applyFont="1" applyFill="1" applyBorder="1" applyAlignment="1">
      <alignment horizontal="center" vertical="center"/>
    </xf>
    <xf numFmtId="0" fontId="13" fillId="0" borderId="0" xfId="0" applyFont="1">
      <alignment vertical="center"/>
    </xf>
    <xf numFmtId="24" fontId="19" fillId="0" borderId="0" xfId="0" applyNumberFormat="1" applyFont="1" applyAlignment="1">
      <alignment horizontal="center" vertical="center"/>
    </xf>
    <xf numFmtId="0" fontId="98" fillId="0" borderId="7" xfId="0" applyFont="1" applyBorder="1" applyAlignment="1">
      <alignment horizontal="center" vertical="center"/>
    </xf>
    <xf numFmtId="0" fontId="17" fillId="0" borderId="0" xfId="0" applyFont="1">
      <alignment vertical="center"/>
    </xf>
    <xf numFmtId="0" fontId="19" fillId="0" borderId="6" xfId="0" applyFont="1" applyBorder="1" applyAlignment="1">
      <alignment horizontal="left" vertical="center" wrapText="1"/>
    </xf>
    <xf numFmtId="0" fontId="17" fillId="0" borderId="0" xfId="0" applyFont="1" applyAlignment="1">
      <alignment vertical="center" wrapText="1"/>
    </xf>
    <xf numFmtId="24" fontId="5" fillId="0" borderId="0" xfId="0" applyNumberFormat="1" applyFont="1" applyAlignment="1">
      <alignment horizontal="center" vertical="center"/>
    </xf>
    <xf numFmtId="0" fontId="19" fillId="0" borderId="8" xfId="0" applyFont="1" applyBorder="1" applyAlignment="1">
      <alignment horizontal="left" vertical="center" wrapText="1"/>
    </xf>
    <xf numFmtId="0" fontId="19" fillId="0" borderId="10" xfId="0" applyFont="1" applyBorder="1" applyAlignment="1">
      <alignment horizontal="left" vertical="center" wrapText="1"/>
    </xf>
    <xf numFmtId="0" fontId="27" fillId="0" borderId="0" xfId="0" applyFont="1">
      <alignment vertical="center"/>
    </xf>
    <xf numFmtId="0" fontId="101" fillId="0" borderId="0" xfId="0" applyFont="1" applyProtection="1">
      <alignment vertical="center"/>
      <protection locked="0"/>
    </xf>
    <xf numFmtId="0" fontId="101" fillId="0" borderId="0" xfId="0" applyFont="1">
      <alignment vertical="center"/>
    </xf>
    <xf numFmtId="0" fontId="101" fillId="4" borderId="7" xfId="0" applyFont="1" applyFill="1" applyBorder="1" applyAlignment="1">
      <alignment horizontal="center" vertical="center"/>
    </xf>
    <xf numFmtId="0" fontId="101" fillId="4" borderId="0" xfId="0" applyFont="1" applyFill="1" applyAlignment="1">
      <alignment horizontal="center" vertical="center"/>
    </xf>
    <xf numFmtId="0" fontId="101" fillId="0" borderId="7" xfId="0" applyFont="1" applyBorder="1" applyAlignment="1" applyProtection="1">
      <alignment horizontal="left" vertical="center"/>
      <protection locked="0"/>
    </xf>
    <xf numFmtId="0" fontId="101" fillId="0" borderId="7" xfId="0" applyFont="1" applyBorder="1" applyAlignment="1" applyProtection="1">
      <alignment horizontal="left" vertical="center" indent="1"/>
      <protection locked="0"/>
    </xf>
    <xf numFmtId="0" fontId="101" fillId="0" borderId="0" xfId="0" applyFont="1" applyAlignment="1" applyProtection="1">
      <alignment horizontal="left" vertical="center"/>
      <protection locked="0"/>
    </xf>
    <xf numFmtId="0" fontId="101" fillId="10" borderId="7" xfId="0" applyFont="1" applyFill="1" applyBorder="1" applyAlignment="1" applyProtection="1">
      <alignment horizontal="left" vertical="center"/>
      <protection locked="0"/>
    </xf>
    <xf numFmtId="0" fontId="101" fillId="10" borderId="7" xfId="0" applyFont="1" applyFill="1" applyBorder="1" applyAlignment="1" applyProtection="1">
      <alignment horizontal="left" vertical="center" indent="1"/>
      <protection locked="0"/>
    </xf>
    <xf numFmtId="0" fontId="100" fillId="10" borderId="0" xfId="0" applyFont="1" applyFill="1" applyAlignment="1" applyProtection="1">
      <alignment horizontal="left" vertical="top"/>
      <protection locked="0"/>
    </xf>
    <xf numFmtId="0" fontId="101" fillId="0" borderId="10" xfId="0" applyFont="1" applyBorder="1" applyAlignment="1" applyProtection="1">
      <alignment horizontal="left" vertical="center" indent="1"/>
      <protection locked="0"/>
    </xf>
    <xf numFmtId="0" fontId="100" fillId="0" borderId="0" xfId="0" applyFont="1" applyAlignment="1" applyProtection="1">
      <alignment horizontal="left" vertical="center" wrapText="1"/>
      <protection locked="0"/>
    </xf>
    <xf numFmtId="0" fontId="100" fillId="10" borderId="0" xfId="0" applyFont="1" applyFill="1" applyAlignment="1" applyProtection="1">
      <alignment horizontal="left" vertical="center" wrapText="1"/>
      <protection locked="0"/>
    </xf>
    <xf numFmtId="0" fontId="100" fillId="0" borderId="0" xfId="0" applyFont="1" applyAlignment="1" applyProtection="1">
      <alignment horizontal="left" vertical="center"/>
      <protection locked="0"/>
    </xf>
    <xf numFmtId="0" fontId="100" fillId="10" borderId="0" xfId="0" applyFont="1" applyFill="1" applyAlignment="1" applyProtection="1">
      <alignment horizontal="left" vertical="center"/>
      <protection locked="0"/>
    </xf>
    <xf numFmtId="0" fontId="101" fillId="0" borderId="10" xfId="0" applyFont="1" applyBorder="1" applyAlignment="1" applyProtection="1">
      <alignment horizontal="left" vertical="center"/>
      <protection locked="0"/>
    </xf>
    <xf numFmtId="0" fontId="101" fillId="10" borderId="10" xfId="0" applyFont="1" applyFill="1" applyBorder="1" applyAlignment="1" applyProtection="1">
      <alignment horizontal="left" vertical="center" indent="1"/>
      <protection locked="0"/>
    </xf>
    <xf numFmtId="0" fontId="101" fillId="10" borderId="0" xfId="0" applyFont="1" applyFill="1" applyAlignment="1" applyProtection="1">
      <alignment horizontal="left" vertical="center"/>
      <protection locked="0"/>
    </xf>
    <xf numFmtId="0" fontId="101" fillId="0" borderId="9" xfId="0" applyFont="1" applyBorder="1" applyAlignment="1" applyProtection="1">
      <alignment horizontal="left" vertical="center"/>
      <protection locked="0"/>
    </xf>
    <xf numFmtId="0" fontId="101" fillId="56" borderId="10" xfId="0" applyFont="1" applyFill="1" applyBorder="1" applyAlignment="1" applyProtection="1">
      <alignment horizontal="left" vertical="center"/>
      <protection locked="0"/>
    </xf>
    <xf numFmtId="0" fontId="101" fillId="10" borderId="10" xfId="0" applyFont="1" applyFill="1" applyBorder="1" applyAlignment="1" applyProtection="1">
      <alignment horizontal="left" vertical="center"/>
      <protection locked="0"/>
    </xf>
    <xf numFmtId="0" fontId="101" fillId="10" borderId="9" xfId="0" applyFont="1" applyFill="1" applyBorder="1" applyAlignment="1" applyProtection="1">
      <alignment horizontal="left" vertical="center"/>
      <protection locked="0"/>
    </xf>
    <xf numFmtId="177" fontId="101" fillId="0" borderId="7" xfId="0" applyNumberFormat="1" applyFont="1" applyBorder="1" applyAlignment="1" applyProtection="1">
      <alignment horizontal="left" vertical="center"/>
      <protection locked="0"/>
    </xf>
    <xf numFmtId="177" fontId="101" fillId="10" borderId="7" xfId="0" applyNumberFormat="1" applyFont="1" applyFill="1" applyBorder="1" applyAlignment="1" applyProtection="1">
      <alignment horizontal="left" vertical="center"/>
      <protection locked="0"/>
    </xf>
    <xf numFmtId="177" fontId="101" fillId="10" borderId="10" xfId="0" applyNumberFormat="1" applyFont="1" applyFill="1" applyBorder="1" applyAlignment="1" applyProtection="1">
      <alignment horizontal="left" vertical="center"/>
      <protection locked="0"/>
    </xf>
    <xf numFmtId="0" fontId="32" fillId="0" borderId="0" xfId="0" applyFont="1" applyProtection="1">
      <alignment vertical="center"/>
      <protection locked="0"/>
    </xf>
    <xf numFmtId="0" fontId="4" fillId="0" borderId="0" xfId="0" applyFont="1" applyProtection="1">
      <alignment vertical="center"/>
      <protection locked="0"/>
    </xf>
    <xf numFmtId="0" fontId="77" fillId="0" borderId="0" xfId="0" applyFont="1">
      <alignment vertical="center"/>
    </xf>
    <xf numFmtId="0" fontId="100" fillId="0" borderId="0" xfId="0" applyFont="1">
      <alignment vertical="center"/>
    </xf>
    <xf numFmtId="0" fontId="46" fillId="4" borderId="7" xfId="0" applyFont="1" applyFill="1" applyBorder="1" applyAlignment="1">
      <alignment horizontal="center" vertical="center"/>
    </xf>
    <xf numFmtId="0" fontId="32" fillId="0" borderId="0" xfId="0" applyFont="1">
      <alignment vertical="center"/>
    </xf>
    <xf numFmtId="0" fontId="101" fillId="10" borderId="0" xfId="0" applyFont="1" applyFill="1" applyAlignment="1" applyProtection="1">
      <alignment horizontal="left" vertical="center" wrapText="1"/>
      <protection locked="0"/>
    </xf>
    <xf numFmtId="0" fontId="102" fillId="0" borderId="0" xfId="0" applyFont="1" applyAlignment="1" applyProtection="1">
      <alignment horizontal="left" vertical="center"/>
      <protection locked="0"/>
    </xf>
    <xf numFmtId="0" fontId="31" fillId="0" borderId="0" xfId="0" applyFont="1">
      <alignment vertical="center"/>
    </xf>
    <xf numFmtId="49" fontId="101" fillId="10" borderId="0" xfId="0" applyNumberFormat="1" applyFont="1" applyFill="1" applyAlignment="1" applyProtection="1">
      <alignment horizontal="left" vertical="center"/>
      <protection locked="0"/>
    </xf>
    <xf numFmtId="0" fontId="103" fillId="0" borderId="0" xfId="0" applyFont="1">
      <alignment vertical="center"/>
    </xf>
    <xf numFmtId="0" fontId="46" fillId="10" borderId="0" xfId="0" applyFont="1" applyFill="1" applyAlignment="1" applyProtection="1">
      <alignment horizontal="left" vertical="center"/>
      <protection locked="0"/>
    </xf>
    <xf numFmtId="0" fontId="46" fillId="10" borderId="7" xfId="0" applyFont="1" applyFill="1" applyBorder="1" applyAlignment="1" applyProtection="1">
      <alignment horizontal="left" vertical="center"/>
      <protection locked="0"/>
    </xf>
    <xf numFmtId="0" fontId="102" fillId="4" borderId="7" xfId="0" applyFont="1" applyFill="1" applyBorder="1" applyAlignment="1">
      <alignment horizontal="center" vertical="center"/>
    </xf>
    <xf numFmtId="0" fontId="104" fillId="10" borderId="7" xfId="0" applyFont="1" applyFill="1" applyBorder="1" applyAlignment="1" applyProtection="1">
      <alignment horizontal="left" vertical="center"/>
      <protection locked="0"/>
    </xf>
    <xf numFmtId="0" fontId="104" fillId="0" borderId="7" xfId="0" applyFont="1" applyBorder="1" applyAlignment="1" applyProtection="1">
      <alignment horizontal="left" vertical="center"/>
      <protection locked="0"/>
    </xf>
    <xf numFmtId="0" fontId="101" fillId="0" borderId="6" xfId="0" applyFont="1" applyBorder="1" applyAlignment="1">
      <alignment horizontal="center" vertical="center" wrapText="1"/>
    </xf>
    <xf numFmtId="0" fontId="101" fillId="0" borderId="0" xfId="0" applyFont="1" applyAlignment="1">
      <alignment horizontal="left" vertical="center"/>
    </xf>
    <xf numFmtId="0" fontId="33" fillId="0" borderId="0" xfId="0" applyFont="1" applyAlignment="1">
      <alignment vertical="center" wrapText="1"/>
    </xf>
    <xf numFmtId="0" fontId="102" fillId="10" borderId="0" xfId="0" applyFont="1" applyFill="1" applyAlignment="1" applyProtection="1">
      <alignment horizontal="left" vertical="center"/>
      <protection locked="0"/>
    </xf>
    <xf numFmtId="0" fontId="101" fillId="0" borderId="10" xfId="0" applyFont="1" applyBorder="1" applyAlignment="1">
      <alignment horizontal="left" vertical="center"/>
    </xf>
    <xf numFmtId="0" fontId="46" fillId="0" borderId="0" xfId="0" applyFont="1" applyAlignment="1" applyProtection="1">
      <alignment horizontal="left" vertical="center"/>
      <protection locked="0"/>
    </xf>
    <xf numFmtId="49" fontId="101" fillId="0" borderId="0" xfId="0" applyNumberFormat="1" applyFont="1" applyAlignment="1" applyProtection="1">
      <alignment horizontal="left" vertical="center"/>
      <protection locked="0"/>
    </xf>
    <xf numFmtId="0" fontId="102" fillId="10" borderId="7" xfId="0" applyFont="1" applyFill="1" applyBorder="1" applyAlignment="1" applyProtection="1">
      <alignment horizontal="left" vertical="center"/>
      <protection locked="0"/>
    </xf>
    <xf numFmtId="0" fontId="46" fillId="0" borderId="7" xfId="0" applyFont="1" applyBorder="1" applyAlignment="1" applyProtection="1">
      <alignment horizontal="left" vertical="center"/>
      <protection locked="0"/>
    </xf>
    <xf numFmtId="0" fontId="55" fillId="10" borderId="0" xfId="0" applyFont="1" applyFill="1" applyAlignment="1" applyProtection="1">
      <alignment horizontal="left" vertical="center" wrapText="1"/>
      <protection locked="0"/>
    </xf>
    <xf numFmtId="0" fontId="105" fillId="0" borderId="0" xfId="0" applyFont="1" applyAlignment="1">
      <alignment horizontal="center" vertical="center"/>
    </xf>
    <xf numFmtId="0" fontId="106" fillId="0" borderId="0" xfId="0" applyFont="1" applyAlignment="1">
      <alignment horizontal="center" vertical="center"/>
    </xf>
    <xf numFmtId="0" fontId="108" fillId="9" borderId="6" xfId="0" applyFont="1" applyFill="1" applyBorder="1" applyAlignment="1">
      <alignment horizontal="center" vertical="center"/>
    </xf>
    <xf numFmtId="0" fontId="108" fillId="9" borderId="0" xfId="0" applyFont="1" applyFill="1" applyAlignment="1">
      <alignment horizontal="center" vertical="center"/>
    </xf>
    <xf numFmtId="0" fontId="111" fillId="0" borderId="0" xfId="0" applyFont="1" applyAlignment="1">
      <alignment vertical="center" wrapText="1"/>
    </xf>
    <xf numFmtId="0" fontId="106" fillId="0" borderId="103" xfId="0" applyFont="1" applyBorder="1" applyAlignment="1">
      <alignment horizontal="center" vertical="center"/>
    </xf>
    <xf numFmtId="0" fontId="106" fillId="0" borderId="104" xfId="0" applyFont="1" applyBorder="1" applyAlignment="1">
      <alignment horizontal="center" vertical="center"/>
    </xf>
    <xf numFmtId="0" fontId="106" fillId="0" borderId="105" xfId="0" applyFont="1" applyBorder="1" applyAlignment="1">
      <alignment horizontal="center" vertical="center"/>
    </xf>
    <xf numFmtId="0" fontId="106" fillId="0" borderId="106" xfId="0" applyFont="1" applyBorder="1" applyAlignment="1">
      <alignment horizontal="center" vertical="center"/>
    </xf>
    <xf numFmtId="0" fontId="106" fillId="0" borderId="107" xfId="0" applyFont="1" applyBorder="1" applyAlignment="1">
      <alignment horizontal="center" vertical="center"/>
    </xf>
    <xf numFmtId="0" fontId="106" fillId="0" borderId="108" xfId="0" applyFont="1" applyBorder="1" applyAlignment="1">
      <alignment horizontal="center" vertical="center"/>
    </xf>
    <xf numFmtId="0" fontId="106" fillId="0" borderId="109" xfId="0" applyFont="1" applyBorder="1" applyAlignment="1">
      <alignment horizontal="center" vertical="center"/>
    </xf>
    <xf numFmtId="0" fontId="106" fillId="0" borderId="110" xfId="0" applyFont="1" applyBorder="1" applyAlignment="1">
      <alignment horizontal="center" vertical="center"/>
    </xf>
    <xf numFmtId="0" fontId="106" fillId="0" borderId="0" xfId="0" applyFont="1">
      <alignment vertical="center"/>
    </xf>
    <xf numFmtId="0" fontId="106" fillId="0" borderId="111" xfId="0" applyFont="1" applyBorder="1">
      <alignment vertical="center"/>
    </xf>
    <xf numFmtId="0" fontId="106" fillId="0" borderId="0" xfId="0" applyFont="1" applyAlignment="1">
      <alignment vertical="center" wrapText="1"/>
    </xf>
    <xf numFmtId="0" fontId="106" fillId="0" borderId="109" xfId="0" applyFont="1" applyBorder="1" applyAlignment="1">
      <alignment vertical="center" wrapText="1"/>
    </xf>
    <xf numFmtId="0" fontId="106" fillId="0" borderId="112" xfId="0" applyFont="1" applyBorder="1" applyAlignment="1">
      <alignment horizontal="center" vertical="center"/>
    </xf>
    <xf numFmtId="0" fontId="106" fillId="0" borderId="113" xfId="0" applyFont="1" applyBorder="1" applyAlignment="1">
      <alignment horizontal="center" vertical="center"/>
    </xf>
    <xf numFmtId="0" fontId="106" fillId="0" borderId="114" xfId="0" applyFont="1" applyBorder="1" applyAlignment="1">
      <alignment horizontal="center" vertical="center"/>
    </xf>
    <xf numFmtId="0" fontId="106" fillId="0" borderId="111" xfId="0" applyFont="1" applyBorder="1" applyAlignment="1">
      <alignment horizontal="center" vertical="center"/>
    </xf>
    <xf numFmtId="0" fontId="106" fillId="0" borderId="115" xfId="0" applyFont="1" applyBorder="1" applyAlignment="1">
      <alignment horizontal="center" vertical="center"/>
    </xf>
    <xf numFmtId="0" fontId="106" fillId="0" borderId="116" xfId="0" applyFont="1" applyBorder="1" applyAlignment="1">
      <alignment vertical="center" wrapText="1"/>
    </xf>
    <xf numFmtId="0" fontId="109" fillId="0" borderId="0" xfId="0" applyFont="1">
      <alignment vertical="center"/>
    </xf>
    <xf numFmtId="0" fontId="109" fillId="0" borderId="103" xfId="0" applyFont="1" applyBorder="1">
      <alignment vertical="center"/>
    </xf>
    <xf numFmtId="0" fontId="109" fillId="0" borderId="117" xfId="0" applyFont="1" applyBorder="1">
      <alignment vertical="center"/>
    </xf>
    <xf numFmtId="0" fontId="109" fillId="0" borderId="118" xfId="0" applyFont="1" applyBorder="1">
      <alignment vertical="center"/>
    </xf>
    <xf numFmtId="0" fontId="109" fillId="0" borderId="119" xfId="0" applyFont="1" applyBorder="1">
      <alignment vertical="center"/>
    </xf>
    <xf numFmtId="0" fontId="106" fillId="0" borderId="120" xfId="0" applyFont="1" applyBorder="1" applyAlignment="1">
      <alignment horizontal="center" vertical="center"/>
    </xf>
    <xf numFmtId="0" fontId="109" fillId="0" borderId="121" xfId="0" applyFont="1" applyBorder="1">
      <alignment vertical="center"/>
    </xf>
    <xf numFmtId="0" fontId="109" fillId="0" borderId="122" xfId="0" applyFont="1" applyBorder="1">
      <alignment vertical="center"/>
    </xf>
    <xf numFmtId="0" fontId="109" fillId="0" borderId="111" xfId="0" applyFont="1" applyBorder="1">
      <alignment vertical="center"/>
    </xf>
    <xf numFmtId="0" fontId="109" fillId="0" borderId="106" xfId="0" applyFont="1" applyBorder="1">
      <alignment vertical="center"/>
    </xf>
    <xf numFmtId="0" fontId="106" fillId="0" borderId="123" xfId="0" applyFont="1" applyBorder="1" applyAlignment="1">
      <alignment horizontal="center" vertical="center"/>
    </xf>
    <xf numFmtId="0" fontId="109" fillId="0" borderId="124" xfId="0" applyFont="1" applyBorder="1">
      <alignment vertical="center"/>
    </xf>
    <xf numFmtId="0" fontId="106" fillId="0" borderId="124" xfId="0" applyFont="1" applyBorder="1" applyAlignment="1">
      <alignment horizontal="center" vertical="center"/>
    </xf>
    <xf numFmtId="0" fontId="106" fillId="0" borderId="101" xfId="0" applyFont="1" applyBorder="1" applyAlignment="1">
      <alignment horizontal="center" vertical="center"/>
    </xf>
    <xf numFmtId="0" fontId="109" fillId="0" borderId="0" xfId="0" applyFont="1" applyAlignment="1">
      <alignment vertical="center" wrapText="1"/>
    </xf>
    <xf numFmtId="0" fontId="109" fillId="0" borderId="103" xfId="0" applyFont="1" applyBorder="1" applyAlignment="1">
      <alignment vertical="center" wrapText="1"/>
    </xf>
    <xf numFmtId="0" fontId="106" fillId="0" borderId="125" xfId="0" applyFont="1" applyBorder="1" applyAlignment="1">
      <alignment horizontal="center" vertical="center"/>
    </xf>
    <xf numFmtId="0" fontId="109" fillId="0" borderId="126" xfId="0" applyFont="1" applyBorder="1" applyAlignment="1">
      <alignment vertical="center" wrapText="1"/>
    </xf>
    <xf numFmtId="0" fontId="109" fillId="0" borderId="127" xfId="0" applyFont="1" applyBorder="1" applyAlignment="1">
      <alignment vertical="center" wrapText="1"/>
    </xf>
    <xf numFmtId="0" fontId="112" fillId="0" borderId="0" xfId="0" applyFont="1" applyAlignment="1">
      <alignment vertical="center" wrapText="1"/>
    </xf>
    <xf numFmtId="0" fontId="112" fillId="0" borderId="128" xfId="0" applyFont="1" applyBorder="1" applyAlignment="1">
      <alignment vertical="center" wrapText="1"/>
    </xf>
    <xf numFmtId="0" fontId="112" fillId="0" borderId="129" xfId="0" applyFont="1" applyBorder="1" applyAlignment="1">
      <alignment vertical="center" wrapText="1"/>
    </xf>
    <xf numFmtId="0" fontId="105" fillId="0" borderId="0" xfId="0" applyFont="1" applyAlignment="1">
      <alignment vertical="center" wrapText="1"/>
    </xf>
    <xf numFmtId="0" fontId="112" fillId="0" borderId="130" xfId="0" applyFont="1" applyBorder="1" applyAlignment="1">
      <alignment vertical="center" wrapText="1"/>
    </xf>
    <xf numFmtId="0" fontId="113" fillId="0" borderId="0" xfId="0" applyFont="1" applyAlignment="1">
      <alignment vertical="center" wrapText="1"/>
    </xf>
    <xf numFmtId="0" fontId="58" fillId="9" borderId="7" xfId="0" applyFont="1" applyFill="1" applyBorder="1" applyAlignment="1">
      <alignment horizontal="center" vertical="center"/>
    </xf>
    <xf numFmtId="0" fontId="58" fillId="4" borderId="7" xfId="0" applyFont="1" applyFill="1" applyBorder="1" applyAlignment="1">
      <alignment horizontal="center" vertical="center"/>
    </xf>
    <xf numFmtId="0" fontId="29" fillId="0" borderId="0" xfId="0" applyFont="1">
      <alignment vertical="center"/>
    </xf>
    <xf numFmtId="0" fontId="109" fillId="0" borderId="0" xfId="0" applyFont="1" applyAlignment="1">
      <alignment horizontal="center" vertical="center"/>
    </xf>
    <xf numFmtId="0" fontId="6" fillId="0" borderId="0" xfId="0" applyFont="1">
      <alignment vertical="center"/>
    </xf>
    <xf numFmtId="0" fontId="119" fillId="0" borderId="0" xfId="0" applyFont="1" applyAlignment="1">
      <alignment vertical="center" wrapText="1"/>
    </xf>
    <xf numFmtId="0" fontId="120" fillId="0" borderId="0" xfId="0" applyFont="1" applyAlignment="1">
      <alignment horizontal="center" vertical="center"/>
    </xf>
    <xf numFmtId="0" fontId="5" fillId="55" borderId="6" xfId="0" applyFont="1" applyFill="1" applyBorder="1" applyAlignment="1">
      <alignment horizontal="center" vertical="center"/>
    </xf>
    <xf numFmtId="49" fontId="5" fillId="0" borderId="6" xfId="0" applyNumberFormat="1" applyFont="1" applyBorder="1" applyAlignment="1">
      <alignment vertical="top" wrapText="1"/>
    </xf>
    <xf numFmtId="49" fontId="5" fillId="0" borderId="6" xfId="0" applyNumberFormat="1" applyFont="1" applyBorder="1">
      <alignment vertical="center"/>
    </xf>
    <xf numFmtId="49" fontId="5" fillId="0" borderId="0" xfId="0" applyNumberFormat="1" applyFont="1" applyAlignment="1">
      <alignment horizontal="left" vertical="center"/>
    </xf>
    <xf numFmtId="49" fontId="5" fillId="0" borderId="7" xfId="0" applyNumberFormat="1" applyFont="1" applyBorder="1" applyAlignment="1">
      <alignment horizontal="left" vertical="center"/>
    </xf>
    <xf numFmtId="49" fontId="5" fillId="0" borderId="6" xfId="0" applyNumberFormat="1" applyFont="1" applyBorder="1" applyAlignment="1">
      <alignment vertical="center" wrapText="1"/>
    </xf>
    <xf numFmtId="49" fontId="5" fillId="0" borderId="0" xfId="0" applyNumberFormat="1" applyFont="1" applyAlignment="1">
      <alignment horizontal="left" vertical="center" wrapText="1"/>
    </xf>
    <xf numFmtId="49" fontId="5" fillId="0" borderId="7" xfId="0" applyNumberFormat="1" applyFont="1" applyBorder="1" applyAlignment="1">
      <alignment horizontal="left" vertical="center" wrapText="1"/>
    </xf>
    <xf numFmtId="49" fontId="5" fillId="0" borderId="6" xfId="0" applyNumberFormat="1" applyFont="1" applyBorder="1" applyAlignment="1">
      <alignment horizontal="left" vertical="center" wrapText="1"/>
    </xf>
    <xf numFmtId="49" fontId="5" fillId="0" borderId="0" xfId="0" applyNumberFormat="1" applyFont="1" applyAlignment="1">
      <alignment vertical="center" wrapText="1"/>
    </xf>
    <xf numFmtId="49" fontId="5" fillId="0" borderId="7" xfId="0" applyNumberFormat="1" applyFont="1" applyBorder="1" applyAlignment="1">
      <alignment vertical="center" wrapText="1"/>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123" fillId="0" borderId="0" xfId="0" applyFont="1" applyAlignment="1">
      <alignment vertical="center" wrapText="1"/>
    </xf>
    <xf numFmtId="49" fontId="5" fillId="0" borderId="8" xfId="0" applyNumberFormat="1" applyFont="1" applyBorder="1" applyAlignment="1">
      <alignment vertical="center" wrapText="1"/>
    </xf>
    <xf numFmtId="0" fontId="100" fillId="0" borderId="0" xfId="0" applyFont="1" applyAlignment="1">
      <alignment vertical="top" wrapText="1"/>
    </xf>
    <xf numFmtId="0" fontId="91" fillId="0" borderId="0" xfId="0" applyFont="1" applyAlignment="1">
      <alignment vertical="center" wrapText="1"/>
    </xf>
    <xf numFmtId="0" fontId="127" fillId="0" borderId="0" xfId="0" applyFont="1">
      <alignment vertical="center"/>
    </xf>
    <xf numFmtId="0" fontId="128" fillId="0" borderId="0" xfId="0" applyFont="1">
      <alignment vertical="center"/>
    </xf>
    <xf numFmtId="0" fontId="12" fillId="0" borderId="0" xfId="0" applyFont="1" applyAlignment="1">
      <alignment vertical="center" wrapText="1"/>
    </xf>
    <xf numFmtId="0" fontId="125" fillId="0" borderId="0" xfId="0" applyFont="1">
      <alignment vertical="center"/>
    </xf>
    <xf numFmtId="0" fontId="28" fillId="0" borderId="0" xfId="0" applyFont="1">
      <alignment vertical="center"/>
    </xf>
    <xf numFmtId="0" fontId="18" fillId="0" borderId="41" xfId="0" applyFont="1" applyBorder="1">
      <alignment vertical="center"/>
    </xf>
    <xf numFmtId="0" fontId="18" fillId="0" borderId="6" xfId="0" applyFont="1" applyBorder="1">
      <alignment vertical="center"/>
    </xf>
    <xf numFmtId="0" fontId="18" fillId="0" borderId="44" xfId="0" applyFont="1" applyBorder="1">
      <alignment vertical="center"/>
    </xf>
    <xf numFmtId="0" fontId="18" fillId="0" borderId="8" xfId="0" applyFont="1" applyBorder="1">
      <alignment vertical="center"/>
    </xf>
    <xf numFmtId="0" fontId="14" fillId="0" borderId="0" xfId="0" applyFont="1" applyAlignment="1">
      <alignment horizontal="left"/>
    </xf>
    <xf numFmtId="0" fontId="101" fillId="0" borderId="0" xfId="0" applyFont="1" applyAlignment="1">
      <alignment vertical="center" wrapText="1"/>
    </xf>
    <xf numFmtId="0" fontId="129" fillId="0" borderId="0" xfId="0" applyFont="1">
      <alignment vertical="center"/>
    </xf>
    <xf numFmtId="0" fontId="129" fillId="2" borderId="0" xfId="0" applyFont="1" applyFill="1">
      <alignment vertical="center"/>
    </xf>
    <xf numFmtId="0" fontId="32" fillId="19" borderId="0" xfId="0" applyFont="1" applyFill="1">
      <alignment vertical="center"/>
    </xf>
    <xf numFmtId="0" fontId="32" fillId="2" borderId="0" xfId="0" applyFont="1" applyFill="1">
      <alignment vertical="center"/>
    </xf>
    <xf numFmtId="0" fontId="32" fillId="39" borderId="0" xfId="0" applyFont="1" applyFill="1">
      <alignment vertical="center"/>
    </xf>
    <xf numFmtId="0" fontId="32" fillId="74" borderId="0" xfId="0" applyFont="1" applyFill="1">
      <alignment vertical="center"/>
    </xf>
    <xf numFmtId="0" fontId="32" fillId="10" borderId="0" xfId="0" applyFont="1" applyFill="1">
      <alignment vertical="center"/>
    </xf>
    <xf numFmtId="0" fontId="32" fillId="27" borderId="0" xfId="0" applyFont="1" applyFill="1">
      <alignment vertical="center"/>
    </xf>
    <xf numFmtId="0" fontId="32" fillId="53" borderId="0" xfId="0" applyFont="1" applyFill="1">
      <alignment vertical="center"/>
    </xf>
    <xf numFmtId="0" fontId="32" fillId="18" borderId="0" xfId="0" applyFont="1" applyFill="1">
      <alignment vertical="center"/>
    </xf>
    <xf numFmtId="0" fontId="32" fillId="75" borderId="0" xfId="0" applyFont="1" applyFill="1">
      <alignment vertical="center"/>
    </xf>
    <xf numFmtId="0" fontId="32" fillId="76" borderId="0" xfId="0" applyFont="1" applyFill="1">
      <alignment vertical="center"/>
    </xf>
    <xf numFmtId="0" fontId="101" fillId="0" borderId="0" xfId="0" applyFont="1" applyAlignment="1">
      <alignment vertical="center" shrinkToFit="1"/>
    </xf>
    <xf numFmtId="0" fontId="130" fillId="0" borderId="0" xfId="0" applyFont="1" applyAlignment="1"/>
    <xf numFmtId="0" fontId="131" fillId="0" borderId="0" xfId="0" applyFont="1" applyAlignment="1"/>
    <xf numFmtId="0" fontId="132" fillId="0" borderId="0" xfId="0" applyFont="1" applyAlignment="1"/>
    <xf numFmtId="0" fontId="133" fillId="0" borderId="0" xfId="0" applyFont="1" applyAlignment="1"/>
    <xf numFmtId="16" fontId="133" fillId="0" borderId="0" xfId="0" applyNumberFormat="1" applyFont="1" applyAlignment="1"/>
    <xf numFmtId="0" fontId="131" fillId="2" borderId="20" xfId="0" applyFont="1" applyFill="1" applyBorder="1" applyAlignment="1">
      <alignment vertical="center" wrapText="1"/>
    </xf>
    <xf numFmtId="0" fontId="133" fillId="2" borderId="0" xfId="0" applyFont="1" applyFill="1" applyAlignment="1"/>
    <xf numFmtId="0" fontId="132" fillId="2" borderId="0" xfId="0" applyFont="1" applyFill="1" applyAlignment="1"/>
    <xf numFmtId="0" fontId="129" fillId="0" borderId="0" xfId="0" applyFont="1" applyAlignment="1">
      <alignment horizontal="left"/>
    </xf>
    <xf numFmtId="0" fontId="130" fillId="0" borderId="0" xfId="0" applyFont="1">
      <alignment vertical="center"/>
    </xf>
    <xf numFmtId="0" fontId="130" fillId="0" borderId="0" xfId="0" applyFont="1" applyAlignment="1">
      <alignment horizontal="left"/>
    </xf>
    <xf numFmtId="0" fontId="134" fillId="0" borderId="0" xfId="0" applyFont="1" applyAlignment="1">
      <alignment horizontal="left"/>
    </xf>
    <xf numFmtId="0" fontId="135" fillId="0" borderId="0" xfId="0" applyFont="1" applyAlignment="1">
      <alignment horizontal="left"/>
    </xf>
    <xf numFmtId="0" fontId="136" fillId="0" borderId="0" xfId="0" applyFont="1" applyAlignment="1">
      <alignment horizontal="left"/>
    </xf>
    <xf numFmtId="0" fontId="134" fillId="0" borderId="0" xfId="0" applyFont="1">
      <alignment vertical="center"/>
    </xf>
    <xf numFmtId="0" fontId="130" fillId="19" borderId="20" xfId="0" applyFont="1" applyFill="1" applyBorder="1">
      <alignment vertical="center"/>
    </xf>
    <xf numFmtId="0" fontId="130" fillId="19" borderId="0" xfId="0" applyFont="1" applyFill="1" applyAlignment="1">
      <alignment horizontal="left"/>
    </xf>
    <xf numFmtId="0" fontId="137" fillId="19" borderId="0" xfId="0" applyFont="1" applyFill="1" applyAlignment="1">
      <alignment horizontal="left"/>
    </xf>
    <xf numFmtId="0" fontId="134" fillId="19" borderId="0" xfId="0" applyFont="1" applyFill="1" applyAlignment="1">
      <alignment horizontal="left"/>
    </xf>
    <xf numFmtId="0" fontId="130" fillId="19" borderId="0" xfId="0" applyFont="1" applyFill="1" applyAlignment="1"/>
    <xf numFmtId="0" fontId="130" fillId="2" borderId="0" xfId="0" applyFont="1" applyFill="1">
      <alignment vertical="center"/>
    </xf>
    <xf numFmtId="0" fontId="130" fillId="2" borderId="0" xfId="0" applyFont="1" applyFill="1" applyAlignment="1">
      <alignment horizontal="left"/>
    </xf>
    <xf numFmtId="0" fontId="134" fillId="2" borderId="0" xfId="0" applyFont="1" applyFill="1" applyAlignment="1">
      <alignment horizontal="left"/>
    </xf>
    <xf numFmtId="0" fontId="136" fillId="2" borderId="0" xfId="0" applyFont="1" applyFill="1" applyAlignment="1">
      <alignment horizontal="left"/>
    </xf>
    <xf numFmtId="0" fontId="130" fillId="2" borderId="0" xfId="0" applyFont="1" applyFill="1" applyAlignment="1"/>
    <xf numFmtId="0" fontId="58" fillId="0" borderId="20" xfId="0" applyFont="1" applyBorder="1">
      <alignment vertical="center"/>
    </xf>
    <xf numFmtId="0" fontId="130" fillId="0" borderId="20" xfId="0" applyFont="1" applyBorder="1">
      <alignment vertical="center"/>
    </xf>
    <xf numFmtId="0" fontId="130" fillId="39" borderId="0" xfId="0" applyFont="1" applyFill="1">
      <alignment vertical="center"/>
    </xf>
    <xf numFmtId="0" fontId="130" fillId="39" borderId="0" xfId="0" applyFont="1" applyFill="1" applyAlignment="1">
      <alignment horizontal="left"/>
    </xf>
    <xf numFmtId="0" fontId="134" fillId="39" borderId="0" xfId="0" applyFont="1" applyFill="1" applyAlignment="1">
      <alignment horizontal="left"/>
    </xf>
    <xf numFmtId="0" fontId="130" fillId="39" borderId="0" xfId="0" applyFont="1" applyFill="1" applyAlignment="1"/>
    <xf numFmtId="0" fontId="136" fillId="39" borderId="0" xfId="0" applyFont="1" applyFill="1" applyAlignment="1">
      <alignment horizontal="left"/>
    </xf>
    <xf numFmtId="0" fontId="130" fillId="39" borderId="20" xfId="0" applyFont="1" applyFill="1" applyBorder="1">
      <alignment vertical="center"/>
    </xf>
    <xf numFmtId="0" fontId="138" fillId="0" borderId="0" xfId="0" applyFont="1" applyAlignment="1">
      <alignment horizontal="left"/>
    </xf>
    <xf numFmtId="0" fontId="58" fillId="74" borderId="0" xfId="0" applyFont="1" applyFill="1" applyAlignment="1">
      <alignment vertical="center" wrapText="1"/>
    </xf>
    <xf numFmtId="0" fontId="130" fillId="74" borderId="0" xfId="0" applyFont="1" applyFill="1" applyAlignment="1">
      <alignment horizontal="left"/>
    </xf>
    <xf numFmtId="0" fontId="58" fillId="74" borderId="0" xfId="0" applyFont="1" applyFill="1" applyAlignment="1">
      <alignment horizontal="left"/>
    </xf>
    <xf numFmtId="0" fontId="134" fillId="74" borderId="0" xfId="0" applyFont="1" applyFill="1" applyAlignment="1">
      <alignment horizontal="left"/>
    </xf>
    <xf numFmtId="0" fontId="130" fillId="74" borderId="0" xfId="0" applyFont="1" applyFill="1" applyAlignment="1"/>
    <xf numFmtId="0" fontId="134" fillId="0" borderId="0" xfId="0" applyFont="1" applyAlignment="1"/>
    <xf numFmtId="0" fontId="139" fillId="0" borderId="0" xfId="0" applyFont="1" applyAlignment="1">
      <alignment horizontal="left"/>
    </xf>
    <xf numFmtId="0" fontId="58" fillId="0" borderId="0" xfId="0" applyFont="1" applyAlignment="1"/>
    <xf numFmtId="0" fontId="134" fillId="10" borderId="20" xfId="0" applyFont="1" applyFill="1" applyBorder="1">
      <alignment vertical="center"/>
    </xf>
    <xf numFmtId="0" fontId="130" fillId="10" borderId="0" xfId="0" applyFont="1" applyFill="1" applyAlignment="1">
      <alignment horizontal="left"/>
    </xf>
    <xf numFmtId="0" fontId="58" fillId="10" borderId="0" xfId="0" applyFont="1" applyFill="1" applyAlignment="1">
      <alignment horizontal="left"/>
    </xf>
    <xf numFmtId="0" fontId="134" fillId="10" borderId="0" xfId="0" applyFont="1" applyFill="1" applyAlignment="1">
      <alignment horizontal="left"/>
    </xf>
    <xf numFmtId="0" fontId="136" fillId="10" borderId="0" xfId="0" applyFont="1" applyFill="1" applyAlignment="1">
      <alignment horizontal="left"/>
    </xf>
    <xf numFmtId="0" fontId="130" fillId="10" borderId="0" xfId="0" applyFont="1" applyFill="1" applyAlignment="1"/>
    <xf numFmtId="0" fontId="134" fillId="27" borderId="0" xfId="0" applyFont="1" applyFill="1">
      <alignment vertical="center"/>
    </xf>
    <xf numFmtId="0" fontId="130" fillId="27" borderId="0" xfId="0" applyFont="1" applyFill="1" applyAlignment="1">
      <alignment horizontal="left"/>
    </xf>
    <xf numFmtId="0" fontId="136" fillId="27" borderId="0" xfId="0" applyFont="1" applyFill="1" applyAlignment="1">
      <alignment horizontal="left"/>
    </xf>
    <xf numFmtId="0" fontId="130" fillId="27" borderId="0" xfId="0" applyFont="1" applyFill="1" applyAlignment="1"/>
    <xf numFmtId="0" fontId="134" fillId="27" borderId="0" xfId="0" applyFont="1" applyFill="1" applyAlignment="1">
      <alignment horizontal="left"/>
    </xf>
    <xf numFmtId="0" fontId="134" fillId="0" borderId="0" xfId="0" applyFont="1" applyAlignment="1">
      <alignment vertical="center" wrapText="1"/>
    </xf>
    <xf numFmtId="0" fontId="137" fillId="0" borderId="0" xfId="0" applyFont="1">
      <alignment vertical="center"/>
    </xf>
    <xf numFmtId="0" fontId="130" fillId="53" borderId="0" xfId="0" applyFont="1" applyFill="1">
      <alignment vertical="center"/>
    </xf>
    <xf numFmtId="0" fontId="130" fillId="53" borderId="0" xfId="0" applyFont="1" applyFill="1" applyAlignment="1">
      <alignment horizontal="left"/>
    </xf>
    <xf numFmtId="0" fontId="134" fillId="53" borderId="0" xfId="0" applyFont="1" applyFill="1" applyAlignment="1">
      <alignment horizontal="left"/>
    </xf>
    <xf numFmtId="0" fontId="130" fillId="53" borderId="0" xfId="0" applyFont="1" applyFill="1" applyAlignment="1"/>
    <xf numFmtId="0" fontId="134" fillId="18" borderId="0" xfId="0" applyFont="1" applyFill="1" applyAlignment="1"/>
    <xf numFmtId="0" fontId="130" fillId="18" borderId="0" xfId="0" applyFont="1" applyFill="1" applyAlignment="1">
      <alignment horizontal="left"/>
    </xf>
    <xf numFmtId="0" fontId="134" fillId="18" borderId="0" xfId="0" applyFont="1" applyFill="1" applyAlignment="1">
      <alignment horizontal="left"/>
    </xf>
    <xf numFmtId="0" fontId="130" fillId="18" borderId="0" xfId="0" applyFont="1" applyFill="1" applyAlignment="1"/>
    <xf numFmtId="0" fontId="58" fillId="0" borderId="0" xfId="0" applyFont="1" applyAlignment="1">
      <alignment horizontal="left"/>
    </xf>
    <xf numFmtId="0" fontId="58" fillId="0" borderId="0" xfId="0" applyFont="1">
      <alignment vertical="center"/>
    </xf>
    <xf numFmtId="0" fontId="134" fillId="75" borderId="0" xfId="0" applyFont="1" applyFill="1" applyAlignment="1"/>
    <xf numFmtId="0" fontId="130" fillId="75" borderId="0" xfId="0" applyFont="1" applyFill="1" applyAlignment="1">
      <alignment horizontal="left"/>
    </xf>
    <xf numFmtId="0" fontId="140" fillId="75" borderId="0" xfId="0" applyFont="1" applyFill="1" applyAlignment="1">
      <alignment horizontal="left"/>
    </xf>
    <xf numFmtId="0" fontId="134" fillId="75" borderId="0" xfId="0" applyFont="1" applyFill="1" applyAlignment="1">
      <alignment horizontal="left"/>
    </xf>
    <xf numFmtId="0" fontId="130" fillId="75" borderId="0" xfId="0" applyFont="1" applyFill="1" applyAlignment="1"/>
    <xf numFmtId="0" fontId="140" fillId="0" borderId="0" xfId="0" applyFont="1" applyAlignment="1">
      <alignment horizontal="left"/>
    </xf>
    <xf numFmtId="0" fontId="135" fillId="0" borderId="0" xfId="0" applyFont="1">
      <alignment vertical="center"/>
    </xf>
    <xf numFmtId="0" fontId="44" fillId="0" borderId="0" xfId="0" applyFont="1">
      <alignment vertical="center"/>
    </xf>
    <xf numFmtId="0" fontId="44" fillId="76" borderId="0" xfId="0" applyFont="1" applyFill="1">
      <alignment vertical="center"/>
    </xf>
    <xf numFmtId="0" fontId="130" fillId="76" borderId="0" xfId="0" applyFont="1" applyFill="1" applyAlignment="1">
      <alignment horizontal="left"/>
    </xf>
    <xf numFmtId="0" fontId="137" fillId="76" borderId="0" xfId="0" applyFont="1" applyFill="1">
      <alignment vertical="center"/>
    </xf>
    <xf numFmtId="0" fontId="130" fillId="76" borderId="0" xfId="0" applyFont="1" applyFill="1" applyAlignment="1"/>
    <xf numFmtId="0" fontId="134" fillId="0" borderId="20" xfId="0" applyFont="1" applyBorder="1" applyAlignment="1">
      <alignment vertical="center" wrapText="1"/>
    </xf>
    <xf numFmtId="0" fontId="141" fillId="0" borderId="0" xfId="0" applyFont="1">
      <alignment vertical="center"/>
    </xf>
    <xf numFmtId="0" fontId="12" fillId="77" borderId="3" xfId="0" applyFont="1" applyFill="1" applyBorder="1" applyAlignment="1" applyProtection="1">
      <alignment horizontal="center" vertical="center"/>
      <protection locked="0"/>
    </xf>
    <xf numFmtId="0" fontId="12" fillId="77" borderId="0" xfId="0" applyFont="1" applyFill="1" applyAlignment="1" applyProtection="1">
      <alignment horizontal="center" vertical="center"/>
      <protection locked="0"/>
    </xf>
    <xf numFmtId="0" fontId="4" fillId="0" borderId="0" xfId="0" applyFont="1" applyAlignment="1" applyProtection="1">
      <alignment horizontal="center" vertical="center"/>
      <protection locked="0"/>
    </xf>
    <xf numFmtId="0" fontId="144" fillId="78" borderId="3" xfId="0" applyFont="1" applyFill="1" applyBorder="1" applyAlignment="1" applyProtection="1">
      <alignment horizontal="center" vertical="center"/>
      <protection locked="0"/>
    </xf>
    <xf numFmtId="0" fontId="144" fillId="78" borderId="0" xfId="0" applyFont="1" applyFill="1" applyAlignment="1" applyProtection="1">
      <alignment horizontal="center" vertical="center"/>
      <protection locked="0"/>
    </xf>
    <xf numFmtId="0" fontId="12" fillId="43" borderId="14" xfId="0" applyFont="1" applyFill="1" applyBorder="1" applyAlignment="1" applyProtection="1">
      <alignment horizontal="center" vertical="center"/>
      <protection locked="0"/>
    </xf>
    <xf numFmtId="0" fontId="12" fillId="43" borderId="14" xfId="0" applyFont="1" applyFill="1" applyBorder="1" applyAlignment="1">
      <alignment horizontal="center" vertical="center"/>
    </xf>
    <xf numFmtId="0" fontId="4" fillId="5" borderId="3" xfId="0" applyFont="1" applyFill="1" applyBorder="1" applyAlignment="1">
      <alignment horizontal="center" vertical="center"/>
    </xf>
    <xf numFmtId="0" fontId="4" fillId="43" borderId="3" xfId="0" applyFont="1" applyFill="1" applyBorder="1" applyAlignment="1" applyProtection="1">
      <alignment horizontal="center" vertical="center"/>
      <protection locked="0"/>
    </xf>
    <xf numFmtId="0" fontId="33" fillId="5" borderId="12" xfId="0" applyFont="1" applyFill="1" applyBorder="1" applyAlignment="1" applyProtection="1">
      <alignment horizontal="center" vertical="center"/>
      <protection locked="0"/>
    </xf>
    <xf numFmtId="0" fontId="33" fillId="5" borderId="3" xfId="0" applyFont="1" applyFill="1" applyBorder="1" applyAlignment="1" applyProtection="1">
      <alignment horizontal="center" vertical="center"/>
      <protection locked="0"/>
    </xf>
    <xf numFmtId="0" fontId="12" fillId="43" borderId="16" xfId="0" applyFont="1" applyFill="1" applyBorder="1" applyAlignment="1" applyProtection="1">
      <alignment horizontal="center" vertical="center"/>
      <protection locked="0"/>
    </xf>
    <xf numFmtId="0" fontId="12" fillId="43" borderId="16" xfId="0" applyFont="1" applyFill="1" applyBorder="1" applyAlignment="1">
      <alignment horizontal="center" vertical="center"/>
    </xf>
    <xf numFmtId="0" fontId="4" fillId="5" borderId="11" xfId="0" applyFont="1" applyFill="1" applyBorder="1" applyAlignment="1">
      <alignment horizontal="center" vertical="center"/>
    </xf>
    <xf numFmtId="0" fontId="4" fillId="43" borderId="11" xfId="0" applyFont="1" applyFill="1" applyBorder="1" applyAlignment="1" applyProtection="1">
      <alignment horizontal="center" vertical="center"/>
      <protection locked="0"/>
    </xf>
    <xf numFmtId="0" fontId="33" fillId="5" borderId="18" xfId="0" applyFont="1" applyFill="1" applyBorder="1" applyAlignment="1" applyProtection="1">
      <alignment horizontal="center" vertical="center"/>
      <protection locked="0"/>
    </xf>
    <xf numFmtId="0" fontId="33" fillId="5" borderId="11" xfId="0" applyFont="1" applyFill="1" applyBorder="1" applyAlignment="1" applyProtection="1">
      <alignment horizontal="center" vertical="center"/>
      <protection locked="0"/>
    </xf>
    <xf numFmtId="0" fontId="33" fillId="5" borderId="153" xfId="0" applyFont="1" applyFill="1" applyBorder="1" applyAlignment="1" applyProtection="1">
      <alignment horizontal="center" vertical="center"/>
      <protection locked="0"/>
    </xf>
    <xf numFmtId="0" fontId="33" fillId="5" borderId="5" xfId="0" applyFont="1" applyFill="1" applyBorder="1" applyAlignment="1" applyProtection="1">
      <alignment horizontal="center" vertical="center"/>
      <protection locked="0"/>
    </xf>
    <xf numFmtId="0" fontId="33" fillId="5" borderId="154" xfId="0" applyFont="1" applyFill="1" applyBorder="1" applyAlignment="1" applyProtection="1">
      <alignment horizontal="center" vertical="center"/>
      <protection locked="0"/>
    </xf>
    <xf numFmtId="0" fontId="33" fillId="5" borderId="63" xfId="0" applyFont="1" applyFill="1" applyBorder="1" applyAlignment="1" applyProtection="1">
      <alignment horizontal="center" vertical="center"/>
      <protection locked="0"/>
    </xf>
    <xf numFmtId="0" fontId="33" fillId="5" borderId="159" xfId="0" applyFont="1" applyFill="1" applyBorder="1" applyAlignment="1" applyProtection="1">
      <alignment horizontal="center" vertical="center"/>
      <protection locked="0"/>
    </xf>
    <xf numFmtId="0" fontId="33" fillId="5" borderId="65" xfId="0" applyFont="1" applyFill="1" applyBorder="1" applyAlignment="1" applyProtection="1">
      <alignment horizontal="center" vertical="center"/>
      <protection locked="0"/>
    </xf>
    <xf numFmtId="0" fontId="33" fillId="5" borderId="66" xfId="0" applyFont="1" applyFill="1" applyBorder="1" applyAlignment="1" applyProtection="1">
      <alignment horizontal="center" vertical="center"/>
      <protection locked="0"/>
    </xf>
    <xf numFmtId="0" fontId="107" fillId="0" borderId="0" xfId="0" applyFont="1" applyAlignment="1">
      <alignment horizontal="center" vertical="center" wrapText="1"/>
    </xf>
    <xf numFmtId="0" fontId="107" fillId="0" borderId="0" xfId="0" applyFont="1" applyAlignment="1">
      <alignment horizontal="left" vertical="center" wrapText="1"/>
    </xf>
    <xf numFmtId="49" fontId="107" fillId="0" borderId="0" xfId="0" applyNumberFormat="1" applyFont="1" applyAlignment="1">
      <alignment horizontal="center" vertical="center" wrapText="1"/>
    </xf>
    <xf numFmtId="0" fontId="145" fillId="0" borderId="0" xfId="0" applyFont="1" applyAlignment="1">
      <alignment horizontal="center" vertical="center" wrapText="1"/>
    </xf>
    <xf numFmtId="0" fontId="145" fillId="0" borderId="0" xfId="0" applyFont="1" applyAlignment="1">
      <alignment horizontal="center" vertical="center"/>
    </xf>
    <xf numFmtId="0" fontId="107" fillId="0" borderId="0" xfId="0" applyFont="1" applyAlignment="1">
      <alignment horizontal="center" vertical="center"/>
    </xf>
    <xf numFmtId="0" fontId="146" fillId="0" borderId="0" xfId="0" applyFont="1" applyAlignment="1">
      <alignment horizontal="center" vertical="center"/>
    </xf>
    <xf numFmtId="0" fontId="147" fillId="3" borderId="1" xfId="0" applyFont="1" applyFill="1" applyBorder="1" applyAlignment="1">
      <alignment horizontal="center" vertical="center" wrapText="1"/>
    </xf>
    <xf numFmtId="0" fontId="147" fillId="3" borderId="2" xfId="0" applyFont="1" applyFill="1" applyBorder="1" applyAlignment="1">
      <alignment horizontal="center" vertical="center" wrapText="1"/>
    </xf>
    <xf numFmtId="49" fontId="147" fillId="3" borderId="2" xfId="0" applyNumberFormat="1" applyFont="1" applyFill="1" applyBorder="1" applyAlignment="1">
      <alignment horizontal="center" vertical="center" wrapText="1"/>
    </xf>
    <xf numFmtId="0" fontId="147" fillId="3" borderId="4" xfId="0" applyFont="1" applyFill="1" applyBorder="1" applyAlignment="1">
      <alignment horizontal="center" vertical="center" wrapText="1"/>
    </xf>
    <xf numFmtId="0" fontId="107" fillId="0" borderId="6" xfId="0" applyFont="1" applyBorder="1" applyAlignment="1">
      <alignment horizontal="center" vertical="center" wrapText="1"/>
    </xf>
    <xf numFmtId="0" fontId="151" fillId="77" borderId="0" xfId="0" applyFont="1" applyFill="1" applyAlignment="1">
      <alignment horizontal="center" vertical="center" wrapText="1"/>
    </xf>
    <xf numFmtId="0" fontId="151" fillId="77" borderId="0" xfId="0" applyFont="1" applyFill="1" applyAlignment="1">
      <alignment horizontal="center" vertical="center"/>
    </xf>
    <xf numFmtId="49" fontId="19" fillId="0" borderId="0" xfId="0" applyNumberFormat="1" applyFont="1" applyProtection="1">
      <alignment vertical="center"/>
      <protection hidden="1"/>
    </xf>
    <xf numFmtId="0" fontId="107" fillId="51" borderId="6" xfId="0" applyFont="1" applyFill="1" applyBorder="1" applyAlignment="1">
      <alignment horizontal="center" vertical="center" wrapText="1"/>
    </xf>
    <xf numFmtId="0" fontId="107" fillId="51" borderId="0" xfId="0" applyFont="1" applyFill="1" applyAlignment="1" applyProtection="1">
      <alignment vertical="center" wrapText="1"/>
      <protection locked="0"/>
    </xf>
    <xf numFmtId="0" fontId="108" fillId="80" borderId="0" xfId="0" applyFont="1" applyFill="1" applyAlignment="1" applyProtection="1">
      <alignment horizontal="center" vertical="center" wrapText="1"/>
      <protection locked="0"/>
    </xf>
    <xf numFmtId="49" fontId="146" fillId="39" borderId="0" xfId="0" applyNumberFormat="1" applyFont="1" applyFill="1" applyAlignment="1" applyProtection="1">
      <alignment horizontal="center" vertical="center" wrapText="1"/>
      <protection locked="0"/>
    </xf>
    <xf numFmtId="0" fontId="146" fillId="51" borderId="0" xfId="0" applyFont="1" applyFill="1" applyAlignment="1" applyProtection="1">
      <alignment horizontal="center" vertical="center" wrapText="1"/>
      <protection locked="0" hidden="1"/>
    </xf>
    <xf numFmtId="0" fontId="107" fillId="51" borderId="0" xfId="0" applyFont="1" applyFill="1" applyAlignment="1" applyProtection="1">
      <alignment horizontal="center" vertical="center" wrapText="1"/>
      <protection locked="0"/>
    </xf>
    <xf numFmtId="0" fontId="107" fillId="51" borderId="7" xfId="0" applyFont="1" applyFill="1" applyBorder="1" applyAlignment="1" applyProtection="1">
      <alignment horizontal="left" vertical="center" wrapText="1"/>
      <protection locked="0"/>
    </xf>
    <xf numFmtId="0" fontId="151" fillId="77" borderId="0" xfId="0" applyFont="1" applyFill="1" applyAlignment="1">
      <alignment horizontal="left" vertical="center"/>
    </xf>
    <xf numFmtId="0" fontId="151" fillId="77" borderId="0" xfId="0" applyFont="1" applyFill="1" applyAlignment="1">
      <alignment horizontal="centerContinuous" vertical="center"/>
    </xf>
    <xf numFmtId="0" fontId="107" fillId="81" borderId="6" xfId="0" applyFont="1" applyFill="1" applyBorder="1" applyAlignment="1">
      <alignment horizontal="center" vertical="center" wrapText="1"/>
    </xf>
    <xf numFmtId="49" fontId="107" fillId="81" borderId="0" xfId="0" applyNumberFormat="1" applyFont="1" applyFill="1" applyAlignment="1">
      <alignment horizontal="center" vertical="center" wrapText="1"/>
    </xf>
    <xf numFmtId="0" fontId="146" fillId="81" borderId="0" xfId="0" applyFont="1" applyFill="1" applyAlignment="1" applyProtection="1">
      <alignment horizontal="center" vertical="center" wrapText="1"/>
      <protection hidden="1"/>
    </xf>
    <xf numFmtId="0" fontId="107" fillId="81" borderId="0" xfId="0" applyFont="1" applyFill="1" applyAlignment="1">
      <alignment horizontal="center" vertical="center"/>
    </xf>
    <xf numFmtId="0" fontId="107" fillId="81" borderId="7" xfId="0" applyFont="1" applyFill="1" applyBorder="1" applyAlignment="1">
      <alignment horizontal="left" vertical="center" wrapText="1"/>
    </xf>
    <xf numFmtId="0" fontId="107" fillId="53" borderId="46" xfId="0" applyFont="1" applyFill="1" applyBorder="1" applyAlignment="1" applyProtection="1">
      <alignment horizontal="center" vertical="center" wrapText="1"/>
      <protection locked="0"/>
    </xf>
    <xf numFmtId="0" fontId="107" fillId="53" borderId="47" xfId="0" applyFont="1" applyFill="1" applyBorder="1" applyAlignment="1" applyProtection="1">
      <alignment horizontal="center" vertical="center" wrapText="1"/>
      <protection locked="0"/>
    </xf>
    <xf numFmtId="0" fontId="146" fillId="82" borderId="6" xfId="0" applyFont="1" applyFill="1" applyBorder="1" applyAlignment="1">
      <alignment horizontal="center" vertical="center" wrapText="1"/>
    </xf>
    <xf numFmtId="49" fontId="146" fillId="82" borderId="0" xfId="0" applyNumberFormat="1" applyFont="1" applyFill="1" applyAlignment="1">
      <alignment horizontal="center" vertical="center" wrapText="1"/>
    </xf>
    <xf numFmtId="0" fontId="146" fillId="82" borderId="0" xfId="0" applyFont="1" applyFill="1" applyAlignment="1" applyProtection="1">
      <alignment horizontal="center" vertical="center" wrapText="1"/>
      <protection hidden="1"/>
    </xf>
    <xf numFmtId="0" fontId="146" fillId="82" borderId="0" xfId="0" applyFont="1" applyFill="1" applyAlignment="1">
      <alignment horizontal="center" vertical="center"/>
    </xf>
    <xf numFmtId="0" fontId="146" fillId="82" borderId="7" xfId="0" applyFont="1" applyFill="1" applyBorder="1" applyAlignment="1">
      <alignment horizontal="left" vertical="center" wrapText="1"/>
    </xf>
    <xf numFmtId="0" fontId="146" fillId="83" borderId="6" xfId="0" applyFont="1" applyFill="1" applyBorder="1" applyAlignment="1">
      <alignment horizontal="center" vertical="center" wrapText="1"/>
    </xf>
    <xf numFmtId="49" fontId="146" fillId="83" borderId="0" xfId="0" applyNumberFormat="1" applyFont="1" applyFill="1" applyAlignment="1">
      <alignment horizontal="center" vertical="center" wrapText="1"/>
    </xf>
    <xf numFmtId="0" fontId="146" fillId="83" borderId="0" xfId="0" applyFont="1" applyFill="1" applyAlignment="1" applyProtection="1">
      <alignment horizontal="center" vertical="center" wrapText="1"/>
      <protection hidden="1"/>
    </xf>
    <xf numFmtId="0" fontId="146" fillId="83" borderId="0" xfId="0" applyFont="1" applyFill="1" applyAlignment="1">
      <alignment horizontal="center" vertical="center"/>
    </xf>
    <xf numFmtId="0" fontId="146" fillId="83" borderId="7" xfId="0" applyFont="1" applyFill="1" applyBorder="1" applyAlignment="1">
      <alignment horizontal="left" vertical="center" wrapText="1"/>
    </xf>
    <xf numFmtId="0" fontId="107" fillId="0" borderId="7" xfId="0" applyFont="1" applyBorder="1" applyAlignment="1">
      <alignment horizontal="left" vertical="center" wrapText="1"/>
    </xf>
    <xf numFmtId="0" fontId="107" fillId="9" borderId="6" xfId="0" applyFont="1" applyFill="1" applyBorder="1" applyAlignment="1">
      <alignment horizontal="center" vertical="center" wrapText="1"/>
    </xf>
    <xf numFmtId="49" fontId="107" fillId="9" borderId="0" xfId="0" applyNumberFormat="1" applyFont="1" applyFill="1" applyAlignment="1">
      <alignment horizontal="center" vertical="center" wrapText="1"/>
    </xf>
    <xf numFmtId="0" fontId="107" fillId="9" borderId="0" xfId="0" applyFont="1" applyFill="1" applyAlignment="1">
      <alignment horizontal="center" vertical="center" wrapText="1"/>
    </xf>
    <xf numFmtId="0" fontId="107" fillId="9" borderId="0" xfId="0" applyFont="1" applyFill="1" applyAlignment="1">
      <alignment horizontal="center" vertical="center"/>
    </xf>
    <xf numFmtId="0" fontId="107" fillId="9" borderId="7" xfId="0" applyFont="1" applyFill="1" applyBorder="1" applyAlignment="1">
      <alignment horizontal="left" vertical="center" wrapText="1"/>
    </xf>
    <xf numFmtId="49" fontId="19" fillId="0" borderId="0" xfId="0" applyNumberFormat="1" applyFont="1" applyAlignment="1" applyProtection="1">
      <alignment vertical="center" wrapText="1"/>
      <protection hidden="1"/>
    </xf>
    <xf numFmtId="0" fontId="108" fillId="53" borderId="161" xfId="0" applyFont="1" applyFill="1" applyBorder="1" applyAlignment="1">
      <alignment horizontal="left" vertical="center" wrapText="1"/>
    </xf>
    <xf numFmtId="0" fontId="107" fillId="53" borderId="66" xfId="0" applyFont="1" applyFill="1" applyBorder="1" applyAlignment="1" applyProtection="1">
      <alignment vertical="center" wrapText="1"/>
      <protection locked="0"/>
    </xf>
    <xf numFmtId="179" fontId="19" fillId="0" borderId="0" xfId="0" applyNumberFormat="1" applyFont="1" applyProtection="1">
      <alignment vertical="center"/>
      <protection hidden="1"/>
    </xf>
    <xf numFmtId="0" fontId="149" fillId="0" borderId="6" xfId="0" applyFont="1" applyBorder="1" applyAlignment="1">
      <alignment vertical="center" wrapText="1" readingOrder="1"/>
    </xf>
    <xf numFmtId="0" fontId="107" fillId="9" borderId="0" xfId="0" applyFont="1" applyFill="1" applyAlignment="1">
      <alignment horizontal="left" vertical="center" wrapText="1"/>
    </xf>
    <xf numFmtId="0" fontId="32" fillId="52" borderId="6" xfId="0" applyFont="1" applyFill="1" applyBorder="1" applyAlignment="1">
      <alignment horizontal="center" vertical="center" wrapText="1" readingOrder="1"/>
    </xf>
    <xf numFmtId="0" fontId="32" fillId="52" borderId="0" xfId="0" applyFont="1" applyFill="1" applyAlignment="1">
      <alignment horizontal="center" vertical="center"/>
    </xf>
    <xf numFmtId="0" fontId="32" fillId="52" borderId="7" xfId="0" applyFont="1" applyFill="1" applyBorder="1" applyAlignment="1">
      <alignment horizontal="center" vertical="center"/>
    </xf>
    <xf numFmtId="0" fontId="101" fillId="53" borderId="6" xfId="0" applyFont="1" applyFill="1" applyBorder="1" applyAlignment="1">
      <alignment horizontal="center" vertical="center" wrapText="1"/>
    </xf>
    <xf numFmtId="0" fontId="101" fillId="53" borderId="57" xfId="0" applyFont="1" applyFill="1" applyBorder="1" applyAlignment="1" applyProtection="1">
      <alignment horizontal="center" vertical="center" wrapText="1"/>
      <protection locked="0"/>
    </xf>
    <xf numFmtId="0" fontId="101" fillId="53" borderId="30" xfId="0" applyFont="1" applyFill="1" applyBorder="1" applyAlignment="1" applyProtection="1">
      <alignment horizontal="center" vertical="center" wrapText="1"/>
      <protection locked="0"/>
    </xf>
    <xf numFmtId="0" fontId="101" fillId="0" borderId="57" xfId="0" applyFont="1" applyBorder="1" applyAlignment="1" applyProtection="1">
      <alignment horizontal="center" vertical="center" wrapText="1"/>
      <protection locked="0"/>
    </xf>
    <xf numFmtId="0" fontId="101" fillId="0" borderId="30" xfId="0" applyFont="1" applyBorder="1" applyAlignment="1" applyProtection="1">
      <alignment horizontal="center" vertical="center" wrapText="1"/>
      <protection locked="0"/>
    </xf>
    <xf numFmtId="0" fontId="145" fillId="0" borderId="0" xfId="0" applyFont="1" applyAlignment="1">
      <alignment vertical="center" wrapText="1"/>
    </xf>
    <xf numFmtId="0" fontId="107" fillId="0" borderId="0" xfId="0" applyFont="1" applyAlignment="1">
      <alignment vertical="center" wrapText="1"/>
    </xf>
    <xf numFmtId="0" fontId="151" fillId="77" borderId="0" xfId="0" applyFont="1" applyFill="1" applyAlignment="1">
      <alignment horizontal="left" vertical="center" wrapText="1"/>
    </xf>
    <xf numFmtId="49" fontId="107" fillId="9" borderId="9" xfId="0" applyNumberFormat="1" applyFont="1" applyFill="1" applyBorder="1" applyAlignment="1">
      <alignment horizontal="center" vertical="center" wrapText="1"/>
    </xf>
    <xf numFmtId="0" fontId="107" fillId="9" borderId="9" xfId="0" applyFont="1" applyFill="1" applyBorder="1" applyAlignment="1">
      <alignment horizontal="center" vertical="center" wrapText="1"/>
    </xf>
    <xf numFmtId="0" fontId="107" fillId="9" borderId="9" xfId="0" applyFont="1" applyFill="1" applyBorder="1" applyAlignment="1">
      <alignment horizontal="center" vertical="center"/>
    </xf>
    <xf numFmtId="0" fontId="107" fillId="9" borderId="10" xfId="0" applyFont="1" applyFill="1" applyBorder="1" applyAlignment="1">
      <alignment horizontal="left" vertical="center" wrapText="1"/>
    </xf>
    <xf numFmtId="0" fontId="107" fillId="0" borderId="2" xfId="0" applyFont="1" applyBorder="1" applyAlignment="1">
      <alignment horizontal="left" vertical="center"/>
    </xf>
    <xf numFmtId="0" fontId="107" fillId="0" borderId="2" xfId="0" applyFont="1" applyBorder="1" applyAlignment="1">
      <alignment horizontal="center" vertical="center"/>
    </xf>
    <xf numFmtId="0" fontId="107" fillId="0" borderId="2" xfId="0" applyFont="1" applyBorder="1" applyAlignment="1">
      <alignment horizontal="center" vertical="center" wrapText="1"/>
    </xf>
    <xf numFmtId="0" fontId="107" fillId="0" borderId="4" xfId="0" applyFont="1" applyBorder="1" applyAlignment="1">
      <alignment horizontal="left" vertical="center"/>
    </xf>
    <xf numFmtId="0" fontId="145" fillId="0" borderId="0" xfId="0" applyFont="1">
      <alignment vertical="center"/>
    </xf>
    <xf numFmtId="0" fontId="151" fillId="0" borderId="0" xfId="0" applyFont="1" applyAlignment="1">
      <alignment horizontal="center" vertical="center"/>
    </xf>
    <xf numFmtId="49" fontId="107" fillId="84" borderId="0" xfId="0" applyNumberFormat="1" applyFont="1" applyFill="1" applyAlignment="1">
      <alignment horizontal="center" vertical="center"/>
    </xf>
    <xf numFmtId="0" fontId="107" fillId="84" borderId="0" xfId="0" applyFont="1" applyFill="1" applyAlignment="1">
      <alignment horizontal="center" vertical="center" wrapText="1"/>
    </xf>
    <xf numFmtId="0" fontId="107" fillId="84" borderId="0" xfId="0" applyFont="1" applyFill="1" applyAlignment="1">
      <alignment horizontal="center" vertical="center"/>
    </xf>
    <xf numFmtId="0" fontId="107" fillId="84" borderId="7" xfId="0" applyFont="1" applyFill="1" applyBorder="1" applyAlignment="1">
      <alignment horizontal="left" vertical="center" wrapText="1"/>
    </xf>
    <xf numFmtId="0" fontId="107" fillId="0" borderId="0" xfId="0" applyFont="1" applyAlignment="1">
      <alignment horizontal="left" vertical="center"/>
    </xf>
    <xf numFmtId="0" fontId="107" fillId="0" borderId="7" xfId="0" applyFont="1" applyBorder="1" applyAlignment="1">
      <alignment horizontal="left" vertical="center"/>
    </xf>
    <xf numFmtId="0" fontId="77" fillId="8" borderId="147" xfId="0" applyFont="1" applyFill="1" applyBorder="1">
      <alignment vertical="center"/>
    </xf>
    <xf numFmtId="0" fontId="107" fillId="0" borderId="9" xfId="0" applyFont="1" applyBorder="1" applyAlignment="1">
      <alignment horizontal="left" vertical="center"/>
    </xf>
    <xf numFmtId="0" fontId="107" fillId="0" borderId="9" xfId="0" applyFont="1" applyBorder="1" applyAlignment="1">
      <alignment horizontal="center" vertical="center"/>
    </xf>
    <xf numFmtId="0" fontId="107" fillId="0" borderId="9" xfId="0" applyFont="1" applyBorder="1" applyAlignment="1">
      <alignment horizontal="center" vertical="center" wrapText="1"/>
    </xf>
    <xf numFmtId="0" fontId="107" fillId="0" borderId="10" xfId="0" applyFont="1" applyBorder="1" applyAlignment="1">
      <alignment horizontal="left" vertical="center"/>
    </xf>
    <xf numFmtId="0" fontId="77" fillId="0" borderId="37" xfId="0" applyFont="1" applyBorder="1">
      <alignment vertical="center"/>
    </xf>
    <xf numFmtId="49" fontId="107" fillId="84" borderId="2" xfId="0" applyNumberFormat="1" applyFont="1" applyFill="1" applyBorder="1" applyAlignment="1">
      <alignment horizontal="center" vertical="center"/>
    </xf>
    <xf numFmtId="0" fontId="107" fillId="84" borderId="2" xfId="0" applyFont="1" applyFill="1" applyBorder="1" applyAlignment="1">
      <alignment horizontal="center" vertical="center" wrapText="1"/>
    </xf>
    <xf numFmtId="0" fontId="107" fillId="84" borderId="2" xfId="0" applyFont="1" applyFill="1" applyBorder="1" applyAlignment="1">
      <alignment horizontal="center" vertical="center"/>
    </xf>
    <xf numFmtId="0" fontId="107" fillId="84" borderId="4" xfId="0" applyFont="1" applyFill="1" applyBorder="1" applyAlignment="1">
      <alignment horizontal="left" vertical="center" wrapText="1"/>
    </xf>
    <xf numFmtId="0" fontId="145" fillId="0" borderId="3" xfId="0" applyFont="1" applyBorder="1">
      <alignment vertical="center"/>
    </xf>
    <xf numFmtId="0" fontId="151" fillId="0" borderId="3" xfId="0" applyFont="1" applyBorder="1" applyAlignment="1">
      <alignment horizontal="center" vertical="center"/>
    </xf>
    <xf numFmtId="0" fontId="151" fillId="0" borderId="14" xfId="0" applyFont="1" applyBorder="1" applyAlignment="1">
      <alignment horizontal="center" vertical="center"/>
    </xf>
    <xf numFmtId="0" fontId="77" fillId="10" borderId="37" xfId="0" applyFont="1" applyFill="1" applyBorder="1">
      <alignment vertical="center"/>
    </xf>
    <xf numFmtId="0" fontId="77" fillId="10" borderId="164" xfId="0" applyFont="1" applyFill="1" applyBorder="1">
      <alignment vertical="center"/>
    </xf>
    <xf numFmtId="0" fontId="145" fillId="0" borderId="11" xfId="0" applyFont="1" applyBorder="1">
      <alignment vertical="center"/>
    </xf>
    <xf numFmtId="0" fontId="151" fillId="0" borderId="11" xfId="0" applyFont="1" applyBorder="1" applyAlignment="1">
      <alignment horizontal="center" vertical="center"/>
    </xf>
    <xf numFmtId="49" fontId="107" fillId="84" borderId="9" xfId="0" applyNumberFormat="1" applyFont="1" applyFill="1" applyBorder="1" applyAlignment="1">
      <alignment horizontal="center" vertical="center"/>
    </xf>
    <xf numFmtId="0" fontId="107" fillId="84" borderId="9" xfId="0" applyFont="1" applyFill="1" applyBorder="1" applyAlignment="1">
      <alignment horizontal="center" vertical="center" wrapText="1"/>
    </xf>
    <xf numFmtId="0" fontId="107" fillId="84" borderId="9" xfId="0" applyFont="1" applyFill="1" applyBorder="1" applyAlignment="1">
      <alignment horizontal="center" vertical="center"/>
    </xf>
    <xf numFmtId="0" fontId="107" fillId="84" borderId="10" xfId="0" applyFont="1" applyFill="1" applyBorder="1" applyAlignment="1">
      <alignment horizontal="left" vertical="center" wrapText="1"/>
    </xf>
    <xf numFmtId="49" fontId="107" fillId="9" borderId="2" xfId="0" applyNumberFormat="1" applyFont="1" applyFill="1" applyBorder="1" applyAlignment="1">
      <alignment horizontal="center" vertical="center"/>
    </xf>
    <xf numFmtId="49" fontId="107" fillId="9" borderId="2" xfId="0" applyNumberFormat="1" applyFont="1" applyFill="1" applyBorder="1" applyAlignment="1">
      <alignment horizontal="center" vertical="center" wrapText="1"/>
    </xf>
    <xf numFmtId="0" fontId="107" fillId="9" borderId="2" xfId="0" applyFont="1" applyFill="1" applyBorder="1" applyAlignment="1">
      <alignment horizontal="center" vertical="center"/>
    </xf>
    <xf numFmtId="49" fontId="107" fillId="9" borderId="4" xfId="0" applyNumberFormat="1" applyFont="1" applyFill="1" applyBorder="1" applyAlignment="1">
      <alignment horizontal="left" vertical="center" wrapText="1"/>
    </xf>
    <xf numFmtId="49" fontId="107" fillId="85" borderId="0" xfId="0" applyNumberFormat="1" applyFont="1" applyFill="1" applyAlignment="1">
      <alignment horizontal="center" vertical="center"/>
    </xf>
    <xf numFmtId="49" fontId="107" fillId="85" borderId="0" xfId="0" applyNumberFormat="1" applyFont="1" applyFill="1" applyAlignment="1">
      <alignment horizontal="center" vertical="center" wrapText="1"/>
    </xf>
    <xf numFmtId="0" fontId="107" fillId="85" borderId="0" xfId="0" applyFont="1" applyFill="1" applyAlignment="1">
      <alignment horizontal="center" vertical="center"/>
    </xf>
    <xf numFmtId="49" fontId="107" fillId="85" borderId="7" xfId="0" applyNumberFormat="1" applyFont="1" applyFill="1" applyBorder="1" applyAlignment="1">
      <alignment horizontal="left" vertical="center" wrapText="1"/>
    </xf>
    <xf numFmtId="49" fontId="107" fillId="9" borderId="0" xfId="0" applyNumberFormat="1" applyFont="1" applyFill="1" applyAlignment="1">
      <alignment horizontal="center" vertical="center"/>
    </xf>
    <xf numFmtId="49" fontId="107" fillId="9" borderId="7" xfId="0" applyNumberFormat="1" applyFont="1" applyFill="1" applyBorder="1" applyAlignment="1">
      <alignment horizontal="left" vertical="center"/>
    </xf>
    <xf numFmtId="49" fontId="107" fillId="85" borderId="9" xfId="0" applyNumberFormat="1" applyFont="1" applyFill="1" applyBorder="1" applyAlignment="1">
      <alignment horizontal="center" vertical="center"/>
    </xf>
    <xf numFmtId="49" fontId="107" fillId="85" borderId="9" xfId="0" applyNumberFormat="1" applyFont="1" applyFill="1" applyBorder="1" applyAlignment="1">
      <alignment horizontal="center" vertical="center" wrapText="1"/>
    </xf>
    <xf numFmtId="0" fontId="107" fillId="85" borderId="9" xfId="0" applyFont="1" applyFill="1" applyBorder="1" applyAlignment="1">
      <alignment horizontal="center" vertical="center"/>
    </xf>
    <xf numFmtId="49" fontId="107" fillId="85" borderId="10" xfId="0" applyNumberFormat="1" applyFont="1" applyFill="1" applyBorder="1" applyAlignment="1">
      <alignment horizontal="left" vertical="center" wrapText="1"/>
    </xf>
    <xf numFmtId="49" fontId="146" fillId="0" borderId="0" xfId="0" applyNumberFormat="1" applyFont="1" applyAlignment="1">
      <alignment horizontal="center" vertical="center"/>
    </xf>
    <xf numFmtId="49" fontId="146" fillId="0" borderId="0" xfId="0" applyNumberFormat="1" applyFont="1" applyAlignment="1">
      <alignment horizontal="left" vertical="center"/>
    </xf>
    <xf numFmtId="49" fontId="146" fillId="0" borderId="0" xfId="0" applyNumberFormat="1" applyFont="1" applyAlignment="1">
      <alignment horizontal="center" vertical="center" wrapText="1"/>
    </xf>
    <xf numFmtId="0" fontId="146" fillId="0" borderId="0" xfId="0" applyFont="1" applyAlignment="1">
      <alignment horizontal="left" vertical="center" wrapText="1"/>
    </xf>
    <xf numFmtId="0" fontId="146" fillId="0" borderId="0" xfId="0" applyFont="1" applyAlignment="1">
      <alignment horizontal="center" vertical="center" wrapText="1"/>
    </xf>
    <xf numFmtId="0" fontId="151" fillId="0" borderId="0" xfId="0" applyFont="1">
      <alignment vertical="center"/>
    </xf>
    <xf numFmtId="0" fontId="146" fillId="0" borderId="0" xfId="0" applyFont="1" applyAlignment="1">
      <alignment horizontal="left" vertical="center"/>
    </xf>
    <xf numFmtId="0" fontId="151" fillId="0" borderId="0" xfId="0" applyFont="1" applyAlignment="1">
      <alignment horizontal="center" vertical="center" wrapText="1"/>
    </xf>
    <xf numFmtId="0" fontId="19" fillId="0" borderId="0" xfId="0" applyFont="1">
      <alignment vertical="center"/>
    </xf>
    <xf numFmtId="178" fontId="29" fillId="10" borderId="0" xfId="0" applyNumberFormat="1" applyFont="1" applyFill="1" applyAlignment="1">
      <alignment horizontal="center" vertical="center"/>
    </xf>
    <xf numFmtId="178" fontId="29" fillId="4" borderId="0" xfId="0" applyNumberFormat="1" applyFont="1" applyFill="1" applyAlignment="1">
      <alignment horizontal="center" vertical="center"/>
    </xf>
    <xf numFmtId="178" fontId="5" fillId="10" borderId="2" xfId="0" applyNumberFormat="1" applyFont="1" applyFill="1" applyBorder="1" applyAlignment="1">
      <alignment horizontal="center" vertical="center"/>
    </xf>
    <xf numFmtId="178" fontId="5" fillId="10" borderId="2" xfId="0" applyNumberFormat="1" applyFont="1" applyFill="1" applyBorder="1" applyAlignment="1">
      <alignment horizontal="right" vertical="center"/>
    </xf>
    <xf numFmtId="180" fontId="5" fillId="10" borderId="2" xfId="0" applyNumberFormat="1" applyFont="1" applyFill="1" applyBorder="1" applyAlignment="1">
      <alignment horizontal="left" vertical="center"/>
    </xf>
    <xf numFmtId="178" fontId="5" fillId="4" borderId="2" xfId="0" applyNumberFormat="1" applyFont="1" applyFill="1" applyBorder="1" applyAlignment="1">
      <alignment horizontal="center" vertical="center"/>
    </xf>
    <xf numFmtId="178" fontId="5" fillId="4" borderId="2" xfId="0" applyNumberFormat="1" applyFont="1" applyFill="1" applyBorder="1" applyAlignment="1">
      <alignment horizontal="right" vertical="center"/>
    </xf>
    <xf numFmtId="180" fontId="5" fillId="4" borderId="4" xfId="0" applyNumberFormat="1" applyFont="1" applyFill="1" applyBorder="1" applyAlignment="1">
      <alignment horizontal="left" vertical="center"/>
    </xf>
    <xf numFmtId="0" fontId="19" fillId="0" borderId="88" xfId="0" applyFont="1" applyBorder="1" applyAlignment="1">
      <alignment horizontal="center" vertical="center"/>
    </xf>
    <xf numFmtId="178" fontId="17" fillId="0" borderId="0" xfId="0" applyNumberFormat="1" applyFont="1" applyAlignment="1">
      <alignment horizontal="center" vertical="center"/>
    </xf>
    <xf numFmtId="178" fontId="5" fillId="10" borderId="0" xfId="0" applyNumberFormat="1" applyFont="1" applyFill="1" applyAlignment="1">
      <alignment horizontal="center" vertical="center"/>
    </xf>
    <xf numFmtId="178" fontId="5" fillId="10" borderId="0" xfId="0" applyNumberFormat="1" applyFont="1" applyFill="1" applyAlignment="1">
      <alignment horizontal="right" vertical="center"/>
    </xf>
    <xf numFmtId="180" fontId="5" fillId="10" borderId="0" xfId="0" applyNumberFormat="1" applyFont="1" applyFill="1" applyAlignment="1">
      <alignment horizontal="left" vertical="center"/>
    </xf>
    <xf numFmtId="178" fontId="5" fillId="4" borderId="0" xfId="0" applyNumberFormat="1" applyFont="1" applyFill="1" applyAlignment="1">
      <alignment horizontal="center" vertical="center"/>
    </xf>
    <xf numFmtId="178" fontId="5" fillId="4" borderId="0" xfId="0" applyNumberFormat="1" applyFont="1" applyFill="1" applyAlignment="1">
      <alignment horizontal="right" vertical="center"/>
    </xf>
    <xf numFmtId="180" fontId="5" fillId="4" borderId="7" xfId="0" applyNumberFormat="1" applyFont="1" applyFill="1" applyBorder="1" applyAlignment="1">
      <alignment horizontal="left" vertical="center"/>
    </xf>
    <xf numFmtId="0" fontId="19" fillId="0" borderId="99" xfId="0" applyFont="1" applyBorder="1" applyAlignment="1">
      <alignment horizontal="center" vertical="center"/>
    </xf>
    <xf numFmtId="178" fontId="17" fillId="0" borderId="9" xfId="0" applyNumberFormat="1" applyFont="1" applyBorder="1" applyAlignment="1">
      <alignment horizontal="center" vertical="center"/>
    </xf>
    <xf numFmtId="0" fontId="19" fillId="10" borderId="0" xfId="0" applyFont="1" applyFill="1" applyAlignment="1">
      <alignment horizontal="center" vertical="center"/>
    </xf>
    <xf numFmtId="178" fontId="98" fillId="0" borderId="6" xfId="0" applyNumberFormat="1" applyFont="1" applyBorder="1" applyAlignment="1">
      <alignment horizontal="center" vertical="center"/>
    </xf>
    <xf numFmtId="178" fontId="98" fillId="0" borderId="0" xfId="0" applyNumberFormat="1" applyFont="1" applyAlignment="1">
      <alignment horizontal="center" vertical="center"/>
    </xf>
    <xf numFmtId="178" fontId="22" fillId="10" borderId="6" xfId="0" applyNumberFormat="1" applyFont="1" applyFill="1" applyBorder="1" applyAlignment="1">
      <alignment horizontal="center" vertical="center"/>
    </xf>
    <xf numFmtId="178" fontId="22" fillId="10" borderId="0" xfId="0" applyNumberFormat="1" applyFont="1" applyFill="1" applyAlignment="1">
      <alignment horizontal="center" vertical="center"/>
    </xf>
    <xf numFmtId="178" fontId="22" fillId="0" borderId="6" xfId="0" applyNumberFormat="1" applyFont="1" applyBorder="1" applyAlignment="1">
      <alignment horizontal="center" vertical="center"/>
    </xf>
    <xf numFmtId="178" fontId="22" fillId="0" borderId="0" xfId="0" applyNumberFormat="1" applyFont="1" applyAlignment="1">
      <alignment horizontal="center" vertical="center"/>
    </xf>
    <xf numFmtId="0" fontId="98" fillId="4" borderId="0" xfId="0" applyFont="1" applyFill="1" applyAlignment="1">
      <alignment horizontal="center" vertical="center"/>
    </xf>
    <xf numFmtId="0" fontId="19" fillId="10" borderId="6" xfId="0" applyFont="1" applyFill="1" applyBorder="1" applyAlignment="1">
      <alignment horizontal="center" vertical="center"/>
    </xf>
    <xf numFmtId="178" fontId="29" fillId="10" borderId="6" xfId="0" applyNumberFormat="1" applyFont="1" applyFill="1" applyBorder="1">
      <alignment vertical="center"/>
    </xf>
    <xf numFmtId="178" fontId="29" fillId="4" borderId="0" xfId="0" applyNumberFormat="1" applyFont="1" applyFill="1">
      <alignment vertical="center"/>
    </xf>
    <xf numFmtId="0" fontId="19" fillId="10" borderId="93" xfId="0" applyFont="1" applyFill="1" applyBorder="1" applyAlignment="1">
      <alignment horizontal="center" vertical="center"/>
    </xf>
    <xf numFmtId="0" fontId="19" fillId="0" borderId="93" xfId="0" applyFont="1" applyBorder="1" applyAlignment="1">
      <alignment horizontal="center" vertical="center"/>
    </xf>
    <xf numFmtId="0" fontId="19" fillId="10" borderId="8" xfId="0" applyFont="1" applyFill="1" applyBorder="1" applyAlignment="1">
      <alignment horizontal="center" vertical="center" wrapText="1"/>
    </xf>
    <xf numFmtId="0" fontId="155" fillId="0" borderId="0" xfId="0" applyFont="1">
      <alignment vertical="center"/>
    </xf>
    <xf numFmtId="0" fontId="156" fillId="0" borderId="0" xfId="0" applyFont="1">
      <alignment vertical="center"/>
    </xf>
    <xf numFmtId="0" fontId="17" fillId="0" borderId="0" xfId="0" applyFont="1" applyAlignment="1" applyProtection="1">
      <alignment horizontal="left" vertical="center" wrapText="1"/>
      <protection locked="0"/>
    </xf>
    <xf numFmtId="0" fontId="19" fillId="0" borderId="160" xfId="0" applyFont="1" applyBorder="1" applyAlignment="1">
      <alignment horizontal="center" vertical="center"/>
    </xf>
    <xf numFmtId="0" fontId="19" fillId="0" borderId="5" xfId="0" applyFont="1" applyBorder="1" applyAlignment="1">
      <alignment horizontal="center" vertical="center"/>
    </xf>
    <xf numFmtId="0" fontId="19" fillId="0" borderId="154" xfId="0" applyFont="1" applyBorder="1" applyAlignment="1">
      <alignment horizontal="center" vertical="center"/>
    </xf>
    <xf numFmtId="0" fontId="19" fillId="0" borderId="161" xfId="0" applyFont="1" applyBorder="1" applyAlignment="1">
      <alignment horizontal="center" vertical="center"/>
    </xf>
    <xf numFmtId="0" fontId="19" fillId="0" borderId="65" xfId="0" applyFont="1" applyBorder="1" applyAlignment="1">
      <alignment horizontal="center" vertical="center"/>
    </xf>
    <xf numFmtId="0" fontId="19" fillId="0" borderId="66" xfId="0" applyFont="1" applyBorder="1" applyAlignment="1">
      <alignment horizontal="center" vertical="center"/>
    </xf>
    <xf numFmtId="0" fontId="108" fillId="0" borderId="0" xfId="0" applyFont="1" applyAlignment="1">
      <alignment vertical="center" wrapText="1"/>
    </xf>
    <xf numFmtId="0" fontId="19" fillId="0" borderId="21" xfId="0" applyFont="1" applyBorder="1">
      <alignment vertical="center"/>
    </xf>
    <xf numFmtId="0" fontId="19" fillId="0" borderId="0" xfId="0" applyFont="1" applyAlignment="1">
      <alignment horizontal="left" vertical="center"/>
    </xf>
    <xf numFmtId="0" fontId="19" fillId="0" borderId="21" xfId="0" applyFont="1" applyBorder="1" applyAlignment="1">
      <alignment horizontal="left" vertical="center"/>
    </xf>
    <xf numFmtId="0" fontId="17" fillId="0" borderId="0" xfId="0" applyFont="1" applyAlignment="1">
      <alignment horizontal="left" vertical="center"/>
    </xf>
    <xf numFmtId="0" fontId="19" fillId="10" borderId="0" xfId="0" applyFont="1" applyFill="1">
      <alignment vertical="center"/>
    </xf>
    <xf numFmtId="0" fontId="19" fillId="10" borderId="21" xfId="0" applyFont="1" applyFill="1" applyBorder="1">
      <alignment vertical="center"/>
    </xf>
    <xf numFmtId="0" fontId="19" fillId="10" borderId="0" xfId="0" applyFont="1" applyFill="1" applyAlignment="1">
      <alignment horizontal="left" vertical="center"/>
    </xf>
    <xf numFmtId="0" fontId="0" fillId="0" borderId="0" xfId="0" applyAlignment="1">
      <alignment vertical="center" wrapText="1"/>
    </xf>
    <xf numFmtId="0" fontId="169" fillId="0" borderId="0" xfId="0" applyFont="1" applyAlignment="1">
      <alignment horizontal="left" vertical="center"/>
    </xf>
    <xf numFmtId="0" fontId="29" fillId="0" borderId="0" xfId="0" applyFont="1" applyAlignment="1">
      <alignment horizontal="left" vertical="center"/>
    </xf>
    <xf numFmtId="0" fontId="19" fillId="8" borderId="1" xfId="0" applyFont="1" applyFill="1" applyBorder="1" applyAlignment="1">
      <alignment horizontal="left" vertical="center"/>
    </xf>
    <xf numFmtId="0" fontId="19" fillId="8" borderId="2" xfId="0" applyFont="1" applyFill="1" applyBorder="1" applyAlignment="1">
      <alignment horizontal="left" vertical="center"/>
    </xf>
    <xf numFmtId="0" fontId="19" fillId="8" borderId="4" xfId="0" applyFont="1" applyFill="1" applyBorder="1" applyAlignment="1">
      <alignment horizontal="left" vertical="center"/>
    </xf>
    <xf numFmtId="0" fontId="19" fillId="0" borderId="151" xfId="0" applyFont="1" applyBorder="1" applyAlignment="1">
      <alignment horizontal="left" vertical="center"/>
    </xf>
    <xf numFmtId="0" fontId="19" fillId="0" borderId="4" xfId="0" applyFont="1" applyBorder="1" applyAlignment="1">
      <alignment horizontal="left" vertical="center"/>
    </xf>
    <xf numFmtId="0" fontId="19" fillId="0" borderId="2" xfId="0" applyFont="1" applyBorder="1" applyAlignment="1">
      <alignment horizontal="left" vertical="center"/>
    </xf>
    <xf numFmtId="0" fontId="146" fillId="52" borderId="160" xfId="0" applyFont="1" applyFill="1" applyBorder="1" applyAlignment="1">
      <alignment horizontal="left" vertical="center" wrapText="1" readingOrder="1"/>
    </xf>
    <xf numFmtId="0" fontId="19" fillId="52" borderId="5" xfId="0" applyFont="1" applyFill="1" applyBorder="1" applyAlignment="1">
      <alignment horizontal="left" vertical="center"/>
    </xf>
    <xf numFmtId="0" fontId="146" fillId="52" borderId="154" xfId="0" applyFont="1" applyFill="1" applyBorder="1" applyAlignment="1">
      <alignment horizontal="left" vertical="center"/>
    </xf>
    <xf numFmtId="0" fontId="19" fillId="0" borderId="7" xfId="0" applyFont="1" applyBorder="1" applyAlignment="1">
      <alignment horizontal="left" vertical="center"/>
    </xf>
    <xf numFmtId="0" fontId="19" fillId="0" borderId="20" xfId="0" applyFont="1" applyBorder="1" applyAlignment="1">
      <alignment horizontal="left" vertical="center"/>
    </xf>
    <xf numFmtId="0" fontId="19" fillId="0" borderId="6" xfId="0" applyFont="1" applyBorder="1" applyAlignment="1">
      <alignment horizontal="left" vertical="center"/>
    </xf>
    <xf numFmtId="0" fontId="107" fillId="53" borderId="149" xfId="0" applyFont="1" applyFill="1" applyBorder="1" applyAlignment="1">
      <alignment horizontal="left" vertical="center" wrapText="1"/>
    </xf>
    <xf numFmtId="0" fontId="107" fillId="0" borderId="3" xfId="0" applyFont="1" applyBorder="1" applyAlignment="1">
      <alignment horizontal="left" vertical="center"/>
    </xf>
    <xf numFmtId="0" fontId="107" fillId="0" borderId="63" xfId="0" applyFont="1" applyBorder="1" applyAlignment="1">
      <alignment horizontal="left" vertical="center"/>
    </xf>
    <xf numFmtId="0" fontId="107" fillId="0" borderId="1" xfId="0" applyFont="1" applyBorder="1" applyAlignment="1">
      <alignment horizontal="left" vertical="center"/>
    </xf>
    <xf numFmtId="0" fontId="19" fillId="0" borderId="1" xfId="0" applyFont="1" applyBorder="1" applyAlignment="1" applyProtection="1">
      <alignment horizontal="left" vertical="center"/>
      <protection locked="0"/>
    </xf>
    <xf numFmtId="0" fontId="19" fillId="0" borderId="76" xfId="0" applyFont="1" applyBorder="1" applyAlignment="1" applyProtection="1">
      <alignment horizontal="left" vertical="center"/>
      <protection locked="0"/>
    </xf>
    <xf numFmtId="0" fontId="19" fillId="0" borderId="76" xfId="0" applyFont="1" applyBorder="1" applyAlignment="1">
      <alignment horizontal="left" vertical="center"/>
    </xf>
    <xf numFmtId="0" fontId="169" fillId="10" borderId="76" xfId="0" applyFont="1" applyFill="1" applyBorder="1" applyAlignment="1" applyProtection="1">
      <alignment horizontal="left" vertical="center"/>
      <protection locked="0"/>
    </xf>
    <xf numFmtId="0" fontId="106" fillId="0" borderId="0" xfId="0" applyFont="1" applyAlignment="1" applyProtection="1">
      <alignment horizontal="left" vertical="center" wrapText="1"/>
      <protection locked="0"/>
    </xf>
    <xf numFmtId="0" fontId="19" fillId="0" borderId="78" xfId="0" applyFont="1" applyBorder="1" applyAlignment="1">
      <alignment horizontal="left" vertical="center"/>
    </xf>
    <xf numFmtId="49" fontId="19" fillId="0" borderId="0" xfId="0" applyNumberFormat="1" applyFont="1" applyAlignment="1">
      <alignment horizontal="left" vertical="center"/>
    </xf>
    <xf numFmtId="0" fontId="19" fillId="0" borderId="8" xfId="0" applyFont="1" applyBorder="1" applyAlignment="1" applyProtection="1">
      <alignment horizontal="left" vertical="center"/>
      <protection locked="0"/>
    </xf>
    <xf numFmtId="0" fontId="19" fillId="0" borderId="78" xfId="0" applyFont="1" applyBorder="1" applyAlignment="1" applyProtection="1">
      <alignment horizontal="left" vertical="center"/>
      <protection locked="0"/>
    </xf>
    <xf numFmtId="0" fontId="19" fillId="0" borderId="77" xfId="0" applyFont="1" applyBorder="1" applyAlignment="1" applyProtection="1">
      <alignment horizontal="left" vertical="center"/>
      <protection locked="0"/>
    </xf>
    <xf numFmtId="0" fontId="169" fillId="10" borderId="77" xfId="0" applyFont="1" applyFill="1" applyBorder="1" applyAlignment="1" applyProtection="1">
      <alignment horizontal="left" vertical="center"/>
      <protection locked="0"/>
    </xf>
    <xf numFmtId="0" fontId="19" fillId="0" borderId="77" xfId="0" applyFont="1" applyBorder="1" applyAlignment="1">
      <alignment horizontal="left" vertical="center"/>
    </xf>
    <xf numFmtId="0" fontId="19" fillId="10" borderId="20" xfId="0" applyFont="1" applyFill="1" applyBorder="1" applyAlignment="1">
      <alignment horizontal="left" vertical="center" wrapText="1"/>
    </xf>
    <xf numFmtId="0" fontId="19" fillId="10" borderId="7" xfId="0" applyFont="1" applyFill="1" applyBorder="1" applyAlignment="1">
      <alignment horizontal="left" vertical="center" wrapText="1"/>
    </xf>
    <xf numFmtId="0" fontId="107" fillId="0" borderId="6" xfId="0" applyFont="1" applyBorder="1" applyAlignment="1">
      <alignment horizontal="left" vertical="center"/>
    </xf>
    <xf numFmtId="0" fontId="19" fillId="0" borderId="45" xfId="0" applyFont="1" applyBorder="1" applyAlignment="1" applyProtection="1">
      <alignment horizontal="left" vertical="center"/>
      <protection locked="0"/>
    </xf>
    <xf numFmtId="0" fontId="169" fillId="10" borderId="45" xfId="0" applyFont="1" applyFill="1" applyBorder="1" applyAlignment="1" applyProtection="1">
      <alignment horizontal="left" vertical="center"/>
      <protection locked="0"/>
    </xf>
    <xf numFmtId="0" fontId="19" fillId="10" borderId="22" xfId="0" applyFont="1" applyFill="1" applyBorder="1" applyAlignment="1">
      <alignment horizontal="left" vertical="center"/>
    </xf>
    <xf numFmtId="0" fontId="107" fillId="0" borderId="0" xfId="0" applyFont="1" applyAlignment="1" applyProtection="1">
      <alignment horizontal="left" vertical="center" wrapText="1"/>
      <protection locked="0"/>
    </xf>
    <xf numFmtId="0" fontId="19" fillId="10" borderId="6" xfId="0" applyFont="1" applyFill="1" applyBorder="1" applyAlignment="1">
      <alignment horizontal="left" vertical="center" wrapText="1"/>
    </xf>
    <xf numFmtId="0" fontId="19" fillId="10" borderId="20" xfId="0" applyFont="1" applyFill="1" applyBorder="1" applyAlignment="1">
      <alignment horizontal="left" vertical="center"/>
    </xf>
    <xf numFmtId="0" fontId="19" fillId="10" borderId="7" xfId="0" applyFont="1" applyFill="1" applyBorder="1" applyAlignment="1">
      <alignment horizontal="left" vertical="center"/>
    </xf>
    <xf numFmtId="0" fontId="19" fillId="0" borderId="8" xfId="0" applyFont="1" applyBorder="1" applyAlignment="1">
      <alignment horizontal="left"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19" fillId="0" borderId="248" xfId="0" applyFont="1" applyBorder="1" applyAlignment="1">
      <alignment horizontal="left" vertical="center"/>
    </xf>
    <xf numFmtId="0" fontId="19" fillId="0" borderId="249" xfId="0" applyFont="1" applyBorder="1" applyAlignment="1">
      <alignment horizontal="left" vertical="center"/>
    </xf>
    <xf numFmtId="0" fontId="19" fillId="0" borderId="250" xfId="0" applyFont="1" applyBorder="1" applyAlignment="1">
      <alignment horizontal="left" vertical="center"/>
    </xf>
    <xf numFmtId="0" fontId="107" fillId="0" borderId="248" xfId="0" applyFont="1" applyBorder="1" applyAlignment="1">
      <alignment horizontal="left" vertical="center"/>
    </xf>
    <xf numFmtId="0" fontId="107" fillId="0" borderId="249" xfId="0" applyFont="1" applyBorder="1" applyAlignment="1">
      <alignment horizontal="left" vertical="center"/>
    </xf>
    <xf numFmtId="0" fontId="107" fillId="0" borderId="250" xfId="0" applyFont="1" applyBorder="1" applyAlignment="1">
      <alignment horizontal="left" vertical="center"/>
    </xf>
    <xf numFmtId="0" fontId="19" fillId="0" borderId="45" xfId="0" applyFont="1" applyBorder="1" applyAlignment="1">
      <alignment horizontal="left" vertical="center"/>
    </xf>
    <xf numFmtId="0" fontId="19" fillId="0" borderId="250" xfId="0" applyFont="1" applyBorder="1" applyAlignment="1" applyProtection="1">
      <alignment horizontal="left" vertical="center"/>
      <protection locked="0"/>
    </xf>
    <xf numFmtId="0" fontId="170" fillId="0" borderId="1" xfId="0" applyFont="1" applyBorder="1" applyAlignment="1">
      <alignment horizontal="left" vertical="center"/>
    </xf>
    <xf numFmtId="0" fontId="107" fillId="0" borderId="7" xfId="0" applyFont="1" applyBorder="1" applyAlignment="1" applyProtection="1">
      <alignment horizontal="left" vertical="center" wrapText="1"/>
      <protection locked="0"/>
    </xf>
    <xf numFmtId="0" fontId="107" fillId="53" borderId="161" xfId="0" applyFont="1" applyFill="1" applyBorder="1" applyAlignment="1">
      <alignment horizontal="left" vertical="center" wrapText="1"/>
    </xf>
    <xf numFmtId="0" fontId="107" fillId="0" borderId="65" xfId="0" applyFont="1" applyBorder="1" applyAlignment="1">
      <alignment horizontal="left" vertical="center"/>
    </xf>
    <xf numFmtId="0" fontId="107" fillId="0" borderId="66" xfId="0" applyFont="1" applyBorder="1" applyAlignment="1">
      <alignment horizontal="left" vertical="center"/>
    </xf>
    <xf numFmtId="0" fontId="107" fillId="0" borderId="8" xfId="0" applyFont="1" applyBorder="1" applyAlignment="1">
      <alignment horizontal="left" vertical="center"/>
    </xf>
    <xf numFmtId="0" fontId="107" fillId="0" borderId="10" xfId="0" applyFont="1" applyBorder="1" applyAlignment="1" applyProtection="1">
      <alignment horizontal="left" vertical="center" wrapText="1"/>
      <protection locked="0"/>
    </xf>
    <xf numFmtId="0" fontId="19" fillId="9" borderId="160" xfId="0" applyFont="1" applyFill="1" applyBorder="1" applyAlignment="1">
      <alignment horizontal="left" vertical="center" wrapText="1"/>
    </xf>
    <xf numFmtId="0" fontId="19" fillId="0" borderId="5" xfId="0" applyFont="1" applyBorder="1" applyAlignment="1">
      <alignment horizontal="left" vertical="center" wrapText="1"/>
    </xf>
    <xf numFmtId="0" fontId="19" fillId="9" borderId="5" xfId="0" applyFont="1" applyFill="1" applyBorder="1" applyAlignment="1">
      <alignment horizontal="left" vertical="center" wrapText="1"/>
    </xf>
    <xf numFmtId="0" fontId="19" fillId="0" borderId="154" xfId="0" applyFont="1" applyBorder="1" applyAlignment="1">
      <alignment horizontal="left" vertical="center" wrapText="1"/>
    </xf>
    <xf numFmtId="0" fontId="19" fillId="0" borderId="1" xfId="0" applyFont="1" applyBorder="1" applyAlignment="1">
      <alignment horizontal="left" vertical="center"/>
    </xf>
    <xf numFmtId="0" fontId="19" fillId="9" borderId="161" xfId="0" applyFont="1" applyFill="1" applyBorder="1" applyAlignment="1">
      <alignment horizontal="left" vertical="center"/>
    </xf>
    <xf numFmtId="0" fontId="19" fillId="0" borderId="65" xfId="0" applyFont="1" applyBorder="1" applyAlignment="1" applyProtection="1">
      <alignment horizontal="left" vertical="center"/>
      <protection locked="0"/>
    </xf>
    <xf numFmtId="0" fontId="19" fillId="9" borderId="65" xfId="0" applyFont="1" applyFill="1" applyBorder="1" applyAlignment="1" applyProtection="1">
      <alignment horizontal="left" vertical="center"/>
      <protection locked="0"/>
    </xf>
    <xf numFmtId="0" fontId="19" fillId="0" borderId="251" xfId="0" applyFont="1" applyBorder="1" applyAlignment="1" applyProtection="1">
      <alignment horizontal="left" vertical="center"/>
      <protection locked="0"/>
    </xf>
    <xf numFmtId="49" fontId="19" fillId="8" borderId="1" xfId="0" applyNumberFormat="1" applyFont="1" applyFill="1" applyBorder="1" applyAlignment="1">
      <alignment horizontal="left" vertical="center"/>
    </xf>
    <xf numFmtId="49" fontId="19" fillId="8" borderId="2" xfId="0" applyNumberFormat="1" applyFont="1" applyFill="1" applyBorder="1" applyAlignment="1">
      <alignment horizontal="left" vertical="center"/>
    </xf>
    <xf numFmtId="49" fontId="19" fillId="8" borderId="4" xfId="0" applyNumberFormat="1" applyFont="1" applyFill="1" applyBorder="1" applyAlignment="1">
      <alignment horizontal="left" vertical="center"/>
    </xf>
    <xf numFmtId="0" fontId="17" fillId="10" borderId="95" xfId="0" applyFont="1" applyFill="1" applyBorder="1" applyAlignment="1">
      <alignment horizontal="left" vertical="center"/>
    </xf>
    <xf numFmtId="0" fontId="17" fillId="10" borderId="37" xfId="0" applyFont="1" applyFill="1" applyBorder="1" applyAlignment="1">
      <alignment horizontal="left" vertical="center"/>
    </xf>
    <xf numFmtId="0" fontId="19" fillId="4" borderId="0" xfId="0" applyFont="1" applyFill="1" applyAlignment="1">
      <alignment horizontal="left" vertical="center"/>
    </xf>
    <xf numFmtId="0" fontId="24" fillId="0" borderId="0" xfId="0" applyFont="1" applyAlignment="1">
      <alignment horizontal="left" vertical="center"/>
    </xf>
    <xf numFmtId="0" fontId="171" fillId="0" borderId="0" xfId="0" applyFont="1" applyAlignment="1">
      <alignment horizontal="left" vertical="center"/>
    </xf>
    <xf numFmtId="0" fontId="19" fillId="0" borderId="2" xfId="0" applyFont="1" applyBorder="1" applyAlignment="1">
      <alignment horizontal="left" vertical="center" wrapText="1"/>
    </xf>
    <xf numFmtId="0" fontId="17" fillId="0" borderId="95" xfId="0" applyFont="1" applyBorder="1" applyAlignment="1">
      <alignment horizontal="left" vertical="center"/>
    </xf>
    <xf numFmtId="0" fontId="172" fillId="0" borderId="0" xfId="0" applyFont="1" applyAlignment="1">
      <alignment vertical="center" wrapText="1"/>
    </xf>
    <xf numFmtId="0" fontId="19" fillId="0" borderId="0" xfId="0" applyFont="1" applyAlignment="1" applyProtection="1">
      <alignment horizontal="left" vertical="center"/>
      <protection locked="0"/>
    </xf>
    <xf numFmtId="0" fontId="18" fillId="8" borderId="1" xfId="6" applyFont="1" applyFill="1" applyBorder="1" applyAlignment="1">
      <alignment horizontal="left" vertical="center"/>
      <protection locked="0"/>
    </xf>
    <xf numFmtId="0" fontId="17" fillId="10" borderId="252" xfId="0" applyFont="1" applyFill="1" applyBorder="1" applyAlignment="1">
      <alignment horizontal="left" vertical="center"/>
    </xf>
    <xf numFmtId="0" fontId="173" fillId="0" borderId="0" xfId="0" applyFont="1" applyAlignment="1">
      <alignment vertical="center" wrapText="1"/>
    </xf>
    <xf numFmtId="0" fontId="19" fillId="4" borderId="6" xfId="0" applyFont="1" applyFill="1" applyBorder="1" applyAlignment="1">
      <alignment horizontal="left" vertical="center"/>
    </xf>
    <xf numFmtId="0" fontId="19" fillId="4" borderId="7" xfId="0" applyFont="1" applyFill="1" applyBorder="1" applyAlignment="1">
      <alignment horizontal="left" vertical="center"/>
    </xf>
    <xf numFmtId="0" fontId="174" fillId="0" borderId="0" xfId="0" applyFont="1" applyAlignment="1">
      <alignment horizontal="left" vertical="center" wrapText="1" indent="1"/>
    </xf>
    <xf numFmtId="0" fontId="175" fillId="0" borderId="0" xfId="0" applyFont="1" applyAlignment="1">
      <alignment horizontal="left" vertical="center"/>
    </xf>
    <xf numFmtId="0" fontId="12" fillId="10" borderId="6" xfId="6" applyFont="1" applyFill="1" applyBorder="1" applyAlignment="1">
      <alignment horizontal="left" vertical="center"/>
      <protection locked="0"/>
    </xf>
    <xf numFmtId="0" fontId="12" fillId="10" borderId="7" xfId="6" applyFont="1" applyFill="1" applyBorder="1" applyAlignment="1">
      <alignment horizontal="left" vertical="center"/>
      <protection locked="0"/>
    </xf>
    <xf numFmtId="49" fontId="19" fillId="0" borderId="8" xfId="0" applyNumberFormat="1" applyFont="1" applyBorder="1" applyAlignment="1">
      <alignment horizontal="left" vertical="center"/>
    </xf>
    <xf numFmtId="0" fontId="176" fillId="0" borderId="0" xfId="0" applyFont="1" applyAlignment="1">
      <alignment horizontal="left" vertical="center" wrapText="1" indent="1"/>
    </xf>
    <xf numFmtId="0" fontId="177" fillId="0" borderId="0" xfId="0" applyFont="1" applyAlignment="1">
      <alignment horizontal="left" vertical="center"/>
    </xf>
    <xf numFmtId="0" fontId="175" fillId="0" borderId="0" xfId="0" applyFont="1">
      <alignment vertical="center"/>
    </xf>
    <xf numFmtId="0" fontId="12" fillId="4" borderId="6" xfId="6" applyFont="1" applyFill="1" applyBorder="1" applyAlignment="1">
      <alignment horizontal="left" vertical="center"/>
      <protection locked="0"/>
    </xf>
    <xf numFmtId="0" fontId="12" fillId="0" borderId="7" xfId="6" applyFont="1" applyBorder="1" applyAlignment="1">
      <alignment horizontal="left" vertical="center"/>
      <protection locked="0"/>
    </xf>
    <xf numFmtId="0" fontId="178" fillId="0" borderId="0" xfId="0" applyFont="1" applyAlignment="1">
      <alignment horizontal="left" vertical="center" wrapText="1" indent="1"/>
    </xf>
    <xf numFmtId="0" fontId="17" fillId="10" borderId="6" xfId="6" applyFont="1" applyFill="1" applyBorder="1" applyAlignment="1">
      <alignment horizontal="left" vertical="center"/>
      <protection locked="0"/>
    </xf>
    <xf numFmtId="0" fontId="17" fillId="0" borderId="7" xfId="6" applyFont="1" applyBorder="1" applyAlignment="1">
      <alignment horizontal="left" vertical="center"/>
      <protection locked="0"/>
    </xf>
    <xf numFmtId="0" fontId="12" fillId="0" borderId="8" xfId="6" applyFont="1" applyBorder="1" applyAlignment="1">
      <alignment horizontal="left" vertical="center"/>
      <protection locked="0"/>
    </xf>
    <xf numFmtId="0" fontId="12" fillId="0" borderId="10" xfId="6" applyFont="1" applyBorder="1" applyAlignment="1">
      <alignment horizontal="left" vertical="center"/>
      <protection locked="0"/>
    </xf>
    <xf numFmtId="0" fontId="167" fillId="0" borderId="4" xfId="0" applyFont="1" applyBorder="1">
      <alignment vertical="center"/>
    </xf>
    <xf numFmtId="0" fontId="19" fillId="8" borderId="76" xfId="0" applyFont="1" applyFill="1" applyBorder="1" applyAlignment="1">
      <alignment horizontal="left" vertical="center"/>
    </xf>
    <xf numFmtId="0" fontId="19" fillId="0" borderId="175" xfId="0" applyFont="1" applyBorder="1" applyAlignment="1">
      <alignment horizontal="left" vertical="center"/>
    </xf>
    <xf numFmtId="0" fontId="175" fillId="0" borderId="0" xfId="0" applyFont="1" applyAlignment="1">
      <alignment horizontal="left" vertical="center" wrapText="1"/>
    </xf>
    <xf numFmtId="0" fontId="179" fillId="0" borderId="0" xfId="0" applyFont="1" applyAlignment="1">
      <alignment horizontal="left" vertical="center"/>
    </xf>
    <xf numFmtId="0" fontId="17" fillId="0" borderId="0" xfId="0" applyFont="1" applyAlignment="1" applyProtection="1">
      <alignment horizontal="left" vertical="center"/>
      <protection locked="0"/>
    </xf>
    <xf numFmtId="0" fontId="167" fillId="0" borderId="7" xfId="0" applyFont="1" applyBorder="1">
      <alignment vertical="center"/>
    </xf>
    <xf numFmtId="0" fontId="19" fillId="8" borderId="253" xfId="0" applyFont="1" applyFill="1" applyBorder="1" applyAlignment="1">
      <alignment horizontal="left" vertical="center"/>
    </xf>
    <xf numFmtId="177" fontId="19" fillId="0" borderId="7" xfId="0" applyNumberFormat="1" applyFont="1" applyBorder="1" applyAlignment="1" applyProtection="1">
      <alignment horizontal="left" vertical="center"/>
      <protection locked="0"/>
    </xf>
    <xf numFmtId="0" fontId="19" fillId="10" borderId="254" xfId="0" applyFont="1" applyFill="1" applyBorder="1" applyAlignment="1">
      <alignment horizontal="left" vertical="center"/>
    </xf>
    <xf numFmtId="0" fontId="19" fillId="0" borderId="0" xfId="0" applyFont="1" applyAlignment="1" applyProtection="1">
      <alignment horizontal="left" vertical="center" wrapText="1"/>
      <protection locked="0"/>
    </xf>
    <xf numFmtId="0" fontId="19" fillId="10" borderId="253" xfId="0" applyFont="1" applyFill="1" applyBorder="1" applyAlignment="1">
      <alignment horizontal="left" vertical="center"/>
    </xf>
    <xf numFmtId="0" fontId="19" fillId="0" borderId="152" xfId="0" applyFont="1" applyBorder="1" applyAlignment="1">
      <alignment horizontal="left" vertical="center"/>
    </xf>
    <xf numFmtId="0" fontId="175" fillId="0" borderId="0" xfId="0" applyFont="1" applyAlignment="1">
      <alignment vertical="center" wrapText="1"/>
    </xf>
    <xf numFmtId="49" fontId="17" fillId="0" borderId="1" xfId="0" applyNumberFormat="1" applyFont="1" applyBorder="1" applyAlignment="1" applyProtection="1">
      <alignment horizontal="left" vertical="center"/>
      <protection locked="0" hidden="1"/>
    </xf>
    <xf numFmtId="0" fontId="19" fillId="10" borderId="9" xfId="0" applyFont="1" applyFill="1" applyBorder="1" applyAlignment="1">
      <alignment horizontal="left" vertical="center"/>
    </xf>
    <xf numFmtId="0" fontId="19" fillId="0" borderId="6" xfId="0" applyFont="1" applyBorder="1" applyAlignment="1" applyProtection="1">
      <alignment horizontal="left" vertical="center"/>
      <protection locked="0"/>
    </xf>
    <xf numFmtId="49" fontId="17" fillId="0" borderId="6" xfId="0" applyNumberFormat="1" applyFont="1" applyBorder="1" applyAlignment="1" applyProtection="1">
      <alignment horizontal="left" vertical="center"/>
      <protection locked="0" hidden="1"/>
    </xf>
    <xf numFmtId="0" fontId="174" fillId="0" borderId="0" xfId="0" applyFont="1" applyAlignment="1">
      <alignment vertical="center" wrapText="1"/>
    </xf>
    <xf numFmtId="0" fontId="19" fillId="0" borderId="248" xfId="0" applyFont="1" applyBorder="1" applyAlignment="1">
      <alignment horizontal="left" vertical="center" wrapText="1"/>
    </xf>
    <xf numFmtId="0" fontId="19" fillId="10" borderId="255" xfId="0" applyFont="1" applyFill="1" applyBorder="1" applyAlignment="1">
      <alignment horizontal="left" vertical="center"/>
    </xf>
    <xf numFmtId="49" fontId="17" fillId="0" borderId="6" xfId="0" applyNumberFormat="1" applyFont="1" applyBorder="1" applyAlignment="1" applyProtection="1">
      <alignment horizontal="left" vertical="center" wrapText="1"/>
      <protection locked="0" hidden="1"/>
    </xf>
    <xf numFmtId="0" fontId="19" fillId="0" borderId="22" xfId="0" applyFont="1" applyBorder="1" applyAlignment="1">
      <alignment horizontal="left" vertical="center"/>
    </xf>
    <xf numFmtId="0" fontId="19" fillId="0" borderId="23" xfId="0" applyFont="1" applyBorder="1" applyAlignment="1">
      <alignment horizontal="left" vertical="center"/>
    </xf>
    <xf numFmtId="0" fontId="19" fillId="0" borderId="43" xfId="0" applyFont="1" applyBorder="1" applyAlignment="1">
      <alignment horizontal="left" vertical="center"/>
    </xf>
    <xf numFmtId="179" fontId="17" fillId="0" borderId="6" xfId="0" applyNumberFormat="1" applyFont="1" applyBorder="1" applyAlignment="1" applyProtection="1">
      <alignment horizontal="left" vertical="center"/>
      <protection locked="0" hidden="1"/>
    </xf>
    <xf numFmtId="0" fontId="19" fillId="10" borderId="6" xfId="0" applyFont="1" applyFill="1" applyBorder="1" applyAlignment="1">
      <alignment horizontal="left" vertical="center"/>
    </xf>
    <xf numFmtId="0" fontId="19" fillId="10" borderId="173" xfId="0" applyFont="1" applyFill="1" applyBorder="1" applyAlignment="1">
      <alignment horizontal="left" vertical="center"/>
    </xf>
    <xf numFmtId="0" fontId="19" fillId="0" borderId="158" xfId="0" applyFont="1" applyBorder="1" applyAlignment="1">
      <alignment horizontal="left" vertical="center"/>
    </xf>
    <xf numFmtId="0" fontId="19" fillId="10" borderId="8" xfId="0" applyFont="1" applyFill="1" applyBorder="1" applyAlignment="1">
      <alignment horizontal="left" vertical="center"/>
    </xf>
    <xf numFmtId="0" fontId="19" fillId="10" borderId="177" xfId="0" applyFont="1" applyFill="1" applyBorder="1" applyAlignment="1">
      <alignment horizontal="left" vertical="center"/>
    </xf>
    <xf numFmtId="0" fontId="19" fillId="10" borderId="248" xfId="0" applyFont="1" applyFill="1" applyBorder="1" applyAlignment="1">
      <alignment horizontal="left" vertical="center"/>
    </xf>
    <xf numFmtId="0" fontId="19" fillId="71" borderId="172" xfId="0" applyFont="1" applyFill="1" applyBorder="1" applyAlignment="1">
      <alignment horizontal="left" vertical="center"/>
    </xf>
    <xf numFmtId="0" fontId="19" fillId="71" borderId="0" xfId="0" applyFont="1" applyFill="1" applyAlignment="1" applyProtection="1">
      <alignment horizontal="left" vertical="center"/>
      <protection locked="0"/>
    </xf>
    <xf numFmtId="0" fontId="19" fillId="71" borderId="0" xfId="0" applyFont="1" applyFill="1" applyAlignment="1">
      <alignment horizontal="left" vertical="center"/>
    </xf>
    <xf numFmtId="0" fontId="98" fillId="0" borderId="0" xfId="0" applyFont="1" applyAlignment="1" applyProtection="1">
      <alignment horizontal="left" vertical="center"/>
      <protection locked="0"/>
    </xf>
    <xf numFmtId="0" fontId="5" fillId="0" borderId="0" xfId="0" applyFont="1" applyAlignment="1" applyProtection="1">
      <alignment horizontal="left" vertical="center"/>
      <protection locked="0"/>
    </xf>
    <xf numFmtId="0" fontId="19" fillId="0" borderId="172" xfId="0" applyFont="1" applyBorder="1" applyAlignment="1">
      <alignment horizontal="left" vertical="center"/>
    </xf>
    <xf numFmtId="0" fontId="19" fillId="0" borderId="0" xfId="0" applyFont="1" applyAlignment="1">
      <alignment vertical="center" wrapText="1"/>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4" xfId="0" applyFont="1" applyBorder="1" applyAlignment="1">
      <alignment horizontal="left" vertical="center"/>
    </xf>
    <xf numFmtId="0" fontId="101" fillId="0" borderId="0" xfId="0" applyFont="1" applyAlignment="1">
      <alignment horizontal="left" vertical="center" wrapText="1"/>
    </xf>
    <xf numFmtId="0" fontId="17" fillId="0" borderId="6" xfId="0" applyFont="1" applyBorder="1" applyAlignment="1">
      <alignment horizontal="left" vertical="center"/>
    </xf>
    <xf numFmtId="0" fontId="17" fillId="0" borderId="7" xfId="0" applyFont="1" applyBorder="1" applyAlignment="1">
      <alignment horizontal="left" vertical="center"/>
    </xf>
    <xf numFmtId="0" fontId="18" fillId="51" borderId="0" xfId="6" applyFont="1" applyFill="1" applyAlignment="1">
      <alignment horizontal="left" vertical="center"/>
      <protection locked="0"/>
    </xf>
    <xf numFmtId="0" fontId="18" fillId="0" borderId="0" xfId="6" applyFont="1" applyAlignment="1">
      <alignment horizontal="left" vertical="center"/>
      <protection locked="0"/>
    </xf>
    <xf numFmtId="0" fontId="12" fillId="0" borderId="0" xfId="6" applyFont="1" applyAlignment="1">
      <alignment horizontal="left" vertical="center"/>
      <protection locked="0"/>
    </xf>
    <xf numFmtId="0" fontId="171" fillId="0" borderId="0" xfId="0" applyFont="1" applyAlignment="1">
      <alignment horizontal="left" vertical="center" wrapText="1"/>
    </xf>
    <xf numFmtId="0" fontId="18" fillId="53" borderId="0" xfId="6" applyFont="1" applyFill="1" applyAlignment="1">
      <alignment horizontal="left" vertical="center"/>
      <protection locked="0"/>
    </xf>
    <xf numFmtId="0" fontId="17" fillId="53" borderId="0" xfId="6" applyFont="1" applyFill="1" applyAlignment="1">
      <alignment horizontal="left" vertical="center"/>
      <protection locked="0"/>
    </xf>
    <xf numFmtId="0" fontId="12" fillId="53" borderId="0" xfId="6" applyFont="1" applyFill="1" applyAlignment="1">
      <alignment horizontal="left" vertical="center"/>
      <protection locked="0"/>
    </xf>
    <xf numFmtId="0" fontId="17" fillId="0" borderId="0" xfId="6" applyFont="1" applyAlignment="1">
      <alignment horizontal="left" vertical="center"/>
      <protection locked="0"/>
    </xf>
    <xf numFmtId="0" fontId="44" fillId="0" borderId="0" xfId="0" applyFont="1" applyAlignment="1">
      <alignment horizontal="left" vertical="center"/>
    </xf>
    <xf numFmtId="0" fontId="180" fillId="0" borderId="0" xfId="0" applyFont="1" applyAlignment="1">
      <alignment horizontal="left" vertical="center"/>
    </xf>
    <xf numFmtId="0" fontId="19" fillId="53" borderId="0" xfId="0" applyFont="1" applyFill="1" applyAlignment="1">
      <alignment horizontal="left" vertical="center"/>
    </xf>
    <xf numFmtId="0" fontId="17" fillId="89" borderId="1" xfId="0" applyFont="1" applyFill="1" applyBorder="1" applyAlignment="1">
      <alignment horizontal="left" vertical="center"/>
    </xf>
    <xf numFmtId="0" fontId="17" fillId="89" borderId="2" xfId="0" applyFont="1" applyFill="1" applyBorder="1" applyAlignment="1">
      <alignment horizontal="left" vertical="center"/>
    </xf>
    <xf numFmtId="0" fontId="17" fillId="89" borderId="4" xfId="0" applyFont="1" applyFill="1" applyBorder="1" applyAlignment="1">
      <alignment horizontal="left" vertical="center"/>
    </xf>
    <xf numFmtId="0" fontId="181" fillId="0" borderId="0" xfId="0" applyFont="1">
      <alignment vertical="center"/>
    </xf>
    <xf numFmtId="0" fontId="17" fillId="89" borderId="6" xfId="0" applyFont="1" applyFill="1" applyBorder="1" applyAlignment="1">
      <alignment horizontal="left" vertical="center"/>
    </xf>
    <xf numFmtId="0" fontId="17" fillId="89" borderId="0" xfId="0" applyFont="1" applyFill="1" applyAlignment="1">
      <alignment horizontal="left" vertical="center"/>
    </xf>
    <xf numFmtId="0" fontId="17" fillId="89" borderId="7" xfId="0" applyFont="1" applyFill="1" applyBorder="1" applyAlignment="1">
      <alignment horizontal="left" vertical="center"/>
    </xf>
    <xf numFmtId="0" fontId="167" fillId="0" borderId="0" xfId="0" applyFont="1" applyAlignment="1">
      <alignment horizontal="left" vertical="center"/>
    </xf>
    <xf numFmtId="0" fontId="17" fillId="0" borderId="8" xfId="0" applyFont="1" applyBorder="1" applyAlignment="1">
      <alignment horizontal="left" vertical="center"/>
    </xf>
    <xf numFmtId="0" fontId="17" fillId="0" borderId="9" xfId="0" applyFont="1" applyBorder="1" applyAlignment="1">
      <alignment horizontal="left" vertical="center"/>
    </xf>
    <xf numFmtId="0" fontId="17" fillId="0" borderId="10" xfId="0" applyFont="1" applyBorder="1" applyAlignment="1">
      <alignment horizontal="left" vertical="center"/>
    </xf>
    <xf numFmtId="0" fontId="167" fillId="0" borderId="0" xfId="0" applyFont="1" applyAlignment="1" applyProtection="1">
      <alignment horizontal="left" vertical="center"/>
      <protection locked="0"/>
    </xf>
    <xf numFmtId="0" fontId="89" fillId="0" borderId="0" xfId="0" applyFont="1" applyAlignment="1" applyProtection="1">
      <alignment horizontal="left" vertical="center"/>
      <protection locked="0"/>
    </xf>
    <xf numFmtId="0" fontId="29" fillId="0" borderId="0" xfId="0" applyFont="1" applyAlignment="1" applyProtection="1">
      <alignment horizontal="left" vertical="center"/>
      <protection locked="0"/>
    </xf>
    <xf numFmtId="0" fontId="183" fillId="0" borderId="0" xfId="0" applyFont="1" applyAlignment="1" applyProtection="1">
      <alignment horizontal="left"/>
      <protection locked="0"/>
    </xf>
    <xf numFmtId="0" fontId="183" fillId="0" borderId="0" xfId="0" applyFont="1" applyAlignment="1" applyProtection="1">
      <alignment horizontal="left" vertical="center"/>
      <protection locked="0"/>
    </xf>
    <xf numFmtId="0" fontId="5" fillId="0" borderId="0" xfId="0" applyFont="1" applyAlignment="1" applyProtection="1">
      <alignment horizontal="left" vertical="top"/>
      <protection locked="0"/>
    </xf>
    <xf numFmtId="0" fontId="24" fillId="0" borderId="0" xfId="0" applyFont="1" applyAlignment="1" applyProtection="1">
      <alignment horizontal="left" vertical="center"/>
      <protection locked="0"/>
    </xf>
    <xf numFmtId="0" fontId="19" fillId="0" borderId="0" xfId="0" applyFont="1" applyAlignment="1" applyProtection="1">
      <alignment horizontal="left" vertical="top" wrapText="1"/>
      <protection locked="0"/>
    </xf>
    <xf numFmtId="0" fontId="185" fillId="0" borderId="0" xfId="0" applyFont="1" applyAlignment="1">
      <alignment horizontal="left" vertical="center" wrapText="1" indent="1"/>
    </xf>
    <xf numFmtId="0" fontId="0" fillId="0" borderId="3" xfId="0" applyBorder="1" applyAlignment="1">
      <alignment horizontal="center" vertical="center"/>
    </xf>
    <xf numFmtId="0" fontId="0" fillId="0" borderId="3" xfId="0" applyBorder="1">
      <alignment vertical="center"/>
    </xf>
    <xf numFmtId="0" fontId="22" fillId="0" borderId="0" xfId="0" applyFont="1" applyAlignment="1" applyProtection="1">
      <alignment horizontal="left" vertical="center"/>
      <protection locked="0"/>
    </xf>
    <xf numFmtId="0" fontId="171" fillId="0" borderId="0" xfId="0" applyFont="1" applyAlignment="1" applyProtection="1">
      <alignment horizontal="left" vertical="top" wrapText="1"/>
      <protection locked="0"/>
    </xf>
    <xf numFmtId="185" fontId="19" fillId="0" borderId="0" xfId="0" applyNumberFormat="1" applyFont="1" applyAlignment="1">
      <alignment horizontal="left" vertical="center"/>
    </xf>
    <xf numFmtId="0" fontId="181" fillId="0" borderId="0" xfId="0" applyFont="1" applyAlignment="1">
      <alignment vertical="center" wrapText="1"/>
    </xf>
    <xf numFmtId="0" fontId="19" fillId="0" borderId="0" xfId="0" applyFont="1" applyAlignment="1" applyProtection="1">
      <alignment horizontal="left" vertical="top"/>
      <protection locked="0"/>
    </xf>
    <xf numFmtId="0" fontId="186" fillId="0" borderId="0" xfId="0" applyFont="1" applyAlignment="1">
      <alignment horizontal="left" vertical="center" wrapText="1" indent="1"/>
    </xf>
    <xf numFmtId="0" fontId="174" fillId="0" borderId="0" xfId="0" applyFont="1">
      <alignment vertical="center"/>
    </xf>
    <xf numFmtId="0" fontId="185" fillId="0" borderId="0" xfId="0" applyFont="1" applyAlignment="1">
      <alignment vertical="center" wrapText="1"/>
    </xf>
    <xf numFmtId="179" fontId="17" fillId="0" borderId="0" xfId="0" applyNumberFormat="1" applyFont="1" applyAlignment="1" applyProtection="1">
      <alignment horizontal="left" vertical="center" wrapText="1"/>
      <protection locked="0" hidden="1"/>
    </xf>
    <xf numFmtId="0" fontId="19" fillId="0" borderId="0" xfId="0" applyFont="1" applyAlignment="1">
      <alignment horizontal="center" vertical="center" wrapText="1"/>
    </xf>
    <xf numFmtId="0" fontId="98" fillId="0" borderId="0" xfId="0" applyFont="1" applyAlignment="1" applyProtection="1">
      <alignment horizontal="left" vertical="top"/>
      <protection locked="0"/>
    </xf>
    <xf numFmtId="0" fontId="187" fillId="0" borderId="0" xfId="0" applyFont="1" applyAlignment="1">
      <alignment horizontal="left" vertical="center"/>
    </xf>
    <xf numFmtId="0" fontId="17" fillId="0" borderId="0" xfId="6" applyFont="1" applyAlignment="1" applyProtection="1">
      <alignment horizontal="left" vertical="center"/>
    </xf>
    <xf numFmtId="0" fontId="171" fillId="0" borderId="0" xfId="0" applyFont="1" applyAlignment="1" applyProtection="1">
      <alignment horizontal="left" vertical="center" wrapText="1"/>
      <protection locked="0"/>
    </xf>
    <xf numFmtId="0" fontId="5" fillId="0" borderId="1" xfId="0" applyFont="1" applyBorder="1" applyAlignment="1" applyProtection="1">
      <alignment horizontal="left" vertical="center"/>
      <protection locked="0" hidden="1"/>
    </xf>
    <xf numFmtId="0" fontId="5" fillId="0" borderId="2" xfId="0" applyFont="1" applyBorder="1" applyAlignment="1" applyProtection="1">
      <alignment horizontal="left" vertical="center"/>
      <protection locked="0"/>
    </xf>
    <xf numFmtId="0" fontId="19" fillId="0" borderId="260" xfId="0" applyFont="1" applyBorder="1" applyAlignment="1">
      <alignment horizontal="left" vertical="center"/>
    </xf>
    <xf numFmtId="0" fontId="98" fillId="0" borderId="7" xfId="0" applyFont="1" applyBorder="1" applyAlignment="1" applyProtection="1">
      <alignment horizontal="left" vertical="center"/>
      <protection locked="0"/>
    </xf>
    <xf numFmtId="0" fontId="33" fillId="0" borderId="0" xfId="0" applyFont="1" applyAlignment="1">
      <alignment horizontal="left" vertical="center"/>
    </xf>
    <xf numFmtId="0" fontId="98" fillId="0" borderId="0" xfId="0" applyFont="1" applyAlignment="1" applyProtection="1">
      <alignment horizontal="left" vertical="top" wrapText="1"/>
      <protection locked="0"/>
    </xf>
    <xf numFmtId="0" fontId="19" fillId="0" borderId="6" xfId="0" applyFont="1" applyBorder="1" applyAlignment="1" applyProtection="1">
      <alignment horizontal="left"/>
      <protection locked="0"/>
    </xf>
    <xf numFmtId="0" fontId="32" fillId="0" borderId="1" xfId="0" applyFont="1" applyBorder="1" applyAlignment="1">
      <alignment horizontal="left" vertical="center"/>
    </xf>
    <xf numFmtId="0" fontId="32" fillId="0" borderId="2" xfId="0" applyFont="1" applyBorder="1" applyAlignment="1">
      <alignment horizontal="left" vertical="center"/>
    </xf>
    <xf numFmtId="0" fontId="32" fillId="0" borderId="6" xfId="0" applyFont="1" applyBorder="1" applyAlignment="1">
      <alignment horizontal="left" vertical="center"/>
    </xf>
    <xf numFmtId="0" fontId="32" fillId="0" borderId="0" xfId="0" applyFont="1" applyAlignment="1">
      <alignment horizontal="left" vertical="center"/>
    </xf>
    <xf numFmtId="0" fontId="5" fillId="0" borderId="0" xfId="0" applyFont="1" applyAlignment="1" applyProtection="1">
      <alignment horizontal="left" vertical="top" wrapText="1"/>
      <protection locked="0"/>
    </xf>
    <xf numFmtId="0" fontId="187" fillId="0" borderId="0" xfId="0" applyFont="1" applyAlignment="1">
      <alignment horizontal="left" vertical="center" wrapText="1"/>
    </xf>
    <xf numFmtId="0" fontId="19" fillId="0" borderId="170" xfId="0" applyFont="1" applyBorder="1" applyAlignment="1">
      <alignment horizontal="left" vertical="center"/>
    </xf>
    <xf numFmtId="0" fontId="19" fillId="0" borderId="170" xfId="0" applyFont="1" applyBorder="1" applyAlignment="1">
      <alignment horizontal="left" vertical="center" wrapText="1"/>
    </xf>
    <xf numFmtId="0" fontId="59" fillId="0" borderId="0" xfId="0" applyFont="1" applyAlignment="1">
      <alignment horizontal="left" vertical="center"/>
    </xf>
    <xf numFmtId="0" fontId="184" fillId="0" borderId="91" xfId="0" applyFont="1" applyBorder="1" applyAlignment="1">
      <alignment horizontal="left" vertical="center" wrapText="1"/>
    </xf>
    <xf numFmtId="0" fontId="184" fillId="0" borderId="0" xfId="0" applyFont="1" applyAlignment="1">
      <alignment horizontal="left" vertical="center" wrapText="1"/>
    </xf>
    <xf numFmtId="184" fontId="171" fillId="0" borderId="0" xfId="0" applyNumberFormat="1" applyFont="1" applyAlignment="1">
      <alignment horizontal="left" vertical="center"/>
    </xf>
    <xf numFmtId="0" fontId="184" fillId="0" borderId="261" xfId="0" applyFont="1" applyBorder="1" applyAlignment="1">
      <alignment horizontal="left" vertical="center" wrapText="1"/>
    </xf>
    <xf numFmtId="0" fontId="184" fillId="0" borderId="86" xfId="0" applyFont="1" applyBorder="1" applyAlignment="1">
      <alignment horizontal="left" vertical="center" wrapText="1"/>
    </xf>
    <xf numFmtId="0" fontId="184" fillId="0" borderId="82" xfId="0" applyFont="1" applyBorder="1" applyAlignment="1">
      <alignment horizontal="left" vertical="center" wrapText="1"/>
    </xf>
    <xf numFmtId="0" fontId="167" fillId="0" borderId="0" xfId="0" applyFont="1" applyAlignment="1">
      <alignment vertical="center" wrapText="1"/>
    </xf>
    <xf numFmtId="0" fontId="19" fillId="0" borderId="4" xfId="0" applyFont="1" applyBorder="1" applyAlignment="1">
      <alignment horizontal="left" vertical="center" wrapText="1"/>
    </xf>
    <xf numFmtId="0" fontId="58" fillId="0" borderId="76" xfId="0" applyFont="1" applyBorder="1" applyAlignment="1">
      <alignment horizontal="left" vertical="center"/>
    </xf>
    <xf numFmtId="0" fontId="58" fillId="0" borderId="77" xfId="0" applyFont="1" applyBorder="1" applyAlignment="1">
      <alignment horizontal="left" vertical="center"/>
    </xf>
    <xf numFmtId="0" fontId="189" fillId="0" borderId="0" xfId="0" applyFont="1" applyAlignment="1">
      <alignment horizontal="left" vertical="center"/>
    </xf>
    <xf numFmtId="0" fontId="108" fillId="0" borderId="0" xfId="0" applyFont="1" applyAlignment="1">
      <alignment horizontal="left" vertical="center"/>
    </xf>
    <xf numFmtId="0" fontId="58" fillId="0" borderId="0" xfId="0" applyFont="1" applyAlignment="1">
      <alignment horizontal="left" vertical="center"/>
    </xf>
    <xf numFmtId="0" fontId="190" fillId="0" borderId="0" xfId="0" applyFont="1">
      <alignment vertical="center"/>
    </xf>
    <xf numFmtId="0" fontId="191" fillId="0" borderId="0" xfId="0" applyFont="1">
      <alignment vertical="center"/>
    </xf>
    <xf numFmtId="0" fontId="108" fillId="0" borderId="7" xfId="0" applyFont="1" applyBorder="1" applyAlignment="1">
      <alignment horizontal="left" vertical="center"/>
    </xf>
    <xf numFmtId="49" fontId="19" fillId="0" borderId="9" xfId="0" applyNumberFormat="1" applyFont="1" applyBorder="1" applyAlignment="1">
      <alignment horizontal="left" vertical="center"/>
    </xf>
    <xf numFmtId="0" fontId="32" fillId="0" borderId="8" xfId="0" applyFont="1" applyBorder="1" applyAlignment="1">
      <alignment horizontal="left" vertical="center"/>
    </xf>
    <xf numFmtId="0" fontId="32" fillId="0" borderId="9" xfId="0" applyFont="1" applyBorder="1" applyAlignment="1">
      <alignment horizontal="left" vertical="center"/>
    </xf>
    <xf numFmtId="0" fontId="174" fillId="0" borderId="0" xfId="0" applyFont="1" applyAlignment="1">
      <alignment horizontal="left" vertical="center" indent="1"/>
    </xf>
    <xf numFmtId="0" fontId="5" fillId="55" borderId="20" xfId="0" applyFont="1" applyFill="1" applyBorder="1" applyAlignment="1" applyProtection="1">
      <alignment horizontal="left" vertical="center"/>
      <protection locked="0"/>
    </xf>
    <xf numFmtId="0" fontId="5" fillId="55" borderId="0" xfId="0" applyFont="1" applyFill="1" applyAlignment="1" applyProtection="1">
      <alignment horizontal="left" vertical="center"/>
      <protection locked="0"/>
    </xf>
    <xf numFmtId="0" fontId="5" fillId="55" borderId="7" xfId="0" applyFont="1" applyFill="1" applyBorder="1" applyAlignment="1" applyProtection="1">
      <alignment horizontal="left" vertical="center"/>
      <protection locked="0"/>
    </xf>
    <xf numFmtId="0" fontId="12" fillId="8" borderId="0" xfId="0" applyFont="1" applyFill="1" applyAlignment="1" applyProtection="1">
      <alignment horizontal="left" vertical="center"/>
      <protection locked="0"/>
    </xf>
    <xf numFmtId="0" fontId="12" fillId="8" borderId="7" xfId="0" applyFont="1" applyFill="1" applyBorder="1" applyAlignment="1" applyProtection="1">
      <alignment horizontal="left" vertical="center"/>
      <protection locked="0"/>
    </xf>
    <xf numFmtId="0" fontId="5" fillId="55" borderId="6" xfId="0" applyFont="1" applyFill="1" applyBorder="1" applyAlignment="1" applyProtection="1">
      <alignment horizontal="left" vertical="center"/>
      <protection locked="0"/>
    </xf>
    <xf numFmtId="0" fontId="5" fillId="0" borderId="20" xfId="0" applyFont="1" applyBorder="1" applyAlignment="1" applyProtection="1">
      <alignment horizontal="left" vertical="center"/>
      <protection locked="0" hidden="1"/>
    </xf>
    <xf numFmtId="0" fontId="5" fillId="9" borderId="20" xfId="0" applyFont="1" applyFill="1" applyBorder="1" applyAlignment="1" applyProtection="1">
      <alignment horizontal="left" vertical="center"/>
      <protection locked="0" hidden="1"/>
    </xf>
    <xf numFmtId="0" fontId="5" fillId="9" borderId="7" xfId="0" applyFont="1" applyFill="1" applyBorder="1" applyAlignment="1" applyProtection="1">
      <alignment horizontal="left" vertical="center"/>
      <protection locked="0"/>
    </xf>
    <xf numFmtId="179" fontId="12" fillId="10" borderId="0" xfId="0" applyNumberFormat="1" applyFont="1" applyFill="1" applyAlignment="1" applyProtection="1">
      <alignment horizontal="left" vertical="center"/>
      <protection locked="0" hidden="1"/>
    </xf>
    <xf numFmtId="0" fontId="12" fillId="10" borderId="7" xfId="0" applyFont="1" applyFill="1" applyBorder="1" applyAlignment="1">
      <alignment horizontal="left" vertical="center"/>
    </xf>
    <xf numFmtId="0" fontId="5" fillId="0" borderId="6" xfId="0" applyFont="1" applyBorder="1" applyAlignment="1" applyProtection="1">
      <alignment horizontal="left" vertical="center"/>
      <protection locked="0" hidden="1"/>
    </xf>
    <xf numFmtId="0" fontId="5" fillId="0" borderId="7" xfId="0" applyFont="1" applyBorder="1" applyAlignment="1" applyProtection="1">
      <alignment horizontal="left" vertical="center"/>
      <protection locked="0"/>
    </xf>
    <xf numFmtId="0" fontId="19" fillId="8" borderId="0" xfId="0" applyFont="1" applyFill="1" applyAlignment="1">
      <alignment horizontal="left" vertical="center"/>
    </xf>
    <xf numFmtId="0" fontId="5" fillId="9" borderId="0" xfId="0" applyFont="1" applyFill="1" applyAlignment="1" applyProtection="1">
      <alignment horizontal="left" vertical="center"/>
      <protection locked="0"/>
    </xf>
    <xf numFmtId="179" fontId="12" fillId="0" borderId="9" xfId="0" applyNumberFormat="1" applyFont="1" applyBorder="1" applyAlignment="1" applyProtection="1">
      <alignment horizontal="left" vertical="center"/>
      <protection locked="0" hidden="1"/>
    </xf>
    <xf numFmtId="0" fontId="12" fillId="0" borderId="10" xfId="0" applyFont="1" applyBorder="1" applyAlignment="1">
      <alignment horizontal="left" vertical="center"/>
    </xf>
    <xf numFmtId="0" fontId="5" fillId="0" borderId="9" xfId="0" applyFont="1" applyBorder="1" applyAlignment="1" applyProtection="1">
      <alignment horizontal="left" vertical="center"/>
      <protection locked="0" hidden="1"/>
    </xf>
    <xf numFmtId="0" fontId="5" fillId="9" borderId="6" xfId="0" applyFont="1" applyFill="1" applyBorder="1" applyAlignment="1" applyProtection="1">
      <alignment horizontal="left" vertical="center"/>
      <protection locked="0" hidden="1"/>
    </xf>
    <xf numFmtId="0" fontId="19" fillId="89" borderId="4" xfId="0" applyFont="1" applyFill="1" applyBorder="1" applyAlignment="1">
      <alignment horizontal="left" vertical="center"/>
    </xf>
    <xf numFmtId="0" fontId="5" fillId="0" borderId="0" xfId="0" applyFont="1" applyAlignment="1" applyProtection="1">
      <alignment horizontal="left" vertical="center"/>
      <protection locked="0" hidden="1"/>
    </xf>
    <xf numFmtId="0" fontId="19" fillId="8" borderId="7" xfId="0" applyFont="1" applyFill="1" applyBorder="1" applyAlignment="1">
      <alignment horizontal="left" vertical="center"/>
    </xf>
    <xf numFmtId="0" fontId="185" fillId="0" borderId="0" xfId="0" applyFont="1" applyAlignment="1">
      <alignment horizontal="left" vertical="center" indent="1"/>
    </xf>
    <xf numFmtId="0" fontId="5" fillId="0" borderId="157" xfId="0" applyFont="1" applyBorder="1" applyAlignment="1" applyProtection="1">
      <alignment horizontal="left" vertical="center"/>
      <protection locked="0" hidden="1"/>
    </xf>
    <xf numFmtId="0" fontId="5" fillId="0" borderId="10" xfId="0" applyFont="1" applyBorder="1" applyAlignment="1" applyProtection="1">
      <alignment horizontal="left" vertical="center"/>
      <protection locked="0"/>
    </xf>
    <xf numFmtId="0" fontId="17" fillId="89" borderId="8" xfId="0" applyFont="1" applyFill="1" applyBorder="1" applyAlignment="1">
      <alignment horizontal="left" vertical="center"/>
    </xf>
    <xf numFmtId="0" fontId="5" fillId="0" borderId="10" xfId="0" applyFont="1" applyBorder="1" applyAlignment="1" applyProtection="1">
      <alignment horizontal="left" vertical="center"/>
      <protection locked="0" hidden="1"/>
    </xf>
    <xf numFmtId="0" fontId="5" fillId="9" borderId="8" xfId="0" applyFont="1" applyFill="1" applyBorder="1" applyAlignment="1" applyProtection="1">
      <alignment horizontal="left" vertical="center"/>
      <protection locked="0" hidden="1"/>
    </xf>
    <xf numFmtId="0" fontId="5" fillId="9" borderId="10" xfId="0" applyFont="1" applyFill="1" applyBorder="1" applyAlignment="1" applyProtection="1">
      <alignment horizontal="left" vertical="center"/>
      <protection locked="0"/>
    </xf>
    <xf numFmtId="0" fontId="19" fillId="8" borderId="248" xfId="0" applyFont="1" applyFill="1" applyBorder="1" applyAlignment="1">
      <alignment horizontal="left" vertical="center"/>
    </xf>
    <xf numFmtId="0" fontId="19" fillId="4" borderId="1" xfId="0" applyFont="1" applyFill="1" applyBorder="1" applyAlignment="1">
      <alignment horizontal="left" vertical="center"/>
    </xf>
    <xf numFmtId="0" fontId="5" fillId="0" borderId="8" xfId="0" applyFont="1" applyBorder="1" applyAlignment="1" applyProtection="1">
      <alignment horizontal="left" vertical="center"/>
      <protection locked="0" hidden="1"/>
    </xf>
    <xf numFmtId="0" fontId="17" fillId="4" borderId="6" xfId="0" applyFont="1" applyFill="1" applyBorder="1" applyAlignment="1">
      <alignment horizontal="left" vertical="center"/>
    </xf>
    <xf numFmtId="0" fontId="17" fillId="4" borderId="0" xfId="0" applyFont="1" applyFill="1" applyAlignment="1">
      <alignment horizontal="left" vertical="center"/>
    </xf>
    <xf numFmtId="0" fontId="17" fillId="4" borderId="7" xfId="0" applyFont="1" applyFill="1" applyBorder="1" applyAlignment="1">
      <alignment horizontal="left" vertical="center"/>
    </xf>
    <xf numFmtId="186" fontId="19" fillId="0" borderId="0" xfId="0" applyNumberFormat="1" applyFont="1" applyAlignment="1">
      <alignment horizontal="left" vertical="center"/>
    </xf>
    <xf numFmtId="179" fontId="17" fillId="0" borderId="0" xfId="0" applyNumberFormat="1" applyFont="1" applyAlignment="1" applyProtection="1">
      <alignment horizontal="left" vertical="center"/>
      <protection locked="0" hidden="1"/>
    </xf>
    <xf numFmtId="0" fontId="12" fillId="0" borderId="0" xfId="0" applyFont="1" applyAlignment="1">
      <alignment horizontal="left" vertical="center"/>
    </xf>
    <xf numFmtId="0" fontId="15" fillId="0" borderId="0" xfId="0" applyFont="1" applyAlignment="1">
      <alignment horizontal="left" vertical="center"/>
    </xf>
    <xf numFmtId="186" fontId="30" fillId="0" borderId="0" xfId="0" applyNumberFormat="1" applyFont="1" applyAlignment="1">
      <alignment horizontal="left" vertical="center"/>
    </xf>
    <xf numFmtId="0" fontId="5" fillId="10" borderId="20" xfId="0" applyFont="1" applyFill="1" applyBorder="1" applyAlignment="1" applyProtection="1">
      <alignment horizontal="left" vertical="center"/>
      <protection locked="0" hidden="1"/>
    </xf>
    <xf numFmtId="0" fontId="19" fillId="89" borderId="1" xfId="0" applyFont="1" applyFill="1" applyBorder="1" applyAlignment="1">
      <alignment horizontal="left" vertical="center"/>
    </xf>
    <xf numFmtId="0" fontId="19" fillId="89" borderId="2" xfId="0" applyFont="1" applyFill="1" applyBorder="1" applyAlignment="1">
      <alignment horizontal="left" vertical="center"/>
    </xf>
    <xf numFmtId="0" fontId="19" fillId="73" borderId="1" xfId="0" applyFont="1" applyFill="1" applyBorder="1" applyAlignment="1">
      <alignment horizontal="left" vertical="center"/>
    </xf>
    <xf numFmtId="0" fontId="17" fillId="4" borderId="6" xfId="0" applyFont="1" applyFill="1" applyBorder="1" applyAlignment="1">
      <alignment horizontal="left" vertical="center" wrapText="1"/>
    </xf>
    <xf numFmtId="0" fontId="19" fillId="9" borderId="0" xfId="0" applyFont="1" applyFill="1" applyAlignment="1" applyProtection="1">
      <alignment horizontal="left" vertical="center"/>
      <protection locked="0"/>
    </xf>
    <xf numFmtId="0" fontId="17" fillId="9" borderId="0" xfId="0" applyFont="1" applyFill="1" applyAlignment="1">
      <alignment horizontal="left" vertical="center"/>
    </xf>
    <xf numFmtId="0" fontId="17" fillId="9" borderId="7" xfId="0" applyFont="1" applyFill="1" applyBorder="1" applyAlignment="1">
      <alignment horizontal="left" vertical="center"/>
    </xf>
    <xf numFmtId="0" fontId="5" fillId="10" borderId="157" xfId="0" applyFont="1" applyFill="1" applyBorder="1" applyAlignment="1" applyProtection="1">
      <alignment horizontal="left" vertical="center"/>
      <protection locked="0" hidden="1"/>
    </xf>
    <xf numFmtId="0" fontId="19" fillId="10" borderId="10" xfId="0" applyFont="1" applyFill="1" applyBorder="1" applyAlignment="1">
      <alignment horizontal="left" vertical="center"/>
    </xf>
    <xf numFmtId="0" fontId="19" fillId="0" borderId="157" xfId="0" applyFont="1" applyBorder="1" applyAlignment="1">
      <alignment horizontal="left" vertical="center"/>
    </xf>
    <xf numFmtId="0" fontId="17" fillId="8" borderId="6" xfId="0" applyFont="1" applyFill="1" applyBorder="1" applyAlignment="1">
      <alignment horizontal="left" vertical="center" wrapText="1"/>
    </xf>
    <xf numFmtId="0" fontId="124" fillId="0" borderId="0" xfId="0" applyFont="1" applyAlignment="1">
      <alignment horizontal="left" vertical="center"/>
    </xf>
    <xf numFmtId="2" fontId="17" fillId="0" borderId="0" xfId="0" applyNumberFormat="1" applyFont="1" applyAlignment="1">
      <alignment horizontal="left" vertical="center"/>
    </xf>
    <xf numFmtId="2" fontId="19" fillId="0" borderId="0" xfId="0" applyNumberFormat="1" applyFont="1" applyAlignment="1">
      <alignment horizontal="left" vertical="center"/>
    </xf>
    <xf numFmtId="0" fontId="17" fillId="4" borderId="8" xfId="0" applyFont="1" applyFill="1" applyBorder="1" applyAlignment="1">
      <alignment horizontal="left" vertical="center"/>
    </xf>
    <xf numFmtId="0" fontId="19" fillId="9" borderId="9" xfId="0" applyFont="1" applyFill="1" applyBorder="1" applyAlignment="1" applyProtection="1">
      <alignment horizontal="left" vertical="center"/>
      <protection locked="0"/>
    </xf>
    <xf numFmtId="0" fontId="17" fillId="9" borderId="9" xfId="0" applyFont="1" applyFill="1" applyBorder="1" applyAlignment="1">
      <alignment horizontal="left" vertical="center"/>
    </xf>
    <xf numFmtId="0" fontId="17" fillId="9" borderId="10" xfId="0" applyFont="1" applyFill="1" applyBorder="1" applyAlignment="1">
      <alignment horizontal="left" vertical="center"/>
    </xf>
    <xf numFmtId="0" fontId="17" fillId="0" borderId="0" xfId="0" applyFont="1" applyAlignment="1">
      <alignment horizontal="left" vertical="center" wrapText="1"/>
    </xf>
    <xf numFmtId="0" fontId="58" fillId="0" borderId="78" xfId="0" applyFont="1" applyBorder="1" applyAlignment="1">
      <alignment horizontal="left" vertical="center"/>
    </xf>
    <xf numFmtId="0" fontId="198" fillId="0" borderId="0" xfId="0" applyFont="1">
      <alignment vertical="center"/>
    </xf>
    <xf numFmtId="0" fontId="192" fillId="0" borderId="0" xfId="0" applyFont="1">
      <alignment vertical="center"/>
    </xf>
    <xf numFmtId="0" fontId="203" fillId="5" borderId="149" xfId="0" applyFont="1" applyFill="1" applyBorder="1" applyAlignment="1" applyProtection="1">
      <alignment horizontal="center" vertical="center"/>
      <protection locked="0"/>
    </xf>
    <xf numFmtId="0" fontId="203" fillId="96" borderId="3" xfId="0" applyFont="1" applyFill="1" applyBorder="1" applyAlignment="1" applyProtection="1">
      <alignment horizontal="center" vertical="center"/>
      <protection locked="0"/>
    </xf>
    <xf numFmtId="0" fontId="203" fillId="5" borderId="14" xfId="0" applyFont="1" applyFill="1" applyBorder="1" applyAlignment="1" applyProtection="1">
      <alignment horizontal="center" vertical="center"/>
      <protection locked="0"/>
    </xf>
    <xf numFmtId="0" fontId="203" fillId="5" borderId="3" xfId="0" applyFont="1" applyFill="1" applyBorder="1" applyAlignment="1" applyProtection="1">
      <alignment horizontal="center" vertical="center"/>
      <protection locked="0"/>
    </xf>
    <xf numFmtId="0" fontId="203" fillId="5" borderId="63" xfId="0" applyFont="1" applyFill="1" applyBorder="1" applyAlignment="1" applyProtection="1">
      <alignment horizontal="center" vertical="center"/>
      <protection locked="0"/>
    </xf>
    <xf numFmtId="0" fontId="203" fillId="97" borderId="149" xfId="0" applyFont="1" applyFill="1" applyBorder="1" applyAlignment="1" applyProtection="1">
      <alignment horizontal="center" vertical="center"/>
      <protection locked="0"/>
    </xf>
    <xf numFmtId="0" fontId="203" fillId="98" borderId="3" xfId="0" applyFont="1" applyFill="1" applyBorder="1" applyAlignment="1" applyProtection="1">
      <alignment horizontal="center" vertical="center"/>
      <protection locked="0"/>
    </xf>
    <xf numFmtId="0" fontId="203" fillId="97" borderId="14" xfId="0" applyFont="1" applyFill="1" applyBorder="1" applyAlignment="1" applyProtection="1">
      <alignment horizontal="center" vertical="center"/>
      <protection locked="0"/>
    </xf>
    <xf numFmtId="0" fontId="203" fillId="97" borderId="3" xfId="0" applyFont="1" applyFill="1" applyBorder="1" applyAlignment="1" applyProtection="1">
      <alignment horizontal="center" vertical="center"/>
      <protection locked="0"/>
    </xf>
    <xf numFmtId="0" fontId="203" fillId="97" borderId="63" xfId="0" applyFont="1" applyFill="1" applyBorder="1" applyAlignment="1" applyProtection="1">
      <alignment horizontal="center" vertical="center"/>
      <protection locked="0"/>
    </xf>
    <xf numFmtId="0" fontId="19" fillId="0" borderId="292" xfId="0" applyFont="1" applyBorder="1">
      <alignment vertical="center"/>
    </xf>
    <xf numFmtId="0" fontId="19" fillId="0" borderId="295" xfId="0" applyFont="1" applyBorder="1" applyAlignment="1">
      <alignment horizontal="center" vertical="center"/>
    </xf>
    <xf numFmtId="0" fontId="19" fillId="0" borderId="99" xfId="0" applyFont="1" applyBorder="1" applyProtection="1">
      <alignment vertical="center"/>
      <protection locked="0"/>
    </xf>
    <xf numFmtId="0" fontId="19" fillId="0" borderId="9" xfId="0" applyFont="1" applyBorder="1">
      <alignment vertical="center"/>
    </xf>
    <xf numFmtId="0" fontId="19" fillId="0" borderId="9" xfId="0" applyFont="1" applyBorder="1" applyAlignment="1" applyProtection="1">
      <alignment horizontal="center" vertical="center"/>
      <protection locked="0"/>
    </xf>
    <xf numFmtId="0" fontId="19" fillId="0" borderId="94" xfId="0" applyFont="1" applyBorder="1">
      <alignment vertical="center"/>
    </xf>
    <xf numFmtId="0" fontId="124" fillId="0" borderId="0" xfId="0" applyFont="1" applyAlignment="1">
      <alignment horizontal="center" vertical="center"/>
    </xf>
    <xf numFmtId="0" fontId="203" fillId="97" borderId="300" xfId="0" applyFont="1" applyFill="1" applyBorder="1" applyAlignment="1" applyProtection="1">
      <alignment horizontal="center" vertical="center"/>
      <protection locked="0"/>
    </xf>
    <xf numFmtId="0" fontId="203" fillId="97" borderId="16" xfId="0" applyFont="1" applyFill="1" applyBorder="1" applyAlignment="1" applyProtection="1">
      <alignment horizontal="center" vertical="center"/>
      <protection locked="0"/>
    </xf>
    <xf numFmtId="0" fontId="203" fillId="97" borderId="11" xfId="0" applyFont="1" applyFill="1" applyBorder="1" applyAlignment="1" applyProtection="1">
      <alignment horizontal="center" vertical="center"/>
      <protection locked="0"/>
    </xf>
    <xf numFmtId="0" fontId="203" fillId="97" borderId="251" xfId="0" applyFont="1" applyFill="1" applyBorder="1" applyAlignment="1" applyProtection="1">
      <alignment horizontal="center" vertical="center"/>
      <protection locked="0"/>
    </xf>
    <xf numFmtId="0" fontId="203" fillId="5" borderId="3" xfId="0" applyFont="1" applyFill="1" applyBorder="1" applyAlignment="1">
      <alignment horizontal="center" vertical="center"/>
    </xf>
    <xf numFmtId="0" fontId="203" fillId="5" borderId="46" xfId="0" applyFont="1" applyFill="1" applyBorder="1" applyAlignment="1" applyProtection="1">
      <alignment horizontal="center" vertical="center"/>
      <protection locked="0"/>
    </xf>
    <xf numFmtId="0" fontId="203" fillId="5" borderId="47" xfId="0" applyFont="1" applyFill="1" applyBorder="1" applyAlignment="1" applyProtection="1">
      <alignment horizontal="center" vertical="center"/>
      <protection locked="0"/>
    </xf>
    <xf numFmtId="0" fontId="203" fillId="97" borderId="3" xfId="0" applyFont="1" applyFill="1" applyBorder="1" applyAlignment="1">
      <alignment horizontal="center" vertical="center"/>
    </xf>
    <xf numFmtId="0" fontId="17" fillId="0" borderId="0" xfId="0" applyFont="1" applyAlignment="1">
      <alignment horizontal="center" vertical="center"/>
    </xf>
    <xf numFmtId="0" fontId="203" fillId="112" borderId="149" xfId="0" applyFont="1" applyFill="1" applyBorder="1" applyAlignment="1" applyProtection="1">
      <alignment horizontal="center" vertical="center"/>
      <protection locked="0"/>
    </xf>
    <xf numFmtId="0" fontId="203" fillId="113" borderId="3" xfId="0" applyFont="1" applyFill="1" applyBorder="1" applyAlignment="1" applyProtection="1">
      <alignment horizontal="center" vertical="center"/>
      <protection locked="0"/>
    </xf>
    <xf numFmtId="0" fontId="203" fillId="112" borderId="14" xfId="0" applyFont="1" applyFill="1" applyBorder="1" applyAlignment="1" applyProtection="1">
      <alignment horizontal="center" vertical="center"/>
      <protection locked="0"/>
    </xf>
    <xf numFmtId="0" fontId="203" fillId="112" borderId="3" xfId="0" applyFont="1" applyFill="1" applyBorder="1" applyAlignment="1" applyProtection="1">
      <alignment horizontal="center" vertical="center"/>
      <protection locked="0"/>
    </xf>
    <xf numFmtId="0" fontId="203" fillId="112" borderId="63" xfId="0" applyFont="1" applyFill="1" applyBorder="1" applyAlignment="1" applyProtection="1">
      <alignment horizontal="center" vertical="center"/>
      <protection locked="0"/>
    </xf>
    <xf numFmtId="0" fontId="203" fillId="114" borderId="149" xfId="0" applyFont="1" applyFill="1" applyBorder="1" applyAlignment="1" applyProtection="1">
      <alignment horizontal="center" vertical="center"/>
      <protection locked="0"/>
    </xf>
    <xf numFmtId="0" fontId="203" fillId="115" borderId="3" xfId="0" applyFont="1" applyFill="1" applyBorder="1" applyAlignment="1" applyProtection="1">
      <alignment horizontal="center" vertical="center"/>
      <protection locked="0"/>
    </xf>
    <xf numFmtId="0" fontId="203" fillId="114" borderId="14" xfId="0" applyFont="1" applyFill="1" applyBorder="1" applyAlignment="1" applyProtection="1">
      <alignment horizontal="center" vertical="center"/>
      <protection locked="0"/>
    </xf>
    <xf numFmtId="0" fontId="203" fillId="114" borderId="3" xfId="0" applyFont="1" applyFill="1" applyBorder="1" applyAlignment="1" applyProtection="1">
      <alignment horizontal="center" vertical="center"/>
      <protection locked="0"/>
    </xf>
    <xf numFmtId="0" fontId="203" fillId="114" borderId="63" xfId="0" applyFont="1" applyFill="1" applyBorder="1" applyAlignment="1" applyProtection="1">
      <alignment horizontal="center" vertical="center"/>
      <protection locked="0"/>
    </xf>
    <xf numFmtId="0" fontId="203" fillId="105" borderId="149" xfId="0" applyFont="1" applyFill="1" applyBorder="1" applyAlignment="1" applyProtection="1">
      <alignment horizontal="center" vertical="center"/>
      <protection locked="0"/>
    </xf>
    <xf numFmtId="0" fontId="203" fillId="119" borderId="3" xfId="0" applyFont="1" applyFill="1" applyBorder="1" applyAlignment="1" applyProtection="1">
      <alignment horizontal="center" vertical="center"/>
      <protection locked="0"/>
    </xf>
    <xf numFmtId="0" fontId="203" fillId="105" borderId="14" xfId="0" applyFont="1" applyFill="1" applyBorder="1" applyAlignment="1" applyProtection="1">
      <alignment horizontal="center" vertical="center"/>
      <protection locked="0"/>
    </xf>
    <xf numFmtId="0" fontId="203" fillId="105" borderId="3" xfId="0" applyFont="1" applyFill="1" applyBorder="1" applyAlignment="1" applyProtection="1">
      <alignment horizontal="center" vertical="center"/>
      <protection locked="0"/>
    </xf>
    <xf numFmtId="0" fontId="203" fillId="105" borderId="63" xfId="0" applyFont="1" applyFill="1" applyBorder="1" applyAlignment="1" applyProtection="1">
      <alignment horizontal="center" vertical="center"/>
      <protection locked="0"/>
    </xf>
    <xf numFmtId="0" fontId="203" fillId="120" borderId="149" xfId="0" applyFont="1" applyFill="1" applyBorder="1" applyAlignment="1" applyProtection="1">
      <alignment horizontal="center" vertical="center"/>
      <protection locked="0"/>
    </xf>
    <xf numFmtId="0" fontId="203" fillId="121" borderId="3" xfId="0" applyFont="1" applyFill="1" applyBorder="1" applyAlignment="1" applyProtection="1">
      <alignment horizontal="center" vertical="center"/>
      <protection locked="0"/>
    </xf>
    <xf numFmtId="0" fontId="203" fillId="120" borderId="14" xfId="0" applyFont="1" applyFill="1" applyBorder="1" applyAlignment="1" applyProtection="1">
      <alignment horizontal="center" vertical="center"/>
      <protection locked="0"/>
    </xf>
    <xf numFmtId="0" fontId="203" fillId="120" borderId="3" xfId="0" applyFont="1" applyFill="1" applyBorder="1" applyAlignment="1" applyProtection="1">
      <alignment horizontal="center" vertical="center"/>
      <protection locked="0"/>
    </xf>
    <xf numFmtId="0" fontId="203" fillId="120" borderId="63" xfId="0" applyFont="1" applyFill="1" applyBorder="1" applyAlignment="1" applyProtection="1">
      <alignment horizontal="center" vertical="center"/>
      <protection locked="0"/>
    </xf>
    <xf numFmtId="0" fontId="19" fillId="0" borderId="0" xfId="0" applyFont="1" applyProtection="1">
      <alignment vertical="center"/>
      <protection locked="0"/>
    </xf>
    <xf numFmtId="0" fontId="19" fillId="10" borderId="0" xfId="0" applyFont="1" applyFill="1" applyProtection="1">
      <alignment vertical="center"/>
      <protection locked="0"/>
    </xf>
    <xf numFmtId="0" fontId="203" fillId="122" borderId="149" xfId="0" applyFont="1" applyFill="1" applyBorder="1" applyAlignment="1" applyProtection="1">
      <alignment horizontal="center" vertical="center"/>
      <protection locked="0"/>
    </xf>
    <xf numFmtId="0" fontId="203" fillId="123" borderId="3" xfId="0" applyFont="1" applyFill="1" applyBorder="1" applyAlignment="1" applyProtection="1">
      <alignment horizontal="center" vertical="center"/>
      <protection locked="0"/>
    </xf>
    <xf numFmtId="0" fontId="203" fillId="122" borderId="14" xfId="0" applyFont="1" applyFill="1" applyBorder="1" applyAlignment="1" applyProtection="1">
      <alignment horizontal="center" vertical="center"/>
      <protection locked="0"/>
    </xf>
    <xf numFmtId="0" fontId="203" fillId="122" borderId="3" xfId="0" applyFont="1" applyFill="1" applyBorder="1" applyAlignment="1" applyProtection="1">
      <alignment horizontal="center" vertical="center"/>
      <protection locked="0"/>
    </xf>
    <xf numFmtId="0" fontId="203" fillId="122" borderId="63" xfId="0" applyFont="1" applyFill="1" applyBorder="1" applyAlignment="1" applyProtection="1">
      <alignment horizontal="center" vertical="center"/>
      <protection locked="0"/>
    </xf>
    <xf numFmtId="0" fontId="203" fillId="125" borderId="149" xfId="0" applyFont="1" applyFill="1" applyBorder="1" applyAlignment="1" applyProtection="1">
      <alignment horizontal="center" vertical="center"/>
      <protection locked="0"/>
    </xf>
    <xf numFmtId="0" fontId="203" fillId="81" borderId="3" xfId="0" applyFont="1" applyFill="1" applyBorder="1" applyAlignment="1" applyProtection="1">
      <alignment horizontal="center" vertical="center"/>
      <protection locked="0"/>
    </xf>
    <xf numFmtId="0" fontId="203" fillId="125" borderId="14" xfId="0" applyFont="1" applyFill="1" applyBorder="1" applyAlignment="1" applyProtection="1">
      <alignment horizontal="center" vertical="center"/>
      <protection locked="0"/>
    </xf>
    <xf numFmtId="0" fontId="203" fillId="125" borderId="3" xfId="0" applyFont="1" applyFill="1" applyBorder="1" applyAlignment="1" applyProtection="1">
      <alignment horizontal="center" vertical="center"/>
      <protection locked="0"/>
    </xf>
    <xf numFmtId="0" fontId="203" fillId="125" borderId="63" xfId="0" applyFont="1" applyFill="1" applyBorder="1" applyAlignment="1" applyProtection="1">
      <alignment horizontal="center" vertical="center"/>
      <protection locked="0"/>
    </xf>
    <xf numFmtId="0" fontId="203" fillId="122" borderId="161" xfId="0" applyFont="1" applyFill="1" applyBorder="1" applyAlignment="1" applyProtection="1">
      <alignment horizontal="center" vertical="center"/>
      <protection locked="0"/>
    </xf>
    <xf numFmtId="0" fontId="203" fillId="122" borderId="324" xfId="0" applyFont="1" applyFill="1" applyBorder="1" applyAlignment="1" applyProtection="1">
      <alignment horizontal="center" vertical="center"/>
      <protection locked="0"/>
    </xf>
    <xf numFmtId="0" fontId="203" fillId="122" borderId="65" xfId="0" applyFont="1" applyFill="1" applyBorder="1" applyAlignment="1" applyProtection="1">
      <alignment horizontal="center" vertical="center"/>
      <protection locked="0"/>
    </xf>
    <xf numFmtId="0" fontId="203" fillId="122" borderId="66" xfId="0" applyFont="1" applyFill="1" applyBorder="1" applyAlignment="1" applyProtection="1">
      <alignment horizontal="center" vertical="center"/>
      <protection locked="0"/>
    </xf>
    <xf numFmtId="0" fontId="203" fillId="5" borderId="326" xfId="0" applyFont="1" applyFill="1" applyBorder="1" applyAlignment="1" applyProtection="1">
      <alignment horizontal="center" vertical="center"/>
      <protection locked="0"/>
    </xf>
    <xf numFmtId="0" fontId="203" fillId="5" borderId="22" xfId="0" applyFont="1" applyFill="1" applyBorder="1" applyAlignment="1" applyProtection="1">
      <alignment horizontal="center" vertical="center"/>
      <protection locked="0"/>
    </xf>
    <xf numFmtId="0" fontId="203" fillId="5" borderId="13" xfId="0" applyFont="1" applyFill="1" applyBorder="1" applyAlignment="1" applyProtection="1">
      <alignment horizontal="center" vertical="center"/>
      <protection locked="0"/>
    </xf>
    <xf numFmtId="0" fontId="203" fillId="5" borderId="327" xfId="0" applyFont="1" applyFill="1" applyBorder="1" applyAlignment="1" applyProtection="1">
      <alignment horizontal="center" vertical="center"/>
      <protection locked="0"/>
    </xf>
    <xf numFmtId="0" fontId="203" fillId="128" borderId="149" xfId="0" applyFont="1" applyFill="1" applyBorder="1" applyAlignment="1" applyProtection="1">
      <alignment horizontal="center" vertical="center"/>
      <protection locked="0"/>
    </xf>
    <xf numFmtId="0" fontId="203" fillId="128" borderId="3" xfId="0" applyFont="1" applyFill="1" applyBorder="1" applyAlignment="1" applyProtection="1">
      <alignment horizontal="center" vertical="center"/>
      <protection locked="0"/>
    </xf>
    <xf numFmtId="0" fontId="203" fillId="128" borderId="14" xfId="0" applyFont="1" applyFill="1" applyBorder="1" applyAlignment="1" applyProtection="1">
      <alignment horizontal="center" vertical="center"/>
      <protection locked="0"/>
    </xf>
    <xf numFmtId="0" fontId="203" fillId="128" borderId="63" xfId="0" applyFont="1" applyFill="1" applyBorder="1" applyAlignment="1" applyProtection="1">
      <alignment horizontal="center" vertical="center"/>
      <protection locked="0"/>
    </xf>
    <xf numFmtId="0" fontId="203" fillId="107" borderId="149" xfId="0" applyFont="1" applyFill="1" applyBorder="1" applyAlignment="1" applyProtection="1">
      <alignment horizontal="center" vertical="center"/>
      <protection locked="0"/>
    </xf>
    <xf numFmtId="0" fontId="203" fillId="107" borderId="3" xfId="0" applyFont="1" applyFill="1" applyBorder="1" applyAlignment="1" applyProtection="1">
      <alignment horizontal="center" vertical="center"/>
      <protection locked="0"/>
    </xf>
    <xf numFmtId="0" fontId="203" fillId="107" borderId="14" xfId="0" applyFont="1" applyFill="1" applyBorder="1" applyAlignment="1" applyProtection="1">
      <alignment horizontal="center" vertical="center"/>
      <protection locked="0"/>
    </xf>
    <xf numFmtId="0" fontId="203" fillId="107" borderId="63" xfId="0" applyFont="1" applyFill="1" applyBorder="1" applyAlignment="1" applyProtection="1">
      <alignment horizontal="center" vertical="center"/>
      <protection locked="0"/>
    </xf>
    <xf numFmtId="179" fontId="98" fillId="0" borderId="98" xfId="0" applyNumberFormat="1" applyFont="1" applyBorder="1">
      <alignment vertical="center"/>
    </xf>
    <xf numFmtId="179" fontId="98" fillId="0" borderId="163" xfId="0" applyNumberFormat="1" applyFont="1" applyBorder="1">
      <alignment vertical="center"/>
    </xf>
    <xf numFmtId="0" fontId="203" fillId="110" borderId="149" xfId="0" applyFont="1" applyFill="1" applyBorder="1" applyAlignment="1" applyProtection="1">
      <alignment horizontal="center" vertical="center"/>
      <protection locked="0"/>
    </xf>
    <xf numFmtId="0" fontId="203" fillId="129" borderId="3" xfId="0" applyFont="1" applyFill="1" applyBorder="1" applyAlignment="1" applyProtection="1">
      <alignment horizontal="center" vertical="center"/>
      <protection locked="0"/>
    </xf>
    <xf numFmtId="0" fontId="203" fillId="110" borderId="14" xfId="0" applyFont="1" applyFill="1" applyBorder="1" applyAlignment="1" applyProtection="1">
      <alignment horizontal="center" vertical="center"/>
      <protection locked="0"/>
    </xf>
    <xf numFmtId="0" fontId="203" fillId="110" borderId="3" xfId="0" applyFont="1" applyFill="1" applyBorder="1" applyAlignment="1" applyProtection="1">
      <alignment horizontal="center" vertical="center"/>
      <protection locked="0"/>
    </xf>
    <xf numFmtId="0" fontId="203" fillId="110" borderId="63" xfId="0" applyFont="1" applyFill="1" applyBorder="1" applyAlignment="1" applyProtection="1">
      <alignment horizontal="center" vertical="center"/>
      <protection locked="0"/>
    </xf>
    <xf numFmtId="0" fontId="203" fillId="111" borderId="149" xfId="0" applyFont="1" applyFill="1" applyBorder="1" applyAlignment="1" applyProtection="1">
      <alignment horizontal="center" vertical="center"/>
      <protection locked="0"/>
    </xf>
    <xf numFmtId="0" fontId="203" fillId="130" borderId="3" xfId="0" applyFont="1" applyFill="1" applyBorder="1" applyAlignment="1" applyProtection="1">
      <alignment horizontal="center" vertical="center"/>
      <protection locked="0"/>
    </xf>
    <xf numFmtId="0" fontId="203" fillId="111" borderId="14" xfId="0" applyFont="1" applyFill="1" applyBorder="1" applyAlignment="1" applyProtection="1">
      <alignment horizontal="center" vertical="center"/>
      <protection locked="0"/>
    </xf>
    <xf numFmtId="0" fontId="203" fillId="111" borderId="3" xfId="0" applyFont="1" applyFill="1" applyBorder="1" applyAlignment="1" applyProtection="1">
      <alignment horizontal="center" vertical="center"/>
      <protection locked="0"/>
    </xf>
    <xf numFmtId="0" fontId="203" fillId="111" borderId="63" xfId="0" applyFont="1" applyFill="1" applyBorder="1" applyAlignment="1" applyProtection="1">
      <alignment horizontal="center" vertical="center"/>
      <protection locked="0"/>
    </xf>
    <xf numFmtId="0" fontId="203" fillId="116" borderId="149" xfId="0" applyFont="1" applyFill="1" applyBorder="1" applyAlignment="1" applyProtection="1">
      <alignment horizontal="center" vertical="center"/>
      <protection locked="0"/>
    </xf>
    <xf numFmtId="0" fontId="203" fillId="131" borderId="3" xfId="0" applyFont="1" applyFill="1" applyBorder="1" applyAlignment="1" applyProtection="1">
      <alignment horizontal="center" vertical="center"/>
      <protection locked="0"/>
    </xf>
    <xf numFmtId="0" fontId="203" fillId="116" borderId="14" xfId="0" applyFont="1" applyFill="1" applyBorder="1" applyAlignment="1" applyProtection="1">
      <alignment horizontal="center" vertical="center"/>
      <protection locked="0"/>
    </xf>
    <xf numFmtId="0" fontId="203" fillId="116" borderId="3" xfId="0" applyFont="1" applyFill="1" applyBorder="1" applyAlignment="1" applyProtection="1">
      <alignment horizontal="center" vertical="center"/>
      <protection locked="0"/>
    </xf>
    <xf numFmtId="0" fontId="203" fillId="116" borderId="63" xfId="0" applyFont="1" applyFill="1" applyBorder="1" applyAlignment="1" applyProtection="1">
      <alignment horizontal="center" vertical="center"/>
      <protection locked="0"/>
    </xf>
    <xf numFmtId="0" fontId="203" fillId="117" borderId="149" xfId="0" applyFont="1" applyFill="1" applyBorder="1" applyAlignment="1" applyProtection="1">
      <alignment horizontal="center" vertical="center"/>
      <protection locked="0"/>
    </xf>
    <xf numFmtId="0" fontId="203" fillId="117" borderId="3" xfId="0" applyFont="1" applyFill="1" applyBorder="1" applyAlignment="1" applyProtection="1">
      <alignment horizontal="center" vertical="center"/>
      <protection locked="0"/>
    </xf>
    <xf numFmtId="0" fontId="203" fillId="117" borderId="14" xfId="0" applyFont="1" applyFill="1" applyBorder="1" applyAlignment="1" applyProtection="1">
      <alignment horizontal="center" vertical="center"/>
      <protection locked="0"/>
    </xf>
    <xf numFmtId="0" fontId="203" fillId="117" borderId="63" xfId="0" applyFont="1" applyFill="1" applyBorder="1" applyAlignment="1" applyProtection="1">
      <alignment horizontal="center" vertical="center"/>
      <protection locked="0"/>
    </xf>
    <xf numFmtId="0" fontId="203" fillId="124" borderId="149" xfId="0" applyFont="1" applyFill="1" applyBorder="1" applyAlignment="1" applyProtection="1">
      <alignment horizontal="center" vertical="center"/>
      <protection locked="0"/>
    </xf>
    <xf numFmtId="0" fontId="203" fillId="133" borderId="3" xfId="0" applyFont="1" applyFill="1" applyBorder="1" applyAlignment="1" applyProtection="1">
      <alignment horizontal="center" vertical="center"/>
      <protection locked="0"/>
    </xf>
    <xf numFmtId="0" fontId="203" fillId="124" borderId="14" xfId="0" applyFont="1" applyFill="1" applyBorder="1" applyAlignment="1" applyProtection="1">
      <alignment horizontal="center" vertical="center"/>
      <protection locked="0"/>
    </xf>
    <xf numFmtId="0" fontId="203" fillId="124" borderId="3" xfId="0" applyFont="1" applyFill="1" applyBorder="1" applyAlignment="1" applyProtection="1">
      <alignment horizontal="center" vertical="center"/>
      <protection locked="0"/>
    </xf>
    <xf numFmtId="0" fontId="203" fillId="124" borderId="63" xfId="0" applyFont="1" applyFill="1" applyBorder="1" applyAlignment="1" applyProtection="1">
      <alignment horizontal="center" vertical="center"/>
      <protection locked="0"/>
    </xf>
    <xf numFmtId="0" fontId="203" fillId="126" borderId="149" xfId="0" applyFont="1" applyFill="1" applyBorder="1" applyAlignment="1" applyProtection="1">
      <alignment horizontal="center" vertical="center"/>
      <protection locked="0"/>
    </xf>
    <xf numFmtId="0" fontId="203" fillId="134" borderId="3" xfId="0" applyFont="1" applyFill="1" applyBorder="1" applyAlignment="1" applyProtection="1">
      <alignment horizontal="center" vertical="center"/>
      <protection locked="0"/>
    </xf>
    <xf numFmtId="0" fontId="203" fillId="126" borderId="14" xfId="0" applyFont="1" applyFill="1" applyBorder="1" applyAlignment="1" applyProtection="1">
      <alignment horizontal="center" vertical="center"/>
      <protection locked="0"/>
    </xf>
    <xf numFmtId="0" fontId="203" fillId="126" borderId="3" xfId="0" applyFont="1" applyFill="1" applyBorder="1" applyAlignment="1" applyProtection="1">
      <alignment horizontal="center" vertical="center"/>
      <protection locked="0"/>
    </xf>
    <xf numFmtId="0" fontId="203" fillId="126" borderId="63" xfId="0" applyFont="1" applyFill="1" applyBorder="1" applyAlignment="1" applyProtection="1">
      <alignment horizontal="center" vertical="center"/>
      <protection locked="0"/>
    </xf>
    <xf numFmtId="0" fontId="203" fillId="124" borderId="161" xfId="0" applyFont="1" applyFill="1" applyBorder="1" applyAlignment="1" applyProtection="1">
      <alignment horizontal="center" vertical="center"/>
      <protection locked="0"/>
    </xf>
    <xf numFmtId="0" fontId="203" fillId="124" borderId="324" xfId="0" applyFont="1" applyFill="1" applyBorder="1" applyAlignment="1" applyProtection="1">
      <alignment horizontal="center" vertical="center"/>
      <protection locked="0"/>
    </xf>
    <xf numFmtId="0" fontId="203" fillId="124" borderId="65" xfId="0" applyFont="1" applyFill="1" applyBorder="1" applyAlignment="1" applyProtection="1">
      <alignment horizontal="center" vertical="center"/>
      <protection locked="0"/>
    </xf>
    <xf numFmtId="0" fontId="203" fillId="124" borderId="66" xfId="0" applyFont="1" applyFill="1" applyBorder="1" applyAlignment="1" applyProtection="1">
      <alignment horizontal="center" vertical="center"/>
      <protection locked="0"/>
    </xf>
    <xf numFmtId="0" fontId="19" fillId="0" borderId="6" xfId="0" applyFont="1" applyBorder="1">
      <alignment vertical="center"/>
    </xf>
    <xf numFmtId="0" fontId="19" fillId="0" borderId="7" xfId="0" applyFont="1" applyBorder="1">
      <alignment vertical="center"/>
    </xf>
    <xf numFmtId="0" fontId="218" fillId="0" borderId="0" xfId="0" applyFont="1">
      <alignment vertical="center"/>
    </xf>
    <xf numFmtId="0" fontId="19" fillId="0" borderId="8" xfId="0" applyFont="1" applyBorder="1">
      <alignment vertical="center"/>
    </xf>
    <xf numFmtId="0" fontId="19" fillId="0" borderId="10" xfId="0" applyFont="1" applyBorder="1">
      <alignment vertical="center"/>
    </xf>
    <xf numFmtId="0" fontId="224" fillId="0" borderId="0" xfId="0" applyFont="1" applyAlignment="1" applyProtection="1">
      <alignment vertical="top" wrapText="1"/>
      <protection locked="0"/>
    </xf>
    <xf numFmtId="0" fontId="225" fillId="0" borderId="0" xfId="0" applyFont="1" applyAlignment="1" applyProtection="1">
      <alignment vertical="top" wrapText="1"/>
      <protection locked="0"/>
    </xf>
    <xf numFmtId="0" fontId="17" fillId="0" borderId="386" xfId="0" applyFont="1" applyBorder="1" applyAlignment="1">
      <alignment horizontal="right" vertical="center" wrapText="1"/>
    </xf>
    <xf numFmtId="0" fontId="17" fillId="0" borderId="0" xfId="0" applyFont="1" applyAlignment="1" applyProtection="1">
      <alignment horizontal="center" vertical="center" wrapText="1"/>
      <protection locked="0"/>
    </xf>
    <xf numFmtId="0" fontId="19" fillId="0" borderId="15" xfId="0" applyFont="1" applyBorder="1" applyAlignment="1">
      <alignment horizontal="center" vertical="center"/>
    </xf>
    <xf numFmtId="0" fontId="231" fillId="0" borderId="0" xfId="0" applyFont="1" applyAlignment="1">
      <alignment vertical="top" wrapText="1"/>
    </xf>
    <xf numFmtId="0" fontId="232" fillId="0" borderId="0" xfId="0" applyFont="1" applyAlignment="1">
      <alignment vertical="top"/>
    </xf>
    <xf numFmtId="0" fontId="12" fillId="5" borderId="23" xfId="0" applyFont="1" applyFill="1" applyBorder="1" applyAlignment="1">
      <alignment vertical="center" wrapText="1"/>
    </xf>
    <xf numFmtId="0" fontId="5" fillId="0" borderId="394" xfId="0" applyFont="1" applyBorder="1" applyProtection="1">
      <alignment vertical="center"/>
      <protection locked="0"/>
    </xf>
    <xf numFmtId="0" fontId="5" fillId="0" borderId="384" xfId="0" applyFont="1" applyBorder="1" applyProtection="1">
      <alignment vertical="center"/>
      <protection locked="0"/>
    </xf>
    <xf numFmtId="0" fontId="5" fillId="0" borderId="395" xfId="0" applyFont="1" applyBorder="1" applyProtection="1">
      <alignment vertical="center"/>
      <protection locked="0"/>
    </xf>
    <xf numFmtId="0" fontId="58" fillId="9" borderId="7" xfId="0" quotePrefix="1" applyFont="1" applyFill="1" applyBorder="1" applyAlignment="1">
      <alignment horizontal="center" vertical="center"/>
    </xf>
    <xf numFmtId="0" fontId="58" fillId="0" borderId="7" xfId="0" quotePrefix="1" applyFont="1" applyBorder="1" applyAlignment="1">
      <alignment horizontal="center" vertical="center"/>
    </xf>
    <xf numFmtId="0" fontId="58" fillId="0" borderId="10" xfId="0" quotePrefix="1" applyFont="1" applyBorder="1" applyAlignment="1">
      <alignment horizontal="center" vertical="center"/>
    </xf>
    <xf numFmtId="0" fontId="38" fillId="0" borderId="0" xfId="0" quotePrefix="1" applyFont="1" applyAlignment="1">
      <alignment horizontal="center" vertical="center"/>
    </xf>
    <xf numFmtId="0" fontId="38" fillId="0" borderId="7" xfId="0" quotePrefix="1" applyFont="1" applyBorder="1" applyAlignment="1">
      <alignment horizontal="center" vertical="center"/>
    </xf>
    <xf numFmtId="0" fontId="38" fillId="0" borderId="17" xfId="0" quotePrefix="1" applyFont="1" applyBorder="1" applyAlignment="1">
      <alignment horizontal="center" vertical="center"/>
    </xf>
    <xf numFmtId="0" fontId="38" fillId="12" borderId="0" xfId="0" quotePrefix="1" applyFont="1" applyFill="1" applyAlignment="1">
      <alignment horizontal="center" vertical="center"/>
    </xf>
    <xf numFmtId="0" fontId="38" fillId="12" borderId="0" xfId="6" quotePrefix="1" applyFont="1" applyFill="1" applyAlignment="1" applyProtection="1">
      <alignment horizontal="center" vertical="center"/>
    </xf>
    <xf numFmtId="0" fontId="38" fillId="14" borderId="0" xfId="0" quotePrefix="1" applyFont="1" applyFill="1" applyAlignment="1">
      <alignment horizontal="center" vertical="center"/>
    </xf>
    <xf numFmtId="0" fontId="31" fillId="0" borderId="7" xfId="6" quotePrefix="1" applyFont="1" applyBorder="1" applyAlignment="1" applyProtection="1">
      <alignment horizontal="center" vertical="center"/>
    </xf>
    <xf numFmtId="0" fontId="38" fillId="15" borderId="0" xfId="0" quotePrefix="1" applyFont="1" applyFill="1" applyAlignment="1">
      <alignment horizontal="center" vertical="center"/>
    </xf>
    <xf numFmtId="0" fontId="46" fillId="0" borderId="7" xfId="0" quotePrefix="1" applyFont="1" applyBorder="1" applyAlignment="1">
      <alignment horizontal="center" vertical="center"/>
    </xf>
    <xf numFmtId="0" fontId="46" fillId="17" borderId="0" xfId="0" quotePrefix="1" applyFont="1" applyFill="1" applyAlignment="1">
      <alignment horizontal="center" vertical="center"/>
    </xf>
    <xf numFmtId="0" fontId="46" fillId="14" borderId="7" xfId="0" quotePrefix="1" applyFont="1" applyFill="1" applyBorder="1" applyAlignment="1">
      <alignment horizontal="center" vertical="center"/>
    </xf>
    <xf numFmtId="0" fontId="46" fillId="0" borderId="0" xfId="0" quotePrefix="1" applyFont="1" applyAlignment="1">
      <alignment horizontal="center" vertical="center"/>
    </xf>
    <xf numFmtId="0" fontId="46" fillId="22" borderId="0" xfId="0" quotePrefix="1" applyFont="1" applyFill="1" applyAlignment="1">
      <alignment horizontal="center" vertical="center"/>
    </xf>
    <xf numFmtId="58" fontId="46" fillId="24" borderId="7" xfId="0" quotePrefix="1" applyNumberFormat="1" applyFont="1" applyFill="1" applyBorder="1" applyAlignment="1">
      <alignment horizontal="center" vertical="center"/>
    </xf>
    <xf numFmtId="0" fontId="31" fillId="0" borderId="0" xfId="6" quotePrefix="1" applyFont="1" applyAlignment="1" applyProtection="1">
      <alignment horizontal="center" vertical="center"/>
    </xf>
    <xf numFmtId="0" fontId="46" fillId="14" borderId="0" xfId="0" quotePrefix="1" applyFont="1" applyFill="1" applyAlignment="1">
      <alignment horizontal="center" vertical="center"/>
    </xf>
    <xf numFmtId="0" fontId="46" fillId="25" borderId="0" xfId="0" quotePrefix="1" applyFont="1" applyFill="1" applyAlignment="1">
      <alignment horizontal="center" vertical="center"/>
    </xf>
    <xf numFmtId="0" fontId="31" fillId="25" borderId="0" xfId="6" quotePrefix="1" applyFont="1" applyFill="1" applyAlignment="1" applyProtection="1">
      <alignment horizontal="center" vertical="center"/>
    </xf>
    <xf numFmtId="0" fontId="46" fillId="26" borderId="0" xfId="0" quotePrefix="1" applyFont="1" applyFill="1" applyAlignment="1">
      <alignment horizontal="center" vertical="center"/>
    </xf>
    <xf numFmtId="58" fontId="46" fillId="10" borderId="7" xfId="0" quotePrefix="1" applyNumberFormat="1" applyFont="1" applyFill="1" applyBorder="1" applyAlignment="1">
      <alignment horizontal="center" vertical="center"/>
    </xf>
    <xf numFmtId="58" fontId="31" fillId="10" borderId="7" xfId="0" quotePrefix="1" applyNumberFormat="1" applyFont="1" applyFill="1" applyBorder="1" applyAlignment="1">
      <alignment horizontal="center" vertical="center"/>
    </xf>
    <xf numFmtId="0" fontId="20" fillId="0" borderId="149" xfId="0" applyFont="1" applyBorder="1" applyAlignment="1" applyProtection="1">
      <alignment horizontal="center" vertical="center" wrapText="1"/>
      <protection locked="0"/>
    </xf>
    <xf numFmtId="0" fontId="20" fillId="0" borderId="3" xfId="0" applyFont="1" applyBorder="1" applyAlignment="1" applyProtection="1">
      <alignment horizontal="center" vertical="center" wrapText="1"/>
      <protection locked="0"/>
    </xf>
    <xf numFmtId="0" fontId="20" fillId="0" borderId="161" xfId="0" applyFont="1" applyBorder="1" applyAlignment="1" applyProtection="1">
      <alignment horizontal="center" vertical="center" wrapText="1"/>
      <protection locked="0"/>
    </xf>
    <xf numFmtId="0" fontId="20" fillId="0" borderId="65" xfId="0" applyFont="1" applyBorder="1" applyAlignment="1" applyProtection="1">
      <alignment horizontal="center" vertical="center" wrapText="1"/>
      <protection locked="0"/>
    </xf>
    <xf numFmtId="0" fontId="20" fillId="0" borderId="16" xfId="0" applyFont="1" applyBorder="1" applyAlignment="1" applyProtection="1">
      <alignment horizontal="center" vertical="center" wrapText="1"/>
      <protection locked="0"/>
    </xf>
    <xf numFmtId="0" fontId="20" fillId="0" borderId="17" xfId="0" applyFont="1" applyBorder="1" applyAlignment="1" applyProtection="1">
      <alignment horizontal="center" vertical="center" wrapText="1"/>
      <protection locked="0"/>
    </xf>
    <xf numFmtId="0" fontId="20" fillId="0" borderId="20" xfId="0" applyFont="1" applyBorder="1" applyAlignment="1" applyProtection="1">
      <alignment horizontal="center" vertical="center" wrapText="1"/>
      <protection locked="0"/>
    </xf>
    <xf numFmtId="0" fontId="20" fillId="0" borderId="0" xfId="0" applyFont="1" applyAlignment="1" applyProtection="1">
      <alignment horizontal="center" vertical="center" wrapText="1"/>
      <protection locked="0"/>
    </xf>
    <xf numFmtId="0" fontId="20" fillId="0" borderId="157" xfId="0" applyFont="1" applyBorder="1" applyAlignment="1" applyProtection="1">
      <alignment horizontal="center" vertical="center" wrapText="1"/>
      <protection locked="0"/>
    </xf>
    <xf numFmtId="0" fontId="20" fillId="0" borderId="9" xfId="0" applyFont="1" applyBorder="1" applyAlignment="1" applyProtection="1">
      <alignment horizontal="center" vertical="center" wrapText="1"/>
      <protection locked="0"/>
    </xf>
    <xf numFmtId="0" fontId="12" fillId="127" borderId="149" xfId="0" applyFont="1" applyFill="1" applyBorder="1" applyAlignment="1">
      <alignment horizontal="center" vertical="center" wrapText="1"/>
    </xf>
    <xf numFmtId="0" fontId="12" fillId="127" borderId="3" xfId="0" applyFont="1" applyFill="1" applyBorder="1" applyAlignment="1">
      <alignment horizontal="center" vertical="center" wrapText="1"/>
    </xf>
    <xf numFmtId="0" fontId="20" fillId="5" borderId="386" xfId="0" applyFont="1" applyFill="1" applyBorder="1" applyAlignment="1">
      <alignment horizontal="center" vertical="center"/>
    </xf>
    <xf numFmtId="0" fontId="20" fillId="5" borderId="0" xfId="0" applyFont="1" applyFill="1" applyAlignment="1">
      <alignment horizontal="center" vertical="center"/>
    </xf>
    <xf numFmtId="0" fontId="98" fillId="5" borderId="0" xfId="0" applyFont="1" applyFill="1" applyAlignment="1">
      <alignment horizontal="center" vertical="center"/>
    </xf>
    <xf numFmtId="0" fontId="98" fillId="5" borderId="7" xfId="0" applyFont="1" applyFill="1" applyBorder="1" applyAlignment="1">
      <alignment horizontal="center" vertical="center"/>
    </xf>
    <xf numFmtId="0" fontId="20" fillId="0" borderId="6" xfId="0" applyFont="1" applyBorder="1" applyAlignment="1" applyProtection="1">
      <alignment horizontal="center" vertical="center" wrapText="1"/>
      <protection locked="0"/>
    </xf>
    <xf numFmtId="0" fontId="20" fillId="0" borderId="7" xfId="0" applyFont="1" applyBorder="1" applyAlignment="1" applyProtection="1">
      <alignment horizontal="center" vertical="center" wrapText="1"/>
      <protection locked="0"/>
    </xf>
    <xf numFmtId="0" fontId="20" fillId="0" borderId="8" xfId="0" applyFont="1" applyBorder="1" applyAlignment="1" applyProtection="1">
      <alignment horizontal="center" vertical="center" wrapText="1"/>
      <protection locked="0"/>
    </xf>
    <xf numFmtId="0" fontId="20" fillId="0" borderId="10" xfId="0" applyFont="1" applyBorder="1" applyAlignment="1" applyProtection="1">
      <alignment horizontal="center" vertical="center" wrapText="1"/>
      <protection locked="0"/>
    </xf>
    <xf numFmtId="0" fontId="0" fillId="0" borderId="3" xfId="0" applyBorder="1" applyAlignment="1" applyProtection="1">
      <alignment horizontal="center" vertical="center"/>
      <protection locked="0"/>
    </xf>
    <xf numFmtId="0" fontId="194" fillId="0" borderId="3" xfId="0" applyFont="1" applyBorder="1" applyAlignment="1" applyProtection="1">
      <alignment horizontal="center" vertical="center" wrapText="1"/>
      <protection locked="0"/>
    </xf>
    <xf numFmtId="0" fontId="0" fillId="0" borderId="16"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0" borderId="24"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19" fillId="0" borderId="6"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9" fillId="0" borderId="7" xfId="0" applyFont="1" applyBorder="1" applyAlignment="1" applyProtection="1">
      <alignment horizontal="center" vertical="center"/>
      <protection locked="0"/>
    </xf>
    <xf numFmtId="0" fontId="19" fillId="0" borderId="8" xfId="0" applyFont="1" applyBorder="1" applyAlignment="1" applyProtection="1">
      <alignment horizontal="center" vertical="center"/>
      <protection locked="0"/>
    </xf>
    <xf numFmtId="0" fontId="19" fillId="0" borderId="9" xfId="0" applyFont="1" applyBorder="1" applyAlignment="1" applyProtection="1">
      <alignment horizontal="center" vertical="center"/>
      <protection locked="0"/>
    </xf>
    <xf numFmtId="0" fontId="19" fillId="0" borderId="10" xfId="0" applyFont="1" applyBorder="1" applyAlignment="1" applyProtection="1">
      <alignment horizontal="center" vertical="center"/>
      <protection locked="0"/>
    </xf>
    <xf numFmtId="0" fontId="194" fillId="0" borderId="0" xfId="0" applyFont="1" applyAlignment="1">
      <alignment horizontal="center" vertical="center" wrapText="1"/>
    </xf>
    <xf numFmtId="49" fontId="19" fillId="0" borderId="3" xfId="0" applyNumberFormat="1" applyFont="1" applyBorder="1" applyAlignment="1" applyProtection="1">
      <alignment horizontal="center" vertical="center" wrapText="1"/>
      <protection locked="0"/>
    </xf>
    <xf numFmtId="49" fontId="5" fillId="0" borderId="3" xfId="0" applyNumberFormat="1" applyFont="1" applyBorder="1" applyAlignment="1" applyProtection="1">
      <alignment horizontal="center" vertical="center" wrapText="1"/>
      <protection locked="0"/>
    </xf>
    <xf numFmtId="0" fontId="98" fillId="0" borderId="3" xfId="0" applyFont="1" applyBorder="1" applyAlignment="1" applyProtection="1">
      <alignment horizontal="center" vertical="top" wrapText="1"/>
      <protection locked="0"/>
    </xf>
    <xf numFmtId="0" fontId="161" fillId="0" borderId="0" xfId="0" applyFont="1" applyAlignment="1">
      <alignment horizontal="center" vertical="center" wrapText="1"/>
    </xf>
    <xf numFmtId="0" fontId="161" fillId="0" borderId="0" xfId="0" applyFont="1" applyAlignment="1">
      <alignment horizontal="center" vertical="center"/>
    </xf>
    <xf numFmtId="0" fontId="232" fillId="0" borderId="0" xfId="0" applyFont="1" applyAlignment="1">
      <alignment horizontal="center" vertical="top" wrapText="1"/>
    </xf>
    <xf numFmtId="0" fontId="232" fillId="0" borderId="0" xfId="0" applyFont="1" applyAlignment="1">
      <alignment horizontal="center" vertical="top"/>
    </xf>
    <xf numFmtId="0" fontId="231" fillId="0" borderId="0" xfId="0" applyFont="1" applyAlignment="1">
      <alignment horizontal="center" vertical="top" wrapText="1"/>
    </xf>
    <xf numFmtId="0" fontId="5" fillId="0" borderId="79" xfId="0" applyFont="1" applyBorder="1" applyAlignment="1">
      <alignment horizontal="center" vertical="center" wrapText="1"/>
    </xf>
    <xf numFmtId="0" fontId="5" fillId="0" borderId="259" xfId="0" applyFont="1" applyBorder="1" applyAlignment="1">
      <alignment horizontal="center" vertical="center" wrapText="1"/>
    </xf>
    <xf numFmtId="0" fontId="5" fillId="0" borderId="6" xfId="0" applyFont="1" applyBorder="1" applyAlignment="1">
      <alignment horizontal="center" vertical="center" wrapText="1"/>
    </xf>
    <xf numFmtId="0" fontId="5" fillId="0" borderId="93" xfId="0" applyFont="1" applyBorder="1" applyAlignment="1">
      <alignment horizontal="center" vertical="center" wrapText="1"/>
    </xf>
    <xf numFmtId="0" fontId="5" fillId="0" borderId="84" xfId="0" applyFont="1" applyBorder="1" applyAlignment="1">
      <alignment horizontal="center" vertical="center" wrapText="1"/>
    </xf>
    <xf numFmtId="0" fontId="5" fillId="0" borderId="142" xfId="0" applyFont="1" applyBorder="1" applyAlignment="1">
      <alignment horizontal="center" vertical="center" wrapText="1"/>
    </xf>
    <xf numFmtId="0" fontId="98" fillId="9" borderId="79" xfId="0" applyFont="1" applyFill="1" applyBorder="1" applyAlignment="1">
      <alignment horizontal="center" vertical="center" wrapText="1"/>
    </xf>
    <xf numFmtId="0" fontId="98" fillId="9" borderId="259" xfId="0" applyFont="1" applyFill="1" applyBorder="1" applyAlignment="1">
      <alignment horizontal="center" vertical="center" wrapText="1"/>
    </xf>
    <xf numFmtId="0" fontId="98" fillId="9" borderId="84" xfId="0" applyFont="1" applyFill="1" applyBorder="1" applyAlignment="1">
      <alignment horizontal="center" vertical="center" wrapText="1"/>
    </xf>
    <xf numFmtId="0" fontId="98" fillId="9" borderId="142" xfId="0" applyFont="1" applyFill="1" applyBorder="1" applyAlignment="1">
      <alignment horizontal="center" vertical="center" wrapText="1"/>
    </xf>
    <xf numFmtId="0" fontId="98" fillId="0" borderId="79" xfId="0" applyFont="1" applyBorder="1" applyAlignment="1">
      <alignment horizontal="center" vertical="center" wrapText="1"/>
    </xf>
    <xf numFmtId="0" fontId="98" fillId="0" borderId="259" xfId="0" applyFont="1" applyBorder="1" applyAlignment="1">
      <alignment horizontal="center" vertical="center" wrapText="1"/>
    </xf>
    <xf numFmtId="0" fontId="98" fillId="0" borderId="8" xfId="0" applyFont="1" applyBorder="1" applyAlignment="1">
      <alignment horizontal="center" vertical="center" wrapText="1"/>
    </xf>
    <xf numFmtId="0" fontId="98" fillId="0" borderId="94" xfId="0" applyFont="1" applyBorder="1" applyAlignment="1">
      <alignment horizontal="center" vertical="center" wrapText="1"/>
    </xf>
    <xf numFmtId="179" fontId="98" fillId="0" borderId="82" xfId="0" applyNumberFormat="1" applyFont="1" applyBorder="1" applyAlignment="1">
      <alignment horizontal="center" vertical="center"/>
    </xf>
    <xf numFmtId="179" fontId="98" fillId="0" borderId="259" xfId="0" applyNumberFormat="1" applyFont="1" applyBorder="1" applyAlignment="1">
      <alignment horizontal="center" vertical="center"/>
    </xf>
    <xf numFmtId="179" fontId="98" fillId="0" borderId="99" xfId="0" applyNumberFormat="1" applyFont="1" applyBorder="1" applyAlignment="1">
      <alignment horizontal="center" vertical="center"/>
    </xf>
    <xf numFmtId="179" fontId="98" fillId="0" borderId="94" xfId="0" applyNumberFormat="1" applyFont="1" applyBorder="1" applyAlignment="1">
      <alignment horizontal="center" vertical="center"/>
    </xf>
    <xf numFmtId="0" fontId="12" fillId="9" borderId="82" xfId="0" applyFont="1" applyFill="1" applyBorder="1" applyAlignment="1">
      <alignment horizontal="center" vertical="center"/>
    </xf>
    <xf numFmtId="0" fontId="12" fillId="9" borderId="80" xfId="0" applyFont="1" applyFill="1" applyBorder="1" applyAlignment="1">
      <alignment horizontal="center" vertical="center"/>
    </xf>
    <xf numFmtId="0" fontId="12" fillId="9" borderId="259" xfId="0" applyFont="1" applyFill="1" applyBorder="1" applyAlignment="1">
      <alignment horizontal="center" vertical="center"/>
    </xf>
    <xf numFmtId="0" fontId="12" fillId="9" borderId="88" xfId="0" applyFont="1" applyFill="1" applyBorder="1" applyAlignment="1">
      <alignment horizontal="center" vertical="center"/>
    </xf>
    <xf numFmtId="0" fontId="12" fillId="9" borderId="85" xfId="0" applyFont="1" applyFill="1" applyBorder="1" applyAlignment="1">
      <alignment horizontal="center" vertical="center"/>
    </xf>
    <xf numFmtId="0" fontId="12" fillId="9" borderId="142" xfId="0" applyFont="1" applyFill="1" applyBorder="1" applyAlignment="1">
      <alignment horizontal="center" vertical="center"/>
    </xf>
    <xf numFmtId="0" fontId="12" fillId="0" borderId="82" xfId="0" applyFont="1" applyBorder="1" applyAlignment="1">
      <alignment horizontal="center" vertical="center"/>
    </xf>
    <xf numFmtId="0" fontId="12" fillId="0" borderId="80" xfId="0" applyFont="1" applyBorder="1" applyAlignment="1">
      <alignment horizontal="center" vertical="center"/>
    </xf>
    <xf numFmtId="0" fontId="12" fillId="0" borderId="259" xfId="0" applyFont="1" applyBorder="1" applyAlignment="1">
      <alignment horizontal="center" vertical="center"/>
    </xf>
    <xf numFmtId="0" fontId="12" fillId="0" borderId="87" xfId="0" applyFont="1" applyBorder="1" applyAlignment="1">
      <alignment horizontal="center" vertical="center"/>
    </xf>
    <xf numFmtId="0" fontId="12" fillId="0" borderId="0" xfId="0" applyFont="1" applyAlignment="1">
      <alignment horizontal="center" vertical="center"/>
    </xf>
    <xf numFmtId="0" fontId="12" fillId="0" borderId="93" xfId="0" applyFont="1" applyBorder="1" applyAlignment="1">
      <alignment horizontal="center" vertical="center"/>
    </xf>
    <xf numFmtId="0" fontId="12" fillId="0" borderId="88" xfId="0" applyFont="1" applyBorder="1" applyAlignment="1">
      <alignment horizontal="center" vertical="center"/>
    </xf>
    <xf numFmtId="0" fontId="12" fillId="0" borderId="85" xfId="0" applyFont="1" applyBorder="1" applyAlignment="1">
      <alignment horizontal="center" vertical="center"/>
    </xf>
    <xf numFmtId="0" fontId="12" fillId="0" borderId="142" xfId="0" applyFont="1" applyBorder="1" applyAlignment="1">
      <alignment horizontal="center" vertical="center"/>
    </xf>
    <xf numFmtId="0" fontId="177" fillId="91" borderId="1" xfId="0" applyFont="1" applyFill="1" applyBorder="1" applyAlignment="1">
      <alignment horizontal="center" vertical="center"/>
    </xf>
    <xf numFmtId="0" fontId="177" fillId="91" borderId="2" xfId="0" applyFont="1" applyFill="1" applyBorder="1" applyAlignment="1">
      <alignment horizontal="center" vertical="center"/>
    </xf>
    <xf numFmtId="0" fontId="177" fillId="91" borderId="4" xfId="0" applyFont="1" applyFill="1" applyBorder="1" applyAlignment="1">
      <alignment horizontal="center" vertical="center"/>
    </xf>
    <xf numFmtId="0" fontId="177" fillId="91" borderId="6" xfId="0" applyFont="1" applyFill="1" applyBorder="1" applyAlignment="1">
      <alignment horizontal="center" vertical="center"/>
    </xf>
    <xf numFmtId="0" fontId="177" fillId="91" borderId="0" xfId="0" applyFont="1" applyFill="1" applyAlignment="1">
      <alignment horizontal="center" vertical="center"/>
    </xf>
    <xf numFmtId="0" fontId="177" fillId="91" borderId="7" xfId="0" applyFont="1" applyFill="1" applyBorder="1" applyAlignment="1">
      <alignment horizontal="center" vertical="center"/>
    </xf>
    <xf numFmtId="0" fontId="177" fillId="91" borderId="8" xfId="0" applyFont="1" applyFill="1" applyBorder="1" applyAlignment="1">
      <alignment horizontal="center" vertical="center"/>
    </xf>
    <xf numFmtId="0" fontId="177" fillId="91" borderId="9" xfId="0" applyFont="1" applyFill="1" applyBorder="1" applyAlignment="1">
      <alignment horizontal="center" vertical="center"/>
    </xf>
    <xf numFmtId="0" fontId="177" fillId="91" borderId="10" xfId="0" applyFont="1" applyFill="1" applyBorder="1" applyAlignment="1">
      <alignment horizontal="center" vertical="center"/>
    </xf>
    <xf numFmtId="188" fontId="217" fillId="0" borderId="148" xfId="0" applyNumberFormat="1" applyFont="1" applyBorder="1" applyAlignment="1">
      <alignment horizontal="center" vertical="center"/>
    </xf>
    <xf numFmtId="188" fontId="217" fillId="0" borderId="98" xfId="0" applyNumberFormat="1" applyFont="1" applyBorder="1" applyAlignment="1">
      <alignment horizontal="center" vertical="center"/>
    </xf>
    <xf numFmtId="188" fontId="217" fillId="0" borderId="81" xfId="0" applyNumberFormat="1" applyFont="1" applyBorder="1" applyAlignment="1">
      <alignment horizontal="center" vertical="center"/>
    </xf>
    <xf numFmtId="188" fontId="217" fillId="0" borderId="162" xfId="0" applyNumberFormat="1" applyFont="1" applyBorder="1" applyAlignment="1">
      <alignment horizontal="center" vertical="center"/>
    </xf>
    <xf numFmtId="188" fontId="217" fillId="0" borderId="163" xfId="0" applyNumberFormat="1" applyFont="1" applyBorder="1" applyAlignment="1">
      <alignment horizontal="center" vertical="center"/>
    </xf>
    <xf numFmtId="188" fontId="217" fillId="0" borderId="100" xfId="0" applyNumberFormat="1" applyFont="1" applyBorder="1" applyAlignment="1">
      <alignment horizontal="center" vertical="center"/>
    </xf>
    <xf numFmtId="0" fontId="203" fillId="10" borderId="146" xfId="0" applyFont="1" applyFill="1" applyBorder="1" applyAlignment="1">
      <alignment horizontal="center" vertical="center" wrapText="1"/>
    </xf>
    <xf numFmtId="0" fontId="203" fillId="10" borderId="147" xfId="0" applyFont="1" applyFill="1" applyBorder="1" applyAlignment="1">
      <alignment horizontal="center" vertical="center" wrapText="1"/>
    </xf>
    <xf numFmtId="0" fontId="203" fillId="10" borderId="98" xfId="0" applyFont="1" applyFill="1" applyBorder="1" applyAlignment="1">
      <alignment horizontal="center" vertical="center" wrapText="1"/>
    </xf>
    <xf numFmtId="0" fontId="203" fillId="10" borderId="37" xfId="0" applyFont="1" applyFill="1" applyBorder="1" applyAlignment="1">
      <alignment horizontal="center" vertical="center" wrapText="1"/>
    </xf>
    <xf numFmtId="0" fontId="203" fillId="10" borderId="163" xfId="0" applyFont="1" applyFill="1" applyBorder="1" applyAlignment="1">
      <alignment horizontal="center" vertical="center" wrapText="1"/>
    </xf>
    <xf numFmtId="0" fontId="203" fillId="10" borderId="164" xfId="0" applyFont="1" applyFill="1" applyBorder="1" applyAlignment="1">
      <alignment horizontal="center" vertical="center" wrapText="1"/>
    </xf>
    <xf numFmtId="0" fontId="145" fillId="10" borderId="79" xfId="0" applyFont="1" applyFill="1" applyBorder="1" applyAlignment="1">
      <alignment horizontal="center" vertical="top" wrapText="1"/>
    </xf>
    <xf numFmtId="0" fontId="145" fillId="10" borderId="80" xfId="0" applyFont="1" applyFill="1" applyBorder="1" applyAlignment="1">
      <alignment horizontal="center" vertical="top" wrapText="1"/>
    </xf>
    <xf numFmtId="0" fontId="145" fillId="10" borderId="83" xfId="0" applyFont="1" applyFill="1" applyBorder="1" applyAlignment="1">
      <alignment horizontal="center" vertical="top" wrapText="1"/>
    </xf>
    <xf numFmtId="0" fontId="145" fillId="10" borderId="6" xfId="0" applyFont="1" applyFill="1" applyBorder="1" applyAlignment="1">
      <alignment horizontal="center" vertical="top" wrapText="1"/>
    </xf>
    <xf numFmtId="0" fontId="145" fillId="10" borderId="0" xfId="0" applyFont="1" applyFill="1" applyAlignment="1">
      <alignment horizontal="center" vertical="top" wrapText="1"/>
    </xf>
    <xf numFmtId="0" fontId="145" fillId="10" borderId="7" xfId="0" applyFont="1" applyFill="1" applyBorder="1" applyAlignment="1">
      <alignment horizontal="center" vertical="top" wrapText="1"/>
    </xf>
    <xf numFmtId="0" fontId="145" fillId="10" borderId="84" xfId="0" applyFont="1" applyFill="1" applyBorder="1" applyAlignment="1">
      <alignment horizontal="center" vertical="top" wrapText="1"/>
    </xf>
    <xf numFmtId="0" fontId="145" fillId="10" borderId="85" xfId="0" applyFont="1" applyFill="1" applyBorder="1" applyAlignment="1">
      <alignment horizontal="center" vertical="top" wrapText="1"/>
    </xf>
    <xf numFmtId="0" fontId="145" fillId="10" borderId="89" xfId="0" applyFont="1" applyFill="1" applyBorder="1" applyAlignment="1">
      <alignment horizontal="center" vertical="top" wrapText="1"/>
    </xf>
    <xf numFmtId="0" fontId="101" fillId="10" borderId="160" xfId="0" applyFont="1" applyFill="1" applyBorder="1" applyAlignment="1">
      <alignment horizontal="center" vertical="top" wrapText="1"/>
    </xf>
    <xf numFmtId="0" fontId="101" fillId="10" borderId="5" xfId="0" applyFont="1" applyFill="1" applyBorder="1" applyAlignment="1">
      <alignment horizontal="center" vertical="top" wrapText="1"/>
    </xf>
    <xf numFmtId="0" fontId="101" fillId="10" borderId="154" xfId="0" applyFont="1" applyFill="1" applyBorder="1" applyAlignment="1">
      <alignment horizontal="center" vertical="top" wrapText="1"/>
    </xf>
    <xf numFmtId="0" fontId="101" fillId="10" borderId="149" xfId="0" applyFont="1" applyFill="1" applyBorder="1" applyAlignment="1">
      <alignment horizontal="center" vertical="top" wrapText="1"/>
    </xf>
    <xf numFmtId="0" fontId="101" fillId="10" borderId="3" xfId="0" applyFont="1" applyFill="1" applyBorder="1" applyAlignment="1">
      <alignment horizontal="center" vertical="top" wrapText="1"/>
    </xf>
    <xf numFmtId="0" fontId="101" fillId="10" borderId="63" xfId="0" applyFont="1" applyFill="1" applyBorder="1" applyAlignment="1">
      <alignment horizontal="center" vertical="top" wrapText="1"/>
    </xf>
    <xf numFmtId="0" fontId="101" fillId="10" borderId="161" xfId="0" applyFont="1" applyFill="1" applyBorder="1" applyAlignment="1">
      <alignment horizontal="center" vertical="top" wrapText="1"/>
    </xf>
    <xf numFmtId="0" fontId="101" fillId="10" borderId="65" xfId="0" applyFont="1" applyFill="1" applyBorder="1" applyAlignment="1">
      <alignment horizontal="center" vertical="top" wrapText="1"/>
    </xf>
    <xf numFmtId="0" fontId="101" fillId="10" borderId="66" xfId="0" applyFont="1" applyFill="1" applyBorder="1" applyAlignment="1">
      <alignment horizontal="center" vertical="top" wrapText="1"/>
    </xf>
    <xf numFmtId="0" fontId="46" fillId="10" borderId="79" xfId="0" applyFont="1" applyFill="1" applyBorder="1" applyAlignment="1">
      <alignment horizontal="left" vertical="top" wrapText="1"/>
    </xf>
    <xf numFmtId="0" fontId="46" fillId="10" borderId="80" xfId="0" applyFont="1" applyFill="1" applyBorder="1" applyAlignment="1">
      <alignment horizontal="left" vertical="top" wrapText="1"/>
    </xf>
    <xf numFmtId="0" fontId="46" fillId="10" borderId="83" xfId="0" applyFont="1" applyFill="1" applyBorder="1" applyAlignment="1">
      <alignment horizontal="left" vertical="top" wrapText="1"/>
    </xf>
    <xf numFmtId="0" fontId="46" fillId="10" borderId="6" xfId="0" applyFont="1" applyFill="1" applyBorder="1" applyAlignment="1">
      <alignment horizontal="left" vertical="top" wrapText="1"/>
    </xf>
    <xf numFmtId="0" fontId="46" fillId="10" borderId="0" xfId="0" applyFont="1" applyFill="1" applyAlignment="1">
      <alignment horizontal="left" vertical="top" wrapText="1"/>
    </xf>
    <xf numFmtId="0" fontId="46" fillId="10" borderId="7" xfId="0" applyFont="1" applyFill="1" applyBorder="1" applyAlignment="1">
      <alignment horizontal="left" vertical="top" wrapText="1"/>
    </xf>
    <xf numFmtId="0" fontId="46" fillId="10" borderId="84" xfId="0" applyFont="1" applyFill="1" applyBorder="1" applyAlignment="1">
      <alignment horizontal="left" vertical="top" wrapText="1"/>
    </xf>
    <xf numFmtId="0" fontId="46" fillId="10" borderId="85" xfId="0" applyFont="1" applyFill="1" applyBorder="1" applyAlignment="1">
      <alignment horizontal="left" vertical="top" wrapText="1"/>
    </xf>
    <xf numFmtId="0" fontId="46" fillId="10" borderId="89" xfId="0" applyFont="1" applyFill="1" applyBorder="1" applyAlignment="1">
      <alignment horizontal="left" vertical="top" wrapText="1"/>
    </xf>
    <xf numFmtId="178" fontId="12" fillId="10" borderId="79" xfId="0" applyNumberFormat="1" applyFont="1" applyFill="1" applyBorder="1" applyAlignment="1">
      <alignment horizontal="center" vertical="top" wrapText="1"/>
    </xf>
    <xf numFmtId="178" fontId="12" fillId="10" borderId="80" xfId="0" applyNumberFormat="1" applyFont="1" applyFill="1" applyBorder="1" applyAlignment="1">
      <alignment horizontal="center" vertical="top" wrapText="1"/>
    </xf>
    <xf numFmtId="178" fontId="12" fillId="10" borderId="83" xfId="0" applyNumberFormat="1" applyFont="1" applyFill="1" applyBorder="1" applyAlignment="1">
      <alignment horizontal="center" vertical="top" wrapText="1"/>
    </xf>
    <xf numFmtId="178" fontId="12" fillId="10" borderId="6" xfId="0" applyNumberFormat="1" applyFont="1" applyFill="1" applyBorder="1" applyAlignment="1">
      <alignment horizontal="center" vertical="top" wrapText="1"/>
    </xf>
    <xf numFmtId="178" fontId="12" fillId="10" borderId="0" xfId="0" applyNumberFormat="1" applyFont="1" applyFill="1" applyAlignment="1">
      <alignment horizontal="center" vertical="top" wrapText="1"/>
    </xf>
    <xf numFmtId="178" fontId="12" fillId="10" borderId="7" xfId="0" applyNumberFormat="1" applyFont="1" applyFill="1" applyBorder="1" applyAlignment="1">
      <alignment horizontal="center" vertical="top" wrapText="1"/>
    </xf>
    <xf numFmtId="178" fontId="12" fillId="10" borderId="84" xfId="0" applyNumberFormat="1" applyFont="1" applyFill="1" applyBorder="1" applyAlignment="1">
      <alignment horizontal="center" vertical="top" wrapText="1"/>
    </xf>
    <xf numFmtId="178" fontId="12" fillId="10" borderId="85" xfId="0" applyNumberFormat="1" applyFont="1" applyFill="1" applyBorder="1" applyAlignment="1">
      <alignment horizontal="center" vertical="top" wrapText="1"/>
    </xf>
    <xf numFmtId="178" fontId="12" fillId="10" borderId="89" xfId="0" applyNumberFormat="1" applyFont="1" applyFill="1" applyBorder="1" applyAlignment="1">
      <alignment horizontal="center" vertical="top" wrapText="1"/>
    </xf>
    <xf numFmtId="0" fontId="12" fillId="0" borderId="0" xfId="0" applyFont="1" applyAlignment="1" applyProtection="1">
      <alignment horizontal="center" vertical="center" wrapText="1"/>
      <protection locked="0"/>
    </xf>
    <xf numFmtId="0" fontId="12" fillId="127" borderId="6" xfId="0" applyFont="1" applyFill="1" applyBorder="1" applyAlignment="1">
      <alignment horizontal="center" vertical="center" wrapText="1"/>
    </xf>
    <xf numFmtId="0" fontId="12" fillId="127" borderId="0" xfId="0" applyFont="1" applyFill="1" applyAlignment="1">
      <alignment horizontal="center" vertical="center"/>
    </xf>
    <xf numFmtId="0" fontId="12" fillId="127" borderId="6" xfId="0" applyFont="1" applyFill="1" applyBorder="1" applyAlignment="1">
      <alignment horizontal="center" vertical="center"/>
    </xf>
    <xf numFmtId="0" fontId="5" fillId="127" borderId="0" xfId="0" applyFont="1" applyFill="1" applyAlignment="1">
      <alignment horizontal="center" vertical="center" wrapText="1"/>
    </xf>
    <xf numFmtId="0" fontId="5" fillId="127" borderId="0" xfId="0" applyFont="1" applyFill="1" applyAlignment="1">
      <alignment horizontal="center" vertical="center"/>
    </xf>
    <xf numFmtId="0" fontId="98" fillId="0" borderId="148" xfId="0" applyFont="1" applyBorder="1" applyAlignment="1">
      <alignment horizontal="center" vertical="center" wrapText="1"/>
    </xf>
    <xf numFmtId="0" fontId="98" fillId="0" borderId="98" xfId="0" applyFont="1" applyBorder="1" applyAlignment="1">
      <alignment horizontal="center" vertical="center" wrapText="1"/>
    </xf>
    <xf numFmtId="0" fontId="98" fillId="0" borderId="148" xfId="0" applyFont="1" applyBorder="1" applyAlignment="1">
      <alignment horizontal="center" vertical="center"/>
    </xf>
    <xf numFmtId="0" fontId="98" fillId="0" borderId="98" xfId="0" applyFont="1" applyBorder="1" applyAlignment="1">
      <alignment horizontal="center" vertical="center"/>
    </xf>
    <xf numFmtId="0" fontId="19" fillId="0" borderId="98" xfId="0" applyFont="1" applyBorder="1" applyAlignment="1">
      <alignment horizontal="center" vertical="center"/>
    </xf>
    <xf numFmtId="0" fontId="19" fillId="0" borderId="37" xfId="0" applyFont="1" applyBorder="1" applyAlignment="1">
      <alignment horizontal="center" vertical="center"/>
    </xf>
    <xf numFmtId="0" fontId="19" fillId="0" borderId="98"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98" xfId="0" applyFont="1" applyBorder="1" applyAlignment="1">
      <alignment horizontal="left" vertical="center" wrapText="1"/>
    </xf>
    <xf numFmtId="0" fontId="98" fillId="0" borderId="37" xfId="0" applyFont="1" applyBorder="1" applyAlignment="1">
      <alignment horizontal="center" vertical="center" wrapText="1"/>
    </xf>
    <xf numFmtId="0" fontId="19" fillId="0" borderId="148" xfId="0" applyFont="1" applyBorder="1" applyAlignment="1">
      <alignment horizontal="center" vertical="center" wrapText="1"/>
    </xf>
    <xf numFmtId="0" fontId="19" fillId="0" borderId="148" xfId="0" applyFont="1" applyBorder="1" applyAlignment="1">
      <alignment horizontal="center" vertical="center"/>
    </xf>
    <xf numFmtId="0" fontId="19" fillId="0" borderId="148" xfId="0" applyFont="1" applyBorder="1" applyAlignment="1">
      <alignment horizontal="left" vertical="center" wrapText="1"/>
    </xf>
    <xf numFmtId="178" fontId="229" fillId="9" borderId="98" xfId="3" applyNumberFormat="1" applyFont="1" applyFill="1" applyBorder="1" applyAlignment="1" applyProtection="1">
      <alignment horizontal="center" vertical="center"/>
    </xf>
    <xf numFmtId="178" fontId="229" fillId="9" borderId="37" xfId="3" applyNumberFormat="1" applyFont="1" applyFill="1" applyBorder="1" applyAlignment="1" applyProtection="1">
      <alignment horizontal="center" vertical="center"/>
    </xf>
    <xf numFmtId="49" fontId="19" fillId="0" borderId="98" xfId="0" applyNumberFormat="1" applyFont="1" applyBorder="1" applyAlignment="1">
      <alignment horizontal="center" vertical="center"/>
    </xf>
    <xf numFmtId="49" fontId="19" fillId="0" borderId="37" xfId="0" applyNumberFormat="1" applyFont="1" applyBorder="1" applyAlignment="1">
      <alignment horizontal="center" vertical="center"/>
    </xf>
    <xf numFmtId="0" fontId="12" fillId="10" borderId="82" xfId="0" applyFont="1" applyFill="1" applyBorder="1" applyAlignment="1" applyProtection="1">
      <alignment horizontal="center" vertical="center" wrapText="1"/>
      <protection locked="0"/>
    </xf>
    <xf numFmtId="0" fontId="12" fillId="10" borderId="83" xfId="0" applyFont="1" applyFill="1" applyBorder="1" applyAlignment="1" applyProtection="1">
      <alignment horizontal="center" vertical="center" wrapText="1"/>
      <protection locked="0"/>
    </xf>
    <xf numFmtId="0" fontId="12" fillId="10" borderId="88" xfId="0" applyFont="1" applyFill="1" applyBorder="1" applyAlignment="1" applyProtection="1">
      <alignment horizontal="center" vertical="center" wrapText="1"/>
      <protection locked="0"/>
    </xf>
    <xf numFmtId="0" fontId="12" fillId="10" borderId="89" xfId="0" applyFont="1" applyFill="1" applyBorder="1" applyAlignment="1" applyProtection="1">
      <alignment horizontal="center" vertical="center" wrapText="1"/>
      <protection locked="0"/>
    </xf>
    <xf numFmtId="0" fontId="221" fillId="9" borderId="98" xfId="0" applyFont="1" applyFill="1" applyBorder="1" applyAlignment="1" applyProtection="1">
      <alignment horizontal="center" vertical="center"/>
      <protection locked="0"/>
    </xf>
    <xf numFmtId="0" fontId="221" fillId="9" borderId="37" xfId="0" applyFont="1" applyFill="1" applyBorder="1" applyAlignment="1" applyProtection="1">
      <alignment horizontal="center" vertical="center"/>
      <protection locked="0"/>
    </xf>
    <xf numFmtId="0" fontId="5" fillId="9" borderId="79" xfId="0" applyFont="1" applyFill="1" applyBorder="1" applyAlignment="1">
      <alignment horizontal="center" vertical="center"/>
    </xf>
    <xf numFmtId="0" fontId="5" fillId="9" borderId="80" xfId="0" applyFont="1" applyFill="1" applyBorder="1" applyAlignment="1">
      <alignment horizontal="center" vertical="center"/>
    </xf>
    <xf numFmtId="0" fontId="5" fillId="9" borderId="259" xfId="0" applyFont="1" applyFill="1" applyBorder="1" applyAlignment="1">
      <alignment horizontal="center" vertical="center"/>
    </xf>
    <xf numFmtId="0" fontId="5" fillId="9" borderId="84" xfId="0" applyFont="1" applyFill="1" applyBorder="1" applyAlignment="1">
      <alignment horizontal="center" vertical="center"/>
    </xf>
    <xf numFmtId="0" fontId="5" fillId="9" borderId="85" xfId="0" applyFont="1" applyFill="1" applyBorder="1" applyAlignment="1">
      <alignment horizontal="center" vertical="center"/>
    </xf>
    <xf numFmtId="0" fontId="5" fillId="9" borderId="142" xfId="0" applyFont="1" applyFill="1" applyBorder="1" applyAlignment="1">
      <alignment horizontal="center" vertical="center"/>
    </xf>
    <xf numFmtId="0" fontId="5" fillId="10" borderId="79" xfId="0" applyFont="1" applyFill="1" applyBorder="1" applyAlignment="1">
      <alignment horizontal="center" vertical="center" wrapText="1"/>
    </xf>
    <xf numFmtId="0" fontId="5" fillId="10" borderId="80" xfId="0" applyFont="1" applyFill="1" applyBorder="1" applyAlignment="1">
      <alignment horizontal="center" vertical="center" wrapText="1"/>
    </xf>
    <xf numFmtId="0" fontId="5" fillId="10" borderId="259" xfId="0" applyFont="1" applyFill="1" applyBorder="1" applyAlignment="1">
      <alignment horizontal="center" vertical="center" wrapText="1"/>
    </xf>
    <xf numFmtId="0" fontId="5" fillId="10" borderId="84" xfId="0" applyFont="1" applyFill="1" applyBorder="1" applyAlignment="1">
      <alignment horizontal="center" vertical="center" wrapText="1"/>
    </xf>
    <xf numFmtId="0" fontId="5" fillId="10" borderId="85" xfId="0" applyFont="1" applyFill="1" applyBorder="1" applyAlignment="1">
      <alignment horizontal="center" vertical="center" wrapText="1"/>
    </xf>
    <xf numFmtId="0" fontId="5" fillId="10" borderId="142" xfId="0" applyFont="1" applyFill="1" applyBorder="1" applyAlignment="1">
      <alignment horizontal="center" vertical="center" wrapText="1"/>
    </xf>
    <xf numFmtId="0" fontId="5" fillId="0" borderId="79" xfId="0" applyFont="1" applyBorder="1" applyAlignment="1">
      <alignment horizontal="center" vertical="center"/>
    </xf>
    <xf numFmtId="0" fontId="5" fillId="0" borderId="80" xfId="0" applyFont="1" applyBorder="1" applyAlignment="1">
      <alignment horizontal="center" vertical="center"/>
    </xf>
    <xf numFmtId="0" fontId="5" fillId="0" borderId="259" xfId="0" applyFont="1" applyBorder="1" applyAlignment="1">
      <alignment horizontal="center" vertical="center"/>
    </xf>
    <xf numFmtId="0" fontId="5" fillId="0" borderId="84" xfId="0" applyFont="1" applyBorder="1" applyAlignment="1">
      <alignment horizontal="center" vertical="center"/>
    </xf>
    <xf numFmtId="0" fontId="5" fillId="0" borderId="85" xfId="0" applyFont="1" applyBorder="1" applyAlignment="1">
      <alignment horizontal="center" vertical="center"/>
    </xf>
    <xf numFmtId="0" fontId="5" fillId="0" borderId="142" xfId="0" applyFont="1" applyBorder="1" applyAlignment="1">
      <alignment horizontal="center" vertical="center"/>
    </xf>
    <xf numFmtId="0" fontId="5" fillId="9" borderId="348" xfId="0" applyFont="1" applyFill="1" applyBorder="1" applyAlignment="1">
      <alignment horizontal="center" vertical="center"/>
    </xf>
    <xf numFmtId="0" fontId="5" fillId="9" borderId="349" xfId="0" applyFont="1" applyFill="1" applyBorder="1" applyAlignment="1">
      <alignment horizontal="center" vertical="center"/>
    </xf>
    <xf numFmtId="0" fontId="5" fillId="9" borderId="350" xfId="0" applyFont="1" applyFill="1" applyBorder="1" applyAlignment="1">
      <alignment horizontal="center" vertical="center"/>
    </xf>
    <xf numFmtId="0" fontId="5" fillId="9" borderId="351" xfId="0" applyFont="1" applyFill="1" applyBorder="1" applyAlignment="1">
      <alignment horizontal="center" vertical="center"/>
    </xf>
    <xf numFmtId="0" fontId="5" fillId="9" borderId="331" xfId="0" applyFont="1" applyFill="1" applyBorder="1" applyAlignment="1">
      <alignment horizontal="center" vertical="center"/>
    </xf>
    <xf numFmtId="0" fontId="5" fillId="9" borderId="294" xfId="0" applyFont="1" applyFill="1" applyBorder="1" applyAlignment="1">
      <alignment horizontal="center" vertical="center"/>
    </xf>
    <xf numFmtId="0" fontId="98" fillId="0" borderId="96" xfId="0" applyFont="1" applyBorder="1" applyAlignment="1">
      <alignment horizontal="left" vertical="top" wrapText="1"/>
    </xf>
    <xf numFmtId="0" fontId="98" fillId="0" borderId="98" xfId="0" applyFont="1" applyBorder="1" applyAlignment="1">
      <alignment horizontal="left" vertical="top" wrapText="1"/>
    </xf>
    <xf numFmtId="0" fontId="98" fillId="0" borderId="340" xfId="0" applyFont="1" applyBorder="1" applyAlignment="1">
      <alignment horizontal="left" vertical="top" wrapText="1"/>
    </xf>
    <xf numFmtId="0" fontId="98" fillId="0" borderId="285" xfId="0" applyFont="1" applyBorder="1" applyAlignment="1">
      <alignment horizontal="left" vertical="top" wrapText="1"/>
    </xf>
    <xf numFmtId="0" fontId="98" fillId="0" borderId="163" xfId="0" applyFont="1" applyBorder="1" applyAlignment="1">
      <alignment horizontal="left" vertical="top" wrapText="1"/>
    </xf>
    <xf numFmtId="0" fontId="98" fillId="0" borderId="346" xfId="0" applyFont="1" applyBorder="1" applyAlignment="1">
      <alignment horizontal="left" vertical="top" wrapText="1"/>
    </xf>
    <xf numFmtId="0" fontId="220" fillId="0" borderId="80" xfId="0" applyFont="1" applyBorder="1" applyAlignment="1" applyProtection="1">
      <alignment horizontal="center" vertical="top" wrapText="1"/>
      <protection locked="0"/>
    </xf>
    <xf numFmtId="0" fontId="220" fillId="0" borderId="83" xfId="0" applyFont="1" applyBorder="1" applyAlignment="1" applyProtection="1">
      <alignment horizontal="center" vertical="top" wrapText="1"/>
      <protection locked="0"/>
    </xf>
    <xf numFmtId="0" fontId="220" fillId="0" borderId="0" xfId="0" applyFont="1" applyAlignment="1" applyProtection="1">
      <alignment horizontal="center" vertical="top" wrapText="1"/>
      <protection locked="0"/>
    </xf>
    <xf numFmtId="0" fontId="220" fillId="0" borderId="7" xfId="0" applyFont="1" applyBorder="1" applyAlignment="1" applyProtection="1">
      <alignment horizontal="center" vertical="top" wrapText="1"/>
      <protection locked="0"/>
    </xf>
    <xf numFmtId="0" fontId="220" fillId="0" borderId="9" xfId="0" applyFont="1" applyBorder="1" applyAlignment="1" applyProtection="1">
      <alignment horizontal="center" vertical="top" wrapText="1"/>
      <protection locked="0"/>
    </xf>
    <xf numFmtId="0" fontId="220" fillId="0" borderId="10" xfId="0" applyFont="1" applyBorder="1" applyAlignment="1" applyProtection="1">
      <alignment horizontal="center" vertical="top" wrapText="1"/>
      <protection locked="0"/>
    </xf>
    <xf numFmtId="0" fontId="5" fillId="0" borderId="352" xfId="0" applyFont="1" applyBorder="1" applyAlignment="1">
      <alignment horizontal="center" vertical="center"/>
    </xf>
    <xf numFmtId="0" fontId="5" fillId="0" borderId="353" xfId="0" applyFont="1" applyBorder="1" applyAlignment="1">
      <alignment horizontal="center" vertical="center"/>
    </xf>
    <xf numFmtId="0" fontId="5" fillId="0" borderId="187" xfId="0" applyFont="1" applyBorder="1" applyAlignment="1">
      <alignment horizontal="center" vertical="center"/>
    </xf>
    <xf numFmtId="0" fontId="5" fillId="0" borderId="320" xfId="0" applyFont="1" applyBorder="1" applyAlignment="1">
      <alignment horizontal="center" vertical="center"/>
    </xf>
    <xf numFmtId="0" fontId="19" fillId="4" borderId="2" xfId="0" applyFont="1" applyFill="1" applyBorder="1" applyAlignment="1">
      <alignment horizontal="right" vertical="center"/>
    </xf>
    <xf numFmtId="0" fontId="19" fillId="4" borderId="9" xfId="0" applyFont="1" applyFill="1" applyBorder="1" applyAlignment="1">
      <alignment horizontal="right" vertical="center"/>
    </xf>
    <xf numFmtId="194" fontId="19" fillId="4" borderId="2" xfId="0" applyNumberFormat="1" applyFont="1" applyFill="1" applyBorder="1" applyAlignment="1">
      <alignment horizontal="left" vertical="center"/>
    </xf>
    <xf numFmtId="194" fontId="19" fillId="4" borderId="9" xfId="0" applyNumberFormat="1" applyFont="1" applyFill="1" applyBorder="1" applyAlignment="1">
      <alignment horizontal="left" vertical="center"/>
    </xf>
    <xf numFmtId="0" fontId="19" fillId="9" borderId="2" xfId="0" applyFont="1" applyFill="1" applyBorder="1" applyAlignment="1">
      <alignment horizontal="center" vertical="center" wrapText="1"/>
    </xf>
    <xf numFmtId="0" fontId="19" fillId="9" borderId="304" xfId="0" applyFont="1" applyFill="1" applyBorder="1" applyAlignment="1">
      <alignment horizontal="center" vertical="center" wrapText="1"/>
    </xf>
    <xf numFmtId="0" fontId="19" fillId="9" borderId="0" xfId="0" applyFont="1" applyFill="1" applyAlignment="1">
      <alignment horizontal="center" vertical="center" wrapText="1"/>
    </xf>
    <xf numFmtId="0" fontId="19" fillId="9" borderId="93" xfId="0" applyFont="1" applyFill="1" applyBorder="1" applyAlignment="1">
      <alignment horizontal="center" vertical="center" wrapText="1"/>
    </xf>
    <xf numFmtId="0" fontId="19" fillId="10" borderId="2" xfId="0" applyFont="1" applyFill="1" applyBorder="1" applyAlignment="1">
      <alignment horizontal="center" vertical="center" wrapText="1"/>
    </xf>
    <xf numFmtId="0" fontId="19" fillId="10" borderId="9" xfId="0" applyFont="1" applyFill="1" applyBorder="1" applyAlignment="1">
      <alignment horizontal="center" vertical="center" wrapText="1"/>
    </xf>
    <xf numFmtId="0" fontId="19" fillId="4" borderId="30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9" fillId="4" borderId="306"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9" fillId="34" borderId="302" xfId="0" applyFont="1" applyFill="1" applyBorder="1" applyAlignment="1">
      <alignment horizontal="center" vertical="center" wrapText="1"/>
    </xf>
    <xf numFmtId="0" fontId="19" fillId="34" borderId="2" xfId="0" applyFont="1" applyFill="1" applyBorder="1" applyAlignment="1">
      <alignment horizontal="center" vertical="center" wrapText="1"/>
    </xf>
    <xf numFmtId="0" fontId="19" fillId="34" borderId="306" xfId="0" applyFont="1" applyFill="1" applyBorder="1" applyAlignment="1">
      <alignment horizontal="center" vertical="center" wrapText="1"/>
    </xf>
    <xf numFmtId="0" fontId="19" fillId="34" borderId="9" xfId="0" applyFont="1" applyFill="1" applyBorder="1" applyAlignment="1">
      <alignment horizontal="center" vertical="center" wrapText="1"/>
    </xf>
    <xf numFmtId="0" fontId="19" fillId="47" borderId="2" xfId="0" applyFont="1" applyFill="1" applyBorder="1" applyAlignment="1">
      <alignment horizontal="center" vertical="center" wrapText="1"/>
    </xf>
    <xf numFmtId="0" fontId="19" fillId="47" borderId="9" xfId="0" applyFont="1" applyFill="1" applyBorder="1" applyAlignment="1">
      <alignment horizontal="center" vertical="center" wrapText="1"/>
    </xf>
    <xf numFmtId="0" fontId="17" fillId="47" borderId="2" xfId="0" applyFont="1" applyFill="1" applyBorder="1" applyAlignment="1">
      <alignment horizontal="center" vertical="center" wrapText="1"/>
    </xf>
    <xf numFmtId="0" fontId="17" fillId="47" borderId="9" xfId="0" applyFont="1" applyFill="1" applyBorder="1" applyAlignment="1">
      <alignment horizontal="center" vertical="center" wrapText="1"/>
    </xf>
    <xf numFmtId="0" fontId="19" fillId="9" borderId="302" xfId="0" applyFont="1" applyFill="1" applyBorder="1" applyAlignment="1">
      <alignment horizontal="center" vertical="center" wrapText="1"/>
    </xf>
    <xf numFmtId="0" fontId="19" fillId="9" borderId="306" xfId="0" applyFont="1" applyFill="1" applyBorder="1" applyAlignment="1">
      <alignment horizontal="center" vertical="center" wrapText="1"/>
    </xf>
    <xf numFmtId="0" fontId="19" fillId="9" borderId="9" xfId="0" applyFont="1" applyFill="1" applyBorder="1" applyAlignment="1">
      <alignment horizontal="center" vertical="center" wrapText="1"/>
    </xf>
    <xf numFmtId="0" fontId="12" fillId="0" borderId="187" xfId="0" applyFont="1" applyBorder="1" applyAlignment="1" applyProtection="1">
      <alignment horizontal="center" vertical="center" wrapText="1"/>
      <protection locked="0"/>
    </xf>
    <xf numFmtId="0" fontId="12" fillId="0" borderId="320" xfId="0" applyFont="1" applyBorder="1" applyAlignment="1" applyProtection="1">
      <alignment horizontal="center" vertical="center" wrapText="1"/>
      <protection locked="0"/>
    </xf>
    <xf numFmtId="0" fontId="223" fillId="0" borderId="187" xfId="0" applyFont="1" applyBorder="1" applyAlignment="1" applyProtection="1">
      <alignment horizontal="center" vertical="top" wrapText="1"/>
      <protection locked="0"/>
    </xf>
    <xf numFmtId="0" fontId="223" fillId="0" borderId="320" xfId="0" applyFont="1" applyBorder="1" applyAlignment="1" applyProtection="1">
      <alignment horizontal="center" vertical="top" wrapText="1"/>
      <protection locked="0"/>
    </xf>
    <xf numFmtId="0" fontId="223" fillId="0" borderId="188" xfId="0" applyFont="1" applyBorder="1" applyAlignment="1" applyProtection="1">
      <alignment horizontal="center" vertical="top" wrapText="1"/>
      <protection locked="0"/>
    </xf>
    <xf numFmtId="0" fontId="223" fillId="0" borderId="196" xfId="0" applyFont="1" applyBorder="1" applyAlignment="1" applyProtection="1">
      <alignment horizontal="center" vertical="top" wrapText="1"/>
      <protection locked="0"/>
    </xf>
    <xf numFmtId="0" fontId="223" fillId="0" borderId="369" xfId="0" applyFont="1" applyBorder="1" applyAlignment="1" applyProtection="1">
      <alignment horizontal="center" vertical="top" wrapText="1"/>
      <protection locked="0"/>
    </xf>
    <xf numFmtId="0" fontId="223" fillId="0" borderId="197" xfId="0" applyFont="1" applyBorder="1" applyAlignment="1" applyProtection="1">
      <alignment horizontal="center" vertical="top" wrapText="1"/>
      <protection locked="0"/>
    </xf>
    <xf numFmtId="0" fontId="12" fillId="0" borderId="364" xfId="0" applyFont="1" applyBorder="1" applyAlignment="1" applyProtection="1">
      <alignment horizontal="center" vertical="center" wrapText="1"/>
      <protection locked="0"/>
    </xf>
    <xf numFmtId="0" fontId="12" fillId="0" borderId="361" xfId="0" applyFont="1" applyBorder="1" applyAlignment="1" applyProtection="1">
      <alignment horizontal="center" vertical="center" wrapText="1"/>
      <protection locked="0"/>
    </xf>
    <xf numFmtId="0" fontId="12" fillId="0" borderId="360" xfId="0" applyFont="1" applyBorder="1" applyAlignment="1" applyProtection="1">
      <alignment horizontal="center" vertical="center" wrapText="1"/>
      <protection locked="0"/>
    </xf>
    <xf numFmtId="0" fontId="12" fillId="0" borderId="363" xfId="0" applyFont="1" applyBorder="1" applyAlignment="1" applyProtection="1">
      <alignment horizontal="center" vertical="center" wrapText="1"/>
      <protection locked="0"/>
    </xf>
    <xf numFmtId="187" fontId="12" fillId="0" borderId="320" xfId="0" applyNumberFormat="1" applyFont="1" applyBorder="1" applyAlignment="1">
      <alignment horizontal="center" vertical="center" wrapText="1"/>
    </xf>
    <xf numFmtId="187" fontId="12" fillId="0" borderId="188" xfId="0" applyNumberFormat="1" applyFont="1" applyBorder="1" applyAlignment="1">
      <alignment horizontal="center" vertical="center" wrapText="1"/>
    </xf>
    <xf numFmtId="0" fontId="5" fillId="0" borderId="358" xfId="0" applyFont="1" applyBorder="1" applyAlignment="1">
      <alignment horizontal="center" vertical="center"/>
    </xf>
    <xf numFmtId="0" fontId="12" fillId="0" borderId="359" xfId="0" applyFont="1" applyBorder="1" applyAlignment="1" applyProtection="1">
      <alignment horizontal="center" vertical="center" wrapText="1"/>
      <protection locked="0"/>
    </xf>
    <xf numFmtId="0" fontId="12" fillId="0" borderId="362" xfId="0" applyFont="1" applyBorder="1" applyAlignment="1" applyProtection="1">
      <alignment horizontal="center" vertical="center" wrapText="1"/>
      <protection locked="0"/>
    </xf>
    <xf numFmtId="0" fontId="5" fillId="0" borderId="0" xfId="0" applyFont="1" applyAlignment="1">
      <alignment horizontal="center" vertical="center"/>
    </xf>
    <xf numFmtId="0" fontId="5" fillId="0" borderId="364" xfId="0" applyFont="1" applyBorder="1" applyAlignment="1">
      <alignment horizontal="center" vertical="center"/>
    </xf>
    <xf numFmtId="0" fontId="5" fillId="9" borderId="98" xfId="0" applyFont="1" applyFill="1" applyBorder="1" applyAlignment="1">
      <alignment horizontal="center" vertical="center" wrapText="1"/>
    </xf>
    <xf numFmtId="0" fontId="5" fillId="9" borderId="280" xfId="0" applyFont="1" applyFill="1" applyBorder="1" applyAlignment="1">
      <alignment horizontal="center" vertical="center" wrapText="1"/>
    </xf>
    <xf numFmtId="0" fontId="5" fillId="9" borderId="81" xfId="0" applyFont="1" applyFill="1" applyBorder="1" applyAlignment="1">
      <alignment horizontal="center" vertical="center" wrapText="1"/>
    </xf>
    <xf numFmtId="0" fontId="5" fillId="9" borderId="298" xfId="0" applyFont="1" applyFill="1" applyBorder="1" applyAlignment="1">
      <alignment horizontal="center" vertical="center" wrapText="1"/>
    </xf>
    <xf numFmtId="0" fontId="5" fillId="0" borderId="279" xfId="0" applyFont="1" applyBorder="1" applyAlignment="1">
      <alignment horizontal="center" vertical="center" wrapText="1"/>
    </xf>
    <xf numFmtId="0" fontId="5" fillId="0" borderId="98" xfId="0" applyFont="1" applyBorder="1" applyAlignment="1">
      <alignment horizontal="center" vertical="center" wrapText="1"/>
    </xf>
    <xf numFmtId="0" fontId="5" fillId="0" borderId="280" xfId="0" applyFont="1" applyBorder="1" applyAlignment="1">
      <alignment horizontal="center" vertical="center" wrapText="1"/>
    </xf>
    <xf numFmtId="0" fontId="5" fillId="9" borderId="279" xfId="0" applyFont="1" applyFill="1" applyBorder="1" applyAlignment="1">
      <alignment horizontal="center" vertical="center" wrapText="1"/>
    </xf>
    <xf numFmtId="0" fontId="19" fillId="0" borderId="200" xfId="0" applyFont="1" applyBorder="1" applyAlignment="1">
      <alignment horizontal="center" vertical="center"/>
    </xf>
    <xf numFmtId="0" fontId="19" fillId="0" borderId="0" xfId="0" applyFont="1" applyAlignment="1">
      <alignment horizontal="center" vertical="center"/>
    </xf>
    <xf numFmtId="0" fontId="5" fillId="9" borderId="0" xfId="0" applyFont="1" applyFill="1" applyAlignment="1">
      <alignment horizontal="center" vertical="center" wrapText="1"/>
    </xf>
    <xf numFmtId="0" fontId="5" fillId="9" borderId="85" xfId="0" applyFont="1" applyFill="1" applyBorder="1" applyAlignment="1">
      <alignment horizontal="center" vertical="center" wrapText="1"/>
    </xf>
    <xf numFmtId="0" fontId="19" fillId="0" borderId="204" xfId="0" applyFont="1" applyBorder="1" applyAlignment="1">
      <alignment horizontal="center" vertical="center"/>
    </xf>
    <xf numFmtId="9" fontId="17" fillId="4" borderId="5" xfId="0" applyNumberFormat="1" applyFont="1" applyFill="1" applyBorder="1" applyAlignment="1">
      <alignment horizontal="center" vertical="center"/>
    </xf>
    <xf numFmtId="9" fontId="17" fillId="4" borderId="154" xfId="0" applyNumberFormat="1" applyFont="1" applyFill="1" applyBorder="1" applyAlignment="1">
      <alignment horizontal="center" vertical="center"/>
    </xf>
    <xf numFmtId="9" fontId="17" fillId="4" borderId="3" xfId="0" applyNumberFormat="1" applyFont="1" applyFill="1" applyBorder="1" applyAlignment="1">
      <alignment horizontal="center" vertical="center"/>
    </xf>
    <xf numFmtId="9" fontId="17" fillId="4" borderId="63" xfId="0" applyNumberFormat="1" applyFont="1" applyFill="1" applyBorder="1" applyAlignment="1">
      <alignment horizontal="center" vertical="center"/>
    </xf>
    <xf numFmtId="0" fontId="221" fillId="0" borderId="98" xfId="0" applyFont="1" applyBorder="1" applyAlignment="1" applyProtection="1">
      <alignment horizontal="center" vertical="center"/>
      <protection locked="0"/>
    </xf>
    <xf numFmtId="0" fontId="221" fillId="0" borderId="37" xfId="0" applyFont="1" applyBorder="1" applyAlignment="1" applyProtection="1">
      <alignment horizontal="center" vertical="center"/>
      <protection locked="0"/>
    </xf>
    <xf numFmtId="0" fontId="221" fillId="0" borderId="82" xfId="0" applyFont="1" applyBorder="1" applyAlignment="1" applyProtection="1">
      <alignment horizontal="center" vertical="center"/>
      <protection locked="0"/>
    </xf>
    <xf numFmtId="0" fontId="221" fillId="0" borderId="83" xfId="0" applyFont="1" applyBorder="1" applyAlignment="1" applyProtection="1">
      <alignment horizontal="center" vertical="center"/>
      <protection locked="0"/>
    </xf>
    <xf numFmtId="0" fontId="221" fillId="0" borderId="88" xfId="0" applyFont="1" applyBorder="1" applyAlignment="1" applyProtection="1">
      <alignment horizontal="center" vertical="center"/>
      <protection locked="0"/>
    </xf>
    <xf numFmtId="0" fontId="221" fillId="0" borderId="89" xfId="0" applyFont="1" applyBorder="1" applyAlignment="1" applyProtection="1">
      <alignment horizontal="center" vertical="center"/>
      <protection locked="0"/>
    </xf>
    <xf numFmtId="0" fontId="221" fillId="0" borderId="355" xfId="0" applyFont="1" applyBorder="1" applyAlignment="1" applyProtection="1">
      <alignment horizontal="center" vertical="center"/>
      <protection locked="0"/>
    </xf>
    <xf numFmtId="0" fontId="221" fillId="0" borderId="356" xfId="0" applyFont="1" applyBorder="1" applyAlignment="1" applyProtection="1">
      <alignment horizontal="center" vertical="center"/>
      <protection locked="0"/>
    </xf>
    <xf numFmtId="0" fontId="221" fillId="0" borderId="320" xfId="0" applyFont="1" applyBorder="1" applyAlignment="1" applyProtection="1">
      <alignment horizontal="center" vertical="center"/>
      <protection locked="0"/>
    </xf>
    <xf numFmtId="0" fontId="221" fillId="0" borderId="188" xfId="0" applyFont="1" applyBorder="1" applyAlignment="1" applyProtection="1">
      <alignment horizontal="center" vertical="center"/>
      <protection locked="0"/>
    </xf>
    <xf numFmtId="178" fontId="214" fillId="103" borderId="6" xfId="0" applyNumberFormat="1" applyFont="1" applyFill="1" applyBorder="1" applyAlignment="1">
      <alignment horizontal="center" vertical="center"/>
    </xf>
    <xf numFmtId="178" fontId="214" fillId="103" borderId="0" xfId="0" applyNumberFormat="1" applyFont="1" applyFill="1" applyAlignment="1">
      <alignment horizontal="center" vertical="center"/>
    </xf>
    <xf numFmtId="178" fontId="214" fillId="103" borderId="93" xfId="0" applyNumberFormat="1" applyFont="1" applyFill="1" applyBorder="1" applyAlignment="1">
      <alignment horizontal="center" vertical="center"/>
    </xf>
    <xf numFmtId="0" fontId="19" fillId="10" borderId="14" xfId="0" applyFont="1" applyFill="1" applyBorder="1" applyAlignment="1">
      <alignment horizontal="center" vertical="center"/>
    </xf>
    <xf numFmtId="0" fontId="19" fillId="10" borderId="12" xfId="0" applyFont="1" applyFill="1" applyBorder="1" applyAlignment="1">
      <alignment horizontal="center" vertical="center"/>
    </xf>
    <xf numFmtId="0" fontId="19" fillId="10" borderId="15"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16" xfId="0" applyFont="1" applyFill="1" applyBorder="1" applyAlignment="1">
      <alignment horizontal="center" vertical="center"/>
    </xf>
    <xf numFmtId="0" fontId="5" fillId="4" borderId="17" xfId="0" applyFont="1" applyFill="1" applyBorder="1" applyAlignment="1">
      <alignment horizontal="center" vertical="center"/>
    </xf>
    <xf numFmtId="0" fontId="19" fillId="9" borderId="148" xfId="0" applyFont="1" applyFill="1" applyBorder="1" applyAlignment="1">
      <alignment horizontal="center" vertical="center" wrapText="1"/>
    </xf>
    <xf numFmtId="0" fontId="19" fillId="9" borderId="98" xfId="0" applyFont="1" applyFill="1" applyBorder="1" applyAlignment="1">
      <alignment horizontal="center" vertical="center" wrapText="1"/>
    </xf>
    <xf numFmtId="0" fontId="19" fillId="9" borderId="162" xfId="0" applyFont="1" applyFill="1" applyBorder="1" applyAlignment="1">
      <alignment horizontal="center" vertical="center" wrapText="1"/>
    </xf>
    <xf numFmtId="0" fontId="19" fillId="9" borderId="163" xfId="0" applyFont="1" applyFill="1" applyBorder="1" applyAlignment="1">
      <alignment horizontal="center" vertical="center" wrapText="1"/>
    </xf>
    <xf numFmtId="0" fontId="19" fillId="0" borderId="163" xfId="0" applyFont="1" applyBorder="1" applyAlignment="1">
      <alignment horizontal="center" vertical="center" wrapText="1"/>
    </xf>
    <xf numFmtId="0" fontId="205" fillId="9" borderId="82" xfId="0" applyFont="1" applyFill="1" applyBorder="1" applyAlignment="1">
      <alignment horizontal="center" vertical="center" wrapText="1"/>
    </xf>
    <xf numFmtId="0" fontId="205" fillId="9" borderId="80" xfId="0" applyFont="1" applyFill="1" applyBorder="1" applyAlignment="1">
      <alignment horizontal="center" vertical="center" wrapText="1"/>
    </xf>
    <xf numFmtId="0" fontId="205" fillId="9" borderId="99" xfId="0" applyFont="1" applyFill="1" applyBorder="1" applyAlignment="1">
      <alignment horizontal="center" vertical="center" wrapText="1"/>
    </xf>
    <xf numFmtId="0" fontId="205" fillId="9" borderId="9" xfId="0" applyFont="1" applyFill="1" applyBorder="1" applyAlignment="1">
      <alignment horizontal="center" vertical="center" wrapText="1"/>
    </xf>
    <xf numFmtId="0" fontId="19" fillId="9" borderId="274" xfId="0" applyFont="1" applyFill="1" applyBorder="1" applyAlignment="1">
      <alignment horizontal="center" vertical="center" wrapText="1"/>
    </xf>
    <xf numFmtId="0" fontId="19" fillId="9" borderId="168" xfId="0" applyFont="1" applyFill="1" applyBorder="1" applyAlignment="1">
      <alignment horizontal="center" vertical="center" wrapText="1"/>
    </xf>
    <xf numFmtId="0" fontId="19" fillId="0" borderId="168" xfId="0" applyFont="1" applyBorder="1" applyAlignment="1">
      <alignment horizontal="center" vertical="center" wrapText="1"/>
    </xf>
    <xf numFmtId="0" fontId="19" fillId="0" borderId="81" xfId="0" applyFont="1" applyBorder="1" applyAlignment="1">
      <alignment horizontal="center" vertical="center" wrapText="1"/>
    </xf>
    <xf numFmtId="0" fontId="19" fillId="0" borderId="82" xfId="0" applyFont="1" applyBorder="1" applyAlignment="1">
      <alignment horizontal="center" vertical="center" wrapText="1"/>
    </xf>
    <xf numFmtId="0" fontId="19" fillId="9" borderId="1" xfId="0" applyFont="1" applyFill="1" applyBorder="1" applyAlignment="1" applyProtection="1">
      <alignment horizontal="center" vertical="center"/>
      <protection locked="0"/>
    </xf>
    <xf numFmtId="0" fontId="19" fillId="9" borderId="2" xfId="0" applyFont="1" applyFill="1" applyBorder="1" applyAlignment="1" applyProtection="1">
      <alignment horizontal="center" vertical="center"/>
      <protection locked="0"/>
    </xf>
    <xf numFmtId="0" fontId="19" fillId="9" borderId="4" xfId="0" applyFont="1" applyFill="1" applyBorder="1" applyAlignment="1" applyProtection="1">
      <alignment horizontal="center" vertical="center"/>
      <protection locked="0"/>
    </xf>
    <xf numFmtId="0" fontId="19" fillId="9" borderId="6" xfId="0" applyFont="1" applyFill="1" applyBorder="1" applyAlignment="1" applyProtection="1">
      <alignment horizontal="center" vertical="center"/>
      <protection locked="0"/>
    </xf>
    <xf numFmtId="0" fontId="19" fillId="9" borderId="0" xfId="0" applyFont="1" applyFill="1" applyAlignment="1" applyProtection="1">
      <alignment horizontal="center" vertical="center"/>
      <protection locked="0"/>
    </xf>
    <xf numFmtId="0" fontId="19" fillId="9" borderId="7" xfId="0" applyFont="1" applyFill="1" applyBorder="1" applyAlignment="1" applyProtection="1">
      <alignment horizontal="center" vertical="center"/>
      <protection locked="0"/>
    </xf>
    <xf numFmtId="0" fontId="19" fillId="9" borderId="8" xfId="0" applyFont="1" applyFill="1" applyBorder="1" applyAlignment="1" applyProtection="1">
      <alignment horizontal="center" vertical="center"/>
      <protection locked="0"/>
    </xf>
    <xf numFmtId="0" fontId="19" fillId="9" borderId="9" xfId="0" applyFont="1" applyFill="1" applyBorder="1" applyAlignment="1" applyProtection="1">
      <alignment horizontal="center" vertical="center"/>
      <protection locked="0"/>
    </xf>
    <xf numFmtId="0" fontId="19" fillId="9" borderId="10" xfId="0" applyFont="1" applyFill="1" applyBorder="1" applyAlignment="1" applyProtection="1">
      <alignment horizontal="center" vertical="center"/>
      <protection locked="0"/>
    </xf>
    <xf numFmtId="0" fontId="19" fillId="92" borderId="14" xfId="0" applyFont="1" applyFill="1" applyBorder="1" applyAlignment="1">
      <alignment horizontal="center" vertical="center" wrapText="1"/>
    </xf>
    <xf numFmtId="0" fontId="19" fillId="92" borderId="12" xfId="0" applyFont="1" applyFill="1" applyBorder="1" applyAlignment="1">
      <alignment horizontal="center" vertical="center"/>
    </xf>
    <xf numFmtId="0" fontId="19" fillId="92" borderId="14" xfId="0" applyFont="1" applyFill="1" applyBorder="1" applyAlignment="1">
      <alignment horizontal="center" vertical="center"/>
    </xf>
    <xf numFmtId="0" fontId="19" fillId="92" borderId="15" xfId="0" applyFont="1" applyFill="1" applyBorder="1" applyAlignment="1">
      <alignment horizontal="center" vertical="center"/>
    </xf>
    <xf numFmtId="0" fontId="5" fillId="93" borderId="14" xfId="0" applyFont="1" applyFill="1" applyBorder="1" applyAlignment="1">
      <alignment horizontal="center" vertical="center" wrapText="1"/>
    </xf>
    <xf numFmtId="0" fontId="5" fillId="93" borderId="12" xfId="0" applyFont="1" applyFill="1" applyBorder="1" applyAlignment="1">
      <alignment horizontal="center" vertical="center"/>
    </xf>
    <xf numFmtId="0" fontId="5" fillId="93" borderId="14" xfId="0" applyFont="1" applyFill="1" applyBorder="1" applyAlignment="1">
      <alignment horizontal="center" vertical="center"/>
    </xf>
    <xf numFmtId="0" fontId="5" fillId="93" borderId="15" xfId="0" applyFont="1" applyFill="1" applyBorder="1" applyAlignment="1">
      <alignment horizontal="center" vertical="center"/>
    </xf>
    <xf numFmtId="0" fontId="19" fillId="4" borderId="3" xfId="0" applyFont="1" applyFill="1" applyBorder="1" applyAlignment="1">
      <alignment horizontal="center" vertical="center"/>
    </xf>
    <xf numFmtId="0" fontId="19" fillId="4" borderId="14" xfId="0" applyFont="1" applyFill="1" applyBorder="1" applyAlignment="1">
      <alignment horizontal="center" vertical="center"/>
    </xf>
    <xf numFmtId="0" fontId="5" fillId="10" borderId="3" xfId="0" applyFont="1" applyFill="1" applyBorder="1" applyAlignment="1">
      <alignment horizontal="center" vertical="center"/>
    </xf>
    <xf numFmtId="0" fontId="5" fillId="10" borderId="11" xfId="0" applyFont="1" applyFill="1" applyBorder="1" applyAlignment="1">
      <alignment horizontal="center" vertical="center"/>
    </xf>
    <xf numFmtId="0" fontId="5" fillId="10" borderId="16" xfId="0" applyFont="1" applyFill="1" applyBorder="1" applyAlignment="1">
      <alignment horizontal="center" vertical="center"/>
    </xf>
    <xf numFmtId="0" fontId="19" fillId="4" borderId="160"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149" xfId="0" applyFont="1" applyFill="1" applyBorder="1" applyAlignment="1">
      <alignment horizontal="center" vertical="center" wrapText="1"/>
    </xf>
    <xf numFmtId="0" fontId="19" fillId="4" borderId="3" xfId="0" applyFont="1" applyFill="1" applyBorder="1" applyAlignment="1">
      <alignment horizontal="center" vertical="center" wrapText="1"/>
    </xf>
    <xf numFmtId="0" fontId="19" fillId="9" borderId="148" xfId="0" applyFont="1" applyFill="1" applyBorder="1" applyAlignment="1">
      <alignment horizontal="center" vertical="center"/>
    </xf>
    <xf numFmtId="0" fontId="19" fillId="9" borderId="98" xfId="0" applyFont="1" applyFill="1" applyBorder="1" applyAlignment="1">
      <alignment horizontal="center" vertical="center"/>
    </xf>
    <xf numFmtId="0" fontId="19" fillId="9" borderId="286" xfId="0" applyFont="1" applyFill="1" applyBorder="1" applyAlignment="1">
      <alignment horizontal="center" vertical="center"/>
    </xf>
    <xf numFmtId="0" fontId="19" fillId="9" borderId="81" xfId="0" applyFont="1" applyFill="1" applyBorder="1" applyAlignment="1">
      <alignment horizontal="center" vertical="center"/>
    </xf>
    <xf numFmtId="0" fontId="5" fillId="9" borderId="297" xfId="0" applyFont="1" applyFill="1" applyBorder="1" applyAlignment="1">
      <alignment horizontal="center" vertical="center" wrapText="1"/>
    </xf>
    <xf numFmtId="0" fontId="5" fillId="0" borderId="81" xfId="0" applyFont="1" applyBorder="1" applyAlignment="1">
      <alignment horizontal="center" vertical="center" wrapText="1"/>
    </xf>
    <xf numFmtId="1" fontId="19" fillId="10" borderId="2" xfId="0" applyNumberFormat="1" applyFont="1" applyFill="1" applyBorder="1" applyAlignment="1" applyProtection="1">
      <alignment horizontal="right" vertical="center" wrapText="1"/>
      <protection locked="0"/>
    </xf>
    <xf numFmtId="1" fontId="19" fillId="10" borderId="9" xfId="0" applyNumberFormat="1" applyFont="1" applyFill="1" applyBorder="1" applyAlignment="1" applyProtection="1">
      <alignment horizontal="right" vertical="center" wrapText="1"/>
      <protection locked="0"/>
    </xf>
    <xf numFmtId="194" fontId="19" fillId="10" borderId="2" xfId="0" applyNumberFormat="1" applyFont="1" applyFill="1" applyBorder="1" applyAlignment="1">
      <alignment horizontal="left" vertical="center" wrapText="1"/>
    </xf>
    <xf numFmtId="194" fontId="19" fillId="10" borderId="9" xfId="0" applyNumberFormat="1" applyFont="1" applyFill="1" applyBorder="1" applyAlignment="1">
      <alignment horizontal="left" vertical="center" wrapText="1"/>
    </xf>
    <xf numFmtId="0" fontId="19" fillId="34" borderId="2" xfId="0" applyFont="1" applyFill="1" applyBorder="1" applyAlignment="1" applyProtection="1">
      <alignment horizontal="right" vertical="center" wrapText="1"/>
      <protection locked="0"/>
    </xf>
    <xf numFmtId="0" fontId="19" fillId="34" borderId="9" xfId="0" applyFont="1" applyFill="1" applyBorder="1" applyAlignment="1" applyProtection="1">
      <alignment horizontal="right" vertical="center" wrapText="1"/>
      <protection locked="0"/>
    </xf>
    <xf numFmtId="181" fontId="5" fillId="34" borderId="2" xfId="0" applyNumberFormat="1" applyFont="1" applyFill="1" applyBorder="1" applyAlignment="1">
      <alignment horizontal="left" vertical="center"/>
    </xf>
    <xf numFmtId="181" fontId="5" fillId="34" borderId="304" xfId="0" applyNumberFormat="1" applyFont="1" applyFill="1" applyBorder="1" applyAlignment="1">
      <alignment horizontal="left" vertical="center"/>
    </xf>
    <xf numFmtId="181" fontId="5" fillId="34" borderId="9" xfId="0" applyNumberFormat="1" applyFont="1" applyFill="1" applyBorder="1" applyAlignment="1">
      <alignment horizontal="left" vertical="center"/>
    </xf>
    <xf numFmtId="181" fontId="5" fillId="34" borderId="94" xfId="0" applyNumberFormat="1" applyFont="1" applyFill="1" applyBorder="1" applyAlignment="1">
      <alignment horizontal="left" vertical="center"/>
    </xf>
    <xf numFmtId="0" fontId="206" fillId="0" borderId="0" xfId="0" applyFont="1" applyAlignment="1">
      <alignment horizontal="center" vertical="center" wrapText="1"/>
    </xf>
    <xf numFmtId="0" fontId="12" fillId="5" borderId="403" xfId="0" applyFont="1" applyFill="1" applyBorder="1" applyAlignment="1">
      <alignment horizontal="center" vertical="center" wrapText="1"/>
    </xf>
    <xf numFmtId="0" fontId="12" fillId="5" borderId="292" xfId="0" applyFont="1" applyFill="1" applyBorder="1" applyAlignment="1">
      <alignment horizontal="center" vertical="center" wrapText="1"/>
    </xf>
    <xf numFmtId="0" fontId="20" fillId="5" borderId="292" xfId="0" applyFont="1" applyFill="1" applyBorder="1" applyAlignment="1" applyProtection="1">
      <alignment horizontal="center" vertical="center" wrapText="1"/>
      <protection locked="0"/>
    </xf>
    <xf numFmtId="0" fontId="20" fillId="5" borderId="295" xfId="0" applyFont="1" applyFill="1" applyBorder="1" applyAlignment="1" applyProtection="1">
      <alignment horizontal="center" vertical="center" wrapText="1"/>
      <protection locked="0"/>
    </xf>
    <xf numFmtId="0" fontId="12" fillId="140" borderId="403" xfId="0" applyFont="1" applyFill="1" applyBorder="1" applyAlignment="1">
      <alignment horizontal="center" vertical="center" wrapText="1"/>
    </xf>
    <xf numFmtId="0" fontId="12" fillId="140" borderId="292" xfId="0" applyFont="1" applyFill="1" applyBorder="1" applyAlignment="1">
      <alignment horizontal="center" vertical="center" wrapText="1"/>
    </xf>
    <xf numFmtId="0" fontId="20" fillId="140" borderId="292" xfId="0" applyFont="1" applyFill="1" applyBorder="1" applyAlignment="1" applyProtection="1">
      <alignment horizontal="center" vertical="center" wrapText="1"/>
      <protection locked="0"/>
    </xf>
    <xf numFmtId="0" fontId="20" fillId="140" borderId="295" xfId="0" applyFont="1" applyFill="1" applyBorder="1" applyAlignment="1" applyProtection="1">
      <alignment horizontal="center" vertical="center" wrapText="1"/>
      <protection locked="0"/>
    </xf>
    <xf numFmtId="0" fontId="12" fillId="5" borderId="404" xfId="0" applyFont="1" applyFill="1" applyBorder="1" applyAlignment="1">
      <alignment horizontal="center" vertical="center" wrapText="1"/>
    </xf>
    <xf numFmtId="0" fontId="12" fillId="5" borderId="334" xfId="0" applyFont="1" applyFill="1" applyBorder="1" applyAlignment="1">
      <alignment horizontal="center" vertical="center" wrapText="1"/>
    </xf>
    <xf numFmtId="0" fontId="20" fillId="5" borderId="334" xfId="0" applyFont="1" applyFill="1" applyBorder="1" applyAlignment="1" applyProtection="1">
      <alignment horizontal="center" vertical="center" wrapText="1"/>
      <protection locked="0"/>
    </xf>
    <xf numFmtId="0" fontId="20" fillId="5" borderId="405" xfId="0" applyFont="1" applyFill="1" applyBorder="1" applyAlignment="1" applyProtection="1">
      <alignment horizontal="center" vertical="center" wrapText="1"/>
      <protection locked="0"/>
    </xf>
    <xf numFmtId="0" fontId="12" fillId="55" borderId="326" xfId="0" applyFont="1" applyFill="1" applyBorder="1" applyAlignment="1">
      <alignment horizontal="center" vertical="center" wrapText="1"/>
    </xf>
    <xf numFmtId="0" fontId="12" fillId="55" borderId="13" xfId="0" applyFont="1" applyFill="1" applyBorder="1" applyAlignment="1">
      <alignment horizontal="center" vertical="center" wrapText="1"/>
    </xf>
    <xf numFmtId="0" fontId="12" fillId="55" borderId="22" xfId="0" applyFont="1" applyFill="1" applyBorder="1" applyAlignment="1">
      <alignment horizontal="center" vertical="center" wrapText="1"/>
    </xf>
    <xf numFmtId="0" fontId="12" fillId="55" borderId="23" xfId="0" applyFont="1" applyFill="1" applyBorder="1" applyAlignment="1">
      <alignment horizontal="center" vertical="center" wrapText="1"/>
    </xf>
    <xf numFmtId="0" fontId="12" fillId="127" borderId="400" xfId="0" applyFont="1" applyFill="1" applyBorder="1" applyAlignment="1">
      <alignment horizontal="center" vertical="center" wrapText="1"/>
    </xf>
    <xf numFmtId="0" fontId="12" fillId="127" borderId="401" xfId="0" applyFont="1" applyFill="1" applyBorder="1" applyAlignment="1">
      <alignment horizontal="center" vertical="center" wrapText="1"/>
    </xf>
    <xf numFmtId="0" fontId="12" fillId="127" borderId="402" xfId="0" applyFont="1" applyFill="1" applyBorder="1" applyAlignment="1">
      <alignment horizontal="center" vertical="center" wrapText="1"/>
    </xf>
    <xf numFmtId="0" fontId="163" fillId="129" borderId="3" xfId="0" applyFont="1" applyFill="1" applyBorder="1" applyAlignment="1">
      <alignment horizontal="center" vertical="center"/>
    </xf>
    <xf numFmtId="0" fontId="163" fillId="113" borderId="3" xfId="0" applyFont="1" applyFill="1" applyBorder="1" applyAlignment="1">
      <alignment horizontal="center" vertical="center"/>
    </xf>
    <xf numFmtId="0" fontId="124" fillId="0" borderId="0" xfId="0" applyFont="1" applyAlignment="1">
      <alignment horizontal="center" vertical="center"/>
    </xf>
    <xf numFmtId="0" fontId="12" fillId="127" borderId="44" xfId="0" applyFont="1" applyFill="1" applyBorder="1" applyAlignment="1">
      <alignment horizontal="center" vertical="center" wrapText="1"/>
    </xf>
    <xf numFmtId="0" fontId="12" fillId="127" borderId="23" xfId="0" applyFont="1" applyFill="1" applyBorder="1" applyAlignment="1">
      <alignment horizontal="center" vertical="center" wrapText="1"/>
    </xf>
    <xf numFmtId="0" fontId="12" fillId="97" borderId="23" xfId="0" applyFont="1" applyFill="1" applyBorder="1" applyAlignment="1">
      <alignment horizontal="center" vertical="center" wrapText="1"/>
    </xf>
    <xf numFmtId="0" fontId="17" fillId="5" borderId="23" xfId="0" applyFont="1" applyFill="1" applyBorder="1" applyAlignment="1">
      <alignment horizontal="center" vertical="center" wrapText="1"/>
    </xf>
    <xf numFmtId="0" fontId="12" fillId="0" borderId="22" xfId="0" applyFont="1" applyBorder="1" applyAlignment="1">
      <alignment horizontal="center" vertical="center" wrapText="1"/>
    </xf>
    <xf numFmtId="0" fontId="12" fillId="0" borderId="23" xfId="0" applyFont="1" applyBorder="1" applyAlignment="1">
      <alignment horizontal="center" vertical="center" wrapText="1"/>
    </xf>
    <xf numFmtId="0" fontId="19" fillId="0" borderId="377" xfId="0" applyFont="1" applyBorder="1" applyAlignment="1" applyProtection="1">
      <alignment horizontal="center" vertical="center"/>
      <protection locked="0"/>
    </xf>
    <xf numFmtId="0" fontId="19" fillId="0" borderId="399" xfId="0" applyFont="1" applyBorder="1" applyAlignment="1" applyProtection="1">
      <alignment horizontal="center" vertical="center"/>
      <protection locked="0"/>
    </xf>
    <xf numFmtId="0" fontId="18" fillId="55" borderId="376" xfId="0" applyFont="1" applyFill="1" applyBorder="1" applyAlignment="1">
      <alignment horizontal="center" vertical="center" wrapText="1"/>
    </xf>
    <xf numFmtId="0" fontId="18" fillId="55" borderId="377" xfId="0" applyFont="1" applyFill="1" applyBorder="1" applyAlignment="1">
      <alignment horizontal="center" vertical="center" wrapText="1"/>
    </xf>
    <xf numFmtId="0" fontId="18" fillId="55" borderId="399" xfId="0" applyFont="1" applyFill="1" applyBorder="1" applyAlignment="1">
      <alignment horizontal="center" vertical="center" wrapText="1"/>
    </xf>
    <xf numFmtId="0" fontId="163" fillId="81" borderId="3" xfId="0" applyFont="1" applyFill="1" applyBorder="1" applyAlignment="1">
      <alignment horizontal="center" vertical="center"/>
    </xf>
    <xf numFmtId="0" fontId="163" fillId="123" borderId="3" xfId="0" applyFont="1" applyFill="1" applyBorder="1" applyAlignment="1">
      <alignment horizontal="center" vertical="center"/>
    </xf>
    <xf numFmtId="0" fontId="12" fillId="55" borderId="20" xfId="0" applyFont="1" applyFill="1" applyBorder="1" applyAlignment="1">
      <alignment horizontal="center" vertical="center" wrapText="1"/>
    </xf>
    <xf numFmtId="0" fontId="12" fillId="55" borderId="0" xfId="0" applyFont="1" applyFill="1" applyAlignment="1">
      <alignment horizontal="center" vertical="center" wrapText="1"/>
    </xf>
    <xf numFmtId="0" fontId="12" fillId="55" borderId="7" xfId="0" applyFont="1" applyFill="1" applyBorder="1" applyAlignment="1">
      <alignment horizontal="center" vertical="center" wrapText="1"/>
    </xf>
    <xf numFmtId="0" fontId="12" fillId="0" borderId="376" xfId="0" applyFont="1" applyBorder="1" applyAlignment="1" applyProtection="1">
      <alignment horizontal="center" vertical="center" wrapText="1"/>
      <protection locked="0"/>
    </xf>
    <xf numFmtId="0" fontId="12" fillId="0" borderId="377" xfId="0" applyFont="1" applyBorder="1" applyAlignment="1" applyProtection="1">
      <alignment horizontal="center" vertical="center" wrapText="1"/>
      <protection locked="0"/>
    </xf>
    <xf numFmtId="0" fontId="12" fillId="0" borderId="378" xfId="0" applyFont="1" applyBorder="1" applyAlignment="1" applyProtection="1">
      <alignment horizontal="center" vertical="center" wrapText="1"/>
      <protection locked="0"/>
    </xf>
    <xf numFmtId="0" fontId="12" fillId="97" borderId="379" xfId="0" applyFont="1" applyFill="1" applyBorder="1" applyAlignment="1">
      <alignment horizontal="center" vertical="center" wrapText="1"/>
    </xf>
    <xf numFmtId="0" fontId="12" fillId="97" borderId="377" xfId="0" applyFont="1" applyFill="1" applyBorder="1" applyAlignment="1">
      <alignment horizontal="center" vertical="center" wrapText="1"/>
    </xf>
    <xf numFmtId="0" fontId="12" fillId="97" borderId="380" xfId="0" applyFont="1" applyFill="1" applyBorder="1" applyAlignment="1">
      <alignment horizontal="center" vertical="center" wrapText="1"/>
    </xf>
    <xf numFmtId="0" fontId="17" fillId="97" borderId="377" xfId="0" applyFont="1" applyFill="1" applyBorder="1" applyAlignment="1">
      <alignment horizontal="center" vertical="center" wrapText="1"/>
    </xf>
    <xf numFmtId="0" fontId="17" fillId="97" borderId="399" xfId="0" applyFont="1" applyFill="1" applyBorder="1" applyAlignment="1">
      <alignment horizontal="center" vertical="center" wrapText="1"/>
    </xf>
    <xf numFmtId="0" fontId="12" fillId="0" borderId="379" xfId="0" applyFont="1" applyBorder="1" applyAlignment="1" applyProtection="1">
      <alignment horizontal="center" vertical="center" wrapText="1"/>
      <protection locked="0"/>
    </xf>
    <xf numFmtId="0" fontId="12" fillId="0" borderId="380" xfId="0" applyFont="1" applyBorder="1" applyAlignment="1" applyProtection="1">
      <alignment horizontal="center" vertical="center" wrapText="1"/>
      <protection locked="0"/>
    </xf>
    <xf numFmtId="0" fontId="12" fillId="97" borderId="376" xfId="0" applyFont="1" applyFill="1" applyBorder="1" applyAlignment="1">
      <alignment horizontal="center" vertical="center" wrapText="1"/>
    </xf>
    <xf numFmtId="0" fontId="12" fillId="5" borderId="377" xfId="0" applyFont="1" applyFill="1" applyBorder="1" applyAlignment="1">
      <alignment horizontal="center" vertical="center" wrapText="1"/>
    </xf>
    <xf numFmtId="0" fontId="12" fillId="5" borderId="380" xfId="0" applyFont="1" applyFill="1" applyBorder="1" applyAlignment="1">
      <alignment horizontal="center" vertical="center" wrapText="1"/>
    </xf>
    <xf numFmtId="0" fontId="17" fillId="5" borderId="377" xfId="0" applyFont="1" applyFill="1" applyBorder="1" applyAlignment="1">
      <alignment horizontal="center" vertical="center" wrapText="1"/>
    </xf>
    <xf numFmtId="0" fontId="98" fillId="4" borderId="6" xfId="0" applyFont="1" applyFill="1" applyBorder="1" applyAlignment="1" applyProtection="1">
      <alignment horizontal="center" vertical="center" wrapText="1"/>
      <protection locked="0"/>
    </xf>
    <xf numFmtId="0" fontId="98" fillId="4" borderId="0" xfId="0" applyFont="1" applyFill="1" applyAlignment="1" applyProtection="1">
      <alignment horizontal="center" vertical="center" wrapText="1"/>
      <protection locked="0"/>
    </xf>
    <xf numFmtId="0" fontId="98" fillId="0" borderId="81" xfId="0" applyFont="1" applyBorder="1" applyAlignment="1" applyProtection="1">
      <alignment horizontal="center" vertical="center" wrapText="1"/>
      <protection locked="0"/>
    </xf>
    <xf numFmtId="0" fontId="98" fillId="0" borderId="36" xfId="0" applyFont="1" applyBorder="1" applyAlignment="1" applyProtection="1">
      <alignment horizontal="center" vertical="center" wrapText="1"/>
      <protection locked="0"/>
    </xf>
    <xf numFmtId="0" fontId="19" fillId="8" borderId="1" xfId="0" applyFont="1" applyFill="1" applyBorder="1" applyAlignment="1">
      <alignment horizontal="center" vertical="center"/>
    </xf>
    <xf numFmtId="0" fontId="19" fillId="8" borderId="2" xfId="0" applyFont="1" applyFill="1" applyBorder="1" applyAlignment="1">
      <alignment horizontal="center" vertical="center"/>
    </xf>
    <xf numFmtId="0" fontId="19" fillId="8" borderId="4" xfId="0" applyFont="1" applyFill="1" applyBorder="1" applyAlignment="1">
      <alignment horizontal="center" vertical="center"/>
    </xf>
    <xf numFmtId="0" fontId="17" fillId="55" borderId="46" xfId="0" applyFont="1" applyFill="1" applyBorder="1" applyAlignment="1">
      <alignment horizontal="center" vertical="center" wrapText="1"/>
    </xf>
    <xf numFmtId="0" fontId="17" fillId="55" borderId="15" xfId="0" applyFont="1" applyFill="1" applyBorder="1" applyAlignment="1">
      <alignment horizontal="center" vertical="center" wrapText="1"/>
    </xf>
    <xf numFmtId="0" fontId="17" fillId="55" borderId="47" xfId="0" applyFont="1" applyFill="1" applyBorder="1" applyAlignment="1">
      <alignment horizontal="center" vertical="center" wrapText="1"/>
    </xf>
    <xf numFmtId="0" fontId="228" fillId="72" borderId="278" xfId="0" applyFont="1" applyFill="1" applyBorder="1" applyAlignment="1">
      <alignment horizontal="center" vertical="center" wrapText="1"/>
    </xf>
    <xf numFmtId="0" fontId="228" fillId="72" borderId="260" xfId="0" applyFont="1" applyFill="1" applyBorder="1" applyAlignment="1">
      <alignment horizontal="center" vertical="center" wrapText="1"/>
    </xf>
    <xf numFmtId="0" fontId="230" fillId="72" borderId="260" xfId="0" applyFont="1" applyFill="1" applyBorder="1" applyAlignment="1">
      <alignment horizontal="center" vertical="center" wrapText="1"/>
    </xf>
    <xf numFmtId="0" fontId="228" fillId="72" borderId="312" xfId="0" applyFont="1" applyFill="1" applyBorder="1" applyAlignment="1">
      <alignment horizontal="center" vertical="center" wrapText="1"/>
    </xf>
    <xf numFmtId="0" fontId="12" fillId="55" borderId="377" xfId="0" applyFont="1" applyFill="1" applyBorder="1" applyAlignment="1">
      <alignment horizontal="center" vertical="center" wrapText="1"/>
    </xf>
    <xf numFmtId="0" fontId="18" fillId="55" borderId="378" xfId="0" applyFont="1" applyFill="1" applyBorder="1" applyAlignment="1">
      <alignment horizontal="center" vertical="center" wrapText="1"/>
    </xf>
    <xf numFmtId="0" fontId="18" fillId="55" borderId="379" xfId="0" applyFont="1" applyFill="1" applyBorder="1" applyAlignment="1">
      <alignment horizontal="center" vertical="center" wrapText="1"/>
    </xf>
    <xf numFmtId="0" fontId="163" fillId="10" borderId="14" xfId="0" applyFont="1" applyFill="1" applyBorder="1" applyAlignment="1">
      <alignment horizontal="center" vertical="center"/>
    </xf>
    <xf numFmtId="0" fontId="163" fillId="10" borderId="15" xfId="0" applyFont="1" applyFill="1" applyBorder="1" applyAlignment="1">
      <alignment horizontal="center" vertical="center"/>
    </xf>
    <xf numFmtId="0" fontId="163" fillId="10" borderId="47" xfId="0" applyFont="1" applyFill="1" applyBorder="1" applyAlignment="1">
      <alignment horizontal="center" vertical="center"/>
    </xf>
    <xf numFmtId="0" fontId="0" fillId="0" borderId="46"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2" xfId="0" applyBorder="1" applyAlignment="1">
      <alignment horizontal="center" vertical="center"/>
    </xf>
    <xf numFmtId="0" fontId="98" fillId="8" borderId="6" xfId="0" applyFont="1" applyFill="1" applyBorder="1" applyAlignment="1" applyProtection="1">
      <alignment horizontal="center" vertical="center" wrapText="1"/>
      <protection locked="0"/>
    </xf>
    <xf numFmtId="0" fontId="98" fillId="8" borderId="0" xfId="0" applyFont="1" applyFill="1" applyAlignment="1" applyProtection="1">
      <alignment horizontal="center" vertical="center" wrapText="1"/>
      <protection locked="0"/>
    </xf>
    <xf numFmtId="0" fontId="98" fillId="9" borderId="98" xfId="0" applyFont="1" applyFill="1" applyBorder="1" applyAlignment="1" applyProtection="1">
      <alignment horizontal="center" vertical="center" wrapText="1"/>
      <protection locked="0"/>
    </xf>
    <xf numFmtId="0" fontId="98" fillId="9" borderId="37" xfId="0" applyFont="1" applyFill="1" applyBorder="1" applyAlignment="1" applyProtection="1">
      <alignment horizontal="center" vertical="center" wrapText="1"/>
      <protection locked="0"/>
    </xf>
    <xf numFmtId="0" fontId="17" fillId="55" borderId="149" xfId="0" applyFont="1" applyFill="1" applyBorder="1" applyAlignment="1">
      <alignment horizontal="center" vertical="center" wrapText="1"/>
    </xf>
    <xf numFmtId="0" fontId="17" fillId="55" borderId="3" xfId="0" applyFont="1" applyFill="1" applyBorder="1" applyAlignment="1">
      <alignment horizontal="center" vertical="center" wrapText="1"/>
    </xf>
    <xf numFmtId="0" fontId="17" fillId="55" borderId="14" xfId="0" applyFont="1" applyFill="1" applyBorder="1" applyAlignment="1">
      <alignment horizontal="center" vertical="center" wrapText="1"/>
    </xf>
    <xf numFmtId="0" fontId="163" fillId="10" borderId="46" xfId="0" applyFont="1" applyFill="1" applyBorder="1" applyAlignment="1">
      <alignment horizontal="center" vertical="center"/>
    </xf>
    <xf numFmtId="0" fontId="163" fillId="10" borderId="3" xfId="0" applyFont="1" applyFill="1" applyBorder="1" applyAlignment="1">
      <alignment horizontal="center" vertical="center"/>
    </xf>
    <xf numFmtId="0" fontId="163" fillId="10" borderId="12" xfId="0" applyFont="1" applyFill="1" applyBorder="1" applyAlignment="1">
      <alignment horizontal="center" vertical="center"/>
    </xf>
    <xf numFmtId="0" fontId="19" fillId="0" borderId="3" xfId="0" applyFont="1" applyBorder="1" applyAlignment="1">
      <alignment horizontal="center" vertical="center"/>
    </xf>
    <xf numFmtId="0" fontId="19" fillId="0" borderId="14" xfId="0" applyFont="1" applyBorder="1" applyAlignment="1">
      <alignment horizontal="center" vertical="center"/>
    </xf>
    <xf numFmtId="0" fontId="19" fillId="0" borderId="15" xfId="0" applyFont="1" applyBorder="1" applyAlignment="1">
      <alignment horizontal="center" vertical="center"/>
    </xf>
    <xf numFmtId="0" fontId="19" fillId="0" borderId="12" xfId="0" applyFont="1" applyBorder="1" applyAlignment="1">
      <alignment horizontal="center" vertical="center"/>
    </xf>
    <xf numFmtId="0" fontId="19" fillId="0" borderId="3" xfId="0" applyFont="1" applyBorder="1" applyAlignment="1" applyProtection="1">
      <alignment horizontal="center" vertical="center"/>
      <protection locked="0"/>
    </xf>
    <xf numFmtId="197" fontId="0" fillId="0" borderId="3" xfId="0" applyNumberFormat="1" applyBorder="1" applyAlignment="1">
      <alignment horizontal="center" vertical="center"/>
    </xf>
    <xf numFmtId="0" fontId="98" fillId="0" borderId="98" xfId="0" applyFont="1" applyBorder="1" applyAlignment="1" applyProtection="1">
      <alignment horizontal="center" vertical="center" wrapText="1"/>
      <protection locked="0"/>
    </xf>
    <xf numFmtId="0" fontId="98" fillId="0" borderId="37" xfId="0" applyFont="1" applyBorder="1" applyAlignment="1" applyProtection="1">
      <alignment horizontal="center" vertical="center" wrapText="1"/>
      <protection locked="0"/>
    </xf>
    <xf numFmtId="0" fontId="228" fillId="72" borderId="1" xfId="0" applyFont="1" applyFill="1" applyBorder="1" applyAlignment="1">
      <alignment horizontal="center" vertical="center" wrapText="1"/>
    </xf>
    <xf numFmtId="0" fontId="228" fillId="72" borderId="2" xfId="0" applyFont="1" applyFill="1" applyBorder="1" applyAlignment="1">
      <alignment horizontal="center" vertical="center" wrapText="1"/>
    </xf>
    <xf numFmtId="0" fontId="228" fillId="72" borderId="4" xfId="0" applyFont="1" applyFill="1" applyBorder="1" applyAlignment="1">
      <alignment horizontal="center" vertical="center" wrapText="1"/>
    </xf>
    <xf numFmtId="0" fontId="17" fillId="55" borderId="6" xfId="0" applyFont="1" applyFill="1" applyBorder="1" applyAlignment="1">
      <alignment horizontal="center" vertical="center" wrapText="1"/>
    </xf>
    <xf numFmtId="0" fontId="17" fillId="55" borderId="0" xfId="0" applyFont="1" applyFill="1" applyAlignment="1">
      <alignment horizontal="center" vertical="center" wrapText="1"/>
    </xf>
    <xf numFmtId="0" fontId="17" fillId="55" borderId="386" xfId="0" applyFont="1" applyFill="1" applyBorder="1" applyAlignment="1">
      <alignment horizontal="center" vertical="center" wrapText="1"/>
    </xf>
    <xf numFmtId="0" fontId="163" fillId="10" borderId="11" xfId="0" applyFont="1" applyFill="1" applyBorder="1" applyAlignment="1">
      <alignment horizontal="center" vertical="center"/>
    </xf>
    <xf numFmtId="0" fontId="163" fillId="10" borderId="251" xfId="0" applyFont="1" applyFill="1" applyBorder="1" applyAlignment="1">
      <alignment horizontal="center" vertical="center"/>
    </xf>
    <xf numFmtId="49" fontId="5" fillId="0" borderId="366" xfId="0" applyNumberFormat="1" applyFont="1" applyBorder="1" applyAlignment="1" applyProtection="1">
      <alignment horizontal="center" vertical="center"/>
      <protection locked="0"/>
    </xf>
    <xf numFmtId="49" fontId="5" fillId="0" borderId="367" xfId="0" applyNumberFormat="1" applyFont="1" applyBorder="1" applyAlignment="1" applyProtection="1">
      <alignment horizontal="center" vertical="center"/>
      <protection locked="0"/>
    </xf>
    <xf numFmtId="49" fontId="5" fillId="0" borderId="252" xfId="0" applyNumberFormat="1" applyFont="1" applyBorder="1" applyAlignment="1" applyProtection="1">
      <alignment horizontal="center" vertical="center"/>
      <protection locked="0"/>
    </xf>
    <xf numFmtId="49" fontId="5" fillId="0" borderId="368" xfId="0" applyNumberFormat="1" applyFont="1" applyBorder="1" applyAlignment="1" applyProtection="1">
      <alignment horizontal="center" vertical="center"/>
      <protection locked="0"/>
    </xf>
    <xf numFmtId="0" fontId="98" fillId="8" borderId="6" xfId="0" applyFont="1" applyFill="1" applyBorder="1" applyAlignment="1">
      <alignment horizontal="center" vertical="center" wrapText="1"/>
    </xf>
    <xf numFmtId="0" fontId="98" fillId="8" borderId="0" xfId="0" applyFont="1" applyFill="1" applyAlignment="1">
      <alignment horizontal="center" vertical="center" wrapText="1"/>
    </xf>
    <xf numFmtId="0" fontId="98" fillId="9" borderId="98" xfId="0" applyFont="1" applyFill="1" applyBorder="1" applyAlignment="1">
      <alignment horizontal="center" vertical="center" wrapText="1"/>
    </xf>
    <xf numFmtId="0" fontId="98" fillId="9" borderId="37" xfId="0" applyFont="1" applyFill="1" applyBorder="1" applyAlignment="1">
      <alignment horizontal="center" vertical="center" wrapText="1"/>
    </xf>
    <xf numFmtId="0" fontId="59" fillId="72" borderId="145" xfId="0" applyFont="1" applyFill="1" applyBorder="1" applyAlignment="1">
      <alignment horizontal="center" vertical="center"/>
    </xf>
    <xf numFmtId="0" fontId="59" fillId="72" borderId="146" xfId="0" applyFont="1" applyFill="1" applyBorder="1" applyAlignment="1">
      <alignment horizontal="center" vertical="center"/>
    </xf>
    <xf numFmtId="0" fontId="59" fillId="72" borderId="147" xfId="0" applyFont="1" applyFill="1" applyBorder="1" applyAlignment="1">
      <alignment horizontal="center" vertical="center"/>
    </xf>
    <xf numFmtId="0" fontId="17" fillId="55" borderId="7" xfId="0" applyFont="1" applyFill="1" applyBorder="1" applyAlignment="1">
      <alignment horizontal="center" vertical="center" wrapText="1"/>
    </xf>
    <xf numFmtId="0" fontId="9" fillId="141" borderId="165" xfId="0" applyFont="1" applyFill="1" applyBorder="1" applyAlignment="1">
      <alignment horizontal="center" vertical="center" wrapText="1"/>
    </xf>
    <xf numFmtId="0" fontId="9" fillId="141" borderId="166" xfId="0" applyFont="1" applyFill="1" applyBorder="1" applyAlignment="1">
      <alignment horizontal="center" vertical="center"/>
    </xf>
    <xf numFmtId="0" fontId="9" fillId="141" borderId="167" xfId="0" applyFont="1" applyFill="1" applyBorder="1" applyAlignment="1">
      <alignment horizontal="center" vertical="center"/>
    </xf>
    <xf numFmtId="0" fontId="17" fillId="8" borderId="286" xfId="0" applyFont="1" applyFill="1" applyBorder="1" applyAlignment="1">
      <alignment horizontal="center" vertical="center"/>
    </xf>
    <xf numFmtId="0" fontId="17" fillId="8" borderId="81" xfId="0" applyFont="1" applyFill="1" applyBorder="1" applyAlignment="1">
      <alignment horizontal="center" vertical="center"/>
    </xf>
    <xf numFmtId="0" fontId="17" fillId="8" borderId="82" xfId="0" applyFont="1" applyFill="1" applyBorder="1" applyAlignment="1">
      <alignment horizontal="center" vertical="center"/>
    </xf>
    <xf numFmtId="0" fontId="17" fillId="8" borderId="80" xfId="0" applyFont="1" applyFill="1" applyBorder="1" applyAlignment="1">
      <alignment horizontal="center" vertical="center"/>
    </xf>
    <xf numFmtId="0" fontId="17" fillId="8" borderId="259" xfId="0" applyFont="1" applyFill="1" applyBorder="1" applyAlignment="1">
      <alignment horizontal="center" vertical="center"/>
    </xf>
    <xf numFmtId="0" fontId="17" fillId="8" borderId="83" xfId="0" applyFont="1" applyFill="1" applyBorder="1" applyAlignment="1">
      <alignment horizontal="center" vertical="center"/>
    </xf>
    <xf numFmtId="0" fontId="19" fillId="0" borderId="162" xfId="0" applyFont="1" applyBorder="1" applyAlignment="1">
      <alignment horizontal="center" vertical="center"/>
    </xf>
    <xf numFmtId="0" fontId="19" fillId="0" borderId="163" xfId="0" applyFont="1" applyBorder="1" applyAlignment="1">
      <alignment horizontal="center" vertical="center"/>
    </xf>
    <xf numFmtId="0" fontId="19" fillId="0" borderId="164" xfId="0" applyFont="1" applyBorder="1" applyAlignment="1">
      <alignment horizontal="center" vertical="center"/>
    </xf>
    <xf numFmtId="0" fontId="5" fillId="142" borderId="90" xfId="0" applyFont="1" applyFill="1" applyBorder="1" applyAlignment="1">
      <alignment horizontal="center" vertical="center"/>
    </xf>
    <xf numFmtId="0" fontId="5" fillId="142" borderId="91" xfId="0" applyFont="1" applyFill="1" applyBorder="1" applyAlignment="1">
      <alignment horizontal="center" vertical="center"/>
    </xf>
    <xf numFmtId="0" fontId="5" fillId="142" borderId="95" xfId="0" applyFont="1" applyFill="1" applyBorder="1" applyAlignment="1">
      <alignment horizontal="center" vertical="center"/>
    </xf>
    <xf numFmtId="0" fontId="5" fillId="142" borderId="92" xfId="0" applyFont="1" applyFill="1" applyBorder="1" applyAlignment="1">
      <alignment horizontal="center" vertical="center"/>
    </xf>
    <xf numFmtId="0" fontId="98" fillId="4" borderId="6" xfId="0" applyFont="1" applyFill="1" applyBorder="1" applyAlignment="1">
      <alignment horizontal="center" vertical="center" wrapText="1"/>
    </xf>
    <xf numFmtId="0" fontId="98" fillId="4" borderId="0" xfId="0" applyFont="1" applyFill="1" applyAlignment="1">
      <alignment horizontal="center" vertical="center" wrapText="1"/>
    </xf>
    <xf numFmtId="0" fontId="98" fillId="0" borderId="168" xfId="0" applyFont="1" applyBorder="1" applyAlignment="1">
      <alignment horizontal="center" vertical="center" wrapText="1"/>
    </xf>
    <xf numFmtId="0" fontId="98" fillId="0" borderId="35" xfId="0" applyFont="1" applyBorder="1" applyAlignment="1">
      <alignment horizontal="center" vertical="center" wrapText="1"/>
    </xf>
    <xf numFmtId="49" fontId="19" fillId="0" borderId="1" xfId="0" applyNumberFormat="1" applyFont="1" applyBorder="1" applyAlignment="1" applyProtection="1">
      <alignment horizontal="left" vertical="top"/>
      <protection locked="0"/>
    </xf>
    <xf numFmtId="49" fontId="19" fillId="0" borderId="2" xfId="0" applyNumberFormat="1" applyFont="1" applyBorder="1" applyAlignment="1" applyProtection="1">
      <alignment horizontal="left" vertical="top"/>
      <protection locked="0"/>
    </xf>
    <xf numFmtId="49" fontId="19" fillId="0" borderId="304" xfId="0" applyNumberFormat="1" applyFont="1" applyBorder="1" applyAlignment="1" applyProtection="1">
      <alignment horizontal="left" vertical="top"/>
      <protection locked="0"/>
    </xf>
    <xf numFmtId="49" fontId="19" fillId="0" borderId="6" xfId="0" applyNumberFormat="1" applyFont="1" applyBorder="1" applyAlignment="1" applyProtection="1">
      <alignment horizontal="left" vertical="top"/>
      <protection locked="0"/>
    </xf>
    <xf numFmtId="49" fontId="19" fillId="0" borderId="0" xfId="0" applyNumberFormat="1" applyFont="1" applyAlignment="1" applyProtection="1">
      <alignment horizontal="left" vertical="top"/>
      <protection locked="0"/>
    </xf>
    <xf numFmtId="49" fontId="19" fillId="0" borderId="93" xfId="0" applyNumberFormat="1" applyFont="1" applyBorder="1" applyAlignment="1" applyProtection="1">
      <alignment horizontal="left" vertical="top"/>
      <protection locked="0"/>
    </xf>
    <xf numFmtId="49" fontId="19" fillId="0" borderId="8" xfId="0" applyNumberFormat="1" applyFont="1" applyBorder="1" applyAlignment="1" applyProtection="1">
      <alignment horizontal="left" vertical="top"/>
      <protection locked="0"/>
    </xf>
    <xf numFmtId="49" fontId="19" fillId="0" borderId="9" xfId="0" applyNumberFormat="1" applyFont="1" applyBorder="1" applyAlignment="1" applyProtection="1">
      <alignment horizontal="left" vertical="top"/>
      <protection locked="0"/>
    </xf>
    <xf numFmtId="49" fontId="19" fillId="0" borderId="94" xfId="0" applyNumberFormat="1" applyFont="1" applyBorder="1" applyAlignment="1" applyProtection="1">
      <alignment horizontal="left" vertical="top"/>
      <protection locked="0"/>
    </xf>
    <xf numFmtId="49" fontId="19" fillId="0" borderId="4" xfId="0" applyNumberFormat="1" applyFont="1" applyBorder="1" applyAlignment="1" applyProtection="1">
      <alignment horizontal="left" vertical="top"/>
      <protection locked="0"/>
    </xf>
    <xf numFmtId="49" fontId="19" fillId="0" borderId="7" xfId="0" applyNumberFormat="1" applyFont="1" applyBorder="1" applyAlignment="1" applyProtection="1">
      <alignment horizontal="left" vertical="top"/>
      <protection locked="0"/>
    </xf>
    <xf numFmtId="49" fontId="19" fillId="0" borderId="10" xfId="0" applyNumberFormat="1" applyFont="1" applyBorder="1" applyAlignment="1" applyProtection="1">
      <alignment horizontal="left" vertical="top"/>
      <protection locked="0"/>
    </xf>
    <xf numFmtId="0" fontId="98" fillId="0" borderId="23" xfId="0" applyFont="1" applyBorder="1" applyAlignment="1" applyProtection="1">
      <alignment horizontal="center" vertical="center"/>
      <protection locked="0"/>
    </xf>
    <xf numFmtId="0" fontId="98" fillId="0" borderId="20" xfId="0" applyFont="1" applyBorder="1" applyAlignment="1" applyProtection="1">
      <alignment horizontal="center" vertical="center"/>
      <protection locked="0"/>
    </xf>
    <xf numFmtId="0" fontId="98" fillId="0" borderId="0" xfId="0" applyFont="1" applyAlignment="1" applyProtection="1">
      <alignment horizontal="center" vertical="center"/>
      <protection locked="0"/>
    </xf>
    <xf numFmtId="0" fontId="98" fillId="0" borderId="7" xfId="0" applyFont="1" applyBorder="1" applyAlignment="1" applyProtection="1">
      <alignment horizontal="center" vertical="center"/>
      <protection locked="0"/>
    </xf>
    <xf numFmtId="0" fontId="98" fillId="9" borderId="98" xfId="3" applyNumberFormat="1" applyFont="1" applyFill="1" applyBorder="1" applyAlignment="1" applyProtection="1">
      <alignment horizontal="center" vertical="center"/>
    </xf>
    <xf numFmtId="0" fontId="98" fillId="9" borderId="37" xfId="3" applyNumberFormat="1" applyFont="1" applyFill="1" applyBorder="1" applyAlignment="1" applyProtection="1">
      <alignment horizontal="center" vertical="center"/>
    </xf>
    <xf numFmtId="0" fontId="19" fillId="8" borderId="6" xfId="0" applyFont="1" applyFill="1" applyBorder="1" applyAlignment="1" applyProtection="1">
      <alignment horizontal="center" vertical="center" wrapText="1"/>
      <protection locked="0"/>
    </xf>
    <xf numFmtId="0" fontId="19" fillId="8" borderId="0" xfId="0" applyFont="1" applyFill="1" applyAlignment="1" applyProtection="1">
      <alignment horizontal="center" vertical="center" wrapText="1"/>
      <protection locked="0"/>
    </xf>
    <xf numFmtId="0" fontId="227" fillId="8" borderId="0" xfId="0" applyFont="1" applyFill="1" applyAlignment="1">
      <alignment horizontal="center" vertical="center"/>
    </xf>
    <xf numFmtId="0" fontId="98" fillId="9" borderId="396" xfId="0" applyFont="1" applyFill="1" applyBorder="1" applyAlignment="1" applyProtection="1">
      <alignment horizontal="center" vertical="center" wrapText="1"/>
      <protection locked="0"/>
    </xf>
    <xf numFmtId="0" fontId="98" fillId="9" borderId="397" xfId="0" applyFont="1" applyFill="1" applyBorder="1" applyAlignment="1" applyProtection="1">
      <alignment horizontal="center" vertical="center" wrapText="1"/>
      <protection locked="0"/>
    </xf>
    <xf numFmtId="0" fontId="98" fillId="9" borderId="398" xfId="0" applyFont="1" applyFill="1" applyBorder="1" applyAlignment="1" applyProtection="1">
      <alignment horizontal="center" vertical="center" wrapText="1"/>
      <protection locked="0"/>
    </xf>
    <xf numFmtId="0" fontId="17" fillId="55" borderId="376" xfId="0" applyFont="1" applyFill="1" applyBorder="1" applyAlignment="1">
      <alignment horizontal="center" vertical="center" wrapText="1"/>
    </xf>
    <xf numFmtId="0" fontId="17" fillId="55" borderId="377" xfId="0" applyFont="1" applyFill="1" applyBorder="1" applyAlignment="1">
      <alignment horizontal="center" vertical="center" wrapText="1"/>
    </xf>
    <xf numFmtId="0" fontId="19" fillId="8" borderId="248" xfId="0" applyFont="1" applyFill="1" applyBorder="1" applyAlignment="1">
      <alignment horizontal="center" vertical="center"/>
    </xf>
    <xf numFmtId="0" fontId="19" fillId="8" borderId="249" xfId="0" applyFont="1" applyFill="1" applyBorder="1" applyAlignment="1">
      <alignment horizontal="center" vertical="center"/>
    </xf>
    <xf numFmtId="0" fontId="19" fillId="8" borderId="250" xfId="0" applyFont="1" applyFill="1" applyBorder="1" applyAlignment="1">
      <alignment horizontal="center" vertical="center"/>
    </xf>
    <xf numFmtId="0" fontId="17" fillId="0" borderId="20" xfId="0" applyFont="1" applyBorder="1" applyAlignment="1">
      <alignment horizontal="center" vertical="center" wrapText="1"/>
    </xf>
    <xf numFmtId="0" fontId="17" fillId="0" borderId="0" xfId="0" applyFont="1" applyAlignment="1">
      <alignment horizontal="center" vertical="center" wrapText="1"/>
    </xf>
    <xf numFmtId="0" fontId="17" fillId="0" borderId="7" xfId="0" applyFont="1" applyBorder="1" applyAlignment="1">
      <alignment horizontal="center" vertical="center" wrapText="1"/>
    </xf>
    <xf numFmtId="0" fontId="12" fillId="97" borderId="377" xfId="0" applyFont="1" applyFill="1" applyBorder="1" applyAlignment="1">
      <alignment horizontal="center" vertical="center"/>
    </xf>
    <xf numFmtId="0" fontId="98" fillId="97" borderId="378" xfId="0" applyFont="1" applyFill="1" applyBorder="1" applyAlignment="1">
      <alignment horizontal="center" vertical="center"/>
    </xf>
    <xf numFmtId="0" fontId="98" fillId="97" borderId="377" xfId="0" applyFont="1" applyFill="1" applyBorder="1" applyAlignment="1">
      <alignment horizontal="center" vertical="center"/>
    </xf>
    <xf numFmtId="0" fontId="98" fillId="97" borderId="380" xfId="0" applyFont="1" applyFill="1" applyBorder="1" applyAlignment="1">
      <alignment horizontal="center" vertical="center"/>
    </xf>
    <xf numFmtId="0" fontId="98" fillId="97" borderId="20" xfId="0" applyFont="1" applyFill="1" applyBorder="1" applyAlignment="1">
      <alignment horizontal="center" vertical="center"/>
    </xf>
    <xf numFmtId="0" fontId="98" fillId="97" borderId="0" xfId="0" applyFont="1" applyFill="1" applyAlignment="1">
      <alignment horizontal="center" vertical="center"/>
    </xf>
    <xf numFmtId="0" fontId="98" fillId="97" borderId="7" xfId="0" applyFont="1" applyFill="1" applyBorder="1" applyAlignment="1">
      <alignment horizontal="center" vertical="center"/>
    </xf>
    <xf numFmtId="0" fontId="19" fillId="10" borderId="98" xfId="0" applyFont="1" applyFill="1" applyBorder="1" applyAlignment="1">
      <alignment horizontal="center" vertical="center"/>
    </xf>
    <xf numFmtId="1" fontId="161" fillId="10" borderId="98" xfId="0" applyNumberFormat="1" applyFont="1" applyFill="1" applyBorder="1" applyAlignment="1" applyProtection="1">
      <alignment horizontal="center" vertical="center"/>
      <protection locked="0"/>
    </xf>
    <xf numFmtId="1" fontId="161" fillId="10" borderId="37" xfId="0" applyNumberFormat="1" applyFont="1" applyFill="1" applyBorder="1" applyAlignment="1" applyProtection="1">
      <alignment horizontal="center" vertical="center"/>
      <protection locked="0"/>
    </xf>
    <xf numFmtId="0" fontId="19" fillId="4" borderId="6" xfId="0" applyFont="1" applyFill="1" applyBorder="1" applyAlignment="1" applyProtection="1">
      <alignment horizontal="center" vertical="center" wrapText="1"/>
      <protection locked="0"/>
    </xf>
    <xf numFmtId="0" fontId="19" fillId="4" borderId="0" xfId="0" applyFont="1" applyFill="1" applyAlignment="1" applyProtection="1">
      <alignment horizontal="center" vertical="center" wrapText="1"/>
      <protection locked="0"/>
    </xf>
    <xf numFmtId="0" fontId="227" fillId="4" borderId="0" xfId="0" applyFont="1" applyFill="1" applyAlignment="1">
      <alignment horizontal="center" vertical="center"/>
    </xf>
    <xf numFmtId="0" fontId="98" fillId="0" borderId="373" xfId="0" applyFont="1" applyBorder="1" applyAlignment="1" applyProtection="1">
      <alignment horizontal="center" vertical="center" wrapText="1"/>
      <protection locked="0"/>
    </xf>
    <xf numFmtId="0" fontId="98" fillId="0" borderId="374" xfId="0" applyFont="1" applyBorder="1" applyAlignment="1" applyProtection="1">
      <alignment horizontal="center" vertical="center" wrapText="1"/>
      <protection locked="0"/>
    </xf>
    <xf numFmtId="0" fontId="98" fillId="0" borderId="375" xfId="0" applyFont="1" applyBorder="1" applyAlignment="1" applyProtection="1">
      <alignment horizontal="center" vertical="center" wrapText="1"/>
      <protection locked="0"/>
    </xf>
    <xf numFmtId="0" fontId="20" fillId="0" borderId="44" xfId="0" applyFont="1" applyBorder="1" applyAlignment="1" applyProtection="1">
      <alignment horizontal="center" vertical="center"/>
      <protection locked="0"/>
    </xf>
    <xf numFmtId="0" fontId="20" fillId="0" borderId="23" xfId="0" applyFont="1" applyBorder="1" applyAlignment="1" applyProtection="1">
      <alignment horizontal="center" vertical="center"/>
      <protection locked="0"/>
    </xf>
    <xf numFmtId="0" fontId="12" fillId="0" borderId="393"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20" fillId="0" borderId="394" xfId="0" applyFont="1" applyBorder="1" applyAlignment="1" applyProtection="1">
      <alignment horizontal="center" vertical="center"/>
      <protection locked="0"/>
    </xf>
    <xf numFmtId="0" fontId="221" fillId="0" borderId="394" xfId="0" applyFont="1" applyBorder="1" applyAlignment="1" applyProtection="1">
      <alignment horizontal="center" vertical="center"/>
      <protection locked="0"/>
    </xf>
    <xf numFmtId="0" fontId="221" fillId="0" borderId="23" xfId="0" applyFont="1" applyBorder="1" applyAlignment="1" applyProtection="1">
      <alignment horizontal="center" vertical="center"/>
      <protection locked="0"/>
    </xf>
    <xf numFmtId="0" fontId="98" fillId="0" borderId="394" xfId="0" applyFont="1" applyBorder="1" applyAlignment="1" applyProtection="1">
      <alignment horizontal="center" vertical="center"/>
      <protection locked="0"/>
    </xf>
    <xf numFmtId="0" fontId="98" fillId="0" borderId="395" xfId="0" applyFont="1" applyBorder="1" applyAlignment="1" applyProtection="1">
      <alignment horizontal="center" vertical="center"/>
      <protection locked="0"/>
    </xf>
    <xf numFmtId="0" fontId="19" fillId="0" borderId="148" xfId="0" applyFont="1" applyBorder="1" applyAlignment="1">
      <alignment horizontal="left" vertical="center"/>
    </xf>
    <xf numFmtId="0" fontId="19" fillId="0" borderId="98" xfId="0" applyFont="1" applyBorder="1" applyAlignment="1">
      <alignment horizontal="left" vertical="center"/>
    </xf>
    <xf numFmtId="0" fontId="19" fillId="0" borderId="37" xfId="0" applyFont="1" applyBorder="1" applyAlignment="1">
      <alignment horizontal="left" vertical="center"/>
    </xf>
    <xf numFmtId="0" fontId="98" fillId="9" borderId="373" xfId="0" applyFont="1" applyFill="1" applyBorder="1" applyAlignment="1" applyProtection="1">
      <alignment horizontal="center" vertical="center" wrapText="1"/>
      <protection locked="0"/>
    </xf>
    <xf numFmtId="0" fontId="98" fillId="9" borderId="374" xfId="0" applyFont="1" applyFill="1" applyBorder="1" applyAlignment="1" applyProtection="1">
      <alignment horizontal="center" vertical="center" wrapText="1"/>
      <protection locked="0"/>
    </xf>
    <xf numFmtId="0" fontId="98" fillId="9" borderId="375" xfId="0" applyFont="1" applyFill="1" applyBorder="1" applyAlignment="1" applyProtection="1">
      <alignment horizontal="center" vertical="center" wrapText="1"/>
      <protection locked="0"/>
    </xf>
    <xf numFmtId="0" fontId="20" fillId="97" borderId="376" xfId="0" applyFont="1" applyFill="1" applyBorder="1" applyAlignment="1">
      <alignment horizontal="center" vertical="center"/>
    </xf>
    <xf numFmtId="0" fontId="20" fillId="97" borderId="377" xfId="0" applyFont="1" applyFill="1" applyBorder="1" applyAlignment="1">
      <alignment horizontal="center" vertical="center"/>
    </xf>
    <xf numFmtId="0" fontId="12" fillId="97" borderId="384" xfId="0" applyFont="1" applyFill="1" applyBorder="1" applyAlignment="1">
      <alignment horizontal="center" vertical="center"/>
    </xf>
    <xf numFmtId="0" fontId="19" fillId="0" borderId="390" xfId="0" applyFont="1" applyBorder="1" applyAlignment="1">
      <alignment horizontal="center" vertical="center"/>
    </xf>
    <xf numFmtId="0" fontId="19" fillId="0" borderId="391" xfId="0" applyFont="1" applyBorder="1" applyAlignment="1">
      <alignment horizontal="center" vertical="center"/>
    </xf>
    <xf numFmtId="0" fontId="19" fillId="0" borderId="392" xfId="0" applyFont="1" applyBorder="1" applyAlignment="1">
      <alignment horizontal="center" vertical="center"/>
    </xf>
    <xf numFmtId="0" fontId="19" fillId="140" borderId="213" xfId="0" applyFont="1" applyFill="1" applyBorder="1" applyAlignment="1">
      <alignment horizontal="center" vertical="center"/>
    </xf>
    <xf numFmtId="0" fontId="19" fillId="0" borderId="213" xfId="0" applyFont="1" applyBorder="1" applyAlignment="1">
      <alignment horizontal="center" vertical="center"/>
    </xf>
    <xf numFmtId="0" fontId="19" fillId="0" borderId="214" xfId="0" applyFont="1" applyBorder="1" applyAlignment="1">
      <alignment horizontal="center" vertical="center"/>
    </xf>
    <xf numFmtId="0" fontId="19" fillId="140" borderId="212" xfId="0" applyFont="1" applyFill="1" applyBorder="1" applyAlignment="1">
      <alignment horizontal="center" vertical="center"/>
    </xf>
    <xf numFmtId="0" fontId="5" fillId="0" borderId="378" xfId="0" applyFont="1" applyBorder="1" applyAlignment="1" applyProtection="1">
      <alignment horizontal="center" vertical="center"/>
      <protection locked="0"/>
    </xf>
    <xf numFmtId="0" fontId="5" fillId="0" borderId="377" xfId="0" applyFont="1" applyBorder="1" applyAlignment="1" applyProtection="1">
      <alignment horizontal="center" vertical="center"/>
      <protection locked="0"/>
    </xf>
    <xf numFmtId="0" fontId="5" fillId="0" borderId="380" xfId="0" applyFont="1" applyBorder="1" applyAlignment="1" applyProtection="1">
      <alignment horizontal="center" vertical="center"/>
      <protection locked="0"/>
    </xf>
    <xf numFmtId="0" fontId="19" fillId="0" borderId="378" xfId="0" applyFont="1" applyBorder="1" applyAlignment="1" applyProtection="1">
      <alignment horizontal="center" vertical="center"/>
      <protection locked="0"/>
    </xf>
    <xf numFmtId="0" fontId="17" fillId="97" borderId="379" xfId="0" applyFont="1" applyFill="1" applyBorder="1" applyAlignment="1">
      <alignment horizontal="center" vertical="center" wrapText="1"/>
    </xf>
    <xf numFmtId="0" fontId="17" fillId="97" borderId="378" xfId="0" applyFont="1" applyFill="1" applyBorder="1" applyAlignment="1">
      <alignment horizontal="center" vertical="center" wrapText="1"/>
    </xf>
    <xf numFmtId="0" fontId="17" fillId="97" borderId="384" xfId="0" applyFont="1" applyFill="1" applyBorder="1" applyAlignment="1">
      <alignment horizontal="center" vertical="center" wrapText="1"/>
    </xf>
    <xf numFmtId="0" fontId="17" fillId="97" borderId="385" xfId="0" applyFont="1" applyFill="1" applyBorder="1" applyAlignment="1">
      <alignment horizontal="center" vertical="center" wrapText="1"/>
    </xf>
    <xf numFmtId="0" fontId="5" fillId="139" borderId="79" xfId="0" applyFont="1" applyFill="1" applyBorder="1" applyAlignment="1">
      <alignment horizontal="center" vertical="center"/>
    </xf>
    <xf numFmtId="0" fontId="5" fillId="139" borderId="80" xfId="0" applyFont="1" applyFill="1" applyBorder="1" applyAlignment="1">
      <alignment horizontal="center" vertical="center"/>
    </xf>
    <xf numFmtId="0" fontId="5" fillId="139" borderId="82" xfId="0" applyFont="1" applyFill="1" applyBorder="1" applyAlignment="1">
      <alignment horizontal="center" vertical="center"/>
    </xf>
    <xf numFmtId="0" fontId="5" fillId="139" borderId="83" xfId="0" applyFont="1" applyFill="1" applyBorder="1" applyAlignment="1">
      <alignment horizontal="center" vertical="center"/>
    </xf>
    <xf numFmtId="0" fontId="17" fillId="97" borderId="6" xfId="0" applyFont="1" applyFill="1" applyBorder="1" applyAlignment="1">
      <alignment horizontal="center" vertical="center" wrapText="1"/>
    </xf>
    <xf numFmtId="0" fontId="17" fillId="97" borderId="0" xfId="0" applyFont="1" applyFill="1" applyAlignment="1">
      <alignment horizontal="center" vertical="center" wrapText="1"/>
    </xf>
    <xf numFmtId="0" fontId="12" fillId="97" borderId="0" xfId="0" applyFont="1" applyFill="1" applyAlignment="1">
      <alignment horizontal="center" vertical="center" wrapText="1"/>
    </xf>
    <xf numFmtId="0" fontId="5" fillId="0" borderId="386"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5" fillId="0" borderId="387" xfId="0" applyFont="1" applyBorder="1" applyAlignment="1" applyProtection="1">
      <alignment horizontal="center" vertical="center"/>
      <protection locked="0"/>
    </xf>
    <xf numFmtId="0" fontId="19" fillId="0" borderId="386" xfId="0" applyFont="1" applyBorder="1" applyAlignment="1" applyProtection="1">
      <alignment horizontal="center" vertical="center"/>
      <protection locked="0"/>
    </xf>
    <xf numFmtId="0" fontId="17" fillId="0" borderId="0" xfId="0" applyFont="1" applyAlignment="1" applyProtection="1">
      <alignment horizontal="left" vertical="center" wrapText="1"/>
      <protection locked="0"/>
    </xf>
    <xf numFmtId="0" fontId="19" fillId="0" borderId="388" xfId="0" applyFont="1" applyBorder="1" applyAlignment="1">
      <alignment horizontal="center" vertical="center"/>
    </xf>
    <xf numFmtId="0" fontId="17" fillId="0" borderId="388" xfId="0" applyFont="1" applyBorder="1" applyAlignment="1" applyProtection="1">
      <alignment horizontal="center" vertical="center" wrapText="1"/>
      <protection locked="0"/>
    </xf>
    <xf numFmtId="0" fontId="17" fillId="0" borderId="389" xfId="0" applyFont="1" applyBorder="1" applyAlignment="1" applyProtection="1">
      <alignment horizontal="center" vertical="center" wrapText="1"/>
      <protection locked="0"/>
    </xf>
    <xf numFmtId="49" fontId="5" fillId="0" borderId="90" xfId="0" applyNumberFormat="1" applyFont="1" applyBorder="1" applyAlignment="1" applyProtection="1">
      <alignment horizontal="center" vertical="center"/>
      <protection locked="0" hidden="1"/>
    </xf>
    <xf numFmtId="49" fontId="5" fillId="0" borderId="91" xfId="0" applyNumberFormat="1" applyFont="1" applyBorder="1" applyAlignment="1" applyProtection="1">
      <alignment horizontal="center" vertical="center"/>
      <protection locked="0" hidden="1"/>
    </xf>
    <xf numFmtId="49" fontId="5" fillId="0" borderId="95" xfId="0" applyNumberFormat="1" applyFont="1" applyBorder="1" applyAlignment="1" applyProtection="1">
      <alignment horizontal="center" vertical="center"/>
      <protection locked="0" hidden="1"/>
    </xf>
    <xf numFmtId="49" fontId="5" fillId="0" borderId="92" xfId="0" applyNumberFormat="1" applyFont="1" applyBorder="1" applyAlignment="1" applyProtection="1">
      <alignment horizontal="center" vertical="center"/>
      <protection locked="0" hidden="1"/>
    </xf>
    <xf numFmtId="0" fontId="17" fillId="97" borderId="376" xfId="0" applyFont="1" applyFill="1" applyBorder="1" applyAlignment="1">
      <alignment horizontal="center" vertical="center" wrapText="1"/>
    </xf>
    <xf numFmtId="0" fontId="17" fillId="97" borderId="380" xfId="0" applyFont="1" applyFill="1" applyBorder="1" applyAlignment="1">
      <alignment horizontal="center" vertical="center" wrapText="1"/>
    </xf>
    <xf numFmtId="0" fontId="17" fillId="97" borderId="7" xfId="0" applyFont="1" applyFill="1" applyBorder="1" applyAlignment="1">
      <alignment horizontal="center" vertical="center" wrapText="1"/>
    </xf>
    <xf numFmtId="0" fontId="19" fillId="139" borderId="90" xfId="0" applyFont="1" applyFill="1" applyBorder="1" applyAlignment="1" applyProtection="1">
      <alignment horizontal="center" vertical="center" wrapText="1"/>
      <protection hidden="1"/>
    </xf>
    <xf numFmtId="0" fontId="19" fillId="139" borderId="91" xfId="0" applyFont="1" applyFill="1" applyBorder="1" applyAlignment="1" applyProtection="1">
      <alignment horizontal="center" vertical="center"/>
      <protection hidden="1"/>
    </xf>
    <xf numFmtId="0" fontId="19" fillId="139" borderId="92" xfId="0" applyFont="1" applyFill="1" applyBorder="1" applyAlignment="1" applyProtection="1">
      <alignment horizontal="center" vertical="center"/>
      <protection hidden="1"/>
    </xf>
    <xf numFmtId="0" fontId="17" fillId="55" borderId="381" xfId="0" applyFont="1" applyFill="1" applyBorder="1" applyAlignment="1">
      <alignment horizontal="center" vertical="center" wrapText="1"/>
    </xf>
    <xf numFmtId="0" fontId="17" fillId="55" borderId="382" xfId="0" applyFont="1" applyFill="1" applyBorder="1" applyAlignment="1">
      <alignment horizontal="center" vertical="center" wrapText="1"/>
    </xf>
    <xf numFmtId="0" fontId="17" fillId="55" borderId="383" xfId="0" applyFont="1" applyFill="1" applyBorder="1" applyAlignment="1">
      <alignment horizontal="center" vertical="center" wrapText="1"/>
    </xf>
    <xf numFmtId="0" fontId="17" fillId="0" borderId="379" xfId="0" applyFont="1" applyBorder="1" applyAlignment="1">
      <alignment horizontal="center" vertical="center" wrapText="1"/>
    </xf>
    <xf numFmtId="0" fontId="17" fillId="0" borderId="377" xfId="0" applyFont="1" applyBorder="1" applyAlignment="1">
      <alignment horizontal="center" vertical="center" wrapText="1"/>
    </xf>
    <xf numFmtId="0" fontId="17" fillId="0" borderId="380" xfId="0" applyFont="1" applyBorder="1" applyAlignment="1">
      <alignment horizontal="center" vertical="center" wrapText="1"/>
    </xf>
    <xf numFmtId="0" fontId="19" fillId="0" borderId="377" xfId="0" applyFont="1" applyBorder="1" applyAlignment="1">
      <alignment horizontal="center" vertical="center"/>
    </xf>
    <xf numFmtId="0" fontId="19" fillId="0" borderId="380" xfId="0" applyFont="1" applyBorder="1" applyAlignment="1" applyProtection="1">
      <alignment horizontal="center" vertical="center"/>
      <protection locked="0"/>
    </xf>
    <xf numFmtId="0" fontId="17" fillId="55" borderId="378" xfId="0" applyFont="1" applyFill="1" applyBorder="1" applyAlignment="1">
      <alignment horizontal="center" vertical="center" wrapText="1"/>
    </xf>
    <xf numFmtId="0" fontId="17" fillId="55" borderId="20" xfId="0" applyFont="1" applyFill="1" applyBorder="1" applyAlignment="1">
      <alignment horizontal="center" vertical="center" wrapText="1"/>
    </xf>
    <xf numFmtId="0" fontId="9" fillId="138" borderId="145" xfId="0" applyFont="1" applyFill="1" applyBorder="1" applyAlignment="1" applyProtection="1">
      <alignment horizontal="center" vertical="center"/>
      <protection hidden="1"/>
    </xf>
    <xf numFmtId="0" fontId="9" fillId="138" borderId="146" xfId="0" applyFont="1" applyFill="1" applyBorder="1" applyAlignment="1" applyProtection="1">
      <alignment horizontal="center" vertical="center"/>
      <protection hidden="1"/>
    </xf>
    <xf numFmtId="0" fontId="9" fillId="138" borderId="147" xfId="0" applyFont="1" applyFill="1" applyBorder="1" applyAlignment="1" applyProtection="1">
      <alignment horizontal="center" vertical="center"/>
      <protection hidden="1"/>
    </xf>
    <xf numFmtId="0" fontId="17" fillId="0" borderId="376" xfId="0" applyFont="1" applyBorder="1" applyAlignment="1" applyProtection="1">
      <alignment horizontal="center" vertical="center" wrapText="1"/>
      <protection locked="0"/>
    </xf>
    <xf numFmtId="0" fontId="17" fillId="0" borderId="377" xfId="0" applyFont="1" applyBorder="1" applyAlignment="1" applyProtection="1">
      <alignment horizontal="center" vertical="center" wrapText="1"/>
      <protection locked="0"/>
    </xf>
    <xf numFmtId="0" fontId="17" fillId="0" borderId="378" xfId="0" applyFont="1" applyBorder="1" applyAlignment="1" applyProtection="1">
      <alignment horizontal="center" vertical="center" wrapText="1"/>
      <protection locked="0"/>
    </xf>
    <xf numFmtId="0" fontId="226" fillId="0" borderId="2" xfId="0" applyFont="1" applyBorder="1" applyAlignment="1">
      <alignment horizontal="center" vertical="center"/>
    </xf>
    <xf numFmtId="0" fontId="98" fillId="0" borderId="286" xfId="0" applyFont="1" applyBorder="1" applyAlignment="1">
      <alignment horizontal="center" vertical="center"/>
    </xf>
    <xf numFmtId="0" fontId="98" fillId="0" borderId="81" xfId="0" applyFont="1" applyBorder="1" applyAlignment="1">
      <alignment horizontal="center" vertical="center"/>
    </xf>
    <xf numFmtId="0" fontId="98" fillId="0" borderId="36" xfId="0" applyFont="1" applyBorder="1" applyAlignment="1">
      <alignment horizontal="center" vertical="center"/>
    </xf>
    <xf numFmtId="0" fontId="9" fillId="136" borderId="165" xfId="0" applyFont="1" applyFill="1" applyBorder="1" applyAlignment="1">
      <alignment horizontal="center" vertical="center" wrapText="1"/>
    </xf>
    <xf numFmtId="0" fontId="9" fillId="136" borderId="166" xfId="0" applyFont="1" applyFill="1" applyBorder="1" applyAlignment="1">
      <alignment horizontal="center" vertical="center"/>
    </xf>
    <xf numFmtId="0" fontId="9" fillId="136" borderId="167" xfId="0" applyFont="1" applyFill="1" applyBorder="1" applyAlignment="1">
      <alignment horizontal="center" vertical="center"/>
    </xf>
    <xf numFmtId="0" fontId="98" fillId="0" borderId="370" xfId="0" applyFont="1" applyBorder="1" applyAlignment="1" applyProtection="1">
      <alignment horizontal="center" vertical="center" wrapText="1"/>
      <protection locked="0"/>
    </xf>
    <xf numFmtId="0" fontId="98" fillId="0" borderId="371" xfId="0" applyFont="1" applyBorder="1" applyAlignment="1" applyProtection="1">
      <alignment horizontal="center" vertical="center" wrapText="1"/>
      <protection locked="0"/>
    </xf>
    <xf numFmtId="0" fontId="98" fillId="0" borderId="372" xfId="0" applyFont="1" applyBorder="1" applyAlignment="1" applyProtection="1">
      <alignment horizontal="center" vertical="center" wrapText="1"/>
      <protection locked="0"/>
    </xf>
    <xf numFmtId="0" fontId="218" fillId="0" borderId="0" xfId="0" applyFont="1" applyAlignment="1">
      <alignment horizontal="center" vertical="center"/>
    </xf>
    <xf numFmtId="0" fontId="219" fillId="0" borderId="0" xfId="0" applyFont="1" applyAlignment="1">
      <alignment horizontal="center" vertical="center"/>
    </xf>
    <xf numFmtId="0" fontId="59" fillId="72" borderId="1" xfId="2" applyNumberFormat="1" applyFont="1" applyFill="1" applyBorder="1" applyAlignment="1" applyProtection="1">
      <alignment horizontal="center" vertical="center"/>
    </xf>
    <xf numFmtId="0" fontId="59" fillId="72" borderId="2" xfId="2" applyNumberFormat="1" applyFont="1" applyFill="1" applyBorder="1" applyAlignment="1" applyProtection="1">
      <alignment horizontal="center" vertical="center"/>
    </xf>
    <xf numFmtId="0" fontId="59" fillId="72" borderId="4" xfId="2" applyNumberFormat="1" applyFont="1" applyFill="1" applyBorder="1" applyAlignment="1" applyProtection="1">
      <alignment horizontal="center" vertical="center"/>
    </xf>
    <xf numFmtId="0" fontId="5" fillId="137" borderId="79" xfId="0" applyFont="1" applyFill="1" applyBorder="1" applyAlignment="1">
      <alignment horizontal="center" vertical="center" wrapText="1"/>
    </xf>
    <xf numFmtId="0" fontId="5" fillId="137" borderId="80" xfId="0" applyFont="1" applyFill="1" applyBorder="1" applyAlignment="1">
      <alignment horizontal="center" vertical="center"/>
    </xf>
    <xf numFmtId="0" fontId="5" fillId="137" borderId="83" xfId="0" applyFont="1" applyFill="1" applyBorder="1" applyAlignment="1">
      <alignment horizontal="center" vertical="center"/>
    </xf>
    <xf numFmtId="0" fontId="98" fillId="0" borderId="37" xfId="0" applyFont="1" applyBorder="1" applyAlignment="1">
      <alignment horizontal="center" vertical="center"/>
    </xf>
    <xf numFmtId="49" fontId="17" fillId="0" borderId="148" xfId="0" applyNumberFormat="1" applyFont="1" applyBorder="1" applyAlignment="1" applyProtection="1">
      <alignment horizontal="center" vertical="center"/>
      <protection locked="0"/>
    </xf>
    <xf numFmtId="49" fontId="17" fillId="0" borderId="98" xfId="0" applyNumberFormat="1" applyFont="1" applyBorder="1" applyAlignment="1" applyProtection="1">
      <alignment horizontal="center" vertical="center"/>
      <protection locked="0"/>
    </xf>
    <xf numFmtId="49" fontId="5" fillId="0" borderId="98" xfId="0" applyNumberFormat="1" applyFont="1" applyBorder="1" applyAlignment="1" applyProtection="1">
      <alignment horizontal="center" vertical="center"/>
      <protection locked="0" hidden="1"/>
    </xf>
    <xf numFmtId="49" fontId="5" fillId="0" borderId="37" xfId="0" applyNumberFormat="1" applyFont="1" applyBorder="1" applyAlignment="1" applyProtection="1">
      <alignment horizontal="center" vertical="center"/>
      <protection locked="0" hidden="1"/>
    </xf>
    <xf numFmtId="0" fontId="5" fillId="4" borderId="148" xfId="0" applyFont="1" applyFill="1" applyBorder="1" applyAlignment="1" applyProtection="1">
      <alignment horizontal="center" vertical="center"/>
      <protection hidden="1"/>
    </xf>
    <xf numFmtId="0" fontId="5" fillId="4" borderId="98" xfId="0" applyFont="1" applyFill="1" applyBorder="1" applyAlignment="1" applyProtection="1">
      <alignment horizontal="center" vertical="center"/>
      <protection hidden="1"/>
    </xf>
    <xf numFmtId="0" fontId="5" fillId="4" borderId="98" xfId="0" applyFont="1" applyFill="1" applyBorder="1" applyProtection="1">
      <alignment vertical="center"/>
      <protection hidden="1"/>
    </xf>
    <xf numFmtId="0" fontId="5" fillId="4" borderId="37" xfId="0" applyFont="1" applyFill="1" applyBorder="1" applyProtection="1">
      <alignment vertical="center"/>
      <protection hidden="1"/>
    </xf>
    <xf numFmtId="0" fontId="59" fillId="72" borderId="165" xfId="0" applyFont="1" applyFill="1" applyBorder="1" applyAlignment="1">
      <alignment horizontal="center" vertical="center"/>
    </xf>
    <xf numFmtId="0" fontId="59" fillId="72" borderId="166" xfId="0" applyFont="1" applyFill="1" applyBorder="1" applyAlignment="1">
      <alignment horizontal="center" vertical="center"/>
    </xf>
    <xf numFmtId="0" fontId="59" fillId="72" borderId="258" xfId="0" applyFont="1" applyFill="1" applyBorder="1" applyAlignment="1">
      <alignment horizontal="center" vertical="center"/>
    </xf>
    <xf numFmtId="0" fontId="59" fillId="72" borderId="257" xfId="0" applyFont="1" applyFill="1" applyBorder="1" applyAlignment="1">
      <alignment horizontal="center" vertical="center"/>
    </xf>
    <xf numFmtId="0" fontId="59" fillId="72" borderId="167" xfId="0" applyFont="1" applyFill="1" applyBorder="1" applyAlignment="1">
      <alignment horizontal="center" vertical="center"/>
    </xf>
    <xf numFmtId="0" fontId="98" fillId="8" borderId="87" xfId="0" applyFont="1" applyFill="1" applyBorder="1" applyAlignment="1" applyProtection="1">
      <alignment horizontal="center" vertical="center" wrapText="1"/>
      <protection locked="0"/>
    </xf>
    <xf numFmtId="0" fontId="98" fillId="8" borderId="93" xfId="0" applyFont="1" applyFill="1" applyBorder="1" applyAlignment="1" applyProtection="1">
      <alignment horizontal="center" vertical="center" wrapText="1"/>
      <protection locked="0"/>
    </xf>
    <xf numFmtId="0" fontId="98" fillId="4" borderId="8" xfId="0" applyFont="1" applyFill="1" applyBorder="1" applyAlignment="1" applyProtection="1">
      <alignment horizontal="center" vertical="center" wrapText="1"/>
      <protection locked="0"/>
    </xf>
    <xf numFmtId="0" fontId="98" fillId="4" borderId="9" xfId="0" applyFont="1" applyFill="1" applyBorder="1" applyAlignment="1" applyProtection="1">
      <alignment horizontal="center" vertical="center" wrapText="1"/>
      <protection locked="0"/>
    </xf>
    <xf numFmtId="0" fontId="98" fillId="4" borderId="99" xfId="0" applyFont="1" applyFill="1" applyBorder="1" applyAlignment="1" applyProtection="1">
      <alignment horizontal="center" vertical="center" wrapText="1"/>
      <protection locked="0"/>
    </xf>
    <xf numFmtId="0" fontId="98" fillId="4" borderId="94" xfId="0" applyFont="1" applyFill="1" applyBorder="1" applyAlignment="1" applyProtection="1">
      <alignment horizontal="center" vertical="center" wrapText="1"/>
      <protection locked="0"/>
    </xf>
    <xf numFmtId="0" fontId="98" fillId="0" borderId="163" xfId="0" applyFont="1" applyBorder="1" applyAlignment="1" applyProtection="1">
      <alignment horizontal="center" vertical="center" wrapText="1"/>
      <protection locked="0"/>
    </xf>
    <xf numFmtId="0" fontId="98" fillId="0" borderId="164" xfId="0" applyFont="1" applyBorder="1" applyAlignment="1" applyProtection="1">
      <alignment horizontal="center" vertical="center" wrapText="1"/>
      <protection locked="0"/>
    </xf>
    <xf numFmtId="196" fontId="17" fillId="0" borderId="90" xfId="0" applyNumberFormat="1" applyFont="1" applyBorder="1" applyAlignment="1" applyProtection="1">
      <alignment horizontal="center" vertical="center"/>
      <protection locked="0"/>
    </xf>
    <xf numFmtId="196" fontId="17" fillId="0" borderId="91" xfId="0" applyNumberFormat="1" applyFont="1" applyBorder="1" applyAlignment="1" applyProtection="1">
      <alignment horizontal="center" vertical="center"/>
      <protection locked="0"/>
    </xf>
    <xf numFmtId="196" fontId="17" fillId="0" borderId="96" xfId="0" applyNumberFormat="1" applyFont="1" applyBorder="1" applyAlignment="1" applyProtection="1">
      <alignment horizontal="center" vertical="center"/>
      <protection locked="0"/>
    </xf>
    <xf numFmtId="183" fontId="5" fillId="0" borderId="95" xfId="0" applyNumberFormat="1" applyFont="1" applyBorder="1" applyAlignment="1" applyProtection="1">
      <alignment horizontal="center" vertical="center"/>
      <protection locked="0" hidden="1"/>
    </xf>
    <xf numFmtId="183" fontId="5" fillId="0" borderId="91" xfId="0" applyNumberFormat="1" applyFont="1" applyBorder="1" applyAlignment="1" applyProtection="1">
      <alignment horizontal="center" vertical="center"/>
      <protection locked="0" hidden="1"/>
    </xf>
    <xf numFmtId="183" fontId="5" fillId="0" borderId="92" xfId="0" applyNumberFormat="1" applyFont="1" applyBorder="1" applyAlignment="1" applyProtection="1">
      <alignment horizontal="center" vertical="center"/>
      <protection locked="0" hidden="1"/>
    </xf>
    <xf numFmtId="0" fontId="5" fillId="51" borderId="148" xfId="0" applyFont="1" applyFill="1" applyBorder="1" applyAlignment="1">
      <alignment horizontal="center" vertical="center"/>
    </xf>
    <xf numFmtId="0" fontId="5" fillId="51" borderId="98" xfId="0" applyFont="1" applyFill="1" applyBorder="1" applyAlignment="1">
      <alignment horizontal="center" vertical="center"/>
    </xf>
    <xf numFmtId="0" fontId="5" fillId="51" borderId="37" xfId="0" applyFont="1" applyFill="1" applyBorder="1" applyAlignment="1">
      <alignment horizontal="center" vertical="center"/>
    </xf>
    <xf numFmtId="0" fontId="98" fillId="4" borderId="87" xfId="0" applyFont="1" applyFill="1" applyBorder="1" applyAlignment="1" applyProtection="1">
      <alignment horizontal="center" vertical="center" wrapText="1"/>
      <protection locked="0"/>
    </xf>
    <xf numFmtId="0" fontId="98" fillId="4" borderId="93" xfId="0" applyFont="1" applyFill="1" applyBorder="1" applyAlignment="1" applyProtection="1">
      <alignment horizontal="center" vertical="center" wrapText="1"/>
      <protection locked="0"/>
    </xf>
    <xf numFmtId="0" fontId="19" fillId="4" borderId="95" xfId="0" applyFont="1" applyFill="1" applyBorder="1" applyAlignment="1">
      <alignment horizontal="center" vertical="center"/>
    </xf>
    <xf numFmtId="0" fontId="19" fillId="4" borderId="91" xfId="0" applyFont="1" applyFill="1" applyBorder="1" applyAlignment="1">
      <alignment horizontal="center" vertical="center"/>
    </xf>
    <xf numFmtId="0" fontId="19" fillId="4" borderId="92" xfId="0" applyFont="1" applyFill="1" applyBorder="1" applyAlignment="1">
      <alignment horizontal="center" vertical="center"/>
    </xf>
    <xf numFmtId="49" fontId="17" fillId="0" borderId="90" xfId="0" applyNumberFormat="1" applyFont="1" applyBorder="1" applyAlignment="1" applyProtection="1">
      <alignment horizontal="center" vertical="center"/>
      <protection locked="0"/>
    </xf>
    <xf numFmtId="49" fontId="17" fillId="0" borderId="91" xfId="0" applyNumberFormat="1" applyFont="1" applyBorder="1" applyAlignment="1" applyProtection="1">
      <alignment horizontal="center" vertical="center"/>
      <protection locked="0"/>
    </xf>
    <xf numFmtId="49" fontId="17" fillId="0" borderId="92" xfId="0" applyNumberFormat="1" applyFont="1" applyBorder="1" applyAlignment="1" applyProtection="1">
      <alignment horizontal="center" vertical="center"/>
      <protection locked="0"/>
    </xf>
    <xf numFmtId="0" fontId="17" fillId="10" borderId="366" xfId="0" applyFont="1" applyFill="1" applyBorder="1" applyAlignment="1" applyProtection="1">
      <alignment horizontal="center" vertical="center"/>
      <protection locked="0"/>
    </xf>
    <xf numFmtId="0" fontId="17" fillId="10" borderId="367" xfId="0" applyFont="1" applyFill="1" applyBorder="1" applyAlignment="1" applyProtection="1">
      <alignment horizontal="center" vertical="center"/>
      <protection locked="0"/>
    </xf>
    <xf numFmtId="0" fontId="17" fillId="10" borderId="368" xfId="0" applyFont="1" applyFill="1" applyBorder="1" applyAlignment="1" applyProtection="1">
      <alignment horizontal="center" vertical="center"/>
      <protection locked="0"/>
    </xf>
    <xf numFmtId="0" fontId="5" fillId="51" borderId="90" xfId="0" applyFont="1" applyFill="1" applyBorder="1" applyAlignment="1" applyProtection="1">
      <alignment horizontal="center" vertical="center"/>
      <protection hidden="1"/>
    </xf>
    <xf numFmtId="0" fontId="5" fillId="51" borderId="91" xfId="0" applyFont="1" applyFill="1" applyBorder="1" applyAlignment="1" applyProtection="1">
      <alignment horizontal="center" vertical="center"/>
      <protection hidden="1"/>
    </xf>
    <xf numFmtId="0" fontId="5" fillId="51" borderId="96" xfId="0" applyFont="1" applyFill="1" applyBorder="1" applyAlignment="1" applyProtection="1">
      <alignment horizontal="center" vertical="center"/>
      <protection hidden="1"/>
    </xf>
    <xf numFmtId="0" fontId="5" fillId="51" borderId="95" xfId="0" applyFont="1" applyFill="1" applyBorder="1" applyAlignment="1" applyProtection="1">
      <alignment horizontal="center" vertical="center"/>
      <protection hidden="1"/>
    </xf>
    <xf numFmtId="0" fontId="5" fillId="51" borderId="92" xfId="0" applyFont="1" applyFill="1" applyBorder="1" applyAlignment="1" applyProtection="1">
      <alignment horizontal="center" vertical="center"/>
      <protection hidden="1"/>
    </xf>
    <xf numFmtId="0" fontId="19" fillId="0" borderId="248" xfId="0" applyFont="1" applyBorder="1" applyAlignment="1">
      <alignment horizontal="center" vertical="center"/>
    </xf>
    <xf numFmtId="0" fontId="19" fillId="0" borderId="249" xfId="0" applyFont="1" applyBorder="1" applyAlignment="1">
      <alignment horizontal="center" vertical="center"/>
    </xf>
    <xf numFmtId="0" fontId="19" fillId="0" borderId="250" xfId="0" applyFont="1" applyBorder="1" applyAlignment="1">
      <alignment horizontal="center" vertical="center"/>
    </xf>
    <xf numFmtId="0" fontId="98" fillId="0" borderId="37" xfId="0" applyFont="1" applyBorder="1">
      <alignment vertical="center"/>
    </xf>
    <xf numFmtId="0" fontId="5" fillId="51" borderId="90" xfId="0" applyFont="1" applyFill="1" applyBorder="1" applyAlignment="1" applyProtection="1">
      <alignment horizontal="center" vertical="center" wrapText="1"/>
      <protection hidden="1"/>
    </xf>
    <xf numFmtId="0" fontId="19" fillId="4" borderId="90" xfId="0" applyFont="1" applyFill="1" applyBorder="1" applyAlignment="1">
      <alignment horizontal="center" vertical="center"/>
    </xf>
    <xf numFmtId="0" fontId="19" fillId="4" borderId="96" xfId="0" applyFont="1" applyFill="1" applyBorder="1" applyAlignment="1">
      <alignment horizontal="center" vertical="center"/>
    </xf>
    <xf numFmtId="0" fontId="203" fillId="124" borderId="365" xfId="0" applyFont="1" applyFill="1" applyBorder="1" applyAlignment="1">
      <alignment horizontal="center" vertical="center"/>
    </xf>
    <xf numFmtId="0" fontId="203" fillId="124" borderId="159" xfId="0" applyFont="1" applyFill="1" applyBorder="1" applyAlignment="1">
      <alignment horizontal="center" vertical="center"/>
    </xf>
    <xf numFmtId="0" fontId="203" fillId="124" borderId="157" xfId="0" applyFont="1" applyFill="1" applyBorder="1" applyAlignment="1">
      <alignment horizontal="center" vertical="center"/>
    </xf>
    <xf numFmtId="0" fontId="203" fillId="124" borderId="9" xfId="0" applyFont="1" applyFill="1" applyBorder="1" applyAlignment="1">
      <alignment horizontal="center" vertical="center"/>
    </xf>
    <xf numFmtId="0" fontId="151" fillId="124" borderId="8" xfId="0" applyFont="1" applyFill="1" applyBorder="1" applyAlignment="1">
      <alignment horizontal="center" vertical="center"/>
    </xf>
    <xf numFmtId="0" fontId="151" fillId="124" borderId="9" xfId="0" applyFont="1" applyFill="1" applyBorder="1" applyAlignment="1">
      <alignment horizontal="center" vertical="center"/>
    </xf>
    <xf numFmtId="0" fontId="151" fillId="124" borderId="10" xfId="0" applyFont="1" applyFill="1" applyBorder="1" applyAlignment="1">
      <alignment horizontal="center" vertical="center"/>
    </xf>
    <xf numFmtId="178" fontId="18" fillId="124" borderId="285" xfId="0" applyNumberFormat="1" applyFont="1" applyFill="1" applyBorder="1" applyAlignment="1">
      <alignment horizontal="center" vertical="center"/>
    </xf>
    <xf numFmtId="178" fontId="18" fillId="124" borderId="252" xfId="0" applyNumberFormat="1" applyFont="1" applyFill="1" applyBorder="1" applyAlignment="1">
      <alignment horizontal="center" vertical="center"/>
    </xf>
    <xf numFmtId="0" fontId="9" fillId="72" borderId="145" xfId="0" applyFont="1" applyFill="1" applyBorder="1" applyAlignment="1" applyProtection="1">
      <alignment horizontal="center" vertical="center"/>
      <protection locked="0"/>
    </xf>
    <xf numFmtId="0" fontId="9" fillId="72" borderId="146" xfId="0" applyFont="1" applyFill="1" applyBorder="1" applyAlignment="1" applyProtection="1">
      <alignment horizontal="center" vertical="center"/>
      <protection locked="0"/>
    </xf>
    <xf numFmtId="0" fontId="9" fillId="72" borderId="147" xfId="0" applyFont="1" applyFill="1" applyBorder="1" applyAlignment="1" applyProtection="1">
      <alignment horizontal="center" vertical="center"/>
      <protection locked="0"/>
    </xf>
    <xf numFmtId="0" fontId="9" fillId="135" borderId="145" xfId="0" applyFont="1" applyFill="1" applyBorder="1" applyAlignment="1" applyProtection="1">
      <alignment horizontal="center" vertical="center"/>
      <protection hidden="1"/>
    </xf>
    <xf numFmtId="0" fontId="9" fillId="135" borderId="146" xfId="0" applyFont="1" applyFill="1" applyBorder="1" applyAlignment="1" applyProtection="1">
      <alignment horizontal="center" vertical="center"/>
      <protection hidden="1"/>
    </xf>
    <xf numFmtId="0" fontId="9" fillId="135" borderId="147" xfId="0" applyFont="1" applyFill="1" applyBorder="1" applyAlignment="1" applyProtection="1">
      <alignment horizontal="center" vertical="center"/>
      <protection hidden="1"/>
    </xf>
    <xf numFmtId="0" fontId="203" fillId="124" borderId="15" xfId="0" applyFont="1" applyFill="1" applyBorder="1" applyAlignment="1">
      <alignment horizontal="center" vertical="center"/>
    </xf>
    <xf numFmtId="0" fontId="203" fillId="124" borderId="12" xfId="0" applyFont="1" applyFill="1" applyBorder="1" applyAlignment="1">
      <alignment horizontal="center" vertical="center"/>
    </xf>
    <xf numFmtId="0" fontId="203" fillId="124" borderId="20" xfId="0" applyFont="1" applyFill="1" applyBorder="1" applyAlignment="1">
      <alignment horizontal="center" vertical="center"/>
    </xf>
    <xf numFmtId="0" fontId="203" fillId="124" borderId="0" xfId="0" applyFont="1" applyFill="1" applyAlignment="1">
      <alignment horizontal="center" vertical="center"/>
    </xf>
    <xf numFmtId="0" fontId="151" fillId="124" borderId="6" xfId="0" applyFont="1" applyFill="1" applyBorder="1" applyAlignment="1">
      <alignment horizontal="center" vertical="center"/>
    </xf>
    <xf numFmtId="0" fontId="151" fillId="124" borderId="0" xfId="0" applyFont="1" applyFill="1" applyAlignment="1">
      <alignment horizontal="center" vertical="center"/>
    </xf>
    <xf numFmtId="0" fontId="151" fillId="124" borderId="7" xfId="0" applyFont="1" applyFill="1" applyBorder="1" applyAlignment="1">
      <alignment horizontal="center" vertical="center"/>
    </xf>
    <xf numFmtId="178" fontId="18" fillId="124" borderId="96" xfId="0" applyNumberFormat="1" applyFont="1" applyFill="1" applyBorder="1" applyAlignment="1">
      <alignment horizontal="center" vertical="center"/>
    </xf>
    <xf numFmtId="178" fontId="18" fillId="124" borderId="95" xfId="0" applyNumberFormat="1" applyFont="1" applyFill="1" applyBorder="1" applyAlignment="1">
      <alignment horizontal="center" vertical="center"/>
    </xf>
    <xf numFmtId="0" fontId="203" fillId="126" borderId="15" xfId="0" applyFont="1" applyFill="1" applyBorder="1" applyAlignment="1">
      <alignment horizontal="center" vertical="center"/>
    </xf>
    <xf numFmtId="0" fontId="203" fillId="126" borderId="12" xfId="0" applyFont="1" applyFill="1" applyBorder="1" applyAlignment="1">
      <alignment horizontal="center" vertical="center"/>
    </xf>
    <xf numFmtId="0" fontId="203" fillId="126" borderId="20" xfId="0" applyFont="1" applyFill="1" applyBorder="1" applyAlignment="1">
      <alignment horizontal="center" vertical="center"/>
    </xf>
    <xf numFmtId="0" fontId="203" fillId="126" borderId="0" xfId="0" applyFont="1" applyFill="1" applyAlignment="1">
      <alignment horizontal="center" vertical="center"/>
    </xf>
    <xf numFmtId="0" fontId="151" fillId="126" borderId="6" xfId="0" applyFont="1" applyFill="1" applyBorder="1" applyAlignment="1">
      <alignment horizontal="center" vertical="center"/>
    </xf>
    <xf numFmtId="0" fontId="151" fillId="126" borderId="0" xfId="0" applyFont="1" applyFill="1" applyAlignment="1">
      <alignment horizontal="center" vertical="center"/>
    </xf>
    <xf numFmtId="0" fontId="151" fillId="126" borderId="7" xfId="0" applyFont="1" applyFill="1" applyBorder="1" applyAlignment="1">
      <alignment horizontal="center" vertical="center"/>
    </xf>
    <xf numFmtId="178" fontId="18" fillId="126" borderId="96" xfId="0" applyNumberFormat="1" applyFont="1" applyFill="1" applyBorder="1" applyAlignment="1">
      <alignment horizontal="center" vertical="center"/>
    </xf>
    <xf numFmtId="178" fontId="18" fillId="126" borderId="95" xfId="0" applyNumberFormat="1" applyFont="1" applyFill="1" applyBorder="1" applyAlignment="1">
      <alignment horizontal="center" vertical="center"/>
    </xf>
    <xf numFmtId="0" fontId="203" fillId="5" borderId="15" xfId="0" applyFont="1" applyFill="1" applyBorder="1" applyAlignment="1">
      <alignment horizontal="center" vertical="center"/>
    </xf>
    <xf numFmtId="0" fontId="203" fillId="5" borderId="12" xfId="0" applyFont="1" applyFill="1" applyBorder="1" applyAlignment="1">
      <alignment horizontal="center" vertical="center"/>
    </xf>
    <xf numFmtId="0" fontId="203" fillId="5" borderId="20" xfId="0" applyFont="1" applyFill="1" applyBorder="1" applyAlignment="1">
      <alignment horizontal="center" vertical="center"/>
    </xf>
    <xf numFmtId="0" fontId="203" fillId="5" borderId="0" xfId="0" applyFont="1" applyFill="1" applyAlignment="1">
      <alignment horizontal="center" vertical="center"/>
    </xf>
    <xf numFmtId="0" fontId="151" fillId="43" borderId="6" xfId="0" applyFont="1" applyFill="1" applyBorder="1" applyAlignment="1">
      <alignment horizontal="center" vertical="center"/>
    </xf>
    <xf numFmtId="0" fontId="151" fillId="43" borderId="0" xfId="0" applyFont="1" applyFill="1" applyAlignment="1">
      <alignment horizontal="center" vertical="center"/>
    </xf>
    <xf numFmtId="0" fontId="151" fillId="43" borderId="7" xfId="0" applyFont="1" applyFill="1" applyBorder="1" applyAlignment="1">
      <alignment horizontal="center" vertical="center"/>
    </xf>
    <xf numFmtId="178" fontId="18" fillId="81" borderId="96" xfId="0" applyNumberFormat="1" applyFont="1" applyFill="1" applyBorder="1" applyAlignment="1">
      <alignment horizontal="center" vertical="center"/>
    </xf>
    <xf numFmtId="178" fontId="18" fillId="81" borderId="95" xfId="0" applyNumberFormat="1" applyFont="1" applyFill="1" applyBorder="1" applyAlignment="1">
      <alignment horizontal="center" vertical="center"/>
    </xf>
    <xf numFmtId="0" fontId="98" fillId="0" borderId="168" xfId="0" applyFont="1" applyBorder="1" applyAlignment="1" applyProtection="1">
      <alignment horizontal="center" vertical="center" wrapText="1"/>
      <protection locked="0"/>
    </xf>
    <xf numFmtId="0" fontId="98" fillId="0" borderId="35" xfId="0" applyFont="1" applyBorder="1" applyAlignment="1" applyProtection="1">
      <alignment horizontal="center" vertical="center" wrapText="1"/>
      <protection locked="0"/>
    </xf>
    <xf numFmtId="0" fontId="203" fillId="43" borderId="20" xfId="0" applyFont="1" applyFill="1" applyBorder="1" applyAlignment="1">
      <alignment horizontal="center" vertical="center"/>
    </xf>
    <xf numFmtId="0" fontId="203" fillId="43" borderId="0" xfId="0" applyFont="1" applyFill="1" applyAlignment="1">
      <alignment horizontal="center" vertical="center"/>
    </xf>
    <xf numFmtId="0" fontId="98" fillId="8" borderId="6" xfId="0" applyFont="1" applyFill="1" applyBorder="1" applyAlignment="1" applyProtection="1">
      <alignment horizontal="center" vertical="center"/>
      <protection locked="0"/>
    </xf>
    <xf numFmtId="0" fontId="98" fillId="8" borderId="0" xfId="0" applyFont="1" applyFill="1" applyAlignment="1" applyProtection="1">
      <alignment horizontal="center" vertical="center"/>
      <protection locked="0"/>
    </xf>
    <xf numFmtId="0" fontId="98" fillId="8" borderId="93" xfId="0" applyFont="1" applyFill="1" applyBorder="1" applyAlignment="1" applyProtection="1">
      <alignment horizontal="center" vertical="center"/>
      <protection locked="0"/>
    </xf>
    <xf numFmtId="0" fontId="98" fillId="4" borderId="8" xfId="0" applyFont="1" applyFill="1" applyBorder="1" applyAlignment="1" applyProtection="1">
      <alignment horizontal="center" vertical="center"/>
      <protection locked="0"/>
    </xf>
    <xf numFmtId="0" fontId="98" fillId="4" borderId="9" xfId="0" applyFont="1" applyFill="1" applyBorder="1" applyAlignment="1" applyProtection="1">
      <alignment horizontal="center" vertical="center"/>
      <protection locked="0"/>
    </xf>
    <xf numFmtId="0" fontId="98" fillId="4" borderId="94" xfId="0" applyFont="1" applyFill="1" applyBorder="1" applyAlignment="1" applyProtection="1">
      <alignment horizontal="center" vertical="center"/>
      <protection locked="0"/>
    </xf>
    <xf numFmtId="0" fontId="199" fillId="8" borderId="248" xfId="0" applyFont="1" applyFill="1" applyBorder="1" applyAlignment="1">
      <alignment horizontal="center" vertical="center"/>
    </xf>
    <xf numFmtId="0" fontId="199" fillId="8" borderId="249" xfId="0" applyFont="1" applyFill="1" applyBorder="1" applyAlignment="1">
      <alignment horizontal="center" vertical="center"/>
    </xf>
    <xf numFmtId="0" fontId="199" fillId="8" borderId="250" xfId="0" applyFont="1" applyFill="1" applyBorder="1" applyAlignment="1">
      <alignment horizontal="center" vertical="center"/>
    </xf>
    <xf numFmtId="0" fontId="5" fillId="118" borderId="90" xfId="0" applyFont="1" applyFill="1" applyBorder="1" applyAlignment="1">
      <alignment horizontal="center" vertical="center"/>
    </xf>
    <xf numFmtId="0" fontId="5" fillId="118" borderId="91" xfId="0" applyFont="1" applyFill="1" applyBorder="1" applyAlignment="1">
      <alignment horizontal="center" vertical="center"/>
    </xf>
    <xf numFmtId="0" fontId="5" fillId="118" borderId="92" xfId="0" applyFont="1" applyFill="1" applyBorder="1" applyAlignment="1">
      <alignment horizontal="center" vertical="center"/>
    </xf>
    <xf numFmtId="0" fontId="98" fillId="4" borderId="6" xfId="0" applyFont="1" applyFill="1" applyBorder="1" applyAlignment="1" applyProtection="1">
      <alignment horizontal="center" vertical="center"/>
      <protection locked="0"/>
    </xf>
    <xf numFmtId="0" fontId="98" fillId="4" borderId="0" xfId="0" applyFont="1" applyFill="1" applyAlignment="1" applyProtection="1">
      <alignment horizontal="center" vertical="center"/>
      <protection locked="0"/>
    </xf>
    <xf numFmtId="0" fontId="98" fillId="4" borderId="93" xfId="0" applyFont="1" applyFill="1" applyBorder="1" applyAlignment="1" applyProtection="1">
      <alignment horizontal="center" vertical="center"/>
      <protection locked="0"/>
    </xf>
    <xf numFmtId="0" fontId="12" fillId="4" borderId="90" xfId="0" applyFont="1" applyFill="1" applyBorder="1" applyAlignment="1">
      <alignment horizontal="right" vertical="top"/>
    </xf>
    <xf numFmtId="0" fontId="12" fillId="4" borderId="91" xfId="0" applyFont="1" applyFill="1" applyBorder="1" applyAlignment="1">
      <alignment horizontal="right" vertical="top"/>
    </xf>
    <xf numFmtId="0" fontId="12" fillId="4" borderId="96" xfId="0" applyFont="1" applyFill="1" applyBorder="1" applyAlignment="1">
      <alignment horizontal="right" vertical="top"/>
    </xf>
    <xf numFmtId="0" fontId="12" fillId="4" borderId="95" xfId="0" applyFont="1" applyFill="1" applyBorder="1" applyAlignment="1" applyProtection="1">
      <alignment horizontal="left" vertical="top"/>
      <protection locked="0"/>
    </xf>
    <xf numFmtId="0" fontId="12" fillId="4" borderId="91" xfId="0" applyFont="1" applyFill="1" applyBorder="1" applyAlignment="1" applyProtection="1">
      <alignment horizontal="left" vertical="top"/>
      <protection locked="0"/>
    </xf>
    <xf numFmtId="0" fontId="12" fillId="4" borderId="96" xfId="0" applyFont="1" applyFill="1" applyBorder="1" applyAlignment="1" applyProtection="1">
      <alignment horizontal="left" vertical="top"/>
      <protection locked="0"/>
    </xf>
    <xf numFmtId="0" fontId="12" fillId="4" borderId="95" xfId="0" applyFont="1" applyFill="1" applyBorder="1" applyAlignment="1">
      <alignment horizontal="right" vertical="top"/>
    </xf>
    <xf numFmtId="188" fontId="18" fillId="4" borderId="95" xfId="0" applyNumberFormat="1" applyFont="1" applyFill="1" applyBorder="1" applyAlignment="1" applyProtection="1">
      <alignment horizontal="left" vertical="top"/>
      <protection locked="0"/>
    </xf>
    <xf numFmtId="188" fontId="18" fillId="4" borderId="91" xfId="0" applyNumberFormat="1" applyFont="1" applyFill="1" applyBorder="1" applyAlignment="1" applyProtection="1">
      <alignment horizontal="left" vertical="top"/>
      <protection locked="0"/>
    </xf>
    <xf numFmtId="188" fontId="18" fillId="4" borderId="92" xfId="0" applyNumberFormat="1" applyFont="1" applyFill="1" applyBorder="1" applyAlignment="1" applyProtection="1">
      <alignment horizontal="left" vertical="top"/>
      <protection locked="0"/>
    </xf>
    <xf numFmtId="178" fontId="18" fillId="81" borderId="37" xfId="0" applyNumberFormat="1" applyFont="1" applyFill="1" applyBorder="1" applyAlignment="1">
      <alignment horizontal="center" vertical="center"/>
    </xf>
    <xf numFmtId="0" fontId="5" fillId="0" borderId="354" xfId="0" applyFont="1" applyBorder="1" applyAlignment="1">
      <alignment horizontal="center" vertical="center"/>
    </xf>
    <xf numFmtId="0" fontId="19" fillId="0" borderId="354" xfId="0" applyFont="1" applyBorder="1" applyAlignment="1">
      <alignment horizontal="center" vertical="center"/>
    </xf>
    <xf numFmtId="0" fontId="19" fillId="0" borderId="354" xfId="0" applyFont="1" applyBorder="1" applyAlignment="1" applyProtection="1">
      <alignment horizontal="center" vertical="center" wrapText="1"/>
      <protection locked="0"/>
    </xf>
    <xf numFmtId="0" fontId="98" fillId="77" borderId="168" xfId="0" applyFont="1" applyFill="1" applyBorder="1" applyAlignment="1" applyProtection="1">
      <alignment horizontal="center" vertical="center" wrapText="1"/>
      <protection locked="0"/>
    </xf>
    <xf numFmtId="0" fontId="5" fillId="0" borderId="357" xfId="0" applyFont="1" applyBorder="1" applyAlignment="1" applyProtection="1">
      <alignment horizontal="center" vertical="center"/>
      <protection locked="0"/>
    </xf>
    <xf numFmtId="0" fontId="19" fillId="0" borderId="357" xfId="0" applyFont="1" applyBorder="1" applyAlignment="1" applyProtection="1">
      <alignment horizontal="center" vertical="center"/>
      <protection locked="0"/>
    </xf>
    <xf numFmtId="0" fontId="19" fillId="0" borderId="357" xfId="0" applyFont="1" applyBorder="1" applyAlignment="1" applyProtection="1">
      <alignment horizontal="center" vertical="center" wrapText="1"/>
      <protection locked="0"/>
    </xf>
    <xf numFmtId="0" fontId="19" fillId="0" borderId="320" xfId="0" applyFont="1" applyBorder="1" applyAlignment="1" applyProtection="1">
      <alignment horizontal="center" vertical="center" wrapText="1"/>
      <protection locked="0"/>
    </xf>
    <xf numFmtId="0" fontId="151" fillId="132" borderId="6" xfId="0" applyFont="1" applyFill="1" applyBorder="1" applyAlignment="1">
      <alignment horizontal="center" vertical="center"/>
    </xf>
    <xf numFmtId="0" fontId="151" fillId="132" borderId="0" xfId="0" applyFont="1" applyFill="1" applyAlignment="1">
      <alignment horizontal="center" vertical="center"/>
    </xf>
    <xf numFmtId="0" fontId="151" fillId="132" borderId="7" xfId="0" applyFont="1" applyFill="1" applyBorder="1" applyAlignment="1">
      <alignment horizontal="center" vertical="center"/>
    </xf>
    <xf numFmtId="0" fontId="98" fillId="8" borderId="6" xfId="0" applyFont="1" applyFill="1" applyBorder="1" applyAlignment="1">
      <alignment horizontal="center" vertical="center"/>
    </xf>
    <xf numFmtId="0" fontId="98" fillId="8" borderId="0" xfId="0" applyFont="1" applyFill="1" applyAlignment="1">
      <alignment horizontal="center" vertical="center"/>
    </xf>
    <xf numFmtId="0" fontId="98" fillId="8" borderId="93" xfId="0" applyFont="1" applyFill="1" applyBorder="1" applyAlignment="1">
      <alignment horizontal="center" vertical="center"/>
    </xf>
    <xf numFmtId="0" fontId="222" fillId="9" borderId="88" xfId="0" applyFont="1" applyFill="1" applyBorder="1" applyAlignment="1">
      <alignment horizontal="center" vertical="center" wrapText="1"/>
    </xf>
    <xf numFmtId="0" fontId="222" fillId="9" borderId="85" xfId="0" applyFont="1" applyFill="1" applyBorder="1" applyAlignment="1">
      <alignment horizontal="center" vertical="center" wrapText="1"/>
    </xf>
    <xf numFmtId="0" fontId="222" fillId="9" borderId="142" xfId="0" applyFont="1" applyFill="1" applyBorder="1" applyAlignment="1">
      <alignment horizontal="center" vertical="center" wrapText="1"/>
    </xf>
    <xf numFmtId="0" fontId="5" fillId="10" borderId="184" xfId="0" applyFont="1" applyFill="1" applyBorder="1" applyAlignment="1" applyProtection="1">
      <alignment horizontal="center" vertical="center"/>
      <protection locked="0"/>
    </xf>
    <xf numFmtId="0" fontId="98" fillId="10" borderId="185" xfId="0" applyFont="1" applyFill="1" applyBorder="1" applyAlignment="1" applyProtection="1">
      <alignment horizontal="center" vertical="center"/>
      <protection locked="0"/>
    </xf>
    <xf numFmtId="0" fontId="98" fillId="10" borderId="185" xfId="0" applyFont="1" applyFill="1" applyBorder="1" applyAlignment="1" applyProtection="1">
      <alignment horizontal="center" vertical="center" wrapText="1"/>
      <protection locked="0"/>
    </xf>
    <xf numFmtId="0" fontId="98" fillId="10" borderId="210" xfId="0" applyFont="1" applyFill="1" applyBorder="1" applyAlignment="1" applyProtection="1">
      <alignment horizontal="center" vertical="center" wrapText="1"/>
      <protection locked="0"/>
    </xf>
    <xf numFmtId="0" fontId="98" fillId="4" borderId="6" xfId="0" applyFont="1" applyFill="1" applyBorder="1" applyAlignment="1">
      <alignment horizontal="center" vertical="center"/>
    </xf>
    <xf numFmtId="0" fontId="98" fillId="4" borderId="0" xfId="0" applyFont="1" applyFill="1" applyAlignment="1">
      <alignment horizontal="center" vertical="center"/>
    </xf>
    <xf numFmtId="0" fontId="98" fillId="4" borderId="93" xfId="0" applyFont="1" applyFill="1" applyBorder="1" applyAlignment="1">
      <alignment horizontal="center" vertical="center"/>
    </xf>
    <xf numFmtId="0" fontId="222" fillId="77" borderId="88" xfId="0" applyFont="1" applyFill="1" applyBorder="1" applyAlignment="1">
      <alignment horizontal="center" vertical="center" wrapText="1"/>
    </xf>
    <xf numFmtId="0" fontId="222" fillId="77" borderId="85" xfId="0" applyFont="1" applyFill="1" applyBorder="1" applyAlignment="1">
      <alignment horizontal="center" vertical="center" wrapText="1"/>
    </xf>
    <xf numFmtId="0" fontId="222" fillId="77" borderId="142" xfId="0" applyFont="1" applyFill="1" applyBorder="1" applyAlignment="1">
      <alignment horizontal="center" vertical="center" wrapText="1"/>
    </xf>
    <xf numFmtId="0" fontId="203" fillId="116" borderId="15" xfId="0" applyFont="1" applyFill="1" applyBorder="1" applyAlignment="1">
      <alignment horizontal="center" vertical="center"/>
    </xf>
    <xf numFmtId="0" fontId="203" fillId="116" borderId="12" xfId="0" applyFont="1" applyFill="1" applyBorder="1" applyAlignment="1">
      <alignment horizontal="center" vertical="center"/>
    </xf>
    <xf numFmtId="0" fontId="203" fillId="116" borderId="20" xfId="0" applyFont="1" applyFill="1" applyBorder="1" applyAlignment="1">
      <alignment horizontal="center" vertical="center"/>
    </xf>
    <xf numFmtId="0" fontId="203" fillId="116" borderId="0" xfId="0" applyFont="1" applyFill="1" applyAlignment="1">
      <alignment horizontal="center" vertical="center"/>
    </xf>
    <xf numFmtId="0" fontId="151" fillId="116" borderId="6" xfId="0" applyFont="1" applyFill="1" applyBorder="1" applyAlignment="1">
      <alignment horizontal="center" vertical="center"/>
    </xf>
    <xf numFmtId="0" fontId="151" fillId="116" borderId="0" xfId="0" applyFont="1" applyFill="1" applyAlignment="1">
      <alignment horizontal="center" vertical="center"/>
    </xf>
    <xf numFmtId="0" fontId="151" fillId="116" borderId="7" xfId="0" applyFont="1" applyFill="1" applyBorder="1" applyAlignment="1">
      <alignment horizontal="center" vertical="center"/>
    </xf>
    <xf numFmtId="178" fontId="18" fillId="116" borderId="96" xfId="0" applyNumberFormat="1" applyFont="1" applyFill="1" applyBorder="1" applyAlignment="1">
      <alignment horizontal="center" vertical="center"/>
    </xf>
    <xf numFmtId="178" fontId="18" fillId="116" borderId="37" xfId="0" applyNumberFormat="1" applyFont="1" applyFill="1" applyBorder="1" applyAlignment="1">
      <alignment horizontal="center" vertical="center"/>
    </xf>
    <xf numFmtId="0" fontId="5" fillId="5" borderId="82" xfId="0" applyFont="1" applyFill="1" applyBorder="1" applyAlignment="1" applyProtection="1">
      <alignment horizontal="center" vertical="center" wrapText="1"/>
      <protection locked="0"/>
    </xf>
    <xf numFmtId="0" fontId="5" fillId="5" borderId="259" xfId="0" applyFont="1" applyFill="1" applyBorder="1" applyAlignment="1" applyProtection="1">
      <alignment horizontal="center" vertical="center" wrapText="1"/>
      <protection locked="0"/>
    </xf>
    <xf numFmtId="0" fontId="5" fillId="0" borderId="184" xfId="0" applyFont="1" applyBorder="1" applyAlignment="1">
      <alignment horizontal="center" vertical="center"/>
    </xf>
    <xf numFmtId="0" fontId="19" fillId="0" borderId="185" xfId="0" applyFont="1" applyBorder="1" applyAlignment="1">
      <alignment horizontal="center" vertical="center"/>
    </xf>
    <xf numFmtId="0" fontId="19" fillId="0" borderId="185" xfId="0" applyFont="1" applyBorder="1" applyAlignment="1" applyProtection="1">
      <alignment horizontal="center" vertical="center" wrapText="1"/>
      <protection locked="0"/>
    </xf>
    <xf numFmtId="0" fontId="19" fillId="0" borderId="345" xfId="0" applyFont="1" applyBorder="1" applyAlignment="1" applyProtection="1">
      <alignment horizontal="center" vertical="center" wrapText="1"/>
      <protection locked="0"/>
    </xf>
    <xf numFmtId="0" fontId="222" fillId="5" borderId="88" xfId="0" applyFont="1" applyFill="1" applyBorder="1" applyAlignment="1">
      <alignment horizontal="center" vertical="center" wrapText="1"/>
    </xf>
    <xf numFmtId="0" fontId="222" fillId="5" borderId="85" xfId="0" applyFont="1" applyFill="1" applyBorder="1" applyAlignment="1">
      <alignment horizontal="center" vertical="center" wrapText="1"/>
    </xf>
    <xf numFmtId="0" fontId="222" fillId="5" borderId="142" xfId="0" applyFont="1" applyFill="1" applyBorder="1" applyAlignment="1">
      <alignment horizontal="center" vertical="center" wrapText="1"/>
    </xf>
    <xf numFmtId="0" fontId="33" fillId="5" borderId="88" xfId="0" applyFont="1" applyFill="1" applyBorder="1" applyAlignment="1" applyProtection="1">
      <alignment horizontal="center" vertical="center" wrapText="1"/>
      <protection locked="0"/>
    </xf>
    <xf numFmtId="0" fontId="5" fillId="5" borderId="142" xfId="0" applyFont="1" applyFill="1" applyBorder="1" applyAlignment="1" applyProtection="1">
      <alignment horizontal="center" vertical="center" wrapText="1"/>
      <protection locked="0"/>
    </xf>
    <xf numFmtId="0" fontId="5" fillId="0" borderId="184" xfId="0" applyFont="1" applyBorder="1" applyAlignment="1" applyProtection="1">
      <alignment horizontal="center" vertical="center"/>
      <protection locked="0"/>
    </xf>
    <xf numFmtId="0" fontId="19" fillId="0" borderId="185" xfId="0" applyFont="1" applyBorder="1" applyAlignment="1" applyProtection="1">
      <alignment horizontal="center" vertical="center"/>
      <protection locked="0"/>
    </xf>
    <xf numFmtId="0" fontId="80" fillId="72" borderId="257" xfId="0" applyFont="1" applyFill="1" applyBorder="1" applyAlignment="1">
      <alignment horizontal="center" vertical="center"/>
    </xf>
    <xf numFmtId="0" fontId="80" fillId="72" borderId="166" xfId="0" applyFont="1" applyFill="1" applyBorder="1" applyAlignment="1">
      <alignment horizontal="center" vertical="center"/>
    </xf>
    <xf numFmtId="0" fontId="80" fillId="72" borderId="167" xfId="0" applyFont="1" applyFill="1" applyBorder="1" applyAlignment="1">
      <alignment horizontal="center" vertical="center"/>
    </xf>
    <xf numFmtId="0" fontId="5" fillId="10" borderId="82" xfId="0" applyFont="1" applyFill="1" applyBorder="1" applyAlignment="1" applyProtection="1">
      <alignment horizontal="center" vertical="center" wrapText="1"/>
      <protection locked="0"/>
    </xf>
    <xf numFmtId="0" fontId="5" fillId="10" borderId="259" xfId="0" applyFont="1" applyFill="1" applyBorder="1" applyAlignment="1" applyProtection="1">
      <alignment horizontal="center" vertical="center" wrapText="1"/>
      <protection locked="0"/>
    </xf>
    <xf numFmtId="0" fontId="203" fillId="117" borderId="15" xfId="0" applyFont="1" applyFill="1" applyBorder="1" applyAlignment="1">
      <alignment horizontal="center" vertical="center"/>
    </xf>
    <xf numFmtId="0" fontId="203" fillId="117" borderId="12" xfId="0" applyFont="1" applyFill="1" applyBorder="1" applyAlignment="1">
      <alignment horizontal="center" vertical="center"/>
    </xf>
    <xf numFmtId="0" fontId="203" fillId="117" borderId="20" xfId="0" applyFont="1" applyFill="1" applyBorder="1" applyAlignment="1">
      <alignment horizontal="center" vertical="center"/>
    </xf>
    <xf numFmtId="0" fontId="203" fillId="117" borderId="0" xfId="0" applyFont="1" applyFill="1" applyAlignment="1">
      <alignment horizontal="center" vertical="center"/>
    </xf>
    <xf numFmtId="0" fontId="151" fillId="117" borderId="6" xfId="0" applyFont="1" applyFill="1" applyBorder="1" applyAlignment="1">
      <alignment horizontal="center" vertical="center"/>
    </xf>
    <xf numFmtId="0" fontId="151" fillId="117" borderId="0" xfId="0" applyFont="1" applyFill="1" applyAlignment="1">
      <alignment horizontal="center" vertical="center"/>
    </xf>
    <xf numFmtId="0" fontId="151" fillId="117" borderId="7" xfId="0" applyFont="1" applyFill="1" applyBorder="1" applyAlignment="1">
      <alignment horizontal="center" vertical="center"/>
    </xf>
    <xf numFmtId="178" fontId="18" fillId="117" borderId="96" xfId="0" applyNumberFormat="1" applyFont="1" applyFill="1" applyBorder="1" applyAlignment="1">
      <alignment horizontal="center" vertical="center"/>
    </xf>
    <xf numFmtId="178" fontId="18" fillId="117" borderId="37" xfId="0" applyNumberFormat="1" applyFont="1" applyFill="1" applyBorder="1" applyAlignment="1">
      <alignment horizontal="center" vertical="center"/>
    </xf>
    <xf numFmtId="0" fontId="33" fillId="10" borderId="88" xfId="0" applyFont="1" applyFill="1" applyBorder="1" applyAlignment="1" applyProtection="1">
      <alignment horizontal="center" vertical="center" wrapText="1"/>
      <protection locked="0"/>
    </xf>
    <xf numFmtId="0" fontId="5" fillId="10" borderId="142" xfId="0" applyFont="1" applyFill="1" applyBorder="1" applyAlignment="1" applyProtection="1">
      <alignment horizontal="center" vertical="center" wrapText="1"/>
      <protection locked="0"/>
    </xf>
    <xf numFmtId="0" fontId="5" fillId="10" borderId="344" xfId="0" applyFont="1" applyFill="1" applyBorder="1" applyAlignment="1" applyProtection="1">
      <alignment horizontal="center" vertical="center" wrapText="1"/>
      <protection locked="0"/>
    </xf>
    <xf numFmtId="0" fontId="151" fillId="82" borderId="6" xfId="0" applyFont="1" applyFill="1" applyBorder="1" applyAlignment="1">
      <alignment horizontal="center" vertical="center"/>
    </xf>
    <xf numFmtId="0" fontId="151" fillId="82" borderId="0" xfId="0" applyFont="1" applyFill="1" applyAlignment="1">
      <alignment horizontal="center" vertical="center"/>
    </xf>
    <xf numFmtId="0" fontId="151" fillId="82" borderId="7" xfId="0" applyFont="1" applyFill="1" applyBorder="1" applyAlignment="1">
      <alignment horizontal="center" vertical="center"/>
    </xf>
    <xf numFmtId="0" fontId="19" fillId="0" borderId="210" xfId="0" applyFont="1" applyBorder="1" applyAlignment="1" applyProtection="1">
      <alignment horizontal="center" vertical="center" wrapText="1"/>
      <protection locked="0"/>
    </xf>
    <xf numFmtId="0" fontId="19" fillId="0" borderId="211" xfId="0" applyFont="1" applyBorder="1" applyAlignment="1" applyProtection="1">
      <alignment horizontal="center" vertical="center" wrapText="1"/>
      <protection locked="0"/>
    </xf>
    <xf numFmtId="0" fontId="19" fillId="0" borderId="347" xfId="0" applyFont="1" applyBorder="1" applyAlignment="1" applyProtection="1">
      <alignment horizontal="center" vertical="center" wrapText="1"/>
      <protection locked="0"/>
    </xf>
    <xf numFmtId="0" fontId="98" fillId="0" borderId="0" xfId="0" applyFont="1" applyAlignment="1">
      <alignment horizontal="center" vertical="center"/>
    </xf>
    <xf numFmtId="0" fontId="5" fillId="0" borderId="184" xfId="0" applyFont="1" applyBorder="1" applyAlignment="1" applyProtection="1">
      <alignment horizontal="center" vertical="center" wrapText="1"/>
      <protection locked="0"/>
    </xf>
    <xf numFmtId="0" fontId="5" fillId="0" borderId="80" xfId="0" applyFont="1" applyBorder="1" applyAlignment="1">
      <alignment horizontal="center" vertical="center" wrapText="1"/>
    </xf>
    <xf numFmtId="0" fontId="5" fillId="0" borderId="85" xfId="0" applyFont="1" applyBorder="1" applyAlignment="1">
      <alignment horizontal="center" vertical="center" wrapText="1"/>
    </xf>
    <xf numFmtId="0" fontId="203" fillId="111" borderId="15" xfId="0" applyFont="1" applyFill="1" applyBorder="1" applyAlignment="1">
      <alignment horizontal="center" vertical="center"/>
    </xf>
    <xf numFmtId="0" fontId="203" fillId="111" borderId="12" xfId="0" applyFont="1" applyFill="1" applyBorder="1" applyAlignment="1">
      <alignment horizontal="center" vertical="center"/>
    </xf>
    <xf numFmtId="0" fontId="203" fillId="111" borderId="20" xfId="0" applyFont="1" applyFill="1" applyBorder="1" applyAlignment="1">
      <alignment horizontal="center" vertical="center"/>
    </xf>
    <xf numFmtId="0" fontId="203" fillId="111" borderId="0" xfId="0" applyFont="1" applyFill="1" applyAlignment="1">
      <alignment horizontal="center" vertical="center"/>
    </xf>
    <xf numFmtId="0" fontId="151" fillId="111" borderId="6" xfId="0" applyFont="1" applyFill="1" applyBorder="1" applyAlignment="1">
      <alignment horizontal="center" vertical="center"/>
    </xf>
    <xf numFmtId="0" fontId="151" fillId="111" borderId="0" xfId="0" applyFont="1" applyFill="1" applyAlignment="1">
      <alignment horizontal="center" vertical="center"/>
    </xf>
    <xf numFmtId="0" fontId="151" fillId="111" borderId="7" xfId="0" applyFont="1" applyFill="1" applyBorder="1" applyAlignment="1">
      <alignment horizontal="center" vertical="center"/>
    </xf>
    <xf numFmtId="178" fontId="18" fillId="111" borderId="96" xfId="0" applyNumberFormat="1" applyFont="1" applyFill="1" applyBorder="1" applyAlignment="1">
      <alignment horizontal="center" vertical="center"/>
    </xf>
    <xf numFmtId="178" fontId="18" fillId="111" borderId="37" xfId="0" applyNumberFormat="1" applyFont="1" applyFill="1" applyBorder="1" applyAlignment="1">
      <alignment horizontal="center" vertical="center"/>
    </xf>
    <xf numFmtId="0" fontId="98" fillId="9" borderId="96" xfId="0" applyFont="1" applyFill="1" applyBorder="1" applyAlignment="1">
      <alignment horizontal="center" vertical="center"/>
    </xf>
    <xf numFmtId="0" fontId="98" fillId="9" borderId="98" xfId="0" applyFont="1" applyFill="1" applyBorder="1" applyAlignment="1">
      <alignment horizontal="center" vertical="center"/>
    </xf>
    <xf numFmtId="0" fontId="98" fillId="9" borderId="98" xfId="0" applyFont="1" applyFill="1" applyBorder="1" applyAlignment="1" applyProtection="1">
      <alignment horizontal="center" vertical="center"/>
      <protection locked="0"/>
    </xf>
    <xf numFmtId="0" fontId="98" fillId="9" borderId="340" xfId="0" applyFont="1" applyFill="1" applyBorder="1" applyAlignment="1" applyProtection="1">
      <alignment horizontal="center" vertical="center"/>
      <protection locked="0"/>
    </xf>
    <xf numFmtId="0" fontId="98" fillId="9" borderId="96" xfId="0" applyFont="1" applyFill="1" applyBorder="1" applyAlignment="1" applyProtection="1">
      <alignment horizontal="center" vertical="center"/>
      <protection locked="0"/>
    </xf>
    <xf numFmtId="0" fontId="203" fillId="110" borderId="15" xfId="0" applyFont="1" applyFill="1" applyBorder="1" applyAlignment="1">
      <alignment horizontal="center" vertical="center"/>
    </xf>
    <xf numFmtId="0" fontId="203" fillId="110" borderId="12" xfId="0" applyFont="1" applyFill="1" applyBorder="1" applyAlignment="1">
      <alignment horizontal="center" vertical="center"/>
    </xf>
    <xf numFmtId="0" fontId="203" fillId="110" borderId="20" xfId="0" applyFont="1" applyFill="1" applyBorder="1" applyAlignment="1">
      <alignment horizontal="center" vertical="center"/>
    </xf>
    <xf numFmtId="0" fontId="203" fillId="110" borderId="0" xfId="0" applyFont="1" applyFill="1" applyAlignment="1">
      <alignment horizontal="center" vertical="center"/>
    </xf>
    <xf numFmtId="0" fontId="151" fillId="110" borderId="6" xfId="0" applyFont="1" applyFill="1" applyBorder="1" applyAlignment="1">
      <alignment horizontal="center" vertical="center"/>
    </xf>
    <xf numFmtId="0" fontId="151" fillId="110" borderId="0" xfId="0" applyFont="1" applyFill="1" applyAlignment="1">
      <alignment horizontal="center" vertical="center"/>
    </xf>
    <xf numFmtId="0" fontId="151" fillId="110" borderId="7" xfId="0" applyFont="1" applyFill="1" applyBorder="1" applyAlignment="1">
      <alignment horizontal="center" vertical="center"/>
    </xf>
    <xf numFmtId="178" fontId="18" fillId="110" borderId="96" xfId="0" applyNumberFormat="1" applyFont="1" applyFill="1" applyBorder="1" applyAlignment="1">
      <alignment horizontal="center" vertical="center"/>
    </xf>
    <xf numFmtId="178" fontId="18" fillId="110" borderId="37" xfId="0" applyNumberFormat="1" applyFont="1" applyFill="1" applyBorder="1" applyAlignment="1">
      <alignment horizontal="center" vertical="center"/>
    </xf>
    <xf numFmtId="0" fontId="59" fillId="72" borderId="1" xfId="0" applyFont="1" applyFill="1" applyBorder="1" applyAlignment="1">
      <alignment horizontal="center" vertical="center"/>
    </xf>
    <xf numFmtId="0" fontId="59" fillId="72" borderId="2" xfId="0" applyFont="1" applyFill="1" applyBorder="1" applyAlignment="1">
      <alignment horizontal="center" vertical="center"/>
    </xf>
    <xf numFmtId="0" fontId="59" fillId="72" borderId="338" xfId="0" applyFont="1" applyFill="1" applyBorder="1" applyAlignment="1">
      <alignment horizontal="center" vertical="center"/>
    </xf>
    <xf numFmtId="0" fontId="59" fillId="72" borderId="339" xfId="0" applyFont="1" applyFill="1" applyBorder="1" applyAlignment="1">
      <alignment horizontal="center" vertical="center"/>
    </xf>
    <xf numFmtId="0" fontId="59" fillId="72" borderId="304" xfId="0" applyFont="1" applyFill="1" applyBorder="1" applyAlignment="1">
      <alignment horizontal="center" vertical="center"/>
    </xf>
    <xf numFmtId="0" fontId="59" fillId="72" borderId="257" xfId="0" applyFont="1" applyFill="1" applyBorder="1" applyAlignment="1">
      <alignment horizontal="center" vertical="center" wrapText="1"/>
    </xf>
    <xf numFmtId="0" fontId="98" fillId="55" borderId="96" xfId="0" applyFont="1" applyFill="1" applyBorder="1" applyAlignment="1">
      <alignment horizontal="center" vertical="center"/>
    </xf>
    <xf numFmtId="0" fontId="98" fillId="55" borderId="98" xfId="0" applyFont="1" applyFill="1" applyBorder="1" applyAlignment="1">
      <alignment horizontal="center" vertical="center"/>
    </xf>
    <xf numFmtId="0" fontId="98" fillId="55" borderId="340" xfId="0" applyFont="1" applyFill="1" applyBorder="1" applyAlignment="1">
      <alignment horizontal="center" vertical="center"/>
    </xf>
    <xf numFmtId="0" fontId="98" fillId="55" borderId="37" xfId="0" applyFont="1" applyFill="1" applyBorder="1" applyAlignment="1">
      <alignment horizontal="center" vertical="center"/>
    </xf>
    <xf numFmtId="0" fontId="5" fillId="10" borderId="341" xfId="0" applyFont="1" applyFill="1" applyBorder="1" applyAlignment="1" applyProtection="1">
      <alignment horizontal="center" vertical="center" wrapText="1"/>
      <protection locked="0"/>
    </xf>
    <xf numFmtId="0" fontId="98" fillId="10" borderId="317" xfId="0" applyFont="1" applyFill="1" applyBorder="1" applyAlignment="1" applyProtection="1">
      <alignment horizontal="center" vertical="center" wrapText="1"/>
      <protection locked="0"/>
    </xf>
    <xf numFmtId="0" fontId="98" fillId="10" borderId="342" xfId="0" applyFont="1" applyFill="1" applyBorder="1" applyAlignment="1" applyProtection="1">
      <alignment horizontal="center" vertical="center" wrapText="1"/>
      <protection locked="0"/>
    </xf>
    <xf numFmtId="0" fontId="98" fillId="10" borderId="343" xfId="0" applyFont="1" applyFill="1" applyBorder="1" applyAlignment="1" applyProtection="1">
      <alignment horizontal="center" vertical="center" wrapText="1"/>
      <protection locked="0"/>
    </xf>
    <xf numFmtId="0" fontId="98" fillId="5" borderId="333" xfId="0" applyFont="1" applyFill="1" applyBorder="1" applyAlignment="1" applyProtection="1">
      <alignment horizontal="center" vertical="center"/>
      <protection locked="0"/>
    </xf>
    <xf numFmtId="0" fontId="98" fillId="5" borderId="334" xfId="0" applyFont="1" applyFill="1" applyBorder="1" applyAlignment="1" applyProtection="1">
      <alignment horizontal="center" vertical="center"/>
      <protection locked="0"/>
    </xf>
    <xf numFmtId="0" fontId="98" fillId="0" borderId="334" xfId="0" applyFont="1" applyBorder="1" applyAlignment="1" applyProtection="1">
      <alignment horizontal="center" vertical="center"/>
      <protection locked="0"/>
    </xf>
    <xf numFmtId="0" fontId="98" fillId="5" borderId="334" xfId="0" applyFont="1" applyFill="1" applyBorder="1" applyAlignment="1">
      <alignment horizontal="center" vertical="center"/>
    </xf>
    <xf numFmtId="0" fontId="5" fillId="5" borderId="334" xfId="0" applyFont="1" applyFill="1" applyBorder="1" applyAlignment="1">
      <alignment horizontal="center" vertical="center"/>
    </xf>
    <xf numFmtId="0" fontId="19" fillId="0" borderId="335" xfId="0" applyFont="1" applyBorder="1" applyAlignment="1">
      <alignment horizontal="center" vertical="center"/>
    </xf>
    <xf numFmtId="0" fontId="19" fillId="0" borderId="336" xfId="0" applyFont="1" applyBorder="1" applyAlignment="1">
      <alignment horizontal="center" vertical="center"/>
    </xf>
    <xf numFmtId="0" fontId="19" fillId="0" borderId="337" xfId="0" applyFont="1" applyBorder="1" applyAlignment="1">
      <alignment horizontal="center" vertical="center"/>
    </xf>
    <xf numFmtId="0" fontId="203" fillId="127" borderId="15" xfId="0" applyFont="1" applyFill="1" applyBorder="1" applyAlignment="1">
      <alignment horizontal="center" vertical="center"/>
    </xf>
    <xf numFmtId="0" fontId="203" fillId="127" borderId="12" xfId="0" applyFont="1" applyFill="1" applyBorder="1" applyAlignment="1">
      <alignment horizontal="center" vertical="center"/>
    </xf>
    <xf numFmtId="0" fontId="98" fillId="9" borderId="291" xfId="0" applyFont="1" applyFill="1" applyBorder="1" applyAlignment="1" applyProtection="1">
      <alignment horizontal="center" vertical="center"/>
      <protection locked="0"/>
    </xf>
    <xf numFmtId="0" fontId="98" fillId="9" borderId="292" xfId="0" applyFont="1" applyFill="1" applyBorder="1" applyAlignment="1" applyProtection="1">
      <alignment horizontal="center" vertical="center"/>
      <protection locked="0"/>
    </xf>
    <xf numFmtId="0" fontId="98" fillId="9" borderId="292" xfId="0" applyFont="1" applyFill="1" applyBorder="1" applyAlignment="1">
      <alignment horizontal="center" vertical="center"/>
    </xf>
    <xf numFmtId="0" fontId="5" fillId="9" borderId="292" xfId="0" applyFont="1" applyFill="1" applyBorder="1" applyAlignment="1">
      <alignment horizontal="center" vertical="center"/>
    </xf>
    <xf numFmtId="0" fontId="19" fillId="9" borderId="293" xfId="0" applyFont="1" applyFill="1" applyBorder="1" applyAlignment="1">
      <alignment horizontal="center" vertical="center"/>
    </xf>
    <xf numFmtId="0" fontId="19" fillId="9" borderId="331" xfId="0" applyFont="1" applyFill="1" applyBorder="1" applyAlignment="1">
      <alignment horizontal="center" vertical="center"/>
    </xf>
    <xf numFmtId="0" fontId="19" fillId="9" borderId="332" xfId="0" applyFont="1" applyFill="1" applyBorder="1" applyAlignment="1">
      <alignment horizontal="center" vertical="center"/>
    </xf>
    <xf numFmtId="0" fontId="203" fillId="128" borderId="15" xfId="0" applyFont="1" applyFill="1" applyBorder="1" applyAlignment="1">
      <alignment horizontal="center" vertical="center"/>
    </xf>
    <xf numFmtId="0" fontId="203" fillId="128" borderId="12" xfId="0" applyFont="1" applyFill="1" applyBorder="1" applyAlignment="1">
      <alignment horizontal="center" vertical="center"/>
    </xf>
    <xf numFmtId="0" fontId="203" fillId="128" borderId="20" xfId="0" applyFont="1" applyFill="1" applyBorder="1" applyAlignment="1">
      <alignment horizontal="center" vertical="center"/>
    </xf>
    <xf numFmtId="0" fontId="203" fillId="128" borderId="0" xfId="0" applyFont="1" applyFill="1" applyAlignment="1">
      <alignment horizontal="center" vertical="center"/>
    </xf>
    <xf numFmtId="0" fontId="151" fillId="128" borderId="6" xfId="0" applyFont="1" applyFill="1" applyBorder="1" applyAlignment="1">
      <alignment horizontal="center" vertical="center"/>
    </xf>
    <xf numFmtId="0" fontId="151" fillId="128" borderId="0" xfId="0" applyFont="1" applyFill="1" applyAlignment="1">
      <alignment horizontal="center" vertical="center"/>
    </xf>
    <xf numFmtId="0" fontId="151" fillId="128" borderId="7" xfId="0" applyFont="1" applyFill="1" applyBorder="1" applyAlignment="1">
      <alignment horizontal="center" vertical="center"/>
    </xf>
    <xf numFmtId="178" fontId="18" fillId="128" borderId="96" xfId="0" applyNumberFormat="1" applyFont="1" applyFill="1" applyBorder="1" applyAlignment="1">
      <alignment horizontal="center" vertical="center"/>
    </xf>
    <xf numFmtId="178" fontId="18" fillId="128" borderId="37" xfId="0" applyNumberFormat="1" applyFont="1" applyFill="1" applyBorder="1" applyAlignment="1">
      <alignment horizontal="center" vertical="center"/>
    </xf>
    <xf numFmtId="0" fontId="98" fillId="5" borderId="291" xfId="0" applyFont="1" applyFill="1" applyBorder="1" applyAlignment="1" applyProtection="1">
      <alignment horizontal="center" vertical="center"/>
      <protection locked="0"/>
    </xf>
    <xf numFmtId="0" fontId="98" fillId="5" borderId="292" xfId="0" applyFont="1" applyFill="1" applyBorder="1" applyAlignment="1" applyProtection="1">
      <alignment horizontal="center" vertical="center"/>
      <protection locked="0"/>
    </xf>
    <xf numFmtId="0" fontId="98" fillId="0" borderId="292" xfId="0" applyFont="1" applyBorder="1" applyAlignment="1" applyProtection="1">
      <alignment horizontal="center" vertical="center"/>
      <protection locked="0"/>
    </xf>
    <xf numFmtId="0" fontId="98" fillId="5" borderId="292" xfId="0" applyFont="1" applyFill="1" applyBorder="1" applyAlignment="1">
      <alignment horizontal="center" vertical="center" wrapText="1"/>
    </xf>
    <xf numFmtId="0" fontId="98" fillId="5" borderId="292" xfId="0" applyFont="1" applyFill="1" applyBorder="1" applyAlignment="1">
      <alignment horizontal="center" vertical="center"/>
    </xf>
    <xf numFmtId="0" fontId="5" fillId="5" borderId="292" xfId="0" applyFont="1" applyFill="1" applyBorder="1" applyAlignment="1">
      <alignment horizontal="center" vertical="center"/>
    </xf>
    <xf numFmtId="0" fontId="19" fillId="0" borderId="293" xfId="0" applyFont="1" applyBorder="1" applyAlignment="1">
      <alignment horizontal="center" vertical="center"/>
    </xf>
    <xf numFmtId="0" fontId="19" fillId="0" borderId="331" xfId="0" applyFont="1" applyBorder="1" applyAlignment="1">
      <alignment horizontal="center" vertical="center"/>
    </xf>
    <xf numFmtId="0" fontId="19" fillId="0" borderId="332" xfId="0" applyFont="1" applyBorder="1" applyAlignment="1">
      <alignment horizontal="center" vertical="center"/>
    </xf>
    <xf numFmtId="0" fontId="203" fillId="107" borderId="15" xfId="0" applyFont="1" applyFill="1" applyBorder="1" applyAlignment="1">
      <alignment horizontal="center" vertical="center"/>
    </xf>
    <xf numFmtId="0" fontId="203" fillId="107" borderId="12" xfId="0" applyFont="1" applyFill="1" applyBorder="1" applyAlignment="1">
      <alignment horizontal="center" vertical="center"/>
    </xf>
    <xf numFmtId="0" fontId="203" fillId="107" borderId="20" xfId="0" applyFont="1" applyFill="1" applyBorder="1" applyAlignment="1">
      <alignment horizontal="center" vertical="center"/>
    </xf>
    <xf numFmtId="0" fontId="203" fillId="107" borderId="0" xfId="0" applyFont="1" applyFill="1" applyAlignment="1">
      <alignment horizontal="center" vertical="center"/>
    </xf>
    <xf numFmtId="0" fontId="151" fillId="107" borderId="6" xfId="0" applyFont="1" applyFill="1" applyBorder="1" applyAlignment="1">
      <alignment horizontal="center" vertical="center"/>
    </xf>
    <xf numFmtId="0" fontId="151" fillId="107" borderId="0" xfId="0" applyFont="1" applyFill="1" applyAlignment="1">
      <alignment horizontal="center" vertical="center"/>
    </xf>
    <xf numFmtId="0" fontId="151" fillId="107" borderId="7" xfId="0" applyFont="1" applyFill="1" applyBorder="1" applyAlignment="1">
      <alignment horizontal="center" vertical="center"/>
    </xf>
    <xf numFmtId="178" fontId="18" fillId="107" borderId="96" xfId="0" applyNumberFormat="1" applyFont="1" applyFill="1" applyBorder="1" applyAlignment="1">
      <alignment horizontal="center" vertical="center"/>
    </xf>
    <xf numFmtId="178" fontId="18" fillId="107" borderId="37" xfId="0" applyNumberFormat="1" applyFont="1" applyFill="1" applyBorder="1" applyAlignment="1">
      <alignment horizontal="center" vertical="center"/>
    </xf>
    <xf numFmtId="0" fontId="5" fillId="118" borderId="165" xfId="0" applyFont="1" applyFill="1" applyBorder="1" applyAlignment="1">
      <alignment horizontal="center" vertical="center"/>
    </xf>
    <xf numFmtId="0" fontId="5" fillId="118" borderId="166" xfId="0" applyFont="1" applyFill="1" applyBorder="1" applyAlignment="1">
      <alignment horizontal="center" vertical="center"/>
    </xf>
    <xf numFmtId="0" fontId="5" fillId="118" borderId="167" xfId="0" applyFont="1" applyFill="1" applyBorder="1" applyAlignment="1">
      <alignment horizontal="center" vertical="center"/>
    </xf>
    <xf numFmtId="0" fontId="98" fillId="0" borderId="291" xfId="0" applyFont="1" applyBorder="1" applyAlignment="1" applyProtection="1">
      <alignment horizontal="center" vertical="center"/>
      <protection locked="0"/>
    </xf>
    <xf numFmtId="0" fontId="98" fillId="0" borderId="292" xfId="0" applyFont="1" applyBorder="1" applyAlignment="1">
      <alignment horizontal="center" vertical="center"/>
    </xf>
    <xf numFmtId="0" fontId="98" fillId="0" borderId="292" xfId="0" applyFont="1" applyBorder="1" applyAlignment="1">
      <alignment horizontal="center" vertical="center" wrapText="1"/>
    </xf>
    <xf numFmtId="0" fontId="5" fillId="0" borderId="292" xfId="0" applyFont="1" applyBorder="1" applyAlignment="1">
      <alignment horizontal="center" vertical="center"/>
    </xf>
    <xf numFmtId="179" fontId="98" fillId="9" borderId="292" xfId="0" applyNumberFormat="1" applyFont="1" applyFill="1" applyBorder="1" applyAlignment="1">
      <alignment horizontal="center" vertical="center"/>
    </xf>
    <xf numFmtId="178" fontId="18" fillId="81" borderId="142" xfId="0" applyNumberFormat="1" applyFont="1" applyFill="1" applyBorder="1" applyAlignment="1">
      <alignment horizontal="center" vertical="center"/>
    </xf>
    <xf numFmtId="178" fontId="18" fillId="81" borderId="35" xfId="0" applyNumberFormat="1" applyFont="1" applyFill="1" applyBorder="1" applyAlignment="1">
      <alignment horizontal="center" vertical="center"/>
    </xf>
    <xf numFmtId="0" fontId="124" fillId="0" borderId="0" xfId="0" applyFont="1" applyAlignment="1">
      <alignment horizontal="left" vertical="top"/>
    </xf>
    <xf numFmtId="0" fontId="124" fillId="0" borderId="0" xfId="0" applyFont="1" applyAlignment="1">
      <alignment horizontal="left" vertical="top" wrapText="1"/>
    </xf>
    <xf numFmtId="0" fontId="15" fillId="0" borderId="0" xfId="0" applyFont="1" applyAlignment="1">
      <alignment horizontal="left" vertical="top" wrapText="1"/>
    </xf>
    <xf numFmtId="0" fontId="203" fillId="127" borderId="20" xfId="0" applyFont="1" applyFill="1" applyBorder="1" applyAlignment="1">
      <alignment horizontal="center" vertical="center"/>
    </xf>
    <xf numFmtId="0" fontId="203" fillId="127" borderId="0" xfId="0" applyFont="1" applyFill="1" applyAlignment="1">
      <alignment horizontal="center" vertical="center"/>
    </xf>
    <xf numFmtId="0" fontId="59" fillId="72" borderId="328" xfId="0" applyFont="1" applyFill="1" applyBorder="1" applyAlignment="1">
      <alignment horizontal="center" vertical="center"/>
    </xf>
    <xf numFmtId="0" fontId="59" fillId="72" borderId="329" xfId="0" applyFont="1" applyFill="1" applyBorder="1" applyAlignment="1">
      <alignment horizontal="center" vertical="center"/>
    </xf>
    <xf numFmtId="0" fontId="59" fillId="72" borderId="330" xfId="0" applyFont="1" applyFill="1" applyBorder="1" applyAlignment="1">
      <alignment horizontal="center" vertical="center"/>
    </xf>
    <xf numFmtId="0" fontId="98" fillId="8" borderId="291" xfId="0" applyFont="1" applyFill="1" applyBorder="1" applyAlignment="1">
      <alignment horizontal="center" vertical="center"/>
    </xf>
    <xf numFmtId="0" fontId="98" fillId="8" borderId="292" xfId="0" applyFont="1" applyFill="1" applyBorder="1" applyAlignment="1">
      <alignment horizontal="center" vertical="center"/>
    </xf>
    <xf numFmtId="0" fontId="5" fillId="8" borderId="292" xfId="0" applyFont="1" applyFill="1" applyBorder="1" applyAlignment="1">
      <alignment horizontal="center" vertical="center"/>
    </xf>
    <xf numFmtId="0" fontId="98" fillId="8" borderId="295" xfId="0" applyFont="1" applyFill="1" applyBorder="1" applyAlignment="1">
      <alignment horizontal="center" vertical="center"/>
    </xf>
    <xf numFmtId="179" fontId="19" fillId="126" borderId="0" xfId="0" applyNumberFormat="1" applyFont="1" applyFill="1" applyAlignment="1">
      <alignment horizontal="center" vertical="center"/>
    </xf>
    <xf numFmtId="0" fontId="19" fillId="126" borderId="0" xfId="0" applyFont="1" applyFill="1" applyAlignment="1">
      <alignment horizontal="center" vertical="center"/>
    </xf>
    <xf numFmtId="0" fontId="19" fillId="126" borderId="204" xfId="0" applyFont="1" applyFill="1" applyBorder="1" applyAlignment="1">
      <alignment horizontal="center" vertical="center"/>
    </xf>
    <xf numFmtId="0" fontId="203" fillId="122" borderId="15" xfId="0" applyFont="1" applyFill="1" applyBorder="1" applyAlignment="1">
      <alignment horizontal="center" vertical="center"/>
    </xf>
    <xf numFmtId="0" fontId="203" fillId="122" borderId="12" xfId="0" applyFont="1" applyFill="1" applyBorder="1" applyAlignment="1">
      <alignment horizontal="center" vertical="center"/>
    </xf>
    <xf numFmtId="0" fontId="203" fillId="122" borderId="157" xfId="0" applyFont="1" applyFill="1" applyBorder="1" applyAlignment="1">
      <alignment horizontal="center" vertical="center"/>
    </xf>
    <xf numFmtId="0" fontId="203" fillId="122" borderId="9" xfId="0" applyFont="1" applyFill="1" applyBorder="1" applyAlignment="1">
      <alignment horizontal="center" vertical="center"/>
    </xf>
    <xf numFmtId="0" fontId="151" fillId="122" borderId="8" xfId="0" applyFont="1" applyFill="1" applyBorder="1" applyAlignment="1">
      <alignment horizontal="center" vertical="center"/>
    </xf>
    <xf numFmtId="0" fontId="151" fillId="122" borderId="9" xfId="0" applyFont="1" applyFill="1" applyBorder="1" applyAlignment="1">
      <alignment horizontal="center" vertical="center"/>
    </xf>
    <xf numFmtId="0" fontId="151" fillId="122" borderId="10" xfId="0" applyFont="1" applyFill="1" applyBorder="1" applyAlignment="1">
      <alignment horizontal="center" vertical="center"/>
    </xf>
    <xf numFmtId="178" fontId="18" fillId="122" borderId="285" xfId="0" applyNumberFormat="1" applyFont="1" applyFill="1" applyBorder="1" applyAlignment="1">
      <alignment horizontal="center" vertical="center"/>
    </xf>
    <xf numFmtId="178" fontId="18" fillId="122" borderId="164" xfId="0" applyNumberFormat="1" applyFont="1" applyFill="1" applyBorder="1" applyAlignment="1">
      <alignment horizontal="center" vertical="center"/>
    </xf>
    <xf numFmtId="49" fontId="19" fillId="122" borderId="218" xfId="0" applyNumberFormat="1" applyFont="1" applyFill="1" applyBorder="1" applyAlignment="1" applyProtection="1">
      <alignment horizontal="center" vertical="center"/>
      <protection locked="0"/>
    </xf>
    <xf numFmtId="178" fontId="18" fillId="122" borderId="218" xfId="0" applyNumberFormat="1" applyFont="1" applyFill="1" applyBorder="1" applyAlignment="1">
      <alignment horizontal="center" vertical="center"/>
    </xf>
    <xf numFmtId="0" fontId="19" fillId="122" borderId="218" xfId="0" applyFont="1" applyFill="1" applyBorder="1" applyAlignment="1" applyProtection="1">
      <alignment horizontal="center" vertical="center"/>
      <protection locked="0"/>
    </xf>
    <xf numFmtId="0" fontId="19" fillId="122" borderId="219" xfId="0" applyFont="1" applyFill="1" applyBorder="1" applyAlignment="1">
      <alignment horizontal="center" vertical="center"/>
    </xf>
    <xf numFmtId="0" fontId="19" fillId="122" borderId="219" xfId="0" applyFont="1" applyFill="1" applyBorder="1" applyAlignment="1" applyProtection="1">
      <alignment horizontal="center" vertical="center"/>
      <protection locked="0"/>
    </xf>
    <xf numFmtId="179" fontId="19" fillId="122" borderId="218" xfId="0" applyNumberFormat="1" applyFont="1" applyFill="1" applyBorder="1" applyAlignment="1">
      <alignment horizontal="center" vertical="center"/>
    </xf>
    <xf numFmtId="0" fontId="19" fillId="122" borderId="218" xfId="0" applyFont="1" applyFill="1" applyBorder="1" applyAlignment="1">
      <alignment horizontal="center" vertical="center"/>
    </xf>
    <xf numFmtId="49" fontId="19" fillId="124" borderId="218" xfId="0" applyNumberFormat="1" applyFont="1" applyFill="1" applyBorder="1" applyAlignment="1" applyProtection="1">
      <alignment horizontal="center" vertical="center"/>
      <protection locked="0"/>
    </xf>
    <xf numFmtId="49" fontId="5" fillId="124" borderId="218" xfId="0" applyNumberFormat="1" applyFont="1" applyFill="1" applyBorder="1" applyAlignment="1" applyProtection="1">
      <alignment horizontal="center" vertical="center"/>
      <protection locked="0"/>
    </xf>
    <xf numFmtId="178" fontId="17" fillId="124" borderId="218" xfId="0" applyNumberFormat="1" applyFont="1" applyFill="1" applyBorder="1" applyAlignment="1">
      <alignment horizontal="center" vertical="center"/>
    </xf>
    <xf numFmtId="0" fontId="19" fillId="124" borderId="218" xfId="0" applyFont="1" applyFill="1" applyBorder="1" applyAlignment="1" applyProtection="1">
      <alignment horizontal="center" vertical="center"/>
      <protection locked="0"/>
    </xf>
    <xf numFmtId="0" fontId="19" fillId="124" borderId="325" xfId="0" applyFont="1" applyFill="1" applyBorder="1" applyAlignment="1">
      <alignment horizontal="center" vertical="center"/>
    </xf>
    <xf numFmtId="0" fontId="19" fillId="124" borderId="325" xfId="0" applyFont="1" applyFill="1" applyBorder="1" applyAlignment="1" applyProtection="1">
      <alignment horizontal="center" vertical="center"/>
      <protection locked="0"/>
    </xf>
    <xf numFmtId="179" fontId="19" fillId="124" borderId="218" xfId="0" applyNumberFormat="1" applyFont="1" applyFill="1" applyBorder="1" applyAlignment="1">
      <alignment horizontal="center" vertical="center"/>
    </xf>
    <xf numFmtId="0" fontId="19" fillId="124" borderId="218" xfId="0" applyFont="1" applyFill="1" applyBorder="1" applyAlignment="1">
      <alignment horizontal="center" vertical="center"/>
    </xf>
    <xf numFmtId="0" fontId="19" fillId="124" borderId="223" xfId="0" applyFont="1" applyFill="1" applyBorder="1" applyAlignment="1">
      <alignment horizontal="center" vertical="center"/>
    </xf>
    <xf numFmtId="0" fontId="19" fillId="124" borderId="0" xfId="0" applyFont="1" applyFill="1" applyAlignment="1" applyProtection="1">
      <alignment horizontal="center" vertical="center"/>
      <protection locked="0"/>
    </xf>
    <xf numFmtId="0" fontId="19" fillId="124" borderId="320" xfId="0" applyFont="1" applyFill="1" applyBorder="1" applyAlignment="1">
      <alignment horizontal="center" vertical="center"/>
    </xf>
    <xf numFmtId="0" fontId="19" fillId="124" borderId="320" xfId="0" applyFont="1" applyFill="1" applyBorder="1" applyAlignment="1" applyProtection="1">
      <alignment horizontal="center" vertical="center"/>
      <protection locked="0"/>
    </xf>
    <xf numFmtId="179" fontId="19" fillId="124" borderId="0" xfId="0" applyNumberFormat="1" applyFont="1" applyFill="1" applyAlignment="1">
      <alignment horizontal="center" vertical="center"/>
    </xf>
    <xf numFmtId="0" fontId="19" fillId="124" borderId="0" xfId="0" applyFont="1" applyFill="1" applyAlignment="1">
      <alignment horizontal="center" vertical="center"/>
    </xf>
    <xf numFmtId="0" fontId="19" fillId="124" borderId="204" xfId="0" applyFont="1" applyFill="1" applyBorder="1" applyAlignment="1">
      <alignment horizontal="center" vertical="center"/>
    </xf>
    <xf numFmtId="0" fontId="203" fillId="125" borderId="15" xfId="0" applyFont="1" applyFill="1" applyBorder="1" applyAlignment="1">
      <alignment horizontal="center" vertical="center"/>
    </xf>
    <xf numFmtId="0" fontId="203" fillId="125" borderId="12" xfId="0" applyFont="1" applyFill="1" applyBorder="1" applyAlignment="1">
      <alignment horizontal="center" vertical="center"/>
    </xf>
    <xf numFmtId="0" fontId="203" fillId="125" borderId="20" xfId="0" applyFont="1" applyFill="1" applyBorder="1" applyAlignment="1">
      <alignment horizontal="center" vertical="center"/>
    </xf>
    <xf numFmtId="0" fontId="203" fillId="125" borderId="0" xfId="0" applyFont="1" applyFill="1" applyAlignment="1">
      <alignment horizontal="center" vertical="center"/>
    </xf>
    <xf numFmtId="0" fontId="151" fillId="125" borderId="6" xfId="0" applyFont="1" applyFill="1" applyBorder="1" applyAlignment="1">
      <alignment horizontal="center" vertical="center"/>
    </xf>
    <xf numFmtId="0" fontId="151" fillId="125" borderId="0" xfId="0" applyFont="1" applyFill="1" applyAlignment="1">
      <alignment horizontal="center" vertical="center"/>
    </xf>
    <xf numFmtId="0" fontId="151" fillId="125" borderId="7" xfId="0" applyFont="1" applyFill="1" applyBorder="1" applyAlignment="1">
      <alignment horizontal="center" vertical="center"/>
    </xf>
    <xf numFmtId="178" fontId="18" fillId="125" borderId="96" xfId="0" applyNumberFormat="1" applyFont="1" applyFill="1" applyBorder="1" applyAlignment="1">
      <alignment horizontal="center" vertical="center"/>
    </xf>
    <xf numFmtId="178" fontId="18" fillId="125" borderId="37" xfId="0" applyNumberFormat="1" applyFont="1" applyFill="1" applyBorder="1" applyAlignment="1">
      <alignment horizontal="center" vertical="center"/>
    </xf>
    <xf numFmtId="49" fontId="19" fillId="125" borderId="0" xfId="0" applyNumberFormat="1" applyFont="1" applyFill="1" applyAlignment="1" applyProtection="1">
      <alignment horizontal="center" vertical="center"/>
      <protection locked="0"/>
    </xf>
    <xf numFmtId="178" fontId="18" fillId="125" borderId="0" xfId="0" applyNumberFormat="1" applyFont="1" applyFill="1" applyAlignment="1">
      <alignment horizontal="center" vertical="center"/>
    </xf>
    <xf numFmtId="0" fontId="19" fillId="125" borderId="0" xfId="0" applyFont="1" applyFill="1" applyAlignment="1" applyProtection="1">
      <alignment horizontal="center" vertical="center"/>
      <protection locked="0"/>
    </xf>
    <xf numFmtId="0" fontId="19" fillId="125" borderId="185" xfId="0" applyFont="1" applyFill="1" applyBorder="1" applyAlignment="1">
      <alignment horizontal="center" vertical="center"/>
    </xf>
    <xf numFmtId="0" fontId="19" fillId="125" borderId="185" xfId="0" applyFont="1" applyFill="1" applyBorder="1" applyAlignment="1" applyProtection="1">
      <alignment horizontal="center" vertical="center"/>
      <protection locked="0"/>
    </xf>
    <xf numFmtId="179" fontId="19" fillId="125" borderId="0" xfId="0" applyNumberFormat="1" applyFont="1" applyFill="1" applyAlignment="1">
      <alignment horizontal="center" vertical="center"/>
    </xf>
    <xf numFmtId="0" fontId="19" fillId="125" borderId="0" xfId="0" applyFont="1" applyFill="1" applyAlignment="1">
      <alignment horizontal="center" vertical="center"/>
    </xf>
    <xf numFmtId="49" fontId="19" fillId="126" borderId="0" xfId="0" applyNumberFormat="1" applyFont="1" applyFill="1" applyAlignment="1" applyProtection="1">
      <alignment horizontal="center" vertical="center"/>
      <protection locked="0"/>
    </xf>
    <xf numFmtId="49" fontId="5" fillId="126" borderId="0" xfId="0" applyNumberFormat="1" applyFont="1" applyFill="1" applyAlignment="1" applyProtection="1">
      <alignment horizontal="center" vertical="center"/>
      <protection locked="0"/>
    </xf>
    <xf numFmtId="178" fontId="17" fillId="126" borderId="0" xfId="0" applyNumberFormat="1" applyFont="1" applyFill="1" applyAlignment="1">
      <alignment horizontal="center" vertical="center"/>
    </xf>
    <xf numFmtId="0" fontId="19" fillId="126" borderId="0" xfId="0" applyFont="1" applyFill="1" applyAlignment="1" applyProtection="1">
      <alignment horizontal="center" vertical="center"/>
      <protection locked="0"/>
    </xf>
    <xf numFmtId="0" fontId="19" fillId="126" borderId="320" xfId="0" applyFont="1" applyFill="1" applyBorder="1" applyAlignment="1">
      <alignment horizontal="center" vertical="center"/>
    </xf>
    <xf numFmtId="0" fontId="19" fillId="126" borderId="320" xfId="0" applyFont="1" applyFill="1" applyBorder="1" applyAlignment="1" applyProtection="1">
      <alignment horizontal="center" vertical="center"/>
      <protection locked="0"/>
    </xf>
    <xf numFmtId="0" fontId="203" fillId="122" borderId="20" xfId="0" applyFont="1" applyFill="1" applyBorder="1" applyAlignment="1">
      <alignment horizontal="center" vertical="center"/>
    </xf>
    <xf numFmtId="0" fontId="203" fillId="122" borderId="0" xfId="0" applyFont="1" applyFill="1" applyAlignment="1">
      <alignment horizontal="center" vertical="center"/>
    </xf>
    <xf numFmtId="0" fontId="151" fillId="122" borderId="6" xfId="0" applyFont="1" applyFill="1" applyBorder="1" applyAlignment="1">
      <alignment horizontal="center" vertical="center"/>
    </xf>
    <xf numFmtId="0" fontId="151" fillId="122" borderId="0" xfId="0" applyFont="1" applyFill="1" applyAlignment="1">
      <alignment horizontal="center" vertical="center"/>
    </xf>
    <xf numFmtId="0" fontId="151" fillId="122" borderId="7" xfId="0" applyFont="1" applyFill="1" applyBorder="1" applyAlignment="1">
      <alignment horizontal="center" vertical="center"/>
    </xf>
    <xf numFmtId="178" fontId="18" fillId="122" borderId="96" xfId="0" applyNumberFormat="1" applyFont="1" applyFill="1" applyBorder="1" applyAlignment="1">
      <alignment horizontal="center" vertical="center"/>
    </xf>
    <xf numFmtId="178" fontId="18" fillId="122" borderId="37" xfId="0" applyNumberFormat="1" applyFont="1" applyFill="1" applyBorder="1" applyAlignment="1">
      <alignment horizontal="center" vertical="center"/>
    </xf>
    <xf numFmtId="49" fontId="19" fillId="122" borderId="0" xfId="0" applyNumberFormat="1" applyFont="1" applyFill="1" applyAlignment="1" applyProtection="1">
      <alignment horizontal="center" vertical="center"/>
      <protection locked="0"/>
    </xf>
    <xf numFmtId="178" fontId="18" fillId="122" borderId="0" xfId="0" applyNumberFormat="1" applyFont="1" applyFill="1" applyAlignment="1">
      <alignment horizontal="center" vertical="center"/>
    </xf>
    <xf numFmtId="0" fontId="19" fillId="122" borderId="0" xfId="0" applyFont="1" applyFill="1" applyAlignment="1" applyProtection="1">
      <alignment horizontal="center" vertical="center"/>
      <protection locked="0"/>
    </xf>
    <xf numFmtId="0" fontId="19" fillId="122" borderId="185" xfId="0" applyFont="1" applyFill="1" applyBorder="1" applyAlignment="1">
      <alignment horizontal="center" vertical="center"/>
    </xf>
    <xf numFmtId="0" fontId="19" fillId="122" borderId="185" xfId="0" applyFont="1" applyFill="1" applyBorder="1" applyAlignment="1" applyProtection="1">
      <alignment horizontal="center" vertical="center"/>
      <protection locked="0"/>
    </xf>
    <xf numFmtId="179" fontId="19" fillId="122" borderId="0" xfId="0" applyNumberFormat="1" applyFont="1" applyFill="1" applyAlignment="1">
      <alignment horizontal="center" vertical="center"/>
    </xf>
    <xf numFmtId="0" fontId="19" fillId="122" borderId="0" xfId="0" applyFont="1" applyFill="1" applyAlignment="1">
      <alignment horizontal="center" vertical="center"/>
    </xf>
    <xf numFmtId="49" fontId="19" fillId="124" borderId="0" xfId="0" applyNumberFormat="1" applyFont="1" applyFill="1" applyAlignment="1" applyProtection="1">
      <alignment horizontal="center" vertical="center"/>
      <protection locked="0"/>
    </xf>
    <xf numFmtId="49" fontId="5" fillId="124" borderId="0" xfId="0" applyNumberFormat="1" applyFont="1" applyFill="1" applyAlignment="1" applyProtection="1">
      <alignment horizontal="center" vertical="center"/>
      <protection locked="0"/>
    </xf>
    <xf numFmtId="178" fontId="17" fillId="124" borderId="0" xfId="0" applyNumberFormat="1" applyFont="1" applyFill="1" applyAlignment="1">
      <alignment horizontal="center" vertical="center"/>
    </xf>
    <xf numFmtId="0" fontId="19" fillId="0" borderId="320" xfId="0" applyFont="1" applyBorder="1" applyAlignment="1">
      <alignment horizontal="center" vertical="center"/>
    </xf>
    <xf numFmtId="0" fontId="19" fillId="0" borderId="320" xfId="0" applyFont="1" applyBorder="1" applyAlignment="1" applyProtection="1">
      <alignment horizontal="center" vertical="center"/>
      <protection locked="0"/>
    </xf>
    <xf numFmtId="179" fontId="19" fillId="0" borderId="0" xfId="0" applyNumberFormat="1" applyFont="1" applyAlignment="1">
      <alignment horizontal="center" vertical="center"/>
    </xf>
    <xf numFmtId="0" fontId="203" fillId="120" borderId="15" xfId="0" applyFont="1" applyFill="1" applyBorder="1" applyAlignment="1">
      <alignment horizontal="center" vertical="center"/>
    </xf>
    <xf numFmtId="0" fontId="203" fillId="120" borderId="12" xfId="0" applyFont="1" applyFill="1" applyBorder="1" applyAlignment="1">
      <alignment horizontal="center" vertical="center"/>
    </xf>
    <xf numFmtId="0" fontId="203" fillId="120" borderId="20" xfId="0" applyFont="1" applyFill="1" applyBorder="1" applyAlignment="1">
      <alignment horizontal="center" vertical="center"/>
    </xf>
    <xf numFmtId="0" fontId="203" fillId="120" borderId="0" xfId="0" applyFont="1" applyFill="1" applyAlignment="1">
      <alignment horizontal="center" vertical="center"/>
    </xf>
    <xf numFmtId="0" fontId="151" fillId="120" borderId="6" xfId="0" applyFont="1" applyFill="1" applyBorder="1" applyAlignment="1">
      <alignment horizontal="center" vertical="center"/>
    </xf>
    <xf numFmtId="0" fontId="151" fillId="120" borderId="0" xfId="0" applyFont="1" applyFill="1" applyAlignment="1">
      <alignment horizontal="center" vertical="center"/>
    </xf>
    <xf numFmtId="0" fontId="151" fillId="120" borderId="7" xfId="0" applyFont="1" applyFill="1" applyBorder="1" applyAlignment="1">
      <alignment horizontal="center" vertical="center"/>
    </xf>
    <xf numFmtId="178" fontId="18" fillId="120" borderId="96" xfId="0" applyNumberFormat="1" applyFont="1" applyFill="1" applyBorder="1" applyAlignment="1">
      <alignment horizontal="center" vertical="center"/>
    </xf>
    <xf numFmtId="178" fontId="18" fillId="120" borderId="37" xfId="0" applyNumberFormat="1" applyFont="1" applyFill="1" applyBorder="1" applyAlignment="1">
      <alignment horizontal="center" vertical="center"/>
    </xf>
    <xf numFmtId="49" fontId="19" fillId="120" borderId="0" xfId="0" applyNumberFormat="1" applyFont="1" applyFill="1" applyAlignment="1" applyProtection="1">
      <alignment horizontal="center" vertical="center"/>
      <protection locked="0"/>
    </xf>
    <xf numFmtId="178" fontId="18" fillId="120" borderId="0" xfId="0" applyNumberFormat="1" applyFont="1" applyFill="1" applyAlignment="1">
      <alignment horizontal="center" vertical="center"/>
    </xf>
    <xf numFmtId="0" fontId="19" fillId="120" borderId="0" xfId="0" applyFont="1" applyFill="1" applyAlignment="1" applyProtection="1">
      <alignment horizontal="center" vertical="center"/>
      <protection locked="0"/>
    </xf>
    <xf numFmtId="0" fontId="19" fillId="120" borderId="185" xfId="0" applyFont="1" applyFill="1" applyBorder="1" applyAlignment="1">
      <alignment horizontal="center" vertical="center"/>
    </xf>
    <xf numFmtId="0" fontId="19" fillId="120" borderId="185" xfId="0" applyFont="1" applyFill="1" applyBorder="1" applyAlignment="1" applyProtection="1">
      <alignment horizontal="center" vertical="center"/>
      <protection locked="0"/>
    </xf>
    <xf numFmtId="179" fontId="19" fillId="120" borderId="0" xfId="0" applyNumberFormat="1" applyFont="1" applyFill="1" applyAlignment="1">
      <alignment horizontal="center" vertical="center"/>
    </xf>
    <xf numFmtId="0" fontId="19" fillId="120" borderId="0" xfId="0" applyFont="1" applyFill="1" applyAlignment="1">
      <alignment horizontal="center" vertical="center"/>
    </xf>
    <xf numFmtId="49" fontId="19" fillId="0" borderId="0" xfId="0" applyNumberFormat="1" applyFont="1" applyAlignment="1" applyProtection="1">
      <alignment horizontal="center" vertical="center"/>
      <protection locked="0"/>
    </xf>
    <xf numFmtId="49" fontId="5" fillId="0" borderId="0" xfId="0" applyNumberFormat="1" applyFont="1" applyAlignment="1" applyProtection="1">
      <alignment horizontal="center" vertical="center"/>
      <protection locked="0"/>
    </xf>
    <xf numFmtId="178" fontId="17" fillId="0" borderId="0" xfId="0" applyNumberFormat="1" applyFont="1" applyAlignment="1">
      <alignment horizontal="center" vertical="center"/>
    </xf>
    <xf numFmtId="0" fontId="203" fillId="105" borderId="15" xfId="0" applyFont="1" applyFill="1" applyBorder="1" applyAlignment="1">
      <alignment horizontal="center" vertical="center"/>
    </xf>
    <xf numFmtId="0" fontId="203" fillId="105" borderId="12" xfId="0" applyFont="1" applyFill="1" applyBorder="1" applyAlignment="1">
      <alignment horizontal="center" vertical="center"/>
    </xf>
    <xf numFmtId="0" fontId="203" fillId="105" borderId="20" xfId="0" applyFont="1" applyFill="1" applyBorder="1" applyAlignment="1">
      <alignment horizontal="center" vertical="center"/>
    </xf>
    <xf numFmtId="0" fontId="203" fillId="105" borderId="0" xfId="0" applyFont="1" applyFill="1" applyAlignment="1">
      <alignment horizontal="center" vertical="center"/>
    </xf>
    <xf numFmtId="0" fontId="151" fillId="105" borderId="6" xfId="0" applyFont="1" applyFill="1" applyBorder="1" applyAlignment="1">
      <alignment horizontal="center" vertical="center"/>
    </xf>
    <xf numFmtId="0" fontId="151" fillId="105" borderId="0" xfId="0" applyFont="1" applyFill="1" applyAlignment="1">
      <alignment horizontal="center" vertical="center"/>
    </xf>
    <xf numFmtId="0" fontId="151" fillId="105" borderId="7" xfId="0" applyFont="1" applyFill="1" applyBorder="1" applyAlignment="1">
      <alignment horizontal="center" vertical="center"/>
    </xf>
    <xf numFmtId="178" fontId="18" fillId="105" borderId="96" xfId="0" applyNumberFormat="1" applyFont="1" applyFill="1" applyBorder="1" applyAlignment="1">
      <alignment horizontal="center" vertical="center"/>
    </xf>
    <xf numFmtId="178" fontId="18" fillId="105" borderId="37" xfId="0" applyNumberFormat="1" applyFont="1" applyFill="1" applyBorder="1" applyAlignment="1">
      <alignment horizontal="center" vertical="center"/>
    </xf>
    <xf numFmtId="49" fontId="19" fillId="105" borderId="0" xfId="0" applyNumberFormat="1" applyFont="1" applyFill="1" applyAlignment="1" applyProtection="1">
      <alignment horizontal="center" vertical="center"/>
      <protection locked="0"/>
    </xf>
    <xf numFmtId="178" fontId="18" fillId="105" borderId="0" xfId="0" applyNumberFormat="1" applyFont="1" applyFill="1" applyAlignment="1">
      <alignment horizontal="center" vertical="center"/>
    </xf>
    <xf numFmtId="0" fontId="19" fillId="105" borderId="0" xfId="0" applyFont="1" applyFill="1" applyProtection="1">
      <alignment vertical="center"/>
      <protection locked="0"/>
    </xf>
    <xf numFmtId="0" fontId="19" fillId="105" borderId="0" xfId="0" applyFont="1" applyFill="1" applyAlignment="1" applyProtection="1">
      <alignment horizontal="center" vertical="center"/>
      <protection locked="0"/>
    </xf>
    <xf numFmtId="0" fontId="19" fillId="105" borderId="185" xfId="0" applyFont="1" applyFill="1" applyBorder="1" applyAlignment="1">
      <alignment horizontal="center" vertical="center"/>
    </xf>
    <xf numFmtId="0" fontId="19" fillId="105" borderId="185" xfId="0" applyFont="1" applyFill="1" applyBorder="1" applyAlignment="1" applyProtection="1">
      <alignment horizontal="center" vertical="center"/>
      <protection locked="0"/>
    </xf>
    <xf numFmtId="179" fontId="19" fillId="105" borderId="0" xfId="0" applyNumberFormat="1" applyFont="1" applyFill="1" applyAlignment="1">
      <alignment horizontal="center" vertical="center"/>
    </xf>
    <xf numFmtId="0" fontId="19" fillId="105" borderId="0" xfId="0" applyFont="1" applyFill="1" applyAlignment="1">
      <alignment horizontal="center" vertical="center"/>
    </xf>
    <xf numFmtId="49" fontId="19" fillId="10" borderId="0" xfId="0" applyNumberFormat="1" applyFont="1" applyFill="1" applyAlignment="1" applyProtection="1">
      <alignment horizontal="center" vertical="center"/>
      <protection locked="0"/>
    </xf>
    <xf numFmtId="49" fontId="5" fillId="10" borderId="0" xfId="0" applyNumberFormat="1" applyFont="1" applyFill="1" applyAlignment="1" applyProtection="1">
      <alignment horizontal="center" vertical="center"/>
      <protection locked="0"/>
    </xf>
    <xf numFmtId="178" fontId="17" fillId="10" borderId="0" xfId="0" applyNumberFormat="1" applyFont="1" applyFill="1" applyAlignment="1">
      <alignment horizontal="center" vertical="center"/>
    </xf>
    <xf numFmtId="0" fontId="19" fillId="10" borderId="0" xfId="0" applyFont="1" applyFill="1" applyAlignment="1" applyProtection="1">
      <alignment horizontal="center" vertical="center"/>
      <protection locked="0"/>
    </xf>
    <xf numFmtId="0" fontId="19" fillId="10" borderId="320" xfId="0" applyFont="1" applyFill="1" applyBorder="1" applyAlignment="1">
      <alignment horizontal="center" vertical="center"/>
    </xf>
    <xf numFmtId="0" fontId="19" fillId="34" borderId="320" xfId="0" applyFont="1" applyFill="1" applyBorder="1" applyAlignment="1" applyProtection="1">
      <alignment horizontal="center" vertical="center"/>
      <protection locked="0"/>
    </xf>
    <xf numFmtId="0" fontId="19" fillId="10" borderId="320" xfId="0" applyFont="1" applyFill="1" applyBorder="1" applyAlignment="1" applyProtection="1">
      <alignment horizontal="center" vertical="center"/>
      <protection locked="0"/>
    </xf>
    <xf numFmtId="179" fontId="19" fillId="10" borderId="0" xfId="0" applyNumberFormat="1" applyFont="1" applyFill="1" applyAlignment="1">
      <alignment horizontal="center" vertical="center"/>
    </xf>
    <xf numFmtId="0" fontId="19" fillId="10" borderId="0" xfId="0" applyFont="1" applyFill="1" applyAlignment="1">
      <alignment horizontal="center" vertical="center"/>
    </xf>
    <xf numFmtId="0" fontId="19" fillId="10" borderId="204" xfId="0" applyFont="1" applyFill="1" applyBorder="1" applyAlignment="1">
      <alignment horizontal="center" vertical="center"/>
    </xf>
    <xf numFmtId="0" fontId="5" fillId="118" borderId="6" xfId="0" applyFont="1" applyFill="1" applyBorder="1" applyAlignment="1">
      <alignment horizontal="center" vertical="center"/>
    </xf>
    <xf numFmtId="0" fontId="5" fillId="118" borderId="0" xfId="0" applyFont="1" applyFill="1" applyAlignment="1">
      <alignment horizontal="center" vertical="center"/>
    </xf>
    <xf numFmtId="178" fontId="19" fillId="10" borderId="100" xfId="0" applyNumberFormat="1" applyFont="1" applyFill="1" applyBorder="1" applyAlignment="1">
      <alignment horizontal="center" vertical="center" wrapText="1"/>
    </xf>
    <xf numFmtId="178" fontId="19" fillId="10" borderId="34" xfId="0" applyNumberFormat="1" applyFont="1" applyFill="1" applyBorder="1" applyAlignment="1">
      <alignment horizontal="center" vertical="center" wrapText="1"/>
    </xf>
    <xf numFmtId="178" fontId="19" fillId="0" borderId="86" xfId="0" applyNumberFormat="1" applyFont="1" applyBorder="1" applyAlignment="1">
      <alignment horizontal="center" vertical="center" wrapText="1"/>
    </xf>
    <xf numFmtId="178" fontId="19" fillId="0" borderId="33" xfId="0" applyNumberFormat="1" applyFont="1" applyBorder="1" applyAlignment="1">
      <alignment horizontal="center" vertical="center" wrapText="1"/>
    </xf>
    <xf numFmtId="0" fontId="203" fillId="112" borderId="15" xfId="0" applyFont="1" applyFill="1" applyBorder="1" applyAlignment="1">
      <alignment horizontal="center" vertical="center"/>
    </xf>
    <xf numFmtId="0" fontId="203" fillId="112" borderId="12" xfId="0" applyFont="1" applyFill="1" applyBorder="1" applyAlignment="1">
      <alignment horizontal="center" vertical="center"/>
    </xf>
    <xf numFmtId="0" fontId="203" fillId="112" borderId="20" xfId="0" applyFont="1" applyFill="1" applyBorder="1" applyAlignment="1">
      <alignment horizontal="center" vertical="center"/>
    </xf>
    <xf numFmtId="0" fontId="203" fillId="112" borderId="0" xfId="0" applyFont="1" applyFill="1" applyAlignment="1">
      <alignment horizontal="center" vertical="center"/>
    </xf>
    <xf numFmtId="0" fontId="151" fillId="112" borderId="6" xfId="0" applyFont="1" applyFill="1" applyBorder="1" applyAlignment="1">
      <alignment horizontal="center" vertical="center"/>
    </xf>
    <xf numFmtId="0" fontId="151" fillId="112" borderId="0" xfId="0" applyFont="1" applyFill="1" applyAlignment="1">
      <alignment horizontal="center" vertical="center"/>
    </xf>
    <xf numFmtId="0" fontId="151" fillId="112" borderId="7" xfId="0" applyFont="1" applyFill="1" applyBorder="1" applyAlignment="1">
      <alignment horizontal="center" vertical="center"/>
    </xf>
    <xf numFmtId="178" fontId="18" fillId="112" borderId="96" xfId="0" applyNumberFormat="1" applyFont="1" applyFill="1" applyBorder="1" applyAlignment="1">
      <alignment horizontal="center" vertical="center"/>
    </xf>
    <xf numFmtId="178" fontId="18" fillId="112" borderId="37" xfId="0" applyNumberFormat="1" applyFont="1" applyFill="1" applyBorder="1" applyAlignment="1">
      <alignment horizontal="center" vertical="center"/>
    </xf>
    <xf numFmtId="49" fontId="19" fillId="112" borderId="0" xfId="0" applyNumberFormat="1" applyFont="1" applyFill="1" applyAlignment="1" applyProtection="1">
      <alignment horizontal="center" vertical="center"/>
      <protection locked="0"/>
    </xf>
    <xf numFmtId="178" fontId="18" fillId="112" borderId="0" xfId="0" applyNumberFormat="1" applyFont="1" applyFill="1" applyAlignment="1">
      <alignment horizontal="center" vertical="center"/>
    </xf>
    <xf numFmtId="0" fontId="19" fillId="112" borderId="0" xfId="0" applyFont="1" applyFill="1" applyAlignment="1" applyProtection="1">
      <alignment horizontal="center" vertical="center"/>
      <protection locked="0"/>
    </xf>
    <xf numFmtId="0" fontId="19" fillId="112" borderId="185" xfId="0" applyFont="1" applyFill="1" applyBorder="1" applyAlignment="1">
      <alignment horizontal="center" vertical="center"/>
    </xf>
    <xf numFmtId="0" fontId="19" fillId="112" borderId="185" xfId="0" applyFont="1" applyFill="1" applyBorder="1" applyAlignment="1" applyProtection="1">
      <alignment horizontal="center" vertical="center"/>
      <protection locked="0"/>
    </xf>
    <xf numFmtId="179" fontId="19" fillId="112" borderId="0" xfId="0" applyNumberFormat="1" applyFont="1" applyFill="1" applyAlignment="1">
      <alignment horizontal="center" vertical="center"/>
    </xf>
    <xf numFmtId="0" fontId="19" fillId="112" borderId="0" xfId="0" applyFont="1" applyFill="1" applyAlignment="1">
      <alignment horizontal="center" vertical="center"/>
    </xf>
    <xf numFmtId="0" fontId="203" fillId="114" borderId="15" xfId="0" applyFont="1" applyFill="1" applyBorder="1" applyAlignment="1">
      <alignment horizontal="center" vertical="center"/>
    </xf>
    <xf numFmtId="0" fontId="203" fillId="114" borderId="12" xfId="0" applyFont="1" applyFill="1" applyBorder="1" applyAlignment="1">
      <alignment horizontal="center" vertical="center"/>
    </xf>
    <xf numFmtId="0" fontId="203" fillId="114" borderId="20" xfId="0" applyFont="1" applyFill="1" applyBorder="1" applyAlignment="1">
      <alignment horizontal="center" vertical="center"/>
    </xf>
    <xf numFmtId="0" fontId="203" fillId="114" borderId="0" xfId="0" applyFont="1" applyFill="1" applyAlignment="1">
      <alignment horizontal="center" vertical="center"/>
    </xf>
    <xf numFmtId="0" fontId="151" fillId="114" borderId="6" xfId="0" applyFont="1" applyFill="1" applyBorder="1" applyAlignment="1">
      <alignment horizontal="center" vertical="center"/>
    </xf>
    <xf numFmtId="0" fontId="151" fillId="114" borderId="0" xfId="0" applyFont="1" applyFill="1" applyAlignment="1">
      <alignment horizontal="center" vertical="center"/>
    </xf>
    <xf numFmtId="0" fontId="151" fillId="114" borderId="7" xfId="0" applyFont="1" applyFill="1" applyBorder="1" applyAlignment="1">
      <alignment horizontal="center" vertical="center"/>
    </xf>
    <xf numFmtId="178" fontId="18" fillId="114" borderId="96" xfId="0" applyNumberFormat="1" applyFont="1" applyFill="1" applyBorder="1" applyAlignment="1">
      <alignment horizontal="center" vertical="center"/>
    </xf>
    <xf numFmtId="178" fontId="18" fillId="114" borderId="37" xfId="0" applyNumberFormat="1" applyFont="1" applyFill="1" applyBorder="1" applyAlignment="1">
      <alignment horizontal="center" vertical="center"/>
    </xf>
    <xf numFmtId="49" fontId="19" fillId="114" borderId="0" xfId="0" applyNumberFormat="1" applyFont="1" applyFill="1" applyAlignment="1" applyProtection="1">
      <alignment horizontal="center" vertical="center"/>
      <protection locked="0"/>
    </xf>
    <xf numFmtId="178" fontId="18" fillId="114" borderId="0" xfId="0" applyNumberFormat="1" applyFont="1" applyFill="1" applyAlignment="1">
      <alignment horizontal="center" vertical="center"/>
    </xf>
    <xf numFmtId="0" fontId="19" fillId="114" borderId="0" xfId="0" applyFont="1" applyFill="1" applyAlignment="1" applyProtection="1">
      <alignment horizontal="center" vertical="center"/>
      <protection locked="0"/>
    </xf>
    <xf numFmtId="0" fontId="19" fillId="114" borderId="185" xfId="0" applyFont="1" applyFill="1" applyBorder="1" applyAlignment="1">
      <alignment horizontal="center" vertical="center"/>
    </xf>
    <xf numFmtId="0" fontId="19" fillId="114" borderId="185" xfId="0" applyFont="1" applyFill="1" applyBorder="1" applyAlignment="1" applyProtection="1">
      <alignment horizontal="center" vertical="center"/>
      <protection locked="0"/>
    </xf>
    <xf numFmtId="179" fontId="19" fillId="114" borderId="0" xfId="0" applyNumberFormat="1" applyFont="1" applyFill="1" applyAlignment="1">
      <alignment horizontal="center" vertical="center"/>
    </xf>
    <xf numFmtId="0" fontId="19" fillId="114" borderId="0" xfId="0" applyFont="1" applyFill="1" applyAlignment="1">
      <alignment horizontal="center" vertical="center"/>
    </xf>
    <xf numFmtId="0" fontId="19" fillId="118" borderId="98" xfId="0" applyFont="1" applyFill="1" applyBorder="1" applyAlignment="1">
      <alignment horizontal="center" vertical="center"/>
    </xf>
    <xf numFmtId="0" fontId="19" fillId="118" borderId="37" xfId="0" applyFont="1" applyFill="1" applyBorder="1" applyAlignment="1">
      <alignment horizontal="center" vertical="center"/>
    </xf>
    <xf numFmtId="0" fontId="19" fillId="10" borderId="81" xfId="0" applyFont="1" applyFill="1" applyBorder="1" applyAlignment="1">
      <alignment horizontal="center" vertical="center" wrapText="1"/>
    </xf>
    <xf numFmtId="178" fontId="19" fillId="10" borderId="81" xfId="0" applyNumberFormat="1" applyFont="1" applyFill="1" applyBorder="1" applyAlignment="1">
      <alignment horizontal="center" vertical="center" wrapText="1"/>
    </xf>
    <xf numFmtId="0" fontId="19" fillId="10" borderId="36" xfId="0" applyFont="1" applyFill="1" applyBorder="1" applyAlignment="1">
      <alignment horizontal="center" vertical="center" wrapText="1"/>
    </xf>
    <xf numFmtId="0" fontId="9" fillId="72" borderId="145" xfId="0" applyFont="1" applyFill="1" applyBorder="1" applyAlignment="1">
      <alignment horizontal="center" vertical="center"/>
    </xf>
    <xf numFmtId="0" fontId="9" fillId="72" borderId="146" xfId="0" applyFont="1" applyFill="1" applyBorder="1" applyAlignment="1">
      <alignment horizontal="center" vertical="center"/>
    </xf>
    <xf numFmtId="0" fontId="9" fillId="72" borderId="147" xfId="0" applyFont="1" applyFill="1" applyBorder="1" applyAlignment="1">
      <alignment horizontal="center" vertical="center"/>
    </xf>
    <xf numFmtId="0" fontId="19" fillId="118" borderId="148" xfId="0" applyFont="1" applyFill="1" applyBorder="1" applyAlignment="1">
      <alignment horizontal="center" vertical="center"/>
    </xf>
    <xf numFmtId="0" fontId="19" fillId="116" borderId="0" xfId="0" applyFont="1" applyFill="1" applyAlignment="1" applyProtection="1">
      <alignment horizontal="center" vertical="center"/>
      <protection locked="0"/>
    </xf>
    <xf numFmtId="0" fontId="19" fillId="116" borderId="320" xfId="0" applyFont="1" applyFill="1" applyBorder="1" applyAlignment="1">
      <alignment horizontal="center" vertical="center"/>
    </xf>
    <xf numFmtId="0" fontId="19" fillId="116" borderId="320" xfId="0" applyFont="1" applyFill="1" applyBorder="1" applyAlignment="1" applyProtection="1">
      <alignment horizontal="center" vertical="center"/>
      <protection locked="0"/>
    </xf>
    <xf numFmtId="179" fontId="19" fillId="116" borderId="0" xfId="0" applyNumberFormat="1" applyFont="1" applyFill="1" applyAlignment="1">
      <alignment horizontal="center" vertical="center"/>
    </xf>
    <xf numFmtId="0" fontId="19" fillId="116" borderId="0" xfId="0" applyFont="1" applyFill="1" applyAlignment="1">
      <alignment horizontal="center" vertical="center"/>
    </xf>
    <xf numFmtId="0" fontId="19" fillId="116" borderId="204" xfId="0" applyFont="1" applyFill="1" applyBorder="1" applyAlignment="1">
      <alignment horizontal="center" vertical="center"/>
    </xf>
    <xf numFmtId="49" fontId="19" fillId="116" borderId="0" xfId="0" applyNumberFormat="1" applyFont="1" applyFill="1" applyAlignment="1" applyProtection="1">
      <alignment horizontal="center" vertical="center"/>
      <protection locked="0"/>
    </xf>
    <xf numFmtId="49" fontId="5" fillId="116" borderId="0" xfId="0" applyNumberFormat="1" applyFont="1" applyFill="1" applyAlignment="1" applyProtection="1">
      <alignment horizontal="center" vertical="center"/>
      <protection locked="0"/>
    </xf>
    <xf numFmtId="178" fontId="17" fillId="116" borderId="0" xfId="0" applyNumberFormat="1" applyFont="1" applyFill="1" applyAlignment="1">
      <alignment horizontal="center" vertical="center"/>
    </xf>
    <xf numFmtId="49" fontId="19" fillId="117" borderId="0" xfId="0" applyNumberFormat="1" applyFont="1" applyFill="1" applyAlignment="1" applyProtection="1">
      <alignment horizontal="center" vertical="center"/>
      <protection locked="0"/>
    </xf>
    <xf numFmtId="49" fontId="5" fillId="117" borderId="0" xfId="0" applyNumberFormat="1" applyFont="1" applyFill="1" applyAlignment="1" applyProtection="1">
      <alignment horizontal="center" vertical="center"/>
      <protection locked="0"/>
    </xf>
    <xf numFmtId="178" fontId="17" fillId="117" borderId="0" xfId="0" applyNumberFormat="1" applyFont="1" applyFill="1" applyAlignment="1">
      <alignment horizontal="center" vertical="center"/>
    </xf>
    <xf numFmtId="0" fontId="19" fillId="117" borderId="0" xfId="0" applyFont="1" applyFill="1" applyAlignment="1" applyProtection="1">
      <alignment horizontal="center" vertical="center"/>
      <protection locked="0"/>
    </xf>
    <xf numFmtId="0" fontId="19" fillId="117" borderId="320" xfId="0" applyFont="1" applyFill="1" applyBorder="1" applyAlignment="1">
      <alignment horizontal="center" vertical="center"/>
    </xf>
    <xf numFmtId="0" fontId="19" fillId="117" borderId="320" xfId="0" applyFont="1" applyFill="1" applyBorder="1" applyAlignment="1" applyProtection="1">
      <alignment horizontal="center" vertical="center"/>
      <protection locked="0"/>
    </xf>
    <xf numFmtId="179" fontId="19" fillId="117" borderId="0" xfId="0" applyNumberFormat="1" applyFont="1" applyFill="1" applyAlignment="1">
      <alignment horizontal="center" vertical="center"/>
    </xf>
    <xf numFmtId="0" fontId="19" fillId="117" borderId="0" xfId="0" applyFont="1" applyFill="1" applyAlignment="1">
      <alignment horizontal="center" vertical="center"/>
    </xf>
    <xf numFmtId="0" fontId="19" fillId="117" borderId="204" xfId="0" applyFont="1" applyFill="1" applyBorder="1" applyAlignment="1">
      <alignment horizontal="center" vertical="center"/>
    </xf>
    <xf numFmtId="178" fontId="18" fillId="10" borderId="0" xfId="0" applyNumberFormat="1" applyFont="1" applyFill="1" applyAlignment="1">
      <alignment horizontal="center" vertical="center"/>
    </xf>
    <xf numFmtId="0" fontId="19" fillId="10" borderId="185" xfId="0" applyFont="1" applyFill="1" applyBorder="1" applyAlignment="1">
      <alignment horizontal="center" vertical="center"/>
    </xf>
    <xf numFmtId="0" fontId="19" fillId="34" borderId="185" xfId="0" applyFont="1" applyFill="1" applyBorder="1" applyAlignment="1" applyProtection="1">
      <alignment horizontal="center" vertical="center"/>
      <protection locked="0"/>
    </xf>
    <xf numFmtId="0" fontId="19" fillId="10" borderId="185" xfId="0" applyFont="1" applyFill="1" applyBorder="1" applyAlignment="1" applyProtection="1">
      <alignment horizontal="center" vertical="center"/>
      <protection locked="0"/>
    </xf>
    <xf numFmtId="0" fontId="19" fillId="110" borderId="320" xfId="0" applyFont="1" applyFill="1" applyBorder="1" applyAlignment="1">
      <alignment horizontal="center" vertical="center"/>
    </xf>
    <xf numFmtId="0" fontId="19" fillId="110" borderId="320" xfId="0" applyFont="1" applyFill="1" applyBorder="1" applyAlignment="1" applyProtection="1">
      <alignment horizontal="center" vertical="center"/>
      <protection locked="0"/>
    </xf>
    <xf numFmtId="179" fontId="19" fillId="110" borderId="0" xfId="0" applyNumberFormat="1" applyFont="1" applyFill="1" applyAlignment="1">
      <alignment horizontal="center" vertical="center"/>
    </xf>
    <xf numFmtId="0" fontId="19" fillId="110" borderId="0" xfId="0" applyFont="1" applyFill="1" applyAlignment="1">
      <alignment horizontal="center" vertical="center"/>
    </xf>
    <xf numFmtId="0" fontId="19" fillId="110" borderId="204" xfId="0" applyFont="1" applyFill="1" applyBorder="1" applyAlignment="1">
      <alignment horizontal="center" vertical="center"/>
    </xf>
    <xf numFmtId="178" fontId="18" fillId="0" borderId="0" xfId="0" applyNumberFormat="1" applyFont="1" applyAlignment="1">
      <alignment horizontal="center" vertical="center"/>
    </xf>
    <xf numFmtId="49" fontId="19" fillId="110" borderId="0" xfId="0" applyNumberFormat="1" applyFont="1" applyFill="1" applyAlignment="1" applyProtection="1">
      <alignment horizontal="center" vertical="center"/>
      <protection locked="0"/>
    </xf>
    <xf numFmtId="49" fontId="5" fillId="110" borderId="0" xfId="0" applyNumberFormat="1" applyFont="1" applyFill="1" applyAlignment="1" applyProtection="1">
      <alignment horizontal="center" vertical="center"/>
      <protection locked="0"/>
    </xf>
    <xf numFmtId="178" fontId="17" fillId="110" borderId="0" xfId="0" applyNumberFormat="1" applyFont="1" applyFill="1" applyAlignment="1">
      <alignment horizontal="center" vertical="center"/>
    </xf>
    <xf numFmtId="0" fontId="19" fillId="110" borderId="0" xfId="0" applyFont="1" applyFill="1" applyAlignment="1" applyProtection="1">
      <alignment horizontal="center" vertical="center"/>
      <protection locked="0"/>
    </xf>
    <xf numFmtId="49" fontId="19" fillId="111" borderId="0" xfId="0" applyNumberFormat="1" applyFont="1" applyFill="1" applyAlignment="1" applyProtection="1">
      <alignment horizontal="center" vertical="center"/>
      <protection locked="0"/>
    </xf>
    <xf numFmtId="49" fontId="5" fillId="111" borderId="0" xfId="0" applyNumberFormat="1" applyFont="1" applyFill="1" applyAlignment="1" applyProtection="1">
      <alignment horizontal="center" vertical="center"/>
      <protection locked="0"/>
    </xf>
    <xf numFmtId="178" fontId="17" fillId="111" borderId="0" xfId="0" applyNumberFormat="1" applyFont="1" applyFill="1" applyAlignment="1">
      <alignment horizontal="center" vertical="center"/>
    </xf>
    <xf numFmtId="0" fontId="19" fillId="111" borderId="0" xfId="0" applyFont="1" applyFill="1" applyAlignment="1" applyProtection="1">
      <alignment horizontal="center" vertical="center"/>
      <protection locked="0"/>
    </xf>
    <xf numFmtId="0" fontId="19" fillId="111" borderId="320" xfId="0" applyFont="1" applyFill="1" applyBorder="1" applyAlignment="1">
      <alignment horizontal="center" vertical="center"/>
    </xf>
    <xf numFmtId="0" fontId="19" fillId="111" borderId="320" xfId="0" applyFont="1" applyFill="1" applyBorder="1" applyAlignment="1" applyProtection="1">
      <alignment horizontal="center" vertical="center"/>
      <protection locked="0"/>
    </xf>
    <xf numFmtId="179" fontId="19" fillId="111" borderId="0" xfId="0" applyNumberFormat="1" applyFont="1" applyFill="1" applyAlignment="1">
      <alignment horizontal="center" vertical="center"/>
    </xf>
    <xf numFmtId="0" fontId="19" fillId="111" borderId="0" xfId="0" applyFont="1" applyFill="1" applyAlignment="1">
      <alignment horizontal="center" vertical="center"/>
    </xf>
    <xf numFmtId="0" fontId="19" fillId="111" borderId="204" xfId="0" applyFont="1" applyFill="1" applyBorder="1" applyAlignment="1">
      <alignment horizontal="center" vertical="center"/>
    </xf>
    <xf numFmtId="0" fontId="151" fillId="109" borderId="6" xfId="0" applyFont="1" applyFill="1" applyBorder="1" applyAlignment="1">
      <alignment horizontal="center" vertical="center"/>
    </xf>
    <xf numFmtId="0" fontId="151" fillId="109" borderId="0" xfId="0" applyFont="1" applyFill="1" applyAlignment="1">
      <alignment horizontal="center" vertical="center"/>
    </xf>
    <xf numFmtId="0" fontId="151" fillId="109" borderId="7" xfId="0" applyFont="1" applyFill="1" applyBorder="1" applyAlignment="1">
      <alignment horizontal="center" vertical="center"/>
    </xf>
    <xf numFmtId="0" fontId="151" fillId="108" borderId="6" xfId="0" applyFont="1" applyFill="1" applyBorder="1" applyAlignment="1">
      <alignment horizontal="center" vertical="center"/>
    </xf>
    <xf numFmtId="0" fontId="151" fillId="108" borderId="0" xfId="0" applyFont="1" applyFill="1" applyAlignment="1">
      <alignment horizontal="center" vertical="center"/>
    </xf>
    <xf numFmtId="0" fontId="151" fillId="108" borderId="7" xfId="0" applyFont="1" applyFill="1" applyBorder="1" applyAlignment="1">
      <alignment horizontal="center" vertical="center"/>
    </xf>
    <xf numFmtId="0" fontId="216" fillId="4" borderId="8" xfId="0" applyFont="1" applyFill="1" applyBorder="1" applyAlignment="1">
      <alignment horizontal="center" vertical="center"/>
    </xf>
    <xf numFmtId="0" fontId="216" fillId="4" borderId="9" xfId="0" applyFont="1" applyFill="1" applyBorder="1" applyAlignment="1">
      <alignment horizontal="center" vertical="center"/>
    </xf>
    <xf numFmtId="0" fontId="216" fillId="4" borderId="10" xfId="0" applyFont="1" applyFill="1" applyBorder="1" applyAlignment="1">
      <alignment horizontal="center" vertical="center"/>
    </xf>
    <xf numFmtId="0" fontId="171" fillId="91" borderId="14" xfId="0" applyFont="1" applyFill="1" applyBorder="1" applyAlignment="1">
      <alignment horizontal="center" vertical="center"/>
    </xf>
    <xf numFmtId="0" fontId="171" fillId="91" borderId="15" xfId="0" applyFont="1" applyFill="1" applyBorder="1" applyAlignment="1">
      <alignment horizontal="center" vertical="center"/>
    </xf>
    <xf numFmtId="0" fontId="171" fillId="91" borderId="12" xfId="0" applyFont="1" applyFill="1" applyBorder="1" applyAlignment="1">
      <alignment horizontal="center" vertical="center"/>
    </xf>
    <xf numFmtId="49" fontId="19" fillId="104" borderId="0" xfId="0" applyNumberFormat="1" applyFont="1" applyFill="1" applyAlignment="1" applyProtection="1">
      <alignment horizontal="center" vertical="center"/>
      <protection locked="0"/>
    </xf>
    <xf numFmtId="49" fontId="5" fillId="104" borderId="0" xfId="0" applyNumberFormat="1" applyFont="1" applyFill="1" applyAlignment="1" applyProtection="1">
      <alignment horizontal="center" vertical="center"/>
      <protection locked="0"/>
    </xf>
    <xf numFmtId="178" fontId="17" fillId="104" borderId="0" xfId="0" applyNumberFormat="1" applyFont="1" applyFill="1" applyAlignment="1">
      <alignment horizontal="center" vertical="center"/>
    </xf>
    <xf numFmtId="0" fontId="19" fillId="104" borderId="0" xfId="0" applyFont="1" applyFill="1" applyAlignment="1" applyProtection="1">
      <alignment horizontal="center" vertical="center"/>
      <protection locked="0"/>
    </xf>
    <xf numFmtId="0" fontId="19" fillId="104" borderId="320" xfId="0" applyFont="1" applyFill="1" applyBorder="1" applyAlignment="1">
      <alignment horizontal="center" vertical="center"/>
    </xf>
    <xf numFmtId="0" fontId="19" fillId="104" borderId="320" xfId="0" applyFont="1" applyFill="1" applyBorder="1" applyAlignment="1" applyProtection="1">
      <alignment horizontal="center" vertical="center"/>
      <protection locked="0"/>
    </xf>
    <xf numFmtId="179" fontId="19" fillId="104" borderId="0" xfId="0" applyNumberFormat="1" applyFont="1" applyFill="1" applyAlignment="1">
      <alignment horizontal="center" vertical="center"/>
    </xf>
    <xf numFmtId="0" fontId="19" fillId="104" borderId="0" xfId="0" applyFont="1" applyFill="1" applyAlignment="1">
      <alignment horizontal="center" vertical="center"/>
    </xf>
    <xf numFmtId="0" fontId="19" fillId="104" borderId="204" xfId="0" applyFont="1" applyFill="1" applyBorder="1" applyAlignment="1">
      <alignment horizontal="center" vertical="center"/>
    </xf>
    <xf numFmtId="0" fontId="9" fillId="72" borderId="145" xfId="0" applyFont="1" applyFill="1" applyBorder="1" applyAlignment="1">
      <alignment horizontal="center" vertical="center" wrapText="1"/>
    </xf>
    <xf numFmtId="0" fontId="9" fillId="72" borderId="148" xfId="0" applyFont="1" applyFill="1" applyBorder="1" applyAlignment="1">
      <alignment horizontal="center" vertical="center" wrapText="1"/>
    </xf>
    <xf numFmtId="0" fontId="9" fillId="72" borderId="162" xfId="0" applyFont="1" applyFill="1" applyBorder="1" applyAlignment="1">
      <alignment horizontal="center" vertical="center" wrapText="1"/>
    </xf>
    <xf numFmtId="178" fontId="215" fillId="106" borderId="6" xfId="0" applyNumberFormat="1" applyFont="1" applyFill="1" applyBorder="1" applyAlignment="1" applyProtection="1">
      <alignment horizontal="center" vertical="center"/>
      <protection locked="0"/>
    </xf>
    <xf numFmtId="178" fontId="215" fillId="106" borderId="0" xfId="0" applyNumberFormat="1" applyFont="1" applyFill="1" applyAlignment="1" applyProtection="1">
      <alignment horizontal="center" vertical="center"/>
      <protection locked="0"/>
    </xf>
    <xf numFmtId="178" fontId="215" fillId="106" borderId="93" xfId="0" applyNumberFormat="1" applyFont="1" applyFill="1" applyBorder="1" applyAlignment="1" applyProtection="1">
      <alignment horizontal="center" vertical="center"/>
      <protection locked="0"/>
    </xf>
    <xf numFmtId="0" fontId="12" fillId="10" borderId="82" xfId="0" applyFont="1" applyFill="1" applyBorder="1" applyAlignment="1" applyProtection="1">
      <alignment horizontal="center" vertical="center"/>
      <protection locked="0"/>
    </xf>
    <xf numFmtId="0" fontId="12" fillId="10" borderId="80" xfId="0" applyFont="1" applyFill="1" applyBorder="1" applyAlignment="1" applyProtection="1">
      <alignment horizontal="center" vertical="center"/>
      <protection locked="0"/>
    </xf>
    <xf numFmtId="0" fontId="12" fillId="10" borderId="83" xfId="0" applyFont="1" applyFill="1" applyBorder="1" applyAlignment="1" applyProtection="1">
      <alignment horizontal="center" vertical="center"/>
      <protection locked="0"/>
    </xf>
    <xf numFmtId="0" fontId="171" fillId="99" borderId="14" xfId="0" applyFont="1" applyFill="1" applyBorder="1" applyAlignment="1">
      <alignment horizontal="center" vertical="center"/>
    </xf>
    <xf numFmtId="0" fontId="171" fillId="99" borderId="15" xfId="0" applyFont="1" applyFill="1" applyBorder="1" applyAlignment="1">
      <alignment horizontal="center" vertical="center"/>
    </xf>
    <xf numFmtId="0" fontId="171" fillId="99" borderId="12" xfId="0" applyFont="1" applyFill="1" applyBorder="1" applyAlignment="1">
      <alignment horizontal="center" vertical="center"/>
    </xf>
    <xf numFmtId="0" fontId="177" fillId="99" borderId="14" xfId="0" applyFont="1" applyFill="1" applyBorder="1" applyAlignment="1">
      <alignment horizontal="center" vertical="center"/>
    </xf>
    <xf numFmtId="0" fontId="177" fillId="99" borderId="15" xfId="0" applyFont="1" applyFill="1" applyBorder="1" applyAlignment="1">
      <alignment horizontal="center" vertical="center"/>
    </xf>
    <xf numFmtId="0" fontId="177" fillId="99" borderId="47" xfId="0" applyFont="1" applyFill="1" applyBorder="1" applyAlignment="1">
      <alignment horizontal="center" vertical="center"/>
    </xf>
    <xf numFmtId="49" fontId="19" fillId="107" borderId="0" xfId="0" applyNumberFormat="1" applyFont="1" applyFill="1" applyAlignment="1" applyProtection="1">
      <alignment horizontal="center" vertical="center"/>
      <protection locked="0"/>
    </xf>
    <xf numFmtId="49" fontId="5" fillId="107" borderId="0" xfId="0" applyNumberFormat="1" applyFont="1" applyFill="1" applyAlignment="1" applyProtection="1">
      <alignment horizontal="center" vertical="center"/>
      <protection locked="0"/>
    </xf>
    <xf numFmtId="178" fontId="17" fillId="107" borderId="0" xfId="0" applyNumberFormat="1" applyFont="1" applyFill="1" applyAlignment="1">
      <alignment horizontal="center" vertical="center"/>
    </xf>
    <xf numFmtId="0" fontId="19" fillId="107" borderId="0" xfId="0" applyFont="1" applyFill="1" applyAlignment="1" applyProtection="1">
      <alignment horizontal="center" vertical="center"/>
      <protection locked="0"/>
    </xf>
    <xf numFmtId="0" fontId="19" fillId="107" borderId="320" xfId="0" applyFont="1" applyFill="1" applyBorder="1" applyAlignment="1">
      <alignment horizontal="center" vertical="center"/>
    </xf>
    <xf numFmtId="0" fontId="19" fillId="107" borderId="320" xfId="0" applyFont="1" applyFill="1" applyBorder="1" applyAlignment="1" applyProtection="1">
      <alignment horizontal="center" vertical="center"/>
      <protection locked="0"/>
    </xf>
    <xf numFmtId="179" fontId="19" fillId="107" borderId="0" xfId="0" applyNumberFormat="1" applyFont="1" applyFill="1" applyAlignment="1">
      <alignment horizontal="center" vertical="center"/>
    </xf>
    <xf numFmtId="0" fontId="19" fillId="107" borderId="0" xfId="0" applyFont="1" applyFill="1" applyAlignment="1">
      <alignment horizontal="center" vertical="center"/>
    </xf>
    <xf numFmtId="0" fontId="19" fillId="107" borderId="204" xfId="0" applyFont="1" applyFill="1" applyBorder="1" applyAlignment="1">
      <alignment horizontal="center" vertical="center"/>
    </xf>
    <xf numFmtId="0" fontId="12" fillId="0" borderId="87"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7" xfId="0" applyFont="1" applyBorder="1" applyAlignment="1" applyProtection="1">
      <alignment horizontal="center" vertical="center"/>
      <protection locked="0"/>
    </xf>
    <xf numFmtId="0" fontId="171" fillId="94" borderId="20" xfId="0" applyFont="1" applyFill="1" applyBorder="1" applyAlignment="1">
      <alignment horizontal="center" vertical="center"/>
    </xf>
    <xf numFmtId="0" fontId="171" fillId="94" borderId="0" xfId="0" applyFont="1" applyFill="1" applyAlignment="1">
      <alignment horizontal="center" vertical="center"/>
    </xf>
    <xf numFmtId="0" fontId="171" fillId="94" borderId="21" xfId="0" applyFont="1" applyFill="1" applyBorder="1" applyAlignment="1">
      <alignment horizontal="center" vertical="center"/>
    </xf>
    <xf numFmtId="0" fontId="177" fillId="94" borderId="20" xfId="0" applyFont="1" applyFill="1" applyBorder="1" applyAlignment="1">
      <alignment horizontal="center" vertical="center"/>
    </xf>
    <xf numFmtId="0" fontId="177" fillId="94" borderId="0" xfId="0" applyFont="1" applyFill="1" applyAlignment="1">
      <alignment horizontal="center" vertical="center"/>
    </xf>
    <xf numFmtId="0" fontId="177" fillId="94" borderId="7" xfId="0" applyFont="1" applyFill="1" applyBorder="1" applyAlignment="1">
      <alignment horizontal="center" vertical="center"/>
    </xf>
    <xf numFmtId="0" fontId="171" fillId="104" borderId="319" xfId="0" applyFont="1" applyFill="1" applyBorder="1" applyAlignment="1">
      <alignment horizontal="center" vertical="center"/>
    </xf>
    <xf numFmtId="0" fontId="171" fillId="104" borderId="185" xfId="0" applyFont="1" applyFill="1" applyBorder="1" applyAlignment="1">
      <alignment horizontal="center" vertical="center"/>
    </xf>
    <xf numFmtId="0" fontId="171" fillId="104" borderId="186" xfId="0" applyFont="1" applyFill="1" applyBorder="1" applyAlignment="1">
      <alignment horizontal="center" vertical="center"/>
    </xf>
    <xf numFmtId="0" fontId="171" fillId="105" borderId="321" xfId="0" applyFont="1" applyFill="1" applyBorder="1" applyAlignment="1">
      <alignment horizontal="center" vertical="center"/>
    </xf>
    <xf numFmtId="0" fontId="171" fillId="105" borderId="322" xfId="0" applyFont="1" applyFill="1" applyBorder="1" applyAlignment="1">
      <alignment horizontal="center" vertical="center"/>
    </xf>
    <xf numFmtId="0" fontId="171" fillId="105" borderId="323" xfId="0" applyFont="1" applyFill="1" applyBorder="1" applyAlignment="1">
      <alignment horizontal="center" vertical="center"/>
    </xf>
    <xf numFmtId="0" fontId="12" fillId="4" borderId="6" xfId="0" applyFont="1" applyFill="1" applyBorder="1" applyAlignment="1">
      <alignment horizontal="center" vertical="center"/>
    </xf>
    <xf numFmtId="0" fontId="12" fillId="4" borderId="0" xfId="0" applyFont="1" applyFill="1" applyAlignment="1">
      <alignment horizontal="center" vertical="center"/>
    </xf>
    <xf numFmtId="0" fontId="171" fillId="91" borderId="319" xfId="0" applyFont="1" applyFill="1" applyBorder="1" applyAlignment="1">
      <alignment horizontal="center" vertical="center"/>
    </xf>
    <xf numFmtId="0" fontId="171" fillId="91" borderId="185" xfId="0" applyFont="1" applyFill="1" applyBorder="1" applyAlignment="1">
      <alignment horizontal="center" vertical="center"/>
    </xf>
    <xf numFmtId="0" fontId="171" fillId="91" borderId="186" xfId="0" applyFont="1" applyFill="1" applyBorder="1" applyAlignment="1">
      <alignment horizontal="center" vertical="center"/>
    </xf>
    <xf numFmtId="0" fontId="19" fillId="4" borderId="0" xfId="0" applyFont="1" applyFill="1" applyAlignment="1">
      <alignment horizontal="center" vertical="center"/>
    </xf>
    <xf numFmtId="0" fontId="5" fillId="4" borderId="0" xfId="0" applyFont="1" applyFill="1" applyAlignment="1">
      <alignment horizontal="center" vertical="center"/>
    </xf>
    <xf numFmtId="0" fontId="19" fillId="4" borderId="204" xfId="0" applyFont="1" applyFill="1" applyBorder="1" applyAlignment="1">
      <alignment horizontal="center" vertical="center"/>
    </xf>
    <xf numFmtId="0" fontId="9" fillId="72" borderId="6" xfId="0" applyFont="1" applyFill="1" applyBorder="1" applyAlignment="1">
      <alignment horizontal="center" vertical="center"/>
    </xf>
    <xf numFmtId="0" fontId="9" fillId="72" borderId="0" xfId="0" applyFont="1" applyFill="1" applyAlignment="1">
      <alignment horizontal="center" vertical="center"/>
    </xf>
    <xf numFmtId="0" fontId="9" fillId="72" borderId="7" xfId="0" applyFont="1" applyFill="1" applyBorder="1" applyAlignment="1">
      <alignment horizontal="center" vertical="center"/>
    </xf>
    <xf numFmtId="0" fontId="171" fillId="96" borderId="319" xfId="0" applyFont="1" applyFill="1" applyBorder="1" applyAlignment="1">
      <alignment horizontal="center" vertical="center"/>
    </xf>
    <xf numFmtId="0" fontId="171" fillId="96" borderId="185" xfId="0" applyFont="1" applyFill="1" applyBorder="1" applyAlignment="1">
      <alignment horizontal="center" vertical="center"/>
    </xf>
    <xf numFmtId="0" fontId="171" fillId="96" borderId="186" xfId="0" applyFont="1" applyFill="1" applyBorder="1" applyAlignment="1">
      <alignment horizontal="center" vertical="center"/>
    </xf>
    <xf numFmtId="0" fontId="34" fillId="102" borderId="0" xfId="0" applyFont="1" applyFill="1" applyAlignment="1">
      <alignment horizontal="center" vertical="center"/>
    </xf>
    <xf numFmtId="0" fontId="34" fillId="102" borderId="7" xfId="0" applyFont="1" applyFill="1" applyBorder="1" applyAlignment="1">
      <alignment horizontal="center" vertical="center"/>
    </xf>
    <xf numFmtId="0" fontId="34" fillId="72" borderId="199" xfId="0" applyFont="1" applyFill="1" applyBorder="1" applyAlignment="1">
      <alignment horizontal="center" vertical="center"/>
    </xf>
    <xf numFmtId="0" fontId="34" fillId="72" borderId="313" xfId="0" applyFont="1" applyFill="1" applyBorder="1" applyAlignment="1">
      <alignment horizontal="center" vertical="center"/>
    </xf>
    <xf numFmtId="0" fontId="34" fillId="72" borderId="314" xfId="0" applyFont="1" applyFill="1" applyBorder="1" applyAlignment="1">
      <alignment horizontal="center" vertical="center"/>
    </xf>
    <xf numFmtId="0" fontId="34" fillId="72" borderId="315" xfId="0" applyFont="1" applyFill="1" applyBorder="1" applyAlignment="1">
      <alignment horizontal="center" vertical="center"/>
    </xf>
    <xf numFmtId="0" fontId="19" fillId="91" borderId="11" xfId="0" applyFont="1" applyFill="1" applyBorder="1" applyAlignment="1">
      <alignment horizontal="center" vertical="center"/>
    </xf>
    <xf numFmtId="0" fontId="19" fillId="91" borderId="16" xfId="0" applyFont="1" applyFill="1" applyBorder="1" applyAlignment="1">
      <alignment horizontal="center" vertical="center"/>
    </xf>
    <xf numFmtId="0" fontId="19" fillId="91" borderId="17" xfId="0" applyFont="1" applyFill="1" applyBorder="1" applyAlignment="1">
      <alignment horizontal="center" vertical="center"/>
    </xf>
    <xf numFmtId="0" fontId="19" fillId="91" borderId="18" xfId="0" applyFont="1" applyFill="1" applyBorder="1" applyAlignment="1">
      <alignment horizontal="center" vertical="center"/>
    </xf>
    <xf numFmtId="0" fontId="171" fillId="94" borderId="316" xfId="0" applyFont="1" applyFill="1" applyBorder="1" applyAlignment="1">
      <alignment horizontal="center" vertical="center"/>
    </xf>
    <xf numFmtId="0" fontId="171" fillId="94" borderId="317" xfId="0" applyFont="1" applyFill="1" applyBorder="1" applyAlignment="1">
      <alignment horizontal="center" vertical="center"/>
    </xf>
    <xf numFmtId="0" fontId="171" fillId="94" borderId="318" xfId="0" applyFont="1" applyFill="1" applyBorder="1" applyAlignment="1">
      <alignment horizontal="center" vertical="center"/>
    </xf>
    <xf numFmtId="0" fontId="202" fillId="78" borderId="1" xfId="0" applyFont="1" applyFill="1" applyBorder="1" applyAlignment="1" applyProtection="1">
      <alignment horizontal="center" vertical="center"/>
      <protection locked="0"/>
    </xf>
    <xf numFmtId="0" fontId="202" fillId="78" borderId="2" xfId="0" applyFont="1" applyFill="1" applyBorder="1" applyAlignment="1" applyProtection="1">
      <alignment horizontal="center" vertical="center"/>
      <protection locked="0"/>
    </xf>
    <xf numFmtId="0" fontId="202" fillId="78" borderId="2" xfId="0" applyFont="1" applyFill="1" applyBorder="1" applyProtection="1">
      <alignment vertical="center"/>
      <protection locked="0"/>
    </xf>
    <xf numFmtId="0" fontId="202" fillId="78" borderId="0" xfId="0" applyFont="1" applyFill="1" applyAlignment="1" applyProtection="1">
      <alignment horizontal="center" vertical="center"/>
      <protection locked="0"/>
    </xf>
    <xf numFmtId="0" fontId="202" fillId="78" borderId="0" xfId="0" applyFont="1" applyFill="1" applyProtection="1">
      <alignment vertical="center"/>
      <protection locked="0"/>
    </xf>
    <xf numFmtId="0" fontId="202" fillId="78" borderId="299" xfId="0" applyFont="1" applyFill="1" applyBorder="1" applyAlignment="1">
      <alignment horizontal="center" vertical="center"/>
    </xf>
    <xf numFmtId="0" fontId="202" fillId="78" borderId="260" xfId="0" applyFont="1" applyFill="1" applyBorder="1" applyAlignment="1">
      <alignment horizontal="center" vertical="center"/>
    </xf>
    <xf numFmtId="0" fontId="202" fillId="78" borderId="278" xfId="0" applyFont="1" applyFill="1" applyBorder="1" applyAlignment="1">
      <alignment horizontal="center" vertical="center"/>
    </xf>
    <xf numFmtId="0" fontId="202" fillId="78" borderId="312" xfId="0" applyFont="1" applyFill="1" applyBorder="1" applyAlignment="1">
      <alignment horizontal="center" vertical="center"/>
    </xf>
    <xf numFmtId="0" fontId="171" fillId="100" borderId="6" xfId="0" applyFont="1" applyFill="1" applyBorder="1" applyAlignment="1">
      <alignment horizontal="center" vertical="center"/>
    </xf>
    <xf numFmtId="0" fontId="171" fillId="100" borderId="0" xfId="0" applyFont="1" applyFill="1" applyAlignment="1">
      <alignment horizontal="center" vertical="center"/>
    </xf>
    <xf numFmtId="0" fontId="171" fillId="100" borderId="20" xfId="0" applyFont="1" applyFill="1" applyBorder="1" applyAlignment="1">
      <alignment horizontal="center" vertical="center"/>
    </xf>
    <xf numFmtId="0" fontId="171" fillId="100" borderId="7" xfId="0" applyFont="1" applyFill="1" applyBorder="1" applyAlignment="1">
      <alignment horizontal="center" vertical="center"/>
    </xf>
    <xf numFmtId="0" fontId="203" fillId="5" borderId="3" xfId="0" applyFont="1" applyFill="1" applyBorder="1" applyAlignment="1" applyProtection="1">
      <alignment horizontal="center" vertical="center"/>
      <protection locked="0"/>
    </xf>
    <xf numFmtId="0" fontId="203" fillId="5" borderId="22" xfId="0" applyFont="1" applyFill="1" applyBorder="1" applyAlignment="1">
      <alignment horizontal="center" vertical="center"/>
    </xf>
    <xf numFmtId="0" fontId="203" fillId="5" borderId="24" xfId="0" applyFont="1" applyFill="1" applyBorder="1" applyAlignment="1">
      <alignment horizontal="center" vertical="center"/>
    </xf>
    <xf numFmtId="0" fontId="19" fillId="5" borderId="248" xfId="0" applyFont="1" applyFill="1" applyBorder="1" applyAlignment="1">
      <alignment horizontal="center" vertical="center"/>
    </xf>
    <xf numFmtId="0" fontId="19" fillId="5" borderId="249" xfId="0" applyFont="1" applyFill="1" applyBorder="1" applyAlignment="1">
      <alignment horizontal="center" vertical="center"/>
    </xf>
    <xf numFmtId="0" fontId="151" fillId="43" borderId="248" xfId="0" applyFont="1" applyFill="1" applyBorder="1" applyAlignment="1">
      <alignment horizontal="center" vertical="center"/>
    </xf>
    <xf numFmtId="0" fontId="151" fillId="43" borderId="249" xfId="0" applyFont="1" applyFill="1" applyBorder="1" applyAlignment="1">
      <alignment horizontal="center" vertical="center"/>
    </xf>
    <xf numFmtId="0" fontId="204" fillId="81" borderId="8" xfId="0" applyFont="1" applyFill="1" applyBorder="1" applyAlignment="1">
      <alignment horizontal="center" vertical="center"/>
    </xf>
    <xf numFmtId="0" fontId="204" fillId="81" borderId="10" xfId="0" applyFont="1" applyFill="1" applyBorder="1" applyAlignment="1">
      <alignment horizontal="center" vertical="center"/>
    </xf>
    <xf numFmtId="0" fontId="212" fillId="0" borderId="0" xfId="0" applyFont="1" applyAlignment="1">
      <alignment horizontal="center" vertical="center"/>
    </xf>
    <xf numFmtId="0" fontId="213" fillId="0" borderId="0" xfId="0" applyFont="1" applyAlignment="1">
      <alignment horizontal="center" vertical="center"/>
    </xf>
    <xf numFmtId="0" fontId="19" fillId="99" borderId="3" xfId="0" applyFont="1" applyFill="1" applyBorder="1" applyAlignment="1">
      <alignment horizontal="center" vertical="center"/>
    </xf>
    <xf numFmtId="0" fontId="19" fillId="99" borderId="14" xfId="0" applyFont="1" applyFill="1" applyBorder="1" applyAlignment="1">
      <alignment horizontal="center" vertical="center"/>
    </xf>
    <xf numFmtId="0" fontId="19" fillId="99" borderId="15" xfId="0" applyFont="1" applyFill="1" applyBorder="1" applyAlignment="1">
      <alignment horizontal="center" vertical="center"/>
    </xf>
    <xf numFmtId="0" fontId="19" fillId="99" borderId="12" xfId="0" applyFont="1" applyFill="1" applyBorder="1" applyAlignment="1">
      <alignment horizontal="center" vertical="center"/>
    </xf>
    <xf numFmtId="0" fontId="171" fillId="101" borderId="6" xfId="0" applyFont="1" applyFill="1" applyBorder="1" applyAlignment="1">
      <alignment horizontal="center" vertical="center"/>
    </xf>
    <xf numFmtId="0" fontId="171" fillId="101" borderId="0" xfId="0" applyFont="1" applyFill="1" applyAlignment="1">
      <alignment horizontal="center" vertical="center"/>
    </xf>
    <xf numFmtId="0" fontId="171" fillId="101" borderId="7" xfId="0" applyFont="1" applyFill="1" applyBorder="1" applyAlignment="1">
      <alignment horizontal="center" vertical="center"/>
    </xf>
    <xf numFmtId="0" fontId="98" fillId="10" borderId="149" xfId="0" applyFont="1" applyFill="1" applyBorder="1" applyAlignment="1">
      <alignment horizontal="center" vertical="center" wrapText="1"/>
    </xf>
    <xf numFmtId="0" fontId="98" fillId="10" borderId="300" xfId="0" applyFont="1" applyFill="1" applyBorder="1" applyAlignment="1">
      <alignment horizontal="center" vertical="center" wrapText="1"/>
    </xf>
    <xf numFmtId="194" fontId="210" fillId="4" borderId="300" xfId="0" applyNumberFormat="1" applyFont="1" applyFill="1" applyBorder="1" applyAlignment="1">
      <alignment horizontal="center" vertical="center"/>
    </xf>
    <xf numFmtId="194" fontId="210" fillId="4" borderId="11" xfId="0" applyNumberFormat="1" applyFont="1" applyFill="1" applyBorder="1" applyAlignment="1">
      <alignment horizontal="center" vertical="center"/>
    </xf>
    <xf numFmtId="0" fontId="17" fillId="4" borderId="11" xfId="0" applyFont="1" applyFill="1" applyBorder="1" applyAlignment="1" applyProtection="1">
      <alignment horizontal="center" vertical="center"/>
      <protection locked="0"/>
    </xf>
    <xf numFmtId="12" fontId="210" fillId="4" borderId="11" xfId="0" applyNumberFormat="1" applyFont="1" applyFill="1" applyBorder="1" applyAlignment="1">
      <alignment horizontal="center" vertical="center"/>
    </xf>
    <xf numFmtId="183" fontId="17" fillId="4" borderId="11" xfId="0" applyNumberFormat="1" applyFont="1" applyFill="1" applyBorder="1" applyAlignment="1" applyProtection="1">
      <alignment horizontal="center" vertical="center"/>
      <protection locked="0"/>
    </xf>
    <xf numFmtId="183" fontId="17" fillId="4" borderId="251" xfId="0" applyNumberFormat="1" applyFont="1" applyFill="1" applyBorder="1" applyAlignment="1" applyProtection="1">
      <alignment horizontal="center" vertical="center"/>
      <protection locked="0"/>
    </xf>
    <xf numFmtId="0" fontId="203" fillId="5" borderId="23" xfId="0" applyFont="1" applyFill="1" applyBorder="1" applyAlignment="1">
      <alignment horizontal="center" vertical="center"/>
    </xf>
    <xf numFmtId="0" fontId="19" fillId="97" borderId="151" xfId="0" applyFont="1" applyFill="1" applyBorder="1" applyAlignment="1">
      <alignment horizontal="center" vertical="center"/>
    </xf>
    <xf numFmtId="0" fontId="19" fillId="97" borderId="2" xfId="0" applyFont="1" applyFill="1" applyBorder="1" applyAlignment="1">
      <alignment horizontal="center" vertical="center"/>
    </xf>
    <xf numFmtId="0" fontId="203" fillId="43" borderId="8" xfId="0" applyFont="1" applyFill="1" applyBorder="1" applyAlignment="1">
      <alignment horizontal="center" vertical="center"/>
    </xf>
    <xf numFmtId="0" fontId="203" fillId="43" borderId="9" xfId="0" applyFont="1" applyFill="1" applyBorder="1" applyAlignment="1">
      <alignment horizontal="center" vertical="center"/>
    </xf>
    <xf numFmtId="0" fontId="204" fillId="81" borderId="6" xfId="0" applyFont="1" applyFill="1" applyBorder="1" applyAlignment="1">
      <alignment horizontal="center" vertical="center"/>
    </xf>
    <xf numFmtId="0" fontId="204" fillId="81" borderId="7" xfId="0" applyFont="1" applyFill="1" applyBorder="1" applyAlignment="1">
      <alignment horizontal="center" vertical="center"/>
    </xf>
    <xf numFmtId="0" fontId="210" fillId="10" borderId="9" xfId="0" applyFont="1" applyFill="1" applyBorder="1" applyAlignment="1">
      <alignment horizontal="center" vertical="center"/>
    </xf>
    <xf numFmtId="0" fontId="210" fillId="10" borderId="9" xfId="0" applyFont="1" applyFill="1" applyBorder="1" applyAlignment="1" applyProtection="1">
      <alignment horizontal="center" vertical="center"/>
      <protection locked="0"/>
    </xf>
    <xf numFmtId="0" fontId="210" fillId="10" borderId="94" xfId="0" applyFont="1" applyFill="1" applyBorder="1" applyAlignment="1" applyProtection="1">
      <alignment horizontal="center" vertical="center"/>
      <protection locked="0"/>
    </xf>
    <xf numFmtId="0" fontId="17" fillId="10" borderId="9" xfId="0" applyFont="1" applyFill="1" applyBorder="1" applyAlignment="1" applyProtection="1">
      <alignment horizontal="center" vertical="center"/>
      <protection locked="0"/>
    </xf>
    <xf numFmtId="194" fontId="210" fillId="4" borderId="134" xfId="0" applyNumberFormat="1" applyFont="1" applyFill="1" applyBorder="1" applyAlignment="1">
      <alignment horizontal="center" vertical="center"/>
    </xf>
    <xf numFmtId="194" fontId="210" fillId="4" borderId="0" xfId="0" applyNumberFormat="1" applyFont="1" applyFill="1" applyAlignment="1">
      <alignment horizontal="center" vertical="center"/>
    </xf>
    <xf numFmtId="0" fontId="17" fillId="4" borderId="0" xfId="0" applyFont="1" applyFill="1" applyAlignment="1" applyProtection="1">
      <alignment horizontal="center" vertical="center"/>
      <protection locked="0"/>
    </xf>
    <xf numFmtId="12" fontId="210" fillId="4" borderId="87" xfId="0" applyNumberFormat="1" applyFont="1" applyFill="1" applyBorder="1" applyAlignment="1">
      <alignment horizontal="center" vertical="center"/>
    </xf>
    <xf numFmtId="12" fontId="210" fillId="4" borderId="0" xfId="0" applyNumberFormat="1" applyFont="1" applyFill="1" applyAlignment="1">
      <alignment horizontal="center" vertical="center"/>
    </xf>
    <xf numFmtId="183" fontId="17" fillId="4" borderId="0" xfId="0" applyNumberFormat="1" applyFont="1" applyFill="1" applyAlignment="1" applyProtection="1">
      <alignment horizontal="center" vertical="center"/>
      <protection locked="0"/>
    </xf>
    <xf numFmtId="183" fontId="17" fillId="4" borderId="135" xfId="0" applyNumberFormat="1" applyFont="1" applyFill="1" applyBorder="1" applyAlignment="1" applyProtection="1">
      <alignment horizontal="center" vertical="center"/>
      <protection locked="0"/>
    </xf>
    <xf numFmtId="0" fontId="210" fillId="34" borderId="309" xfId="0" applyFont="1" applyFill="1" applyBorder="1" applyAlignment="1">
      <alignment horizontal="center" vertical="center" wrapText="1"/>
    </xf>
    <xf numFmtId="0" fontId="210" fillId="34" borderId="23" xfId="0" applyFont="1" applyFill="1" applyBorder="1" applyAlignment="1">
      <alignment horizontal="center" vertical="center" wrapText="1"/>
    </xf>
    <xf numFmtId="0" fontId="17" fillId="34" borderId="23" xfId="0" applyFont="1" applyFill="1" applyBorder="1" applyAlignment="1" applyProtection="1">
      <alignment horizontal="center" vertical="center" wrapText="1"/>
      <protection locked="0"/>
    </xf>
    <xf numFmtId="0" fontId="12" fillId="34" borderId="23" xfId="0" applyFont="1" applyFill="1" applyBorder="1" applyAlignment="1" applyProtection="1">
      <alignment horizontal="center" vertical="center" wrapText="1"/>
      <protection locked="0"/>
    </xf>
    <xf numFmtId="0" fontId="12" fillId="34" borderId="310" xfId="0" applyFont="1" applyFill="1" applyBorder="1" applyAlignment="1" applyProtection="1">
      <alignment horizontal="center" vertical="center" wrapText="1"/>
      <protection locked="0"/>
    </xf>
    <xf numFmtId="0" fontId="211" fillId="47" borderId="23" xfId="0" applyFont="1" applyFill="1" applyBorder="1" applyAlignment="1">
      <alignment horizontal="center" vertical="center"/>
    </xf>
    <xf numFmtId="0" fontId="211" fillId="47" borderId="23" xfId="0" applyFont="1" applyFill="1" applyBorder="1" applyAlignment="1" applyProtection="1">
      <alignment horizontal="center" vertical="center"/>
      <protection locked="0"/>
    </xf>
    <xf numFmtId="0" fontId="211" fillId="47" borderId="311" xfId="0" applyFont="1" applyFill="1" applyBorder="1" applyAlignment="1" applyProtection="1">
      <alignment horizontal="center" vertical="center"/>
      <protection locked="0"/>
    </xf>
    <xf numFmtId="0" fontId="210" fillId="9" borderId="309" xfId="0" applyFont="1" applyFill="1" applyBorder="1" applyAlignment="1">
      <alignment horizontal="center" vertical="center"/>
    </xf>
    <xf numFmtId="0" fontId="210" fillId="9" borderId="23" xfId="0" applyFont="1" applyFill="1" applyBorder="1" applyAlignment="1">
      <alignment horizontal="center" vertical="center"/>
    </xf>
    <xf numFmtId="0" fontId="17" fillId="9" borderId="260" xfId="0" applyFont="1" applyFill="1" applyBorder="1" applyAlignment="1" applyProtection="1">
      <alignment horizontal="center" vertical="center"/>
      <protection locked="0"/>
    </xf>
    <xf numFmtId="0" fontId="17" fillId="9" borderId="312" xfId="0" applyFont="1" applyFill="1" applyBorder="1" applyAlignment="1" applyProtection="1">
      <alignment horizontal="center" vertical="center"/>
      <protection locked="0"/>
    </xf>
    <xf numFmtId="0" fontId="19" fillId="94" borderId="3" xfId="0" applyFont="1" applyFill="1" applyBorder="1" applyAlignment="1">
      <alignment horizontal="center" vertical="center"/>
    </xf>
    <xf numFmtId="0" fontId="19" fillId="94" borderId="14" xfId="0" applyFont="1" applyFill="1" applyBorder="1" applyAlignment="1">
      <alignment horizontal="center" vertical="center"/>
    </xf>
    <xf numFmtId="0" fontId="19" fillId="94" borderId="15" xfId="0" applyFont="1" applyFill="1" applyBorder="1" applyAlignment="1">
      <alignment horizontal="center" vertical="center"/>
    </xf>
    <xf numFmtId="0" fontId="19" fillId="94" borderId="12" xfId="0" applyFont="1" applyFill="1" applyBorder="1" applyAlignment="1">
      <alignment horizontal="center" vertical="center"/>
    </xf>
    <xf numFmtId="0" fontId="98" fillId="10" borderId="160" xfId="0" applyFont="1" applyFill="1" applyBorder="1" applyAlignment="1">
      <alignment horizontal="center" vertical="center" wrapText="1"/>
    </xf>
    <xf numFmtId="193" fontId="207" fillId="0" borderId="0" xfId="0" applyNumberFormat="1" applyFont="1" applyAlignment="1">
      <alignment horizontal="center" vertical="center"/>
    </xf>
    <xf numFmtId="0" fontId="19" fillId="94" borderId="5" xfId="0" applyFont="1" applyFill="1" applyBorder="1" applyAlignment="1">
      <alignment horizontal="center" vertical="center"/>
    </xf>
    <xf numFmtId="0" fontId="19" fillId="94" borderId="299" xfId="0" applyFont="1" applyFill="1" applyBorder="1" applyAlignment="1">
      <alignment horizontal="center" vertical="center"/>
    </xf>
    <xf numFmtId="0" fontId="19" fillId="94" borderId="260" xfId="0" applyFont="1" applyFill="1" applyBorder="1" applyAlignment="1">
      <alignment horizontal="center" vertical="center"/>
    </xf>
    <xf numFmtId="0" fontId="19" fillId="94" borderId="153" xfId="0" applyFont="1" applyFill="1" applyBorder="1" applyAlignment="1">
      <alignment horizontal="center" vertical="center"/>
    </xf>
    <xf numFmtId="0" fontId="203" fillId="43" borderId="6" xfId="0" applyFont="1" applyFill="1" applyBorder="1" applyAlignment="1">
      <alignment horizontal="center" vertical="center"/>
    </xf>
    <xf numFmtId="194" fontId="17" fillId="10" borderId="301" xfId="0" applyNumberFormat="1" applyFont="1" applyFill="1" applyBorder="1" applyAlignment="1">
      <alignment horizontal="center" vertical="center" wrapText="1"/>
    </xf>
    <xf numFmtId="194" fontId="17" fillId="10" borderId="2" xfId="0" applyNumberFormat="1" applyFont="1" applyFill="1" applyBorder="1" applyAlignment="1">
      <alignment horizontal="center" vertical="center" wrapText="1"/>
    </xf>
    <xf numFmtId="194" fontId="17" fillId="4" borderId="301" xfId="0" applyNumberFormat="1" applyFont="1" applyFill="1" applyBorder="1" applyAlignment="1">
      <alignment horizontal="center" vertical="center"/>
    </xf>
    <xf numFmtId="194" fontId="17" fillId="4" borderId="303" xfId="0" applyNumberFormat="1" applyFont="1" applyFill="1" applyBorder="1" applyAlignment="1">
      <alignment horizontal="center" vertical="center"/>
    </xf>
    <xf numFmtId="0" fontId="208" fillId="34" borderId="2" xfId="0" applyFont="1" applyFill="1" applyBorder="1" applyAlignment="1">
      <alignment vertical="center" wrapText="1"/>
    </xf>
    <xf numFmtId="0" fontId="208" fillId="34" borderId="305" xfId="0" applyFont="1" applyFill="1" applyBorder="1" applyAlignment="1">
      <alignment vertical="center" wrapText="1"/>
    </xf>
    <xf numFmtId="195" fontId="17" fillId="47" borderId="301" xfId="0" applyNumberFormat="1" applyFont="1" applyFill="1" applyBorder="1" applyAlignment="1">
      <alignment horizontal="center" vertical="center"/>
    </xf>
    <xf numFmtId="195" fontId="17" fillId="47" borderId="2" xfId="0" applyNumberFormat="1" applyFont="1" applyFill="1" applyBorder="1" applyAlignment="1">
      <alignment horizontal="center" vertical="center"/>
    </xf>
    <xf numFmtId="0" fontId="19" fillId="9" borderId="2" xfId="0" applyFont="1" applyFill="1" applyBorder="1" applyAlignment="1" applyProtection="1">
      <alignment horizontal="center" vertical="center" wrapText="1"/>
      <protection locked="0"/>
    </xf>
    <xf numFmtId="0" fontId="19" fillId="9" borderId="4" xfId="0" applyFont="1" applyFill="1" applyBorder="1" applyAlignment="1" applyProtection="1">
      <alignment horizontal="center" vertical="center" wrapText="1"/>
      <protection locked="0"/>
    </xf>
    <xf numFmtId="0" fontId="19" fillId="5" borderId="151" xfId="0" applyFont="1" applyFill="1" applyBorder="1" applyAlignment="1">
      <alignment horizontal="center" vertical="center"/>
    </xf>
    <xf numFmtId="0" fontId="19" fillId="5" borderId="2" xfId="0" applyFont="1" applyFill="1" applyBorder="1" applyAlignment="1">
      <alignment horizontal="center" vertical="center"/>
    </xf>
    <xf numFmtId="0" fontId="203" fillId="43" borderId="1" xfId="0" applyFont="1" applyFill="1" applyBorder="1" applyAlignment="1">
      <alignment horizontal="center" vertical="center"/>
    </xf>
    <xf numFmtId="0" fontId="203" fillId="43" borderId="2" xfId="0" applyFont="1" applyFill="1" applyBorder="1" applyAlignment="1">
      <alignment horizontal="center" vertical="center"/>
    </xf>
    <xf numFmtId="0" fontId="20" fillId="10" borderId="99" xfId="0" applyFont="1" applyFill="1" applyBorder="1" applyAlignment="1" applyProtection="1">
      <alignment horizontal="center" vertical="center"/>
      <protection locked="0"/>
    </xf>
    <xf numFmtId="0" fontId="20" fillId="10" borderId="9" xfId="0" applyFont="1" applyFill="1" applyBorder="1" applyAlignment="1" applyProtection="1">
      <alignment horizontal="center" vertical="center"/>
      <protection locked="0"/>
    </xf>
    <xf numFmtId="0" fontId="20" fillId="4" borderId="99" xfId="0" applyFont="1" applyFill="1" applyBorder="1" applyAlignment="1" applyProtection="1">
      <alignment horizontal="center" vertical="center"/>
      <protection locked="0"/>
    </xf>
    <xf numFmtId="0" fontId="20" fillId="4" borderId="307" xfId="0" applyFont="1" applyFill="1" applyBorder="1" applyAlignment="1" applyProtection="1">
      <alignment horizontal="center" vertical="center"/>
      <protection locked="0"/>
    </xf>
    <xf numFmtId="0" fontId="209" fillId="34" borderId="9" xfId="0" applyFont="1" applyFill="1" applyBorder="1" applyAlignment="1">
      <alignment horizontal="center" vertical="center"/>
    </xf>
    <xf numFmtId="0" fontId="209" fillId="34" borderId="308" xfId="0" applyFont="1" applyFill="1" applyBorder="1" applyAlignment="1">
      <alignment horizontal="center" vertical="center"/>
    </xf>
    <xf numFmtId="195" fontId="17" fillId="47" borderId="99" xfId="0" applyNumberFormat="1" applyFont="1" applyFill="1" applyBorder="1" applyAlignment="1">
      <alignment horizontal="center" vertical="center"/>
    </xf>
    <xf numFmtId="195" fontId="17" fillId="47" borderId="9" xfId="0" applyNumberFormat="1" applyFont="1" applyFill="1" applyBorder="1" applyAlignment="1">
      <alignment horizontal="center" vertical="center"/>
    </xf>
    <xf numFmtId="0" fontId="19" fillId="9" borderId="7" xfId="0" applyFont="1" applyFill="1" applyBorder="1" applyAlignment="1">
      <alignment horizontal="center" vertical="center" wrapText="1"/>
    </xf>
    <xf numFmtId="0" fontId="19" fillId="91" borderId="15" xfId="0" applyFont="1" applyFill="1" applyBorder="1" applyAlignment="1">
      <alignment horizontal="center" vertical="center"/>
    </xf>
    <xf numFmtId="0" fontId="19" fillId="91" borderId="12" xfId="0" applyFont="1" applyFill="1" applyBorder="1" applyAlignment="1">
      <alignment horizontal="center" vertical="center"/>
    </xf>
    <xf numFmtId="0" fontId="19" fillId="91" borderId="14" xfId="0" applyFont="1" applyFill="1" applyBorder="1" applyAlignment="1">
      <alignment horizontal="center" vertical="center"/>
    </xf>
    <xf numFmtId="0" fontId="204" fillId="81" borderId="0" xfId="0" applyFont="1" applyFill="1" applyAlignment="1">
      <alignment horizontal="center" vertical="center"/>
    </xf>
    <xf numFmtId="0" fontId="19" fillId="0" borderId="296" xfId="0" applyFont="1" applyBorder="1" applyAlignment="1">
      <alignment horizontal="center" vertical="center"/>
    </xf>
    <xf numFmtId="0" fontId="19" fillId="0" borderId="100" xfId="0" applyFont="1" applyBorder="1" applyAlignment="1">
      <alignment horizontal="center" vertical="center"/>
    </xf>
    <xf numFmtId="0" fontId="19" fillId="0" borderId="99" xfId="0" applyFont="1" applyBorder="1" applyAlignment="1" applyProtection="1">
      <alignment horizontal="center" vertical="center"/>
      <protection locked="0"/>
    </xf>
    <xf numFmtId="188" fontId="19" fillId="0" borderId="9" xfId="0" applyNumberFormat="1" applyFont="1" applyBorder="1" applyAlignment="1" applyProtection="1">
      <alignment horizontal="center" vertical="center"/>
      <protection locked="0"/>
    </xf>
    <xf numFmtId="188" fontId="19" fillId="0" borderId="94" xfId="0" applyNumberFormat="1" applyFont="1" applyBorder="1" applyAlignment="1" applyProtection="1">
      <alignment horizontal="center" vertical="center"/>
      <protection locked="0"/>
    </xf>
    <xf numFmtId="189" fontId="19" fillId="0" borderId="99" xfId="0" applyNumberFormat="1" applyFont="1" applyBorder="1" applyAlignment="1" applyProtection="1">
      <alignment horizontal="center" vertical="center"/>
      <protection locked="0"/>
    </xf>
    <xf numFmtId="189" fontId="19" fillId="0" borderId="9" xfId="0" applyNumberFormat="1" applyFont="1" applyBorder="1" applyAlignment="1" applyProtection="1">
      <alignment horizontal="center" vertical="center"/>
      <protection locked="0"/>
    </xf>
    <xf numFmtId="189" fontId="19" fillId="0" borderId="10" xfId="0" applyNumberFormat="1" applyFont="1" applyBorder="1" applyAlignment="1" applyProtection="1">
      <alignment horizontal="center" vertical="center"/>
      <protection locked="0"/>
    </xf>
    <xf numFmtId="0" fontId="124" fillId="0" borderId="0" xfId="0" applyFont="1" applyAlignment="1">
      <alignment horizontal="right"/>
    </xf>
    <xf numFmtId="178" fontId="124" fillId="0" borderId="0" xfId="0" applyNumberFormat="1" applyFont="1" applyAlignment="1">
      <alignment horizontal="left"/>
    </xf>
    <xf numFmtId="190" fontId="207" fillId="0" borderId="0" xfId="0" applyNumberFormat="1" applyFont="1" applyAlignment="1">
      <alignment horizontal="center" vertical="center"/>
    </xf>
    <xf numFmtId="191" fontId="207" fillId="0" borderId="0" xfId="0" applyNumberFormat="1" applyFont="1" applyAlignment="1">
      <alignment horizontal="center" vertical="center"/>
    </xf>
    <xf numFmtId="191" fontId="123" fillId="0" borderId="0" xfId="0" applyNumberFormat="1" applyFont="1" applyAlignment="1">
      <alignment horizontal="center" vertical="center"/>
    </xf>
    <xf numFmtId="192" fontId="207" fillId="0" borderId="0" xfId="0" applyNumberFormat="1" applyFont="1" applyAlignment="1">
      <alignment horizontal="center" vertical="center"/>
    </xf>
    <xf numFmtId="0" fontId="19" fillId="9" borderId="287" xfId="0" applyFont="1" applyFill="1" applyBorder="1" applyAlignment="1">
      <alignment horizontal="left" vertical="center"/>
    </xf>
    <xf numFmtId="0" fontId="19" fillId="9" borderId="288" xfId="0" applyFont="1" applyFill="1" applyBorder="1" applyAlignment="1">
      <alignment horizontal="left" vertical="center"/>
    </xf>
    <xf numFmtId="0" fontId="19" fillId="9" borderId="289" xfId="0" applyFont="1" applyFill="1" applyBorder="1" applyAlignment="1">
      <alignment horizontal="left" vertical="center"/>
    </xf>
    <xf numFmtId="0" fontId="19" fillId="9" borderId="288" xfId="0" applyFont="1" applyFill="1" applyBorder="1" applyAlignment="1" applyProtection="1">
      <alignment horizontal="left" vertical="center"/>
      <protection locked="0"/>
    </xf>
    <xf numFmtId="0" fontId="19" fillId="9" borderId="290" xfId="0" applyFont="1" applyFill="1" applyBorder="1" applyAlignment="1" applyProtection="1">
      <alignment horizontal="left" vertical="center"/>
      <protection locked="0"/>
    </xf>
    <xf numFmtId="0" fontId="19" fillId="0" borderId="291" xfId="0" applyFont="1" applyBorder="1" applyAlignment="1">
      <alignment horizontal="center" vertical="center"/>
    </xf>
    <xf numFmtId="0" fontId="19" fillId="0" borderId="292" xfId="0" applyFont="1" applyBorder="1" applyAlignment="1">
      <alignment horizontal="center" vertical="center"/>
    </xf>
    <xf numFmtId="0" fontId="19" fillId="0" borderId="294" xfId="0" applyFont="1" applyBorder="1" applyAlignment="1">
      <alignment horizontal="center" vertical="center"/>
    </xf>
    <xf numFmtId="0" fontId="19" fillId="0" borderId="98" xfId="0" applyFont="1" applyBorder="1" applyAlignment="1" applyProtection="1">
      <alignment horizontal="center" vertical="center"/>
      <protection locked="0"/>
    </xf>
    <xf numFmtId="0" fontId="19" fillId="0" borderId="37" xfId="0" applyFont="1" applyBorder="1" applyAlignment="1" applyProtection="1">
      <alignment horizontal="center" vertical="center"/>
      <protection locked="0"/>
    </xf>
    <xf numFmtId="0" fontId="19" fillId="9" borderId="95" xfId="0" applyFont="1" applyFill="1" applyBorder="1" applyAlignment="1" applyProtection="1">
      <alignment horizontal="center" vertical="center" wrapText="1"/>
      <protection locked="0"/>
    </xf>
    <xf numFmtId="0" fontId="19" fillId="9" borderId="96" xfId="0" applyFont="1" applyFill="1" applyBorder="1" applyAlignment="1" applyProtection="1">
      <alignment horizontal="center" vertical="center" wrapText="1"/>
      <protection locked="0"/>
    </xf>
    <xf numFmtId="0" fontId="19" fillId="9" borderId="168" xfId="0" applyFont="1" applyFill="1" applyBorder="1" applyAlignment="1">
      <alignment horizontal="center" vertical="center"/>
    </xf>
    <xf numFmtId="0" fontId="5" fillId="0" borderId="95" xfId="0" applyFont="1" applyBorder="1" applyAlignment="1" applyProtection="1">
      <alignment horizontal="center" vertical="center" wrapText="1"/>
      <protection locked="0"/>
    </xf>
    <xf numFmtId="0" fontId="5" fillId="0" borderId="96" xfId="0" applyFont="1" applyBorder="1" applyAlignment="1" applyProtection="1">
      <alignment horizontal="center" vertical="center" wrapText="1"/>
      <protection locked="0"/>
    </xf>
    <xf numFmtId="0" fontId="19" fillId="0" borderId="95" xfId="0" applyFont="1" applyBorder="1" applyAlignment="1">
      <alignment horizontal="center" vertical="center"/>
    </xf>
    <xf numFmtId="0" fontId="205" fillId="9" borderId="82" xfId="0" applyFont="1" applyFill="1" applyBorder="1" applyAlignment="1" applyProtection="1">
      <alignment horizontal="center" vertical="center"/>
      <protection locked="0"/>
    </xf>
    <xf numFmtId="0" fontId="205" fillId="9" borderId="80" xfId="0" applyFont="1" applyFill="1" applyBorder="1" applyAlignment="1" applyProtection="1">
      <alignment horizontal="center" vertical="center"/>
      <protection locked="0"/>
    </xf>
    <xf numFmtId="0" fontId="205" fillId="9" borderId="98" xfId="0" applyFont="1" applyFill="1" applyBorder="1" applyAlignment="1">
      <alignment horizontal="center" vertical="center"/>
    </xf>
    <xf numFmtId="0" fontId="205" fillId="9" borderId="37" xfId="0" applyFont="1" applyFill="1" applyBorder="1" applyAlignment="1">
      <alignment horizontal="center" vertical="center"/>
    </xf>
    <xf numFmtId="0" fontId="19" fillId="9" borderId="281" xfId="0" applyFont="1" applyFill="1" applyBorder="1" applyAlignment="1">
      <alignment horizontal="center" vertical="center"/>
    </xf>
    <xf numFmtId="0" fontId="19" fillId="9" borderId="282" xfId="0" applyFont="1" applyFill="1" applyBorder="1" applyAlignment="1">
      <alignment horizontal="center" vertical="center"/>
    </xf>
    <xf numFmtId="0" fontId="19" fillId="9" borderId="282" xfId="0" applyFont="1" applyFill="1" applyBorder="1" applyAlignment="1">
      <alignment horizontal="left" vertical="center"/>
    </xf>
    <xf numFmtId="0" fontId="19" fillId="9" borderId="283" xfId="0" applyFont="1" applyFill="1" applyBorder="1" applyAlignment="1">
      <alignment horizontal="left" vertical="center"/>
    </xf>
    <xf numFmtId="0" fontId="19" fillId="9" borderId="282" xfId="0" applyFont="1" applyFill="1" applyBorder="1" applyAlignment="1" applyProtection="1">
      <alignment horizontal="left" vertical="center"/>
      <protection locked="0"/>
    </xf>
    <xf numFmtId="0" fontId="19" fillId="9" borderId="284" xfId="0" applyFont="1" applyFill="1" applyBorder="1" applyAlignment="1" applyProtection="1">
      <alignment horizontal="left" vertical="center"/>
      <protection locked="0"/>
    </xf>
    <xf numFmtId="0" fontId="200" fillId="9" borderId="252" xfId="0" applyFont="1" applyFill="1" applyBorder="1" applyAlignment="1">
      <alignment horizontal="center" vertical="center" wrapText="1"/>
    </xf>
    <xf numFmtId="0" fontId="200" fillId="9" borderId="285" xfId="0" applyFont="1" applyFill="1" applyBorder="1" applyAlignment="1">
      <alignment horizontal="center" vertical="center" wrapText="1"/>
    </xf>
    <xf numFmtId="0" fontId="19" fillId="9" borderId="163" xfId="0" applyFont="1" applyFill="1" applyBorder="1" applyAlignment="1">
      <alignment horizontal="center" vertical="center"/>
    </xf>
    <xf numFmtId="0" fontId="201" fillId="0" borderId="252" xfId="0" applyFont="1" applyBorder="1" applyAlignment="1">
      <alignment horizontal="center" vertical="center" wrapText="1"/>
    </xf>
    <xf numFmtId="0" fontId="201" fillId="0" borderId="285" xfId="0" applyFont="1" applyBorder="1" applyAlignment="1">
      <alignment horizontal="center" vertical="center" wrapText="1"/>
    </xf>
    <xf numFmtId="0" fontId="19" fillId="0" borderId="252" xfId="0" applyFont="1" applyBorder="1" applyAlignment="1">
      <alignment horizontal="center" vertical="center"/>
    </xf>
    <xf numFmtId="0" fontId="205" fillId="9" borderId="99" xfId="0" applyFont="1" applyFill="1" applyBorder="1" applyAlignment="1">
      <alignment horizontal="center" vertical="center"/>
    </xf>
    <xf numFmtId="0" fontId="205" fillId="9" borderId="9" xfId="0" applyFont="1" applyFill="1" applyBorder="1" applyAlignment="1">
      <alignment horizontal="center" vertical="center"/>
    </xf>
    <xf numFmtId="0" fontId="205" fillId="9" borderId="163" xfId="0" applyFont="1" applyFill="1" applyBorder="1" applyAlignment="1">
      <alignment horizontal="center" vertical="center"/>
    </xf>
    <xf numFmtId="0" fontId="205" fillId="9" borderId="164" xfId="0" applyFont="1" applyFill="1" applyBorder="1" applyAlignment="1">
      <alignment horizontal="center" vertical="center"/>
    </xf>
    <xf numFmtId="0" fontId="202" fillId="78" borderId="6" xfId="0" applyFont="1" applyFill="1" applyBorder="1" applyAlignment="1">
      <alignment horizontal="center" vertical="center"/>
    </xf>
    <xf numFmtId="0" fontId="202" fillId="78" borderId="0" xfId="0" applyFont="1" applyFill="1" applyAlignment="1">
      <alignment horizontal="center" vertical="center"/>
    </xf>
    <xf numFmtId="0" fontId="19" fillId="0" borderId="95" xfId="0" applyFont="1" applyBorder="1" applyAlignment="1" applyProtection="1">
      <alignment horizontal="center" vertical="center" wrapText="1"/>
      <protection locked="0"/>
    </xf>
    <xf numFmtId="0" fontId="19" fillId="0" borderId="96" xfId="0" applyFont="1" applyBorder="1" applyAlignment="1" applyProtection="1">
      <alignment horizontal="center" vertical="center" wrapText="1"/>
      <protection locked="0"/>
    </xf>
    <xf numFmtId="0" fontId="19" fillId="0" borderId="168" xfId="0" applyFont="1" applyBorder="1" applyAlignment="1">
      <alignment horizontal="center" vertical="center"/>
    </xf>
    <xf numFmtId="0" fontId="5" fillId="9" borderId="95" xfId="0" applyFont="1" applyFill="1" applyBorder="1" applyAlignment="1" applyProtection="1">
      <alignment horizontal="center" vertical="center" wrapText="1"/>
      <protection locked="0"/>
    </xf>
    <xf numFmtId="0" fontId="5" fillId="9" borderId="96" xfId="0" applyFont="1" applyFill="1" applyBorder="1" applyAlignment="1" applyProtection="1">
      <alignment horizontal="center" vertical="center" wrapText="1"/>
      <protection locked="0"/>
    </xf>
    <xf numFmtId="0" fontId="204" fillId="81" borderId="1" xfId="0" applyFont="1" applyFill="1" applyBorder="1" applyAlignment="1">
      <alignment horizontal="center" vertical="center"/>
    </xf>
    <xf numFmtId="0" fontId="204" fillId="81" borderId="2" xfId="0" applyFont="1" applyFill="1" applyBorder="1" applyAlignment="1">
      <alignment horizontal="center" vertical="center"/>
    </xf>
    <xf numFmtId="187" fontId="19" fillId="9" borderId="98" xfId="0" applyNumberFormat="1" applyFont="1" applyFill="1" applyBorder="1" applyAlignment="1">
      <alignment horizontal="center" vertical="center"/>
    </xf>
    <xf numFmtId="0" fontId="19" fillId="9" borderId="98" xfId="0" applyFont="1" applyFill="1" applyBorder="1" applyAlignment="1" applyProtection="1">
      <alignment horizontal="center" vertical="center"/>
      <protection locked="0"/>
    </xf>
    <xf numFmtId="0" fontId="19" fillId="9" borderId="37" xfId="0" applyFont="1" applyFill="1" applyBorder="1" applyAlignment="1" applyProtection="1">
      <alignment horizontal="center" vertical="center"/>
      <protection locked="0"/>
    </xf>
    <xf numFmtId="0" fontId="200" fillId="0" borderId="95" xfId="0" applyFont="1" applyBorder="1" applyAlignment="1">
      <alignment horizontal="center" vertical="center" wrapText="1"/>
    </xf>
    <xf numFmtId="0" fontId="200" fillId="0" borderId="96" xfId="0" applyFont="1" applyBorder="1" applyAlignment="1">
      <alignment horizontal="center" vertical="center" wrapText="1"/>
    </xf>
    <xf numFmtId="0" fontId="201" fillId="9" borderId="95" xfId="0" applyFont="1" applyFill="1" applyBorder="1" applyAlignment="1">
      <alignment horizontal="center" vertical="center" wrapText="1"/>
    </xf>
    <xf numFmtId="0" fontId="201" fillId="9" borderId="96" xfId="0" applyFont="1" applyFill="1" applyBorder="1" applyAlignment="1">
      <alignment horizontal="center" vertical="center" wrapText="1"/>
    </xf>
    <xf numFmtId="0" fontId="200" fillId="0" borderId="82" xfId="0" applyFont="1" applyBorder="1" applyAlignment="1">
      <alignment horizontal="center" vertical="center" wrapText="1"/>
    </xf>
    <xf numFmtId="0" fontId="200" fillId="0" borderId="259" xfId="0" applyFont="1" applyBorder="1" applyAlignment="1">
      <alignment horizontal="center" vertical="center" wrapText="1"/>
    </xf>
    <xf numFmtId="0" fontId="19" fillId="0" borderId="81" xfId="0" applyFont="1" applyBorder="1" applyAlignment="1">
      <alignment horizontal="center" vertical="center"/>
    </xf>
    <xf numFmtId="0" fontId="19" fillId="0" borderId="36" xfId="0" applyFont="1" applyBorder="1" applyAlignment="1">
      <alignment horizontal="center" vertical="center"/>
    </xf>
    <xf numFmtId="0" fontId="202" fillId="78" borderId="22" xfId="0" applyFont="1" applyFill="1" applyBorder="1" applyAlignment="1">
      <alignment horizontal="center" vertical="center"/>
    </xf>
    <xf numFmtId="0" fontId="202" fillId="78" borderId="23" xfId="0" applyFont="1" applyFill="1" applyBorder="1" applyAlignment="1">
      <alignment horizontal="center" vertical="center"/>
    </xf>
    <xf numFmtId="0" fontId="198" fillId="0" borderId="0" xfId="0" applyFont="1" applyAlignment="1">
      <alignment horizontal="center" vertical="center"/>
    </xf>
    <xf numFmtId="0" fontId="199" fillId="0" borderId="98" xfId="0" applyFont="1" applyBorder="1" applyAlignment="1" applyProtection="1">
      <alignment horizontal="center" vertical="center"/>
      <protection locked="0"/>
    </xf>
    <xf numFmtId="0" fontId="199" fillId="0" borderId="37" xfId="0" applyFont="1" applyBorder="1" applyAlignment="1" applyProtection="1">
      <alignment horizontal="center" vertical="center"/>
      <protection locked="0"/>
    </xf>
    <xf numFmtId="0" fontId="19" fillId="9" borderId="88" xfId="0" applyFont="1" applyFill="1" applyBorder="1" applyAlignment="1" applyProtection="1">
      <alignment horizontal="center" vertical="center" wrapText="1"/>
      <protection locked="0"/>
    </xf>
    <xf numFmtId="0" fontId="19" fillId="9" borderId="142" xfId="0" applyFont="1" applyFill="1" applyBorder="1" applyAlignment="1" applyProtection="1">
      <alignment horizontal="center" vertical="center" wrapText="1"/>
      <protection locked="0"/>
    </xf>
    <xf numFmtId="0" fontId="5" fillId="0" borderId="88" xfId="0" applyFont="1" applyBorder="1" applyAlignment="1" applyProtection="1">
      <alignment horizontal="center" vertical="center" wrapText="1"/>
      <protection locked="0"/>
    </xf>
    <xf numFmtId="0" fontId="5" fillId="0" borderId="142" xfId="0" applyFont="1" applyBorder="1" applyAlignment="1" applyProtection="1">
      <alignment horizontal="center" vertical="center" wrapText="1"/>
      <protection locked="0"/>
    </xf>
    <xf numFmtId="0" fontId="19" fillId="9" borderId="35" xfId="0" applyFont="1" applyFill="1" applyBorder="1" applyAlignment="1">
      <alignment horizontal="center" vertical="center"/>
    </xf>
    <xf numFmtId="0" fontId="9" fillId="72" borderId="275" xfId="0" applyFont="1" applyFill="1" applyBorder="1" applyAlignment="1">
      <alignment horizontal="center" vertical="center"/>
    </xf>
    <xf numFmtId="0" fontId="9" fillId="72" borderId="276" xfId="0" applyFont="1" applyFill="1" applyBorder="1" applyAlignment="1">
      <alignment horizontal="center" vertical="center"/>
    </xf>
    <xf numFmtId="0" fontId="9" fillId="72" borderId="277" xfId="0" applyFont="1" applyFill="1" applyBorder="1" applyAlignment="1">
      <alignment horizontal="center" vertical="center"/>
    </xf>
    <xf numFmtId="0" fontId="200" fillId="9" borderId="95" xfId="0" applyFont="1" applyFill="1" applyBorder="1" applyAlignment="1">
      <alignment horizontal="center" vertical="center" wrapText="1"/>
    </xf>
    <xf numFmtId="0" fontId="200" fillId="9" borderId="96" xfId="0" applyFont="1" applyFill="1" applyBorder="1" applyAlignment="1">
      <alignment horizontal="center" vertical="center" wrapText="1"/>
    </xf>
    <xf numFmtId="0" fontId="201" fillId="0" borderId="95" xfId="0" applyFont="1" applyBorder="1" applyAlignment="1">
      <alignment horizontal="center" vertical="center" wrapText="1"/>
    </xf>
    <xf numFmtId="0" fontId="201" fillId="0" borderId="96" xfId="0" applyFont="1" applyBorder="1" applyAlignment="1">
      <alignment horizontal="center" vertical="center" wrapText="1"/>
    </xf>
    <xf numFmtId="0" fontId="19" fillId="9" borderId="37" xfId="0" applyFont="1" applyFill="1" applyBorder="1" applyAlignment="1">
      <alignment horizontal="center" vertical="center"/>
    </xf>
    <xf numFmtId="0" fontId="98" fillId="94" borderId="248" xfId="0" applyFont="1" applyFill="1" applyBorder="1" applyAlignment="1" applyProtection="1">
      <alignment horizontal="center" vertical="center"/>
      <protection locked="0"/>
    </xf>
    <xf numFmtId="0" fontId="98" fillId="94" borderId="249" xfId="0" applyFont="1" applyFill="1" applyBorder="1" applyAlignment="1" applyProtection="1">
      <alignment horizontal="center" vertical="center"/>
      <protection locked="0"/>
    </xf>
    <xf numFmtId="0" fontId="98" fillId="94" borderId="250" xfId="0" applyFont="1" applyFill="1" applyBorder="1" applyAlignment="1" applyProtection="1">
      <alignment horizontal="center" vertical="center"/>
      <protection locked="0"/>
    </xf>
    <xf numFmtId="0" fontId="98" fillId="92" borderId="17" xfId="0" applyFont="1" applyFill="1" applyBorder="1" applyAlignment="1">
      <alignment horizontal="center" vertical="center"/>
    </xf>
    <xf numFmtId="0" fontId="98" fillId="92" borderId="18" xfId="0" applyFont="1" applyFill="1" applyBorder="1" applyAlignment="1">
      <alignment horizontal="center" vertical="center"/>
    </xf>
    <xf numFmtId="0" fontId="98" fillId="92" borderId="16" xfId="0" applyFont="1" applyFill="1" applyBorder="1" applyAlignment="1">
      <alignment horizontal="center" vertical="center"/>
    </xf>
    <xf numFmtId="0" fontId="98" fillId="92" borderId="11" xfId="0" applyFont="1" applyFill="1" applyBorder="1" applyAlignment="1">
      <alignment horizontal="center" vertical="center"/>
    </xf>
    <xf numFmtId="182" fontId="98" fillId="92" borderId="16" xfId="0" applyNumberFormat="1" applyFont="1" applyFill="1" applyBorder="1" applyAlignment="1">
      <alignment horizontal="center" vertical="center"/>
    </xf>
    <xf numFmtId="182" fontId="98" fillId="92" borderId="18" xfId="0" applyNumberFormat="1" applyFont="1" applyFill="1" applyBorder="1" applyAlignment="1">
      <alignment horizontal="center" vertical="center"/>
    </xf>
    <xf numFmtId="0" fontId="5" fillId="92" borderId="11" xfId="0" applyFont="1" applyFill="1" applyBorder="1" applyAlignment="1">
      <alignment horizontal="center" vertical="center"/>
    </xf>
    <xf numFmtId="0" fontId="5" fillId="95" borderId="268" xfId="0" applyFont="1" applyFill="1" applyBorder="1" applyAlignment="1" applyProtection="1">
      <alignment horizontal="center" vertical="center"/>
      <protection locked="0"/>
    </xf>
    <xf numFmtId="0" fontId="19" fillId="95" borderId="269" xfId="0" applyFont="1" applyFill="1" applyBorder="1" applyAlignment="1" applyProtection="1">
      <alignment horizontal="center" vertical="center"/>
      <protection locked="0"/>
    </xf>
    <xf numFmtId="0" fontId="19" fillId="95" borderId="270" xfId="0" applyFont="1" applyFill="1" applyBorder="1" applyAlignment="1" applyProtection="1">
      <alignment horizontal="center" vertical="center"/>
      <protection locked="0"/>
    </xf>
    <xf numFmtId="0" fontId="19" fillId="93" borderId="12" xfId="0" applyFont="1" applyFill="1" applyBorder="1" applyAlignment="1">
      <alignment horizontal="center" vertical="center"/>
    </xf>
    <xf numFmtId="0" fontId="19" fillId="93" borderId="3" xfId="0" applyFont="1" applyFill="1" applyBorder="1" applyAlignment="1">
      <alignment horizontal="center" vertical="center"/>
    </xf>
    <xf numFmtId="0" fontId="192" fillId="0" borderId="0" xfId="0" applyFont="1" applyAlignment="1">
      <alignment horizontal="center" vertical="center"/>
    </xf>
    <xf numFmtId="0" fontId="193" fillId="0" borderId="0" xfId="0" applyFont="1" applyAlignment="1">
      <alignment horizontal="center" vertical="center"/>
    </xf>
    <xf numFmtId="0" fontId="195" fillId="72" borderId="271" xfId="0" applyFont="1" applyFill="1" applyBorder="1" applyAlignment="1">
      <alignment horizontal="center" vertical="center"/>
    </xf>
    <xf numFmtId="0" fontId="195" fillId="72" borderId="272" xfId="0" applyFont="1" applyFill="1" applyBorder="1" applyAlignment="1">
      <alignment horizontal="center" vertical="center"/>
    </xf>
    <xf numFmtId="178" fontId="196" fillId="72" borderId="272" xfId="0" applyNumberFormat="1" applyFont="1" applyFill="1" applyBorder="1" applyAlignment="1">
      <alignment horizontal="center" vertical="center"/>
    </xf>
    <xf numFmtId="178" fontId="197" fillId="72" borderId="272" xfId="0" applyNumberFormat="1" applyFont="1" applyFill="1" applyBorder="1" applyAlignment="1">
      <alignment horizontal="center" vertical="center"/>
    </xf>
    <xf numFmtId="0" fontId="80" fillId="72" borderId="272" xfId="0" applyFont="1" applyFill="1" applyBorder="1" applyAlignment="1">
      <alignment horizontal="center" vertical="center"/>
    </xf>
    <xf numFmtId="178" fontId="195" fillId="72" borderId="272" xfId="0" applyNumberFormat="1" applyFont="1" applyFill="1" applyBorder="1" applyAlignment="1">
      <alignment horizontal="center" vertical="center"/>
    </xf>
    <xf numFmtId="178" fontId="195" fillId="72" borderId="273" xfId="0" applyNumberFormat="1" applyFont="1" applyFill="1" applyBorder="1" applyAlignment="1">
      <alignment horizontal="center" vertical="center"/>
    </xf>
    <xf numFmtId="0" fontId="19" fillId="88" borderId="1" xfId="0" applyFont="1" applyFill="1" applyBorder="1" applyAlignment="1" applyProtection="1">
      <alignment horizontal="center" vertical="center"/>
      <protection locked="0"/>
    </xf>
    <xf numFmtId="0" fontId="19" fillId="88" borderId="2" xfId="0" applyFont="1" applyFill="1" applyBorder="1" applyAlignment="1" applyProtection="1">
      <alignment horizontal="center" vertical="center"/>
      <protection locked="0"/>
    </xf>
    <xf numFmtId="0" fontId="19" fillId="88" borderId="4" xfId="0" applyFont="1" applyFill="1" applyBorder="1" applyAlignment="1" applyProtection="1">
      <alignment horizontal="center" vertical="center"/>
      <protection locked="0"/>
    </xf>
    <xf numFmtId="0" fontId="19" fillId="4" borderId="17" xfId="0" applyFont="1" applyFill="1" applyBorder="1" applyAlignment="1">
      <alignment horizontal="center" vertical="center"/>
    </xf>
    <xf numFmtId="0" fontId="19" fillId="4" borderId="18" xfId="0" applyFont="1" applyFill="1" applyBorder="1" applyAlignment="1">
      <alignment horizontal="center" vertical="center"/>
    </xf>
    <xf numFmtId="0" fontId="19" fillId="4" borderId="16" xfId="0" applyFont="1" applyFill="1" applyBorder="1" applyAlignment="1">
      <alignment horizontal="center" vertical="center"/>
    </xf>
    <xf numFmtId="0" fontId="5" fillId="4" borderId="3" xfId="0" applyFont="1" applyFill="1" applyBorder="1" applyAlignment="1">
      <alignment horizontal="center" vertical="center"/>
    </xf>
    <xf numFmtId="0" fontId="19" fillId="4" borderId="248" xfId="0" applyFont="1" applyFill="1" applyBorder="1" applyAlignment="1" applyProtection="1">
      <alignment horizontal="center" vertical="center"/>
      <protection locked="0"/>
    </xf>
    <xf numFmtId="0" fontId="19" fillId="4" borderId="249" xfId="0" applyFont="1" applyFill="1" applyBorder="1" applyAlignment="1" applyProtection="1">
      <alignment horizontal="center" vertical="center"/>
      <protection locked="0"/>
    </xf>
    <xf numFmtId="0" fontId="19" fillId="4" borderId="250" xfId="0" applyFont="1" applyFill="1" applyBorder="1" applyAlignment="1" applyProtection="1">
      <alignment horizontal="center" vertical="center"/>
      <protection locked="0"/>
    </xf>
    <xf numFmtId="0" fontId="19" fillId="10" borderId="17" xfId="0" applyFont="1" applyFill="1" applyBorder="1" applyAlignment="1">
      <alignment horizontal="center" vertical="center"/>
    </xf>
    <xf numFmtId="0" fontId="19" fillId="10" borderId="18" xfId="0" applyFont="1" applyFill="1" applyBorder="1" applyAlignment="1">
      <alignment horizontal="center" vertical="center"/>
    </xf>
    <xf numFmtId="0" fontId="19" fillId="10" borderId="16" xfId="0" applyFont="1" applyFill="1" applyBorder="1" applyAlignment="1">
      <alignment horizontal="center" vertical="center"/>
    </xf>
    <xf numFmtId="0" fontId="19" fillId="10" borderId="11" xfId="0" applyFont="1" applyFill="1" applyBorder="1" applyAlignment="1">
      <alignment horizontal="center" vertical="center"/>
    </xf>
    <xf numFmtId="0" fontId="19" fillId="92" borderId="16" xfId="0" applyFont="1" applyFill="1" applyBorder="1" applyAlignment="1">
      <alignment horizontal="center" vertical="center"/>
    </xf>
    <xf numFmtId="0" fontId="19" fillId="92" borderId="0" xfId="0" applyFont="1" applyFill="1" applyAlignment="1">
      <alignment horizontal="center" vertical="center"/>
    </xf>
    <xf numFmtId="0" fontId="19" fillId="92" borderId="21" xfId="0" applyFont="1" applyFill="1" applyBorder="1" applyAlignment="1">
      <alignment horizontal="center" vertical="center"/>
    </xf>
    <xf numFmtId="0" fontId="19" fillId="92" borderId="22" xfId="0" applyFont="1" applyFill="1" applyBorder="1" applyAlignment="1">
      <alignment horizontal="center" vertical="center"/>
    </xf>
    <xf numFmtId="0" fontId="19" fillId="92" borderId="23" xfId="0" applyFont="1" applyFill="1" applyBorder="1" applyAlignment="1">
      <alignment horizontal="center" vertical="center"/>
    </xf>
    <xf numFmtId="0" fontId="19" fillId="92" borderId="3" xfId="0" applyFont="1" applyFill="1" applyBorder="1" applyAlignment="1">
      <alignment horizontal="center" vertical="center"/>
    </xf>
    <xf numFmtId="0" fontId="5" fillId="92" borderId="3" xfId="0" applyFont="1" applyFill="1" applyBorder="1" applyAlignment="1">
      <alignment horizontal="center" vertical="center"/>
    </xf>
    <xf numFmtId="0" fontId="5" fillId="93" borderId="20" xfId="0" applyFont="1" applyFill="1" applyBorder="1" applyAlignment="1">
      <alignment horizontal="center" vertical="center"/>
    </xf>
    <xf numFmtId="0" fontId="19" fillId="93" borderId="0" xfId="0" applyFont="1" applyFill="1" applyAlignment="1">
      <alignment horizontal="center" vertical="center"/>
    </xf>
    <xf numFmtId="0" fontId="19" fillId="10" borderId="3" xfId="0" applyFont="1" applyFill="1" applyBorder="1" applyAlignment="1">
      <alignment horizontal="center" vertical="center"/>
    </xf>
    <xf numFmtId="0" fontId="5" fillId="4" borderId="19" xfId="0" applyFont="1" applyFill="1" applyBorder="1" applyAlignment="1">
      <alignment horizontal="center" vertical="center"/>
    </xf>
    <xf numFmtId="0" fontId="19" fillId="4" borderId="19" xfId="0" applyFont="1" applyFill="1" applyBorder="1" applyAlignment="1">
      <alignment horizontal="center" vertical="center"/>
    </xf>
    <xf numFmtId="0" fontId="5" fillId="91" borderId="1" xfId="0" applyFont="1" applyFill="1" applyBorder="1" applyAlignment="1" applyProtection="1">
      <alignment horizontal="center" vertical="center"/>
      <protection locked="0"/>
    </xf>
    <xf numFmtId="0" fontId="19" fillId="91" borderId="249" xfId="0" applyFont="1" applyFill="1" applyBorder="1" applyAlignment="1" applyProtection="1">
      <alignment horizontal="center" vertical="center"/>
      <protection locked="0"/>
    </xf>
    <xf numFmtId="0" fontId="19" fillId="91" borderId="250" xfId="0" applyFont="1" applyFill="1" applyBorder="1" applyAlignment="1" applyProtection="1">
      <alignment horizontal="center" vertical="center"/>
      <protection locked="0"/>
    </xf>
    <xf numFmtId="0" fontId="19" fillId="4" borderId="11" xfId="0" applyFont="1" applyFill="1" applyBorder="1" applyAlignment="1">
      <alignment horizontal="center" vertical="center"/>
    </xf>
    <xf numFmtId="0" fontId="19" fillId="4" borderId="21" xfId="0" applyFont="1" applyFill="1" applyBorder="1" applyAlignment="1">
      <alignment horizontal="center" vertical="center"/>
    </xf>
    <xf numFmtId="0" fontId="19" fillId="4" borderId="23" xfId="0" applyFont="1" applyFill="1" applyBorder="1" applyAlignment="1">
      <alignment horizontal="center" vertical="center"/>
    </xf>
    <xf numFmtId="0" fontId="19" fillId="4" borderId="24" xfId="0" applyFont="1" applyFill="1" applyBorder="1" applyAlignment="1">
      <alignment horizontal="center" vertical="center"/>
    </xf>
    <xf numFmtId="0" fontId="19" fillId="4" borderId="22" xfId="0" applyFont="1" applyFill="1" applyBorder="1" applyAlignment="1">
      <alignment horizontal="center" vertical="center"/>
    </xf>
    <xf numFmtId="0" fontId="19" fillId="4" borderId="13" xfId="0" applyFont="1" applyFill="1" applyBorder="1" applyAlignment="1">
      <alignment horizontal="center" vertical="center"/>
    </xf>
    <xf numFmtId="0" fontId="5" fillId="4" borderId="13" xfId="0" applyFont="1" applyFill="1" applyBorder="1" applyAlignment="1">
      <alignment horizontal="center" vertical="center"/>
    </xf>
    <xf numFmtId="0" fontId="19" fillId="10" borderId="21" xfId="0" applyFont="1" applyFill="1" applyBorder="1" applyAlignment="1">
      <alignment horizontal="center" vertical="center"/>
    </xf>
    <xf numFmtId="0" fontId="19" fillId="10" borderId="23" xfId="0" applyFont="1" applyFill="1" applyBorder="1" applyAlignment="1">
      <alignment horizontal="center" vertical="center"/>
    </xf>
    <xf numFmtId="0" fontId="19" fillId="10" borderId="24" xfId="0" applyFont="1" applyFill="1" applyBorder="1" applyAlignment="1">
      <alignment horizontal="center" vertical="center"/>
    </xf>
    <xf numFmtId="0" fontId="19" fillId="10" borderId="22" xfId="0" applyFont="1" applyFill="1" applyBorder="1" applyAlignment="1">
      <alignment horizontal="center" vertical="center"/>
    </xf>
    <xf numFmtId="0" fontId="19" fillId="10" borderId="13" xfId="0" applyFont="1" applyFill="1" applyBorder="1" applyAlignment="1">
      <alignment horizontal="center" vertical="center"/>
    </xf>
    <xf numFmtId="0" fontId="19" fillId="9" borderId="266" xfId="0" applyFont="1" applyFill="1" applyBorder="1" applyAlignment="1" applyProtection="1">
      <alignment horizontal="left" vertical="center"/>
      <protection locked="0"/>
    </xf>
    <xf numFmtId="0" fontId="19" fillId="9" borderId="267" xfId="0" applyFont="1" applyFill="1" applyBorder="1" applyAlignment="1" applyProtection="1">
      <alignment horizontal="left" vertical="center"/>
      <protection locked="0"/>
    </xf>
    <xf numFmtId="0" fontId="19" fillId="89" borderId="1" xfId="0" applyFont="1" applyFill="1" applyBorder="1" applyAlignment="1">
      <alignment horizontal="left" vertical="center"/>
    </xf>
    <xf numFmtId="0" fontId="19" fillId="89" borderId="2" xfId="0" applyFont="1" applyFill="1" applyBorder="1" applyAlignment="1">
      <alignment horizontal="left" vertical="center"/>
    </xf>
    <xf numFmtId="0" fontId="19" fillId="89" borderId="4" xfId="0" applyFont="1" applyFill="1" applyBorder="1" applyAlignment="1">
      <alignment horizontal="left" vertical="center"/>
    </xf>
    <xf numFmtId="0" fontId="59" fillId="7" borderId="1" xfId="0" applyFont="1" applyFill="1" applyBorder="1" applyAlignment="1">
      <alignment horizontal="left" vertical="center"/>
    </xf>
    <xf numFmtId="0" fontId="59" fillId="7" borderId="2" xfId="0" applyFont="1" applyFill="1" applyBorder="1" applyAlignment="1">
      <alignment horizontal="left" vertical="center"/>
    </xf>
    <xf numFmtId="0" fontId="59" fillId="7" borderId="4" xfId="0" applyFont="1" applyFill="1" applyBorder="1" applyAlignment="1">
      <alignment horizontal="left" vertical="center"/>
    </xf>
    <xf numFmtId="0" fontId="19" fillId="0" borderId="76" xfId="0" applyFont="1" applyBorder="1" applyAlignment="1">
      <alignment horizontal="left" vertical="center" wrapText="1"/>
    </xf>
    <xf numFmtId="0" fontId="19" fillId="0" borderId="77" xfId="0" applyFont="1" applyBorder="1" applyAlignment="1">
      <alignment horizontal="left" vertical="center" wrapText="1"/>
    </xf>
    <xf numFmtId="0" fontId="19" fillId="0" borderId="1" xfId="0" applyFont="1" applyBorder="1" applyAlignment="1">
      <alignment horizontal="left" vertical="center" wrapText="1"/>
    </xf>
    <xf numFmtId="0" fontId="19" fillId="0" borderId="6" xfId="0" applyFont="1" applyBorder="1" applyAlignment="1">
      <alignment horizontal="left" vertical="center" wrapText="1"/>
    </xf>
    <xf numFmtId="0" fontId="19" fillId="0" borderId="151" xfId="0" applyFont="1" applyBorder="1" applyAlignment="1">
      <alignment horizontal="left" vertical="center" wrapText="1"/>
    </xf>
    <xf numFmtId="0" fontId="19" fillId="0" borderId="20" xfId="0" applyFont="1" applyBorder="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center" vertical="center" wrapText="1"/>
    </xf>
    <xf numFmtId="0" fontId="19" fillId="0" borderId="3" xfId="0" applyFont="1" applyBorder="1" applyAlignment="1">
      <alignment horizontal="center" vertical="center" wrapText="1"/>
    </xf>
    <xf numFmtId="0" fontId="19" fillId="0" borderId="0" xfId="0" applyFont="1" applyAlignment="1">
      <alignment horizontal="left" vertical="center" wrapText="1"/>
    </xf>
    <xf numFmtId="0" fontId="19" fillId="0" borderId="0" xfId="0" applyFont="1" applyAlignment="1" applyProtection="1">
      <alignment horizontal="left" vertical="center" wrapText="1"/>
      <protection locked="0"/>
    </xf>
    <xf numFmtId="0" fontId="184" fillId="0" borderId="79" xfId="0" applyFont="1" applyBorder="1" applyAlignment="1">
      <alignment horizontal="left" vertical="center" wrapText="1"/>
    </xf>
    <xf numFmtId="0" fontId="184" fillId="0" borderId="80" xfId="0" applyFont="1" applyBorder="1" applyAlignment="1">
      <alignment horizontal="left" vertical="center" wrapText="1"/>
    </xf>
    <xf numFmtId="0" fontId="184" fillId="0" borderId="259" xfId="0" applyFont="1" applyBorder="1" applyAlignment="1">
      <alignment horizontal="left" vertical="center" wrapText="1"/>
    </xf>
    <xf numFmtId="0" fontId="184" fillId="0" borderId="6" xfId="0" applyFont="1" applyBorder="1" applyAlignment="1">
      <alignment horizontal="left" vertical="center" wrapText="1"/>
    </xf>
    <xf numFmtId="0" fontId="184" fillId="0" borderId="0" xfId="0" applyFont="1" applyAlignment="1">
      <alignment horizontal="left" vertical="center" wrapText="1"/>
    </xf>
    <xf numFmtId="0" fontId="184" fillId="0" borderId="93" xfId="0" applyFont="1" applyBorder="1" applyAlignment="1">
      <alignment horizontal="left" vertical="center" wrapText="1"/>
    </xf>
    <xf numFmtId="0" fontId="184" fillId="0" borderId="8" xfId="0" applyFont="1" applyBorder="1" applyAlignment="1">
      <alignment horizontal="left" vertical="center" wrapText="1"/>
    </xf>
    <xf numFmtId="0" fontId="184" fillId="0" borderId="9" xfId="0" applyFont="1" applyBorder="1" applyAlignment="1">
      <alignment horizontal="left" vertical="center" wrapText="1"/>
    </xf>
    <xf numFmtId="0" fontId="184" fillId="0" borderId="94" xfId="0" applyFont="1" applyBorder="1" applyAlignment="1">
      <alignment horizontal="left" vertical="center" wrapText="1"/>
    </xf>
    <xf numFmtId="184" fontId="27" fillId="0" borderId="82" xfId="0" applyNumberFormat="1" applyFont="1" applyBorder="1" applyAlignment="1" applyProtection="1">
      <alignment horizontal="left" vertical="center"/>
      <protection locked="0"/>
    </xf>
    <xf numFmtId="184" fontId="27" fillId="0" borderId="83" xfId="0" applyNumberFormat="1" applyFont="1" applyBorder="1" applyAlignment="1" applyProtection="1">
      <alignment horizontal="left" vertical="center"/>
      <protection locked="0"/>
    </xf>
    <xf numFmtId="184" fontId="27" fillId="0" borderId="87" xfId="0" applyNumberFormat="1" applyFont="1" applyBorder="1" applyAlignment="1" applyProtection="1">
      <alignment horizontal="left" vertical="center"/>
      <protection locked="0"/>
    </xf>
    <xf numFmtId="184" fontId="27" fillId="0" borderId="7" xfId="0" applyNumberFormat="1" applyFont="1" applyBorder="1" applyAlignment="1" applyProtection="1">
      <alignment horizontal="left" vertical="center"/>
      <protection locked="0"/>
    </xf>
    <xf numFmtId="184" fontId="27" fillId="0" borderId="99" xfId="0" applyNumberFormat="1" applyFont="1" applyBorder="1" applyAlignment="1" applyProtection="1">
      <alignment horizontal="left" vertical="center"/>
      <protection locked="0"/>
    </xf>
    <xf numFmtId="184" fontId="27" fillId="0" borderId="10" xfId="0" applyNumberFormat="1" applyFont="1" applyBorder="1" applyAlignment="1" applyProtection="1">
      <alignment horizontal="left" vertical="center"/>
      <protection locked="0"/>
    </xf>
    <xf numFmtId="0" fontId="19" fillId="0" borderId="2" xfId="0" applyFont="1" applyBorder="1" applyAlignment="1">
      <alignment horizontal="left" vertical="center" wrapText="1"/>
    </xf>
    <xf numFmtId="0" fontId="19" fillId="0" borderId="4" xfId="0" applyFont="1" applyBorder="1" applyAlignment="1">
      <alignment horizontal="left" vertical="center" wrapText="1"/>
    </xf>
    <xf numFmtId="0" fontId="19" fillId="0" borderId="7" xfId="0" applyFont="1" applyBorder="1" applyAlignment="1">
      <alignment horizontal="left" vertical="center" wrapText="1"/>
    </xf>
    <xf numFmtId="0" fontId="19" fillId="0" borderId="9" xfId="0" applyFont="1" applyBorder="1" applyAlignment="1">
      <alignment horizontal="left" vertical="center" wrapText="1"/>
    </xf>
    <xf numFmtId="0" fontId="19" fillId="0" borderId="10" xfId="0" applyFont="1" applyBorder="1" applyAlignment="1">
      <alignment horizontal="left" vertical="center" wrapText="1"/>
    </xf>
    <xf numFmtId="0" fontId="19" fillId="9" borderId="263" xfId="0" applyFont="1" applyFill="1" applyBorder="1" applyAlignment="1">
      <alignment horizontal="left" vertical="center"/>
    </xf>
    <xf numFmtId="0" fontId="19" fillId="9" borderId="82" xfId="0" applyFont="1" applyFill="1" applyBorder="1" applyAlignment="1">
      <alignment horizontal="left" vertical="center"/>
    </xf>
    <xf numFmtId="0" fontId="19" fillId="55" borderId="6" xfId="0" applyFont="1" applyFill="1" applyBorder="1" applyAlignment="1">
      <alignment horizontal="left" vertical="center"/>
    </xf>
    <xf numFmtId="0" fontId="19" fillId="55" borderId="0" xfId="0" applyFont="1" applyFill="1" applyAlignment="1">
      <alignment horizontal="left" vertical="center"/>
    </xf>
    <xf numFmtId="0" fontId="19" fillId="9" borderId="6" xfId="0" applyFont="1" applyFill="1" applyBorder="1" applyAlignment="1">
      <alignment horizontal="left" vertical="center"/>
    </xf>
    <xf numFmtId="0" fontId="19" fillId="9" borderId="0" xfId="0" applyFont="1" applyFill="1" applyAlignment="1">
      <alignment horizontal="left" vertical="center"/>
    </xf>
    <xf numFmtId="0" fontId="19" fillId="55" borderId="84" xfId="0" applyFont="1" applyFill="1" applyBorder="1" applyAlignment="1">
      <alignment horizontal="left" vertical="center"/>
    </xf>
    <xf numFmtId="0" fontId="19" fillId="55" borderId="85" xfId="0" applyFont="1" applyFill="1" applyBorder="1" applyAlignment="1">
      <alignment horizontal="left" vertical="center"/>
    </xf>
    <xf numFmtId="0" fontId="19" fillId="9" borderId="84" xfId="0" applyFont="1" applyFill="1" applyBorder="1" applyAlignment="1" applyProtection="1">
      <alignment horizontal="left" vertical="center"/>
      <protection locked="0"/>
    </xf>
    <xf numFmtId="0" fontId="19" fillId="9" borderId="85" xfId="0" applyFont="1" applyFill="1" applyBorder="1" applyAlignment="1" applyProtection="1">
      <alignment horizontal="left" vertical="center"/>
      <protection locked="0"/>
    </xf>
    <xf numFmtId="0" fontId="19" fillId="55" borderId="148" xfId="0" applyFont="1" applyFill="1" applyBorder="1" applyAlignment="1">
      <alignment horizontal="left" vertical="center"/>
    </xf>
    <xf numFmtId="0" fontId="19" fillId="55" borderId="264" xfId="0" applyFont="1" applyFill="1" applyBorder="1" applyAlignment="1">
      <alignment horizontal="left" vertical="center"/>
    </xf>
    <xf numFmtId="0" fontId="19" fillId="9" borderId="6" xfId="0" applyFont="1" applyFill="1" applyBorder="1" applyAlignment="1" applyProtection="1">
      <alignment horizontal="left" vertical="center"/>
      <protection locked="0"/>
    </xf>
    <xf numFmtId="0" fontId="19" fillId="9" borderId="265" xfId="0" applyFont="1" applyFill="1" applyBorder="1" applyAlignment="1" applyProtection="1">
      <alignment horizontal="left" vertical="center"/>
      <protection locked="0"/>
    </xf>
    <xf numFmtId="0" fontId="19" fillId="55" borderId="262" xfId="0" applyFont="1" applyFill="1" applyBorder="1" applyAlignment="1">
      <alignment horizontal="left" vertical="center"/>
    </xf>
    <xf numFmtId="0" fontId="9" fillId="7" borderId="151" xfId="0" applyFont="1" applyFill="1" applyBorder="1" applyAlignment="1" applyProtection="1">
      <alignment horizontal="left" vertical="center"/>
      <protection locked="0"/>
    </xf>
    <xf numFmtId="0" fontId="9" fillId="7" borderId="2" xfId="0" applyFont="1" applyFill="1" applyBorder="1" applyAlignment="1" applyProtection="1">
      <alignment horizontal="left" vertical="center"/>
      <protection locked="0"/>
    </xf>
    <xf numFmtId="0" fontId="9" fillId="73" borderId="151" xfId="0" applyFont="1" applyFill="1" applyBorder="1" applyAlignment="1" applyProtection="1">
      <alignment horizontal="left" vertical="center"/>
      <protection locked="0"/>
    </xf>
    <xf numFmtId="0" fontId="9" fillId="73" borderId="4" xfId="0" applyFont="1" applyFill="1" applyBorder="1" applyAlignment="1" applyProtection="1">
      <alignment horizontal="left" vertical="center"/>
      <protection locked="0"/>
    </xf>
    <xf numFmtId="0" fontId="9" fillId="73" borderId="2" xfId="0" applyFont="1" applyFill="1" applyBorder="1" applyAlignment="1" applyProtection="1">
      <alignment horizontal="left" vertical="center"/>
      <protection locked="0"/>
    </xf>
    <xf numFmtId="0" fontId="9" fillId="7" borderId="1" xfId="0" applyFont="1" applyFill="1" applyBorder="1" applyAlignment="1" applyProtection="1">
      <alignment horizontal="left" vertical="center"/>
      <protection locked="0"/>
    </xf>
    <xf numFmtId="0" fontId="9" fillId="7" borderId="4" xfId="0" applyFont="1" applyFill="1" applyBorder="1" applyAlignment="1" applyProtection="1">
      <alignment horizontal="left" vertical="center"/>
      <protection locked="0"/>
    </xf>
    <xf numFmtId="0" fontId="19" fillId="8" borderId="0" xfId="0" applyFont="1" applyFill="1" applyAlignment="1">
      <alignment horizontal="left" vertical="center"/>
    </xf>
    <xf numFmtId="0" fontId="19" fillId="0" borderId="1" xfId="0" applyFont="1" applyBorder="1" applyAlignment="1">
      <alignment horizontal="left" vertical="center"/>
    </xf>
    <xf numFmtId="0" fontId="19" fillId="0" borderId="2" xfId="0" applyFont="1" applyBorder="1" applyAlignment="1">
      <alignment horizontal="left" vertical="center"/>
    </xf>
    <xf numFmtId="0" fontId="19" fillId="73" borderId="1" xfId="0" applyFont="1" applyFill="1" applyBorder="1" applyAlignment="1">
      <alignment horizontal="left" vertical="center"/>
    </xf>
    <xf numFmtId="0" fontId="19" fillId="73" borderId="2" xfId="0" applyFont="1" applyFill="1" applyBorder="1" applyAlignment="1">
      <alignment horizontal="left" vertical="center"/>
    </xf>
    <xf numFmtId="0" fontId="19" fillId="73" borderId="4" xfId="0" applyFont="1" applyFill="1" applyBorder="1" applyAlignment="1">
      <alignment horizontal="left" vertical="center"/>
    </xf>
    <xf numFmtId="0" fontId="19" fillId="55" borderId="80" xfId="0" applyFont="1" applyFill="1" applyBorder="1" applyAlignment="1">
      <alignment horizontal="left" vertical="center"/>
    </xf>
    <xf numFmtId="49" fontId="107" fillId="0" borderId="0" xfId="6" applyNumberFormat="1" applyFont="1" applyAlignment="1" applyProtection="1">
      <alignment horizontal="left" vertical="center" wrapText="1"/>
    </xf>
    <xf numFmtId="49" fontId="107" fillId="0" borderId="7" xfId="6" applyNumberFormat="1" applyFont="1" applyBorder="1" applyAlignment="1" applyProtection="1">
      <alignment horizontal="left" vertical="center" wrapText="1"/>
    </xf>
    <xf numFmtId="0" fontId="101" fillId="0" borderId="0" xfId="0" applyFont="1" applyAlignment="1">
      <alignment horizontal="left" vertical="center" wrapText="1"/>
    </xf>
    <xf numFmtId="0" fontId="101" fillId="0" borderId="7" xfId="0" applyFont="1" applyBorder="1" applyAlignment="1">
      <alignment horizontal="left" vertical="center" wrapText="1"/>
    </xf>
    <xf numFmtId="49" fontId="107" fillId="0" borderId="9" xfId="6" applyNumberFormat="1" applyFont="1" applyBorder="1" applyAlignment="1" applyProtection="1">
      <alignment horizontal="left" vertical="center" wrapText="1"/>
    </xf>
    <xf numFmtId="49" fontId="107" fillId="0" borderId="10" xfId="6" applyNumberFormat="1" applyFont="1" applyBorder="1" applyAlignment="1" applyProtection="1">
      <alignment horizontal="left" vertical="center" wrapText="1"/>
    </xf>
    <xf numFmtId="0" fontId="101" fillId="0" borderId="9" xfId="0" applyFont="1" applyBorder="1" applyAlignment="1">
      <alignment horizontal="left" vertical="center" wrapText="1"/>
    </xf>
    <xf numFmtId="0" fontId="101" fillId="0" borderId="10" xfId="0" applyFont="1" applyBorder="1" applyAlignment="1">
      <alignment horizontal="left" vertical="center" wrapText="1"/>
    </xf>
    <xf numFmtId="49" fontId="188" fillId="90" borderId="2" xfId="6" applyNumberFormat="1" applyFont="1" applyFill="1" applyBorder="1" applyAlignment="1" applyProtection="1">
      <alignment horizontal="left" vertical="top" wrapText="1"/>
    </xf>
    <xf numFmtId="49" fontId="188" fillId="90" borderId="4" xfId="6" applyNumberFormat="1" applyFont="1" applyFill="1" applyBorder="1" applyAlignment="1" applyProtection="1">
      <alignment horizontal="left" vertical="top" wrapText="1"/>
    </xf>
    <xf numFmtId="0" fontId="19" fillId="0" borderId="0" xfId="0" applyFont="1" applyAlignment="1" applyProtection="1">
      <alignment horizontal="center" vertical="center" wrapText="1"/>
      <protection locked="0"/>
    </xf>
    <xf numFmtId="0" fontId="59" fillId="72" borderId="165" xfId="0" applyFont="1" applyFill="1" applyBorder="1" applyAlignment="1">
      <alignment horizontal="left" vertical="center"/>
    </xf>
    <xf numFmtId="0" fontId="59" fillId="72" borderId="166" xfId="0" applyFont="1" applyFill="1" applyBorder="1" applyAlignment="1">
      <alignment horizontal="left" vertical="center"/>
    </xf>
    <xf numFmtId="0" fontId="182" fillId="72" borderId="257" xfId="0" applyFont="1" applyFill="1" applyBorder="1" applyAlignment="1">
      <alignment horizontal="left" vertical="center"/>
    </xf>
    <xf numFmtId="0" fontId="182" fillId="72" borderId="258" xfId="0" applyFont="1" applyFill="1" applyBorder="1" applyAlignment="1">
      <alignment horizontal="left" vertical="center"/>
    </xf>
    <xf numFmtId="0" fontId="59" fillId="72" borderId="257" xfId="0" applyFont="1" applyFill="1" applyBorder="1" applyAlignment="1">
      <alignment horizontal="left" vertical="center"/>
    </xf>
    <xf numFmtId="0" fontId="59" fillId="72" borderId="167" xfId="0" applyFont="1" applyFill="1" applyBorder="1" applyAlignment="1">
      <alignment horizontal="left" vertical="center"/>
    </xf>
    <xf numFmtId="0" fontId="0" fillId="0" borderId="0" xfId="0" applyAlignment="1">
      <alignment horizontal="center" vertical="center"/>
    </xf>
    <xf numFmtId="0" fontId="19" fillId="0" borderId="9" xfId="0" applyFont="1" applyBorder="1" applyAlignment="1">
      <alignment horizontal="left" vertical="center"/>
    </xf>
    <xf numFmtId="0" fontId="19" fillId="0" borderId="10" xfId="0" applyFont="1" applyBorder="1" applyAlignment="1">
      <alignment horizontal="left" vertical="center"/>
    </xf>
    <xf numFmtId="0" fontId="87" fillId="52" borderId="0" xfId="6" applyFont="1" applyFill="1" applyAlignment="1">
      <alignment horizontal="left" vertical="center"/>
      <protection locked="0"/>
    </xf>
    <xf numFmtId="0" fontId="17" fillId="8" borderId="248" xfId="0" applyFont="1" applyFill="1" applyBorder="1" applyAlignment="1">
      <alignment horizontal="left" vertical="center"/>
    </xf>
    <xf numFmtId="0" fontId="17" fillId="8" borderId="249" xfId="0" applyFont="1" applyFill="1" applyBorder="1" applyAlignment="1">
      <alignment horizontal="left" vertical="center"/>
    </xf>
    <xf numFmtId="0" fontId="17" fillId="8" borderId="250" xfId="0" applyFont="1" applyFill="1" applyBorder="1" applyAlignment="1">
      <alignment horizontal="left" vertical="center"/>
    </xf>
    <xf numFmtId="0" fontId="19" fillId="4" borderId="2" xfId="0" applyFont="1" applyFill="1" applyBorder="1" applyAlignment="1">
      <alignment horizontal="left" vertical="center"/>
    </xf>
    <xf numFmtId="0" fontId="19" fillId="4" borderId="4" xfId="0" applyFont="1" applyFill="1" applyBorder="1" applyAlignment="1">
      <alignment horizontal="left" vertical="center"/>
    </xf>
    <xf numFmtId="0" fontId="19" fillId="0" borderId="4" xfId="0" applyFont="1" applyBorder="1" applyAlignment="1">
      <alignment horizontal="left" vertical="center"/>
    </xf>
    <xf numFmtId="0" fontId="19" fillId="0" borderId="7" xfId="0" applyFont="1" applyBorder="1" applyAlignment="1">
      <alignment horizontal="left" vertical="center"/>
    </xf>
    <xf numFmtId="0" fontId="19" fillId="8" borderId="1" xfId="0" applyFont="1" applyFill="1" applyBorder="1" applyAlignment="1">
      <alignment horizontal="left" vertical="center"/>
    </xf>
    <xf numFmtId="0" fontId="19" fillId="8" borderId="256" xfId="0" applyFont="1" applyFill="1" applyBorder="1" applyAlignment="1">
      <alignment horizontal="left" vertical="center"/>
    </xf>
    <xf numFmtId="0" fontId="150" fillId="0" borderId="0" xfId="2" applyNumberFormat="1" applyFont="1" applyFill="1" applyBorder="1" applyAlignment="1" applyProtection="1">
      <alignment horizontal="left" vertical="center" wrapText="1"/>
    </xf>
    <xf numFmtId="0" fontId="19" fillId="8" borderId="2" xfId="0" applyFont="1" applyFill="1" applyBorder="1" applyAlignment="1">
      <alignment horizontal="left" vertical="center"/>
    </xf>
    <xf numFmtId="0" fontId="19" fillId="8" borderId="4" xfId="0" applyFont="1" applyFill="1" applyBorder="1" applyAlignment="1">
      <alignment horizontal="left" vertical="center"/>
    </xf>
    <xf numFmtId="0" fontId="19" fillId="0" borderId="249" xfId="0" applyFont="1" applyBorder="1" applyAlignment="1">
      <alignment horizontal="left" vertical="center"/>
    </xf>
    <xf numFmtId="0" fontId="19" fillId="0" borderId="250" xfId="0" applyFont="1" applyBorder="1" applyAlignment="1">
      <alignment horizontal="left" vertical="center"/>
    </xf>
    <xf numFmtId="0" fontId="19" fillId="8" borderId="248" xfId="0" applyFont="1" applyFill="1" applyBorder="1" applyAlignment="1">
      <alignment horizontal="left" vertical="center"/>
    </xf>
    <xf numFmtId="0" fontId="19" fillId="8" borderId="249" xfId="0" applyFont="1" applyFill="1" applyBorder="1" applyAlignment="1">
      <alignment horizontal="left" vertical="center"/>
    </xf>
    <xf numFmtId="0" fontId="19" fillId="8" borderId="250" xfId="0" applyFont="1" applyFill="1" applyBorder="1" applyAlignment="1">
      <alignment horizontal="left" vertical="center"/>
    </xf>
    <xf numFmtId="0" fontId="19" fillId="8" borderId="0" xfId="0" applyFont="1" applyFill="1" applyAlignment="1">
      <alignment horizontal="center" vertical="center"/>
    </xf>
    <xf numFmtId="0" fontId="163" fillId="10" borderId="187" xfId="0" applyFont="1" applyFill="1" applyBorder="1" applyAlignment="1">
      <alignment horizontal="center" vertical="center" wrapText="1"/>
    </xf>
    <xf numFmtId="0" fontId="163" fillId="10" borderId="188" xfId="0" applyFont="1" applyFill="1" applyBorder="1" applyAlignment="1">
      <alignment horizontal="center" vertical="center" wrapText="1"/>
    </xf>
    <xf numFmtId="0" fontId="164" fillId="0" borderId="189" xfId="0" applyFont="1" applyBorder="1" applyAlignment="1" applyProtection="1">
      <alignment horizontal="center" vertical="center" wrapText="1"/>
      <protection locked="0"/>
    </xf>
    <xf numFmtId="0" fontId="164" fillId="0" borderId="191" xfId="0" applyFont="1" applyBorder="1" applyAlignment="1" applyProtection="1">
      <alignment horizontal="center" vertical="center" wrapText="1"/>
      <protection locked="0"/>
    </xf>
    <xf numFmtId="0" fontId="164" fillId="0" borderId="190" xfId="0" applyFont="1" applyBorder="1" applyAlignment="1" applyProtection="1">
      <alignment horizontal="center" vertical="center" wrapText="1"/>
      <protection locked="0"/>
    </xf>
    <xf numFmtId="0" fontId="164" fillId="0" borderId="192" xfId="0" applyFont="1" applyBorder="1" applyAlignment="1" applyProtection="1">
      <alignment horizontal="center" vertical="center" wrapText="1"/>
      <protection locked="0"/>
    </xf>
    <xf numFmtId="0" fontId="164" fillId="10" borderId="185" xfId="0" applyFont="1" applyFill="1" applyBorder="1" applyAlignment="1" applyProtection="1">
      <alignment horizontal="center" vertical="center" wrapText="1"/>
      <protection locked="0"/>
    </xf>
    <xf numFmtId="0" fontId="165" fillId="0" borderId="184" xfId="0" applyFont="1" applyBorder="1" applyAlignment="1" applyProtection="1">
      <alignment horizontal="center" vertical="top" wrapText="1"/>
      <protection locked="0"/>
    </xf>
    <xf numFmtId="0" fontId="165" fillId="0" borderId="185" xfId="0" applyFont="1" applyBorder="1" applyAlignment="1" applyProtection="1">
      <alignment horizontal="center" vertical="top" wrapText="1"/>
      <protection locked="0"/>
    </xf>
    <xf numFmtId="0" fontId="165" fillId="0" borderId="193" xfId="0" applyFont="1" applyBorder="1" applyAlignment="1" applyProtection="1">
      <alignment horizontal="center" vertical="top" wrapText="1"/>
      <protection locked="0"/>
    </xf>
    <xf numFmtId="0" fontId="165" fillId="0" borderId="194" xfId="0" applyFont="1" applyBorder="1" applyAlignment="1" applyProtection="1">
      <alignment horizontal="center" vertical="top" wrapText="1"/>
      <protection locked="0"/>
    </xf>
    <xf numFmtId="0" fontId="165" fillId="10" borderId="185" xfId="0" applyFont="1" applyFill="1" applyBorder="1" applyAlignment="1" applyProtection="1">
      <alignment horizontal="center" vertical="top" wrapText="1"/>
      <protection locked="0"/>
    </xf>
    <xf numFmtId="0" fontId="165" fillId="10" borderId="194" xfId="0" applyFont="1" applyFill="1" applyBorder="1" applyAlignment="1" applyProtection="1">
      <alignment horizontal="center" vertical="top" wrapText="1"/>
      <protection locked="0"/>
    </xf>
    <xf numFmtId="0" fontId="165" fillId="10" borderId="186" xfId="0" applyFont="1" applyFill="1" applyBorder="1" applyAlignment="1" applyProtection="1">
      <alignment horizontal="center" vertical="top" wrapText="1"/>
      <protection locked="0"/>
    </xf>
    <xf numFmtId="0" fontId="165" fillId="10" borderId="195" xfId="0" applyFont="1" applyFill="1" applyBorder="1" applyAlignment="1" applyProtection="1">
      <alignment horizontal="center" vertical="top" wrapText="1"/>
      <protection locked="0"/>
    </xf>
    <xf numFmtId="0" fontId="164" fillId="10" borderId="186" xfId="0" applyFont="1" applyFill="1" applyBorder="1" applyAlignment="1" applyProtection="1">
      <alignment horizontal="center" vertical="center" wrapText="1"/>
      <protection locked="0"/>
    </xf>
    <xf numFmtId="49" fontId="19" fillId="9" borderId="242" xfId="0" applyNumberFormat="1" applyFont="1" applyFill="1" applyBorder="1" applyAlignment="1" applyProtection="1">
      <alignment horizontal="center" vertical="center" wrapText="1"/>
      <protection locked="0"/>
    </xf>
    <xf numFmtId="49" fontId="19" fillId="9" borderId="243" xfId="0" applyNumberFormat="1" applyFont="1" applyFill="1" applyBorder="1" applyAlignment="1" applyProtection="1">
      <alignment horizontal="center" vertical="center" wrapText="1"/>
      <protection locked="0"/>
    </xf>
    <xf numFmtId="49" fontId="22" fillId="9" borderId="243" xfId="0" applyNumberFormat="1" applyFont="1" applyFill="1" applyBorder="1" applyAlignment="1" applyProtection="1">
      <alignment horizontal="center" vertical="center" wrapText="1"/>
      <protection locked="0"/>
    </xf>
    <xf numFmtId="182" fontId="22" fillId="9" borderId="243" xfId="0" applyNumberFormat="1" applyFont="1" applyFill="1" applyBorder="1" applyAlignment="1" applyProtection="1">
      <alignment horizontal="center" vertical="center" wrapText="1"/>
      <protection locked="0"/>
    </xf>
    <xf numFmtId="49" fontId="19" fillId="9" borderId="244" xfId="0" applyNumberFormat="1" applyFont="1" applyFill="1" applyBorder="1" applyAlignment="1" applyProtection="1">
      <alignment horizontal="center" vertical="center" wrapText="1"/>
      <protection locked="0"/>
    </xf>
    <xf numFmtId="0" fontId="0" fillId="0" borderId="0" xfId="0" applyAlignment="1">
      <alignment horizontal="center" vertical="center" wrapText="1"/>
    </xf>
    <xf numFmtId="49" fontId="19" fillId="9" borderId="237" xfId="0" applyNumberFormat="1" applyFont="1" applyFill="1" applyBorder="1" applyAlignment="1" applyProtection="1">
      <alignment horizontal="center" vertical="center" wrapText="1"/>
      <protection locked="0"/>
    </xf>
    <xf numFmtId="49" fontId="19" fillId="9" borderId="213" xfId="0" applyNumberFormat="1" applyFont="1" applyFill="1" applyBorder="1" applyAlignment="1" applyProtection="1">
      <alignment horizontal="center" vertical="center" wrapText="1"/>
      <protection locked="0"/>
    </xf>
    <xf numFmtId="49" fontId="22" fillId="9" borderId="213" xfId="0" applyNumberFormat="1" applyFont="1" applyFill="1" applyBorder="1" applyAlignment="1" applyProtection="1">
      <alignment horizontal="center" vertical="center" wrapText="1"/>
      <protection locked="0"/>
    </xf>
    <xf numFmtId="182" fontId="22" fillId="9" borderId="213" xfId="0" applyNumberFormat="1" applyFont="1" applyFill="1" applyBorder="1" applyAlignment="1" applyProtection="1">
      <alignment horizontal="center" vertical="center" wrapText="1"/>
      <protection locked="0"/>
    </xf>
    <xf numFmtId="49" fontId="19" fillId="9" borderId="238" xfId="0" applyNumberFormat="1" applyFont="1" applyFill="1" applyBorder="1" applyAlignment="1" applyProtection="1">
      <alignment horizontal="center" vertical="center" wrapText="1"/>
      <protection locked="0"/>
    </xf>
    <xf numFmtId="49" fontId="19" fillId="0" borderId="237" xfId="0" applyNumberFormat="1" applyFont="1" applyBorder="1" applyAlignment="1" applyProtection="1">
      <alignment horizontal="center" vertical="center" wrapText="1"/>
      <protection locked="0"/>
    </xf>
    <xf numFmtId="49" fontId="19" fillId="0" borderId="213" xfId="0" applyNumberFormat="1" applyFont="1" applyBorder="1" applyAlignment="1" applyProtection="1">
      <alignment horizontal="center" vertical="center" wrapText="1"/>
      <protection locked="0"/>
    </xf>
    <xf numFmtId="49" fontId="22" fillId="0" borderId="213" xfId="0" applyNumberFormat="1" applyFont="1" applyBorder="1" applyAlignment="1" applyProtection="1">
      <alignment horizontal="center" vertical="center" wrapText="1"/>
      <protection locked="0"/>
    </xf>
    <xf numFmtId="182" fontId="22" fillId="0" borderId="213" xfId="0" applyNumberFormat="1" applyFont="1" applyBorder="1" applyAlignment="1" applyProtection="1">
      <alignment horizontal="center" vertical="center" wrapText="1"/>
      <protection locked="0"/>
    </xf>
    <xf numFmtId="0" fontId="0" fillId="0" borderId="213" xfId="0" applyBorder="1" applyAlignment="1">
      <alignment horizontal="center" vertical="center"/>
    </xf>
    <xf numFmtId="0" fontId="0" fillId="0" borderId="238" xfId="0" applyBorder="1" applyAlignment="1">
      <alignment horizontal="center" vertical="center"/>
    </xf>
    <xf numFmtId="0" fontId="19" fillId="9" borderId="213" xfId="0" applyFont="1" applyFill="1" applyBorder="1" applyAlignment="1" applyProtection="1">
      <alignment horizontal="center" vertical="center" wrapText="1"/>
      <protection locked="0"/>
    </xf>
    <xf numFmtId="182" fontId="19" fillId="9" borderId="213" xfId="0" applyNumberFormat="1" applyFont="1" applyFill="1" applyBorder="1" applyAlignment="1" applyProtection="1">
      <alignment horizontal="center" vertical="center" wrapText="1"/>
      <protection locked="0"/>
    </xf>
    <xf numFmtId="183" fontId="19" fillId="9" borderId="213" xfId="0" applyNumberFormat="1" applyFont="1" applyFill="1" applyBorder="1" applyAlignment="1" applyProtection="1">
      <alignment horizontal="center" vertical="center" wrapText="1"/>
      <protection locked="0"/>
    </xf>
    <xf numFmtId="0" fontId="0" fillId="0" borderId="243" xfId="0" applyBorder="1" applyAlignment="1">
      <alignment horizontal="center" vertical="center"/>
    </xf>
    <xf numFmtId="0" fontId="0" fillId="0" borderId="244" xfId="0" applyBorder="1" applyAlignment="1">
      <alignment horizontal="center" vertical="center"/>
    </xf>
    <xf numFmtId="0" fontId="59" fillId="72" borderId="200" xfId="0" applyFont="1" applyFill="1" applyBorder="1" applyAlignment="1">
      <alignment horizontal="center" vertical="center"/>
    </xf>
    <xf numFmtId="0" fontId="59" fillId="72" borderId="0" xfId="0" applyFont="1" applyFill="1" applyAlignment="1">
      <alignment horizontal="center" vertical="center"/>
    </xf>
    <xf numFmtId="0" fontId="158" fillId="71" borderId="200" xfId="0" applyFont="1" applyFill="1" applyBorder="1" applyAlignment="1">
      <alignment horizontal="center" vertical="center"/>
    </xf>
    <xf numFmtId="0" fontId="158" fillId="71" borderId="0" xfId="0" applyFont="1" applyFill="1" applyAlignment="1">
      <alignment horizontal="center" vertical="center"/>
    </xf>
    <xf numFmtId="0" fontId="5" fillId="4" borderId="245" xfId="4" applyNumberFormat="1" applyFont="1" applyFill="1" applyBorder="1" applyAlignment="1" applyProtection="1">
      <alignment horizontal="center" vertical="center"/>
    </xf>
    <xf numFmtId="0" fontId="5" fillId="4" borderId="246" xfId="4" applyNumberFormat="1" applyFont="1" applyFill="1" applyBorder="1" applyAlignment="1" applyProtection="1">
      <alignment horizontal="center" vertical="center"/>
    </xf>
    <xf numFmtId="0" fontId="19" fillId="4" borderId="246" xfId="0" applyFont="1" applyFill="1" applyBorder="1" applyAlignment="1">
      <alignment horizontal="center" vertical="center"/>
    </xf>
    <xf numFmtId="0" fontId="5" fillId="4" borderId="247" xfId="4" applyNumberFormat="1" applyFont="1" applyFill="1" applyBorder="1" applyAlignment="1" applyProtection="1">
      <alignment horizontal="center" vertical="center"/>
    </xf>
    <xf numFmtId="0" fontId="19" fillId="5" borderId="239" xfId="0" applyFont="1" applyFill="1" applyBorder="1" applyAlignment="1" applyProtection="1">
      <alignment horizontal="center" vertical="center"/>
      <protection locked="0"/>
    </xf>
    <xf numFmtId="0" fontId="19" fillId="5" borderId="240" xfId="0" applyFont="1" applyFill="1" applyBorder="1" applyAlignment="1" applyProtection="1">
      <alignment horizontal="center" vertical="center"/>
      <protection locked="0"/>
    </xf>
    <xf numFmtId="0" fontId="19" fillId="5" borderId="241" xfId="0" applyFont="1" applyFill="1" applyBorder="1" applyAlignment="1" applyProtection="1">
      <alignment horizontal="center" vertical="center"/>
      <protection locked="0"/>
    </xf>
    <xf numFmtId="0" fontId="19" fillId="5" borderId="23" xfId="0" applyFont="1" applyFill="1" applyBorder="1" applyAlignment="1" applyProtection="1">
      <alignment horizontal="center" vertical="center"/>
      <protection locked="0"/>
    </xf>
    <xf numFmtId="0" fontId="19" fillId="5" borderId="24" xfId="0" applyFont="1" applyFill="1" applyBorder="1" applyAlignment="1" applyProtection="1">
      <alignment horizontal="center" vertical="center"/>
      <protection locked="0"/>
    </xf>
    <xf numFmtId="0" fontId="0" fillId="0" borderId="242" xfId="0" applyBorder="1" applyAlignment="1">
      <alignment horizontal="center" vertical="center"/>
    </xf>
    <xf numFmtId="0" fontId="19" fillId="9" borderId="229" xfId="0" applyFont="1" applyFill="1" applyBorder="1" applyAlignment="1" applyProtection="1">
      <alignment horizontal="center" vertical="center"/>
      <protection locked="0"/>
    </xf>
    <xf numFmtId="0" fontId="19" fillId="9" borderId="230" xfId="0" applyFont="1" applyFill="1" applyBorder="1" applyAlignment="1" applyProtection="1">
      <alignment horizontal="center" vertical="center"/>
      <protection locked="0"/>
    </xf>
    <xf numFmtId="0" fontId="19" fillId="9" borderId="231" xfId="0" applyFont="1" applyFill="1" applyBorder="1" applyAlignment="1" applyProtection="1">
      <alignment horizontal="center" vertical="center"/>
      <protection locked="0"/>
    </xf>
    <xf numFmtId="0" fontId="19" fillId="9" borderId="21" xfId="0" applyFont="1" applyFill="1" applyBorder="1" applyAlignment="1" applyProtection="1">
      <alignment horizontal="center" vertical="center"/>
      <protection locked="0"/>
    </xf>
    <xf numFmtId="0" fontId="0" fillId="9" borderId="237" xfId="0" applyFill="1" applyBorder="1" applyAlignment="1">
      <alignment horizontal="center" vertical="center"/>
    </xf>
    <xf numFmtId="0" fontId="0" fillId="9" borderId="213" xfId="0" applyFill="1" applyBorder="1" applyAlignment="1">
      <alignment horizontal="center" vertical="center"/>
    </xf>
    <xf numFmtId="0" fontId="0" fillId="9" borderId="238" xfId="0" applyFill="1" applyBorder="1" applyAlignment="1">
      <alignment horizontal="center" vertical="center"/>
    </xf>
    <xf numFmtId="0" fontId="0" fillId="0" borderId="237" xfId="0" applyBorder="1" applyAlignment="1">
      <alignment horizontal="center" vertical="center"/>
    </xf>
    <xf numFmtId="0" fontId="19" fillId="5" borderId="235" xfId="0" applyFont="1" applyFill="1" applyBorder="1" applyAlignment="1" applyProtection="1">
      <alignment horizontal="center" vertical="center"/>
      <protection locked="0"/>
    </xf>
    <xf numFmtId="0" fontId="19" fillId="5" borderId="236" xfId="0" applyFont="1" applyFill="1" applyBorder="1" applyAlignment="1" applyProtection="1">
      <alignment horizontal="center" vertical="center"/>
      <protection locked="0"/>
    </xf>
    <xf numFmtId="0" fontId="19" fillId="5" borderId="231" xfId="0" applyFont="1" applyFill="1" applyBorder="1" applyAlignment="1" applyProtection="1">
      <alignment horizontal="center" vertical="center"/>
      <protection locked="0"/>
    </xf>
    <xf numFmtId="0" fontId="19" fillId="5" borderId="0" xfId="0" applyFont="1" applyFill="1" applyAlignment="1" applyProtection="1">
      <alignment horizontal="center" vertical="center"/>
      <protection locked="0"/>
    </xf>
    <xf numFmtId="0" fontId="19" fillId="5" borderId="21" xfId="0" applyFont="1" applyFill="1" applyBorder="1" applyAlignment="1" applyProtection="1">
      <alignment horizontal="center" vertical="center"/>
      <protection locked="0"/>
    </xf>
    <xf numFmtId="0" fontId="0" fillId="0" borderId="213" xfId="0" applyBorder="1" applyAlignment="1">
      <alignment horizontal="center" vertical="center" wrapText="1"/>
    </xf>
    <xf numFmtId="0" fontId="0" fillId="0" borderId="225" xfId="0" applyBorder="1" applyAlignment="1">
      <alignment horizontal="center" vertical="center"/>
    </xf>
    <xf numFmtId="0" fontId="0" fillId="0" borderId="226" xfId="0" applyBorder="1" applyAlignment="1">
      <alignment horizontal="center" vertical="center"/>
    </xf>
    <xf numFmtId="0" fontId="59" fillId="72" borderId="16" xfId="0" applyFont="1" applyFill="1" applyBorder="1" applyAlignment="1">
      <alignment horizontal="center" vertical="center"/>
    </xf>
    <xf numFmtId="0" fontId="59" fillId="72" borderId="17" xfId="0" applyFont="1" applyFill="1" applyBorder="1" applyAlignment="1">
      <alignment horizontal="center" vertical="center"/>
    </xf>
    <xf numFmtId="0" fontId="59" fillId="72" borderId="18" xfId="0" applyFont="1" applyFill="1" applyBorder="1" applyAlignment="1">
      <alignment horizontal="center" vertical="center"/>
    </xf>
    <xf numFmtId="0" fontId="59" fillId="72" borderId="227" xfId="2" applyNumberFormat="1" applyFont="1" applyFill="1" applyBorder="1" applyAlignment="1" applyProtection="1">
      <alignment horizontal="center" vertical="center"/>
    </xf>
    <xf numFmtId="0" fontId="59" fillId="72" borderId="228" xfId="2" applyNumberFormat="1" applyFont="1" applyFill="1" applyBorder="1" applyAlignment="1" applyProtection="1">
      <alignment horizontal="center" vertical="center"/>
    </xf>
    <xf numFmtId="0" fontId="19" fillId="88" borderId="229" xfId="0" applyFont="1" applyFill="1" applyBorder="1" applyAlignment="1">
      <alignment horizontal="center" vertical="center"/>
    </xf>
    <xf numFmtId="0" fontId="19" fillId="88" borderId="230" xfId="0" applyFont="1" applyFill="1" applyBorder="1" applyAlignment="1">
      <alignment horizontal="center" vertical="center"/>
    </xf>
    <xf numFmtId="0" fontId="19" fillId="88" borderId="231" xfId="0" applyFont="1" applyFill="1" applyBorder="1" applyAlignment="1">
      <alignment horizontal="center" vertical="center"/>
    </xf>
    <xf numFmtId="0" fontId="19" fillId="88" borderId="0" xfId="0" applyFont="1" applyFill="1" applyAlignment="1">
      <alignment horizontal="center" vertical="center"/>
    </xf>
    <xf numFmtId="0" fontId="19" fillId="88" borderId="21" xfId="0" applyFont="1" applyFill="1" applyBorder="1" applyAlignment="1">
      <alignment horizontal="center" vertical="center"/>
    </xf>
    <xf numFmtId="0" fontId="168" fillId="55" borderId="232" xfId="0" applyFont="1" applyFill="1" applyBorder="1" applyAlignment="1">
      <alignment horizontal="center" vertical="center"/>
    </xf>
    <xf numFmtId="0" fontId="168" fillId="55" borderId="233" xfId="0" applyFont="1" applyFill="1" applyBorder="1" applyAlignment="1">
      <alignment horizontal="center" vertical="center"/>
    </xf>
    <xf numFmtId="0" fontId="168" fillId="55" borderId="234" xfId="0" applyFont="1" applyFill="1" applyBorder="1" applyAlignment="1">
      <alignment horizontal="center" vertical="center"/>
    </xf>
    <xf numFmtId="49" fontId="98" fillId="9" borderId="217" xfId="0" applyNumberFormat="1" applyFont="1" applyFill="1" applyBorder="1" applyAlignment="1" applyProtection="1">
      <alignment horizontal="center" vertical="center" wrapText="1"/>
      <protection locked="0"/>
    </xf>
    <xf numFmtId="49" fontId="98" fillId="9" borderId="218" xfId="0" applyNumberFormat="1" applyFont="1" applyFill="1" applyBorder="1" applyAlignment="1" applyProtection="1">
      <alignment horizontal="center" vertical="center" wrapText="1"/>
      <protection locked="0"/>
    </xf>
    <xf numFmtId="49" fontId="98" fillId="9" borderId="219" xfId="0" applyNumberFormat="1" applyFont="1" applyFill="1" applyBorder="1" applyAlignment="1" applyProtection="1">
      <alignment horizontal="center" vertical="center" wrapText="1"/>
      <protection locked="0"/>
    </xf>
    <xf numFmtId="49" fontId="98" fillId="9" borderId="220" xfId="0" applyNumberFormat="1" applyFont="1" applyFill="1" applyBorder="1" applyAlignment="1" applyProtection="1">
      <alignment horizontal="center" vertical="center" wrapText="1"/>
      <protection locked="0"/>
    </xf>
    <xf numFmtId="49" fontId="98" fillId="9" borderId="221" xfId="0" applyNumberFormat="1" applyFont="1" applyFill="1" applyBorder="1" applyAlignment="1" applyProtection="1">
      <alignment horizontal="center" vertical="center" wrapText="1"/>
      <protection locked="0"/>
    </xf>
    <xf numFmtId="49" fontId="98" fillId="9" borderId="222" xfId="0" applyNumberFormat="1" applyFont="1" applyFill="1" applyBorder="1" applyAlignment="1" applyProtection="1">
      <alignment horizontal="center" vertical="center" wrapText="1"/>
      <protection locked="0"/>
    </xf>
    <xf numFmtId="49" fontId="98" fillId="9" borderId="223" xfId="0" applyNumberFormat="1" applyFont="1" applyFill="1" applyBorder="1" applyAlignment="1" applyProtection="1">
      <alignment horizontal="center" vertical="center" wrapText="1"/>
      <protection locked="0"/>
    </xf>
    <xf numFmtId="49" fontId="98" fillId="0" borderId="224" xfId="0" applyNumberFormat="1" applyFont="1" applyBorder="1" applyAlignment="1" applyProtection="1">
      <alignment horizontal="center" vertical="center" wrapText="1"/>
      <protection locked="0"/>
    </xf>
    <xf numFmtId="49" fontId="98" fillId="0" borderId="225" xfId="0" applyNumberFormat="1" applyFont="1" applyBorder="1" applyAlignment="1" applyProtection="1">
      <alignment horizontal="center" vertical="center" wrapText="1"/>
      <protection locked="0"/>
    </xf>
    <xf numFmtId="0" fontId="0" fillId="0" borderId="214" xfId="0" applyBorder="1" applyAlignment="1">
      <alignment horizontal="center" vertical="center"/>
    </xf>
    <xf numFmtId="49" fontId="167" fillId="0" borderId="208" xfId="0" applyNumberFormat="1" applyFont="1" applyBorder="1" applyAlignment="1" applyProtection="1">
      <alignment horizontal="center" vertical="top" wrapText="1"/>
      <protection locked="0"/>
    </xf>
    <xf numFmtId="49" fontId="167" fillId="0" borderId="209" xfId="0" applyNumberFormat="1" applyFont="1" applyBorder="1" applyAlignment="1" applyProtection="1">
      <alignment horizontal="center" vertical="top" wrapText="1"/>
      <protection locked="0"/>
    </xf>
    <xf numFmtId="49" fontId="167" fillId="5" borderId="185" xfId="0" applyNumberFormat="1" applyFont="1" applyFill="1" applyBorder="1" applyAlignment="1" applyProtection="1">
      <alignment horizontal="center" vertical="top"/>
      <protection locked="0"/>
    </xf>
    <xf numFmtId="49" fontId="167" fillId="5" borderId="210" xfId="0" applyNumberFormat="1" applyFont="1" applyFill="1" applyBorder="1" applyAlignment="1" applyProtection="1">
      <alignment horizontal="center" vertical="top"/>
      <protection locked="0"/>
    </xf>
    <xf numFmtId="49" fontId="167" fillId="5" borderId="211" xfId="0" applyNumberFormat="1" applyFont="1" applyFill="1" applyBorder="1" applyAlignment="1" applyProtection="1">
      <alignment horizontal="center" vertical="top"/>
      <protection locked="0"/>
    </xf>
    <xf numFmtId="49" fontId="167" fillId="5" borderId="184" xfId="0" applyNumberFormat="1" applyFont="1" applyFill="1" applyBorder="1" applyAlignment="1" applyProtection="1">
      <alignment horizontal="center" vertical="top"/>
      <protection locked="0"/>
    </xf>
    <xf numFmtId="49" fontId="167" fillId="0" borderId="0" xfId="0" applyNumberFormat="1" applyFont="1" applyAlignment="1" applyProtection="1">
      <alignment horizontal="center" vertical="center"/>
      <protection locked="0"/>
    </xf>
    <xf numFmtId="49" fontId="167" fillId="0" borderId="204" xfId="0" applyNumberFormat="1" applyFont="1" applyBorder="1" applyAlignment="1" applyProtection="1">
      <alignment horizontal="center" vertical="center"/>
      <protection locked="0"/>
    </xf>
    <xf numFmtId="49" fontId="98" fillId="9" borderId="212" xfId="0" applyNumberFormat="1" applyFont="1" applyFill="1" applyBorder="1" applyAlignment="1" applyProtection="1">
      <alignment horizontal="center" vertical="center" wrapText="1"/>
      <protection locked="0"/>
    </xf>
    <xf numFmtId="49" fontId="98" fillId="9" borderId="213" xfId="0" applyNumberFormat="1" applyFont="1" applyFill="1" applyBorder="1" applyAlignment="1" applyProtection="1">
      <alignment horizontal="center" vertical="center" wrapText="1"/>
      <protection locked="0"/>
    </xf>
    <xf numFmtId="49" fontId="98" fillId="9" borderId="214" xfId="0" applyNumberFormat="1" applyFont="1" applyFill="1" applyBorder="1" applyAlignment="1" applyProtection="1">
      <alignment horizontal="center" vertical="center" wrapText="1"/>
      <protection locked="0"/>
    </xf>
    <xf numFmtId="49" fontId="98" fillId="9" borderId="200" xfId="0" applyNumberFormat="1" applyFont="1" applyFill="1" applyBorder="1" applyAlignment="1" applyProtection="1">
      <alignment horizontal="center" vertical="center" wrapText="1"/>
      <protection locked="0"/>
    </xf>
    <xf numFmtId="49" fontId="98" fillId="9" borderId="0" xfId="0" applyNumberFormat="1" applyFont="1" applyFill="1" applyAlignment="1" applyProtection="1">
      <alignment horizontal="center" vertical="center" wrapText="1"/>
      <protection locked="0"/>
    </xf>
    <xf numFmtId="49" fontId="98" fillId="9" borderId="215" xfId="0" applyNumberFormat="1" applyFont="1" applyFill="1" applyBorder="1" applyAlignment="1" applyProtection="1">
      <alignment horizontal="center" vertical="center" wrapText="1"/>
      <protection locked="0"/>
    </xf>
    <xf numFmtId="49" fontId="98" fillId="9" borderId="216" xfId="0" applyNumberFormat="1" applyFont="1" applyFill="1" applyBorder="1" applyAlignment="1" applyProtection="1">
      <alignment horizontal="center" vertical="center" wrapText="1"/>
      <protection locked="0"/>
    </xf>
    <xf numFmtId="49" fontId="98" fillId="9" borderId="189" xfId="0" applyNumberFormat="1" applyFont="1" applyFill="1" applyBorder="1" applyAlignment="1" applyProtection="1">
      <alignment horizontal="center" vertical="center" wrapText="1"/>
      <protection locked="0"/>
    </xf>
    <xf numFmtId="49" fontId="98" fillId="9" borderId="190" xfId="0" applyNumberFormat="1" applyFont="1" applyFill="1" applyBorder="1" applyAlignment="1" applyProtection="1">
      <alignment horizontal="center" vertical="center" wrapText="1"/>
      <protection locked="0"/>
    </xf>
    <xf numFmtId="49" fontId="98" fillId="9" borderId="204" xfId="0" applyNumberFormat="1" applyFont="1" applyFill="1" applyBorder="1" applyAlignment="1" applyProtection="1">
      <alignment horizontal="center" vertical="center" wrapText="1"/>
      <protection locked="0"/>
    </xf>
    <xf numFmtId="49" fontId="98" fillId="0" borderId="212" xfId="0" applyNumberFormat="1" applyFont="1" applyBorder="1" applyAlignment="1" applyProtection="1">
      <alignment horizontal="center" vertical="center" wrapText="1"/>
      <protection locked="0"/>
    </xf>
    <xf numFmtId="49" fontId="98" fillId="0" borderId="213" xfId="0" applyNumberFormat="1" applyFont="1" applyBorder="1" applyAlignment="1" applyProtection="1">
      <alignment horizontal="center" vertical="center" wrapText="1"/>
      <protection locked="0"/>
    </xf>
    <xf numFmtId="0" fontId="158" fillId="72" borderId="198" xfId="0" applyFont="1" applyFill="1" applyBorder="1" applyAlignment="1">
      <alignment horizontal="center" vertical="center"/>
    </xf>
    <xf numFmtId="0" fontId="158" fillId="72" borderId="199" xfId="0" applyFont="1" applyFill="1" applyBorder="1" applyAlignment="1">
      <alignment horizontal="center" vertical="center"/>
    </xf>
    <xf numFmtId="49" fontId="167" fillId="87" borderId="200" xfId="0" applyNumberFormat="1" applyFont="1" applyFill="1" applyBorder="1" applyAlignment="1">
      <alignment horizontal="center" vertical="top" wrapText="1"/>
    </xf>
    <xf numFmtId="49" fontId="167" fillId="87" borderId="0" xfId="0" applyNumberFormat="1" applyFont="1" applyFill="1" applyAlignment="1">
      <alignment horizontal="center" vertical="top" wrapText="1"/>
    </xf>
    <xf numFmtId="49" fontId="167" fillId="87" borderId="201" xfId="0" applyNumberFormat="1" applyFont="1" applyFill="1" applyBorder="1" applyAlignment="1">
      <alignment horizontal="center" vertical="top"/>
    </xf>
    <xf numFmtId="49" fontId="167" fillId="87" borderId="202" xfId="0" applyNumberFormat="1" applyFont="1" applyFill="1" applyBorder="1" applyAlignment="1">
      <alignment horizontal="center" vertical="top"/>
    </xf>
    <xf numFmtId="49" fontId="167" fillId="87" borderId="0" xfId="0" applyNumberFormat="1" applyFont="1" applyFill="1" applyAlignment="1">
      <alignment horizontal="center" vertical="top"/>
    </xf>
    <xf numFmtId="49" fontId="167" fillId="87" borderId="203" xfId="0" applyNumberFormat="1" applyFont="1" applyFill="1" applyBorder="1" applyAlignment="1">
      <alignment vertical="top"/>
    </xf>
    <xf numFmtId="49" fontId="167" fillId="87" borderId="204" xfId="0" applyNumberFormat="1" applyFont="1" applyFill="1" applyBorder="1" applyAlignment="1">
      <alignment horizontal="center" vertical="top"/>
    </xf>
    <xf numFmtId="49" fontId="167" fillId="88" borderId="0" xfId="0" applyNumberFormat="1" applyFont="1" applyFill="1" applyAlignment="1">
      <alignment horizontal="center" vertical="top"/>
    </xf>
    <xf numFmtId="49" fontId="167" fillId="88" borderId="204" xfId="0" applyNumberFormat="1" applyFont="1" applyFill="1" applyBorder="1" applyAlignment="1">
      <alignment horizontal="center" vertical="top"/>
    </xf>
    <xf numFmtId="0" fontId="59" fillId="72" borderId="205" xfId="2" applyNumberFormat="1" applyFont="1" applyFill="1" applyBorder="1" applyAlignment="1" applyProtection="1">
      <alignment horizontal="center" vertical="center"/>
    </xf>
    <xf numFmtId="0" fontId="59" fillId="72" borderId="206" xfId="2" applyNumberFormat="1" applyFont="1" applyFill="1" applyBorder="1" applyAlignment="1" applyProtection="1">
      <alignment horizontal="center" vertical="center"/>
    </xf>
    <xf numFmtId="0" fontId="59" fillId="72" borderId="207" xfId="2" applyNumberFormat="1" applyFont="1" applyFill="1" applyBorder="1" applyAlignment="1" applyProtection="1">
      <alignment horizontal="center" vertical="center"/>
    </xf>
    <xf numFmtId="0" fontId="17" fillId="55" borderId="212" xfId="5" applyNumberFormat="1" applyFont="1" applyFill="1" applyBorder="1" applyAlignment="1" applyProtection="1">
      <alignment horizontal="center" vertical="center"/>
    </xf>
    <xf numFmtId="0" fontId="17" fillId="55" borderId="213" xfId="5" applyNumberFormat="1" applyFont="1" applyFill="1" applyBorder="1" applyAlignment="1" applyProtection="1">
      <alignment horizontal="center" vertical="center"/>
    </xf>
    <xf numFmtId="49" fontId="19" fillId="55" borderId="213" xfId="0" applyNumberFormat="1" applyFont="1" applyFill="1" applyBorder="1" applyAlignment="1">
      <alignment horizontal="center" vertical="center" wrapText="1"/>
    </xf>
    <xf numFmtId="49" fontId="19" fillId="55" borderId="214" xfId="0" applyNumberFormat="1" applyFont="1" applyFill="1" applyBorder="1" applyAlignment="1">
      <alignment horizontal="center" vertical="center" wrapText="1"/>
    </xf>
    <xf numFmtId="0" fontId="163" fillId="10" borderId="196" xfId="0" applyFont="1" applyFill="1" applyBorder="1" applyAlignment="1">
      <alignment horizontal="center" vertical="center" wrapText="1"/>
    </xf>
    <xf numFmtId="0" fontId="163" fillId="10" borderId="197" xfId="0" applyFont="1" applyFill="1" applyBorder="1" applyAlignment="1">
      <alignment horizontal="center" vertical="center" wrapText="1"/>
    </xf>
    <xf numFmtId="0" fontId="166" fillId="0" borderId="9" xfId="0" applyFont="1" applyBorder="1" applyAlignment="1">
      <alignment horizontal="center" vertical="top" wrapText="1"/>
    </xf>
    <xf numFmtId="0" fontId="166" fillId="10" borderId="9" xfId="0" applyFont="1" applyFill="1" applyBorder="1" applyAlignment="1">
      <alignment horizontal="center" vertical="top" wrapText="1"/>
    </xf>
    <xf numFmtId="0" fontId="166" fillId="10" borderId="10" xfId="0" applyFont="1" applyFill="1" applyBorder="1" applyAlignment="1">
      <alignment horizontal="center" vertical="top" wrapText="1"/>
    </xf>
    <xf numFmtId="0" fontId="159" fillId="72" borderId="1" xfId="0" applyFont="1" applyFill="1" applyBorder="1" applyAlignment="1">
      <alignment horizontal="center" vertical="center"/>
    </xf>
    <xf numFmtId="0" fontId="159" fillId="72" borderId="2" xfId="0" applyFont="1" applyFill="1" applyBorder="1" applyAlignment="1">
      <alignment horizontal="center" vertical="center"/>
    </xf>
    <xf numFmtId="0" fontId="159" fillId="72" borderId="4" xfId="0" applyFont="1" applyFill="1" applyBorder="1" applyAlignment="1">
      <alignment horizontal="center" vertical="center"/>
    </xf>
    <xf numFmtId="0" fontId="159" fillId="86" borderId="178" xfId="0" applyFont="1" applyFill="1" applyBorder="1" applyAlignment="1">
      <alignment horizontal="center" vertical="center"/>
    </xf>
    <xf numFmtId="0" fontId="159" fillId="86" borderId="179" xfId="0" applyFont="1" applyFill="1" applyBorder="1" applyAlignment="1">
      <alignment horizontal="center" vertical="center"/>
    </xf>
    <xf numFmtId="0" fontId="159" fillId="86" borderId="180" xfId="0" applyFont="1" applyFill="1" applyBorder="1" applyAlignment="1">
      <alignment horizontal="center" vertical="center"/>
    </xf>
    <xf numFmtId="0" fontId="159" fillId="86" borderId="181" xfId="0" applyFont="1" applyFill="1" applyBorder="1" applyAlignment="1">
      <alignment horizontal="center" vertical="center"/>
    </xf>
    <xf numFmtId="0" fontId="163" fillId="10" borderId="182" xfId="0" applyFont="1" applyFill="1" applyBorder="1" applyAlignment="1">
      <alignment horizontal="center" vertical="center" wrapText="1"/>
    </xf>
    <xf numFmtId="0" fontId="163" fillId="10" borderId="183" xfId="0" applyFont="1" applyFill="1" applyBorder="1" applyAlignment="1">
      <alignment horizontal="center" vertical="center" wrapText="1"/>
    </xf>
    <xf numFmtId="0" fontId="163" fillId="0" borderId="184" xfId="0" applyFont="1" applyBorder="1" applyAlignment="1" applyProtection="1">
      <alignment horizontal="center" vertical="center"/>
      <protection locked="0"/>
    </xf>
    <xf numFmtId="0" fontId="163" fillId="0" borderId="185" xfId="0" applyFont="1" applyBorder="1" applyAlignment="1" applyProtection="1">
      <alignment horizontal="center" vertical="center"/>
      <protection locked="0"/>
    </xf>
    <xf numFmtId="0" fontId="163" fillId="10" borderId="185" xfId="0" applyFont="1" applyFill="1" applyBorder="1" applyAlignment="1" applyProtection="1">
      <alignment horizontal="center" vertical="center"/>
      <protection locked="0"/>
    </xf>
    <xf numFmtId="0" fontId="163" fillId="10" borderId="186" xfId="0" applyFont="1" applyFill="1" applyBorder="1" applyAlignment="1" applyProtection="1">
      <alignment horizontal="center" vertical="center"/>
      <protection locked="0"/>
    </xf>
    <xf numFmtId="0" fontId="108" fillId="0" borderId="6" xfId="0" applyFont="1" applyBorder="1" applyAlignment="1">
      <alignment horizontal="center" vertical="center" wrapText="1"/>
    </xf>
    <xf numFmtId="0" fontId="108" fillId="0" borderId="0" xfId="0" applyFont="1" applyAlignment="1">
      <alignment horizontal="center" vertical="center" wrapText="1"/>
    </xf>
    <xf numFmtId="0" fontId="108" fillId="0" borderId="8" xfId="0" applyFont="1" applyBorder="1" applyAlignment="1">
      <alignment horizontal="center" vertical="center" wrapText="1"/>
    </xf>
    <xf numFmtId="0" fontId="108" fillId="0" borderId="9" xfId="0" applyFont="1" applyBorder="1" applyAlignment="1">
      <alignment horizontal="center" vertical="center" wrapText="1"/>
    </xf>
    <xf numFmtId="0" fontId="108" fillId="0" borderId="0" xfId="0" applyFont="1" applyAlignment="1">
      <alignment horizontal="left" vertical="center" wrapText="1"/>
    </xf>
    <xf numFmtId="0" fontId="108" fillId="0" borderId="7" xfId="0" applyFont="1" applyBorder="1" applyAlignment="1">
      <alignment horizontal="left" vertical="center" wrapText="1"/>
    </xf>
    <xf numFmtId="0" fontId="108" fillId="0" borderId="9" xfId="0" applyFont="1" applyBorder="1" applyAlignment="1">
      <alignment horizontal="left" vertical="center" wrapText="1"/>
    </xf>
    <xf numFmtId="0" fontId="108" fillId="0" borderId="10" xfId="0" applyFont="1" applyBorder="1" applyAlignment="1">
      <alignment horizontal="left" vertical="center" wrapText="1"/>
    </xf>
    <xf numFmtId="0" fontId="33" fillId="0" borderId="1" xfId="0" applyFont="1" applyBorder="1" applyAlignment="1">
      <alignment horizontal="left" vertical="center" wrapText="1"/>
    </xf>
    <xf numFmtId="0" fontId="33" fillId="0" borderId="2" xfId="0" applyFont="1" applyBorder="1" applyAlignment="1">
      <alignment horizontal="left" vertical="center" wrapText="1"/>
    </xf>
    <xf numFmtId="0" fontId="33" fillId="0" borderId="4" xfId="0" applyFont="1" applyBorder="1" applyAlignment="1">
      <alignment horizontal="left" vertical="center" wrapText="1"/>
    </xf>
    <xf numFmtId="0" fontId="33" fillId="0" borderId="6" xfId="0" applyFont="1" applyBorder="1" applyAlignment="1">
      <alignment horizontal="left" vertical="center" wrapText="1"/>
    </xf>
    <xf numFmtId="0" fontId="33" fillId="0" borderId="0" xfId="0" applyFont="1" applyAlignment="1">
      <alignment horizontal="left" vertical="center" wrapText="1"/>
    </xf>
    <xf numFmtId="0" fontId="33" fillId="0" borderId="7" xfId="0" applyFont="1" applyBorder="1" applyAlignment="1">
      <alignment horizontal="left" vertical="center" wrapText="1"/>
    </xf>
    <xf numFmtId="0" fontId="33" fillId="0" borderId="8" xfId="0" applyFont="1" applyBorder="1" applyAlignment="1">
      <alignment horizontal="left" vertical="center" wrapText="1"/>
    </xf>
    <xf numFmtId="0" fontId="33" fillId="0" borderId="9" xfId="0" applyFont="1" applyBorder="1" applyAlignment="1">
      <alignment horizontal="left" vertical="center" wrapText="1"/>
    </xf>
    <xf numFmtId="0" fontId="33" fillId="0" borderId="10" xfId="0" applyFont="1" applyBorder="1" applyAlignment="1">
      <alignment horizontal="left" vertical="center" wrapText="1"/>
    </xf>
    <xf numFmtId="0" fontId="33" fillId="0" borderId="1" xfId="0" applyFont="1" applyBorder="1" applyAlignment="1">
      <alignment vertical="center" wrapText="1"/>
    </xf>
    <xf numFmtId="0" fontId="33" fillId="0" borderId="2" xfId="0" applyFont="1" applyBorder="1">
      <alignment vertical="center"/>
    </xf>
    <xf numFmtId="0" fontId="33" fillId="0" borderId="4" xfId="0" applyFont="1" applyBorder="1">
      <alignment vertical="center"/>
    </xf>
    <xf numFmtId="0" fontId="33" fillId="0" borderId="6" xfId="0" applyFont="1" applyBorder="1">
      <alignment vertical="center"/>
    </xf>
    <xf numFmtId="0" fontId="33" fillId="0" borderId="0" xfId="0" applyFont="1">
      <alignment vertical="center"/>
    </xf>
    <xf numFmtId="0" fontId="33" fillId="0" borderId="7" xfId="0" applyFont="1" applyBorder="1">
      <alignment vertical="center"/>
    </xf>
    <xf numFmtId="0" fontId="33" fillId="0" borderId="8" xfId="0" applyFont="1" applyBorder="1">
      <alignment vertical="center"/>
    </xf>
    <xf numFmtId="0" fontId="33" fillId="0" borderId="9" xfId="0" applyFont="1" applyBorder="1">
      <alignment vertical="center"/>
    </xf>
    <xf numFmtId="0" fontId="33" fillId="0" borderId="10" xfId="0" applyFont="1" applyBorder="1">
      <alignment vertical="center"/>
    </xf>
    <xf numFmtId="0" fontId="19" fillId="0" borderId="20" xfId="0" applyFont="1" applyBorder="1" applyAlignment="1">
      <alignment horizontal="center" vertical="center" wrapText="1"/>
    </xf>
    <xf numFmtId="0" fontId="4" fillId="0" borderId="0" xfId="0" applyFont="1" applyAlignment="1">
      <alignment horizontal="center" vertical="center" wrapText="1"/>
    </xf>
    <xf numFmtId="0" fontId="17" fillId="0" borderId="3" xfId="0" applyFont="1" applyBorder="1" applyAlignment="1" applyProtection="1">
      <alignment horizontal="left" vertical="center" wrapText="1"/>
      <protection locked="0"/>
    </xf>
    <xf numFmtId="0" fontId="125" fillId="9" borderId="1" xfId="0" applyFont="1" applyFill="1" applyBorder="1" applyAlignment="1">
      <alignment horizontal="center" vertical="center"/>
    </xf>
    <xf numFmtId="0" fontId="125" fillId="9" borderId="2" xfId="0" applyFont="1" applyFill="1" applyBorder="1" applyAlignment="1">
      <alignment horizontal="center" vertical="center"/>
    </xf>
    <xf numFmtId="0" fontId="125" fillId="9" borderId="4" xfId="0" applyFont="1" applyFill="1" applyBorder="1" applyAlignment="1">
      <alignment horizontal="center" vertical="center"/>
    </xf>
    <xf numFmtId="0" fontId="125" fillId="9" borderId="8" xfId="0" applyFont="1" applyFill="1" applyBorder="1" applyAlignment="1">
      <alignment horizontal="center" vertical="center"/>
    </xf>
    <xf numFmtId="0" fontId="125" fillId="9" borderId="9" xfId="0" applyFont="1" applyFill="1" applyBorder="1" applyAlignment="1">
      <alignment horizontal="center" vertical="center"/>
    </xf>
    <xf numFmtId="0" fontId="125" fillId="9" borderId="10" xfId="0" applyFont="1" applyFill="1" applyBorder="1" applyAlignment="1">
      <alignment horizontal="center" vertical="center"/>
    </xf>
    <xf numFmtId="0" fontId="108" fillId="10" borderId="6" xfId="0" applyFont="1" applyFill="1" applyBorder="1" applyAlignment="1">
      <alignment horizontal="center" vertical="center" wrapText="1"/>
    </xf>
    <xf numFmtId="0" fontId="108" fillId="10" borderId="0" xfId="0" applyFont="1" applyFill="1" applyAlignment="1">
      <alignment horizontal="center" vertical="center" wrapText="1"/>
    </xf>
    <xf numFmtId="0" fontId="118" fillId="10" borderId="0" xfId="0" applyFont="1" applyFill="1" applyAlignment="1">
      <alignment horizontal="center" vertical="center" wrapText="1"/>
    </xf>
    <xf numFmtId="0" fontId="108" fillId="9" borderId="0" xfId="0" applyFont="1" applyFill="1" applyAlignment="1">
      <alignment horizontal="center" vertical="center" wrapText="1"/>
    </xf>
    <xf numFmtId="0" fontId="108" fillId="9" borderId="0" xfId="0" applyFont="1" applyFill="1" applyAlignment="1">
      <alignment horizontal="left" vertical="center" wrapText="1"/>
    </xf>
    <xf numFmtId="0" fontId="108" fillId="9" borderId="7" xfId="0" applyFont="1" applyFill="1" applyBorder="1" applyAlignment="1">
      <alignment horizontal="left" vertical="center" wrapText="1"/>
    </xf>
    <xf numFmtId="0" fontId="108" fillId="10" borderId="0" xfId="0" applyFont="1" applyFill="1" applyAlignment="1">
      <alignment horizontal="left" vertical="center" wrapText="1"/>
    </xf>
    <xf numFmtId="0" fontId="108" fillId="10" borderId="7" xfId="0" applyFont="1" applyFill="1" applyBorder="1" applyAlignment="1">
      <alignment horizontal="left" vertical="center" wrapText="1"/>
    </xf>
    <xf numFmtId="0" fontId="29" fillId="0" borderId="2" xfId="0" applyFont="1" applyBorder="1" applyAlignment="1">
      <alignment horizontal="right" vertical="center"/>
    </xf>
    <xf numFmtId="0" fontId="29" fillId="0" borderId="0" xfId="0" applyFont="1" applyAlignment="1">
      <alignment horizontal="right" vertical="center"/>
    </xf>
    <xf numFmtId="181" fontId="29" fillId="0" borderId="2" xfId="0" applyNumberFormat="1" applyFont="1" applyBorder="1" applyAlignment="1">
      <alignment horizontal="left" vertical="center"/>
    </xf>
    <xf numFmtId="181" fontId="29" fillId="0" borderId="0" xfId="0" applyNumberFormat="1" applyFont="1" applyAlignment="1">
      <alignment horizontal="left" vertical="center"/>
    </xf>
    <xf numFmtId="0" fontId="29" fillId="4" borderId="0" xfId="0" applyFont="1" applyFill="1" applyAlignment="1">
      <alignment horizontal="center" vertical="center"/>
    </xf>
    <xf numFmtId="0" fontId="29" fillId="10" borderId="0" xfId="0" applyFont="1" applyFill="1" applyAlignment="1">
      <alignment horizontal="center" vertical="center"/>
    </xf>
    <xf numFmtId="0" fontId="29" fillId="10" borderId="9" xfId="0" applyFont="1" applyFill="1" applyBorder="1" applyAlignment="1">
      <alignment horizontal="center" vertical="center"/>
    </xf>
    <xf numFmtId="0" fontId="19" fillId="10" borderId="2" xfId="0" applyFont="1" applyFill="1" applyBorder="1" applyAlignment="1">
      <alignment horizontal="center" vertical="center"/>
    </xf>
    <xf numFmtId="178" fontId="29" fillId="4" borderId="0" xfId="0" applyNumberFormat="1" applyFont="1" applyFill="1" applyAlignment="1">
      <alignment horizontal="center" vertical="center"/>
    </xf>
    <xf numFmtId="178" fontId="29" fillId="10" borderId="0" xfId="0" applyNumberFormat="1" applyFont="1" applyFill="1" applyAlignment="1">
      <alignment horizontal="center" vertical="center"/>
    </xf>
    <xf numFmtId="178" fontId="29" fillId="10" borderId="9" xfId="0" applyNumberFormat="1" applyFont="1" applyFill="1" applyBorder="1" applyAlignment="1">
      <alignment horizontal="center" vertical="center"/>
    </xf>
    <xf numFmtId="0" fontId="19" fillId="0" borderId="9" xfId="0" applyFont="1" applyBorder="1" applyAlignment="1">
      <alignment horizontal="center" vertical="center"/>
    </xf>
    <xf numFmtId="0" fontId="29" fillId="10" borderId="2" xfId="0" applyFont="1" applyFill="1" applyBorder="1" applyAlignment="1">
      <alignment horizontal="center" vertical="center"/>
    </xf>
    <xf numFmtId="0" fontId="29" fillId="0" borderId="0" xfId="0" applyFont="1" applyAlignment="1">
      <alignment horizontal="center" vertical="center"/>
    </xf>
    <xf numFmtId="0" fontId="29" fillId="0" borderId="9" xfId="0" applyFont="1" applyBorder="1" applyAlignment="1">
      <alignment horizontal="center" vertical="center"/>
    </xf>
    <xf numFmtId="0" fontId="162" fillId="8" borderId="6" xfId="0" applyFont="1" applyFill="1" applyBorder="1" applyAlignment="1">
      <alignment vertical="center" wrapText="1"/>
    </xf>
    <xf numFmtId="0" fontId="162" fillId="8" borderId="0" xfId="0" applyFont="1" applyFill="1" applyAlignment="1">
      <alignment vertical="center" wrapText="1"/>
    </xf>
    <xf numFmtId="0" fontId="162" fillId="8" borderId="0" xfId="0" applyFont="1" applyFill="1" applyAlignment="1">
      <alignment horizontal="center" vertical="center" wrapText="1"/>
    </xf>
    <xf numFmtId="0" fontId="162" fillId="8" borderId="0" xfId="0" applyFont="1" applyFill="1" applyAlignment="1">
      <alignment horizontal="left" vertical="center" wrapText="1"/>
    </xf>
    <xf numFmtId="0" fontId="162" fillId="8" borderId="7" xfId="0" applyFont="1" applyFill="1" applyBorder="1" applyAlignment="1">
      <alignment horizontal="left" vertical="center" wrapText="1"/>
    </xf>
    <xf numFmtId="0" fontId="29" fillId="10" borderId="6" xfId="0" applyFont="1" applyFill="1" applyBorder="1" applyAlignment="1">
      <alignment horizontal="center" vertical="center"/>
    </xf>
    <xf numFmtId="0" fontId="29" fillId="4" borderId="6" xfId="0" applyFont="1" applyFill="1" applyBorder="1" applyAlignment="1">
      <alignment horizontal="center" vertical="center"/>
    </xf>
    <xf numFmtId="0" fontId="29" fillId="4" borderId="8" xfId="0" applyFont="1" applyFill="1" applyBorder="1" applyAlignment="1">
      <alignment horizontal="center" vertical="center"/>
    </xf>
    <xf numFmtId="0" fontId="29" fillId="0" borderId="1" xfId="0" applyFont="1" applyBorder="1" applyAlignment="1">
      <alignment horizontal="center" vertical="center"/>
    </xf>
    <xf numFmtId="0" fontId="29" fillId="0" borderId="6" xfId="0" applyFont="1" applyBorder="1" applyAlignment="1">
      <alignment horizontal="center" vertical="center"/>
    </xf>
    <xf numFmtId="0" fontId="29" fillId="0" borderId="8" xfId="0" applyFont="1" applyBorder="1" applyAlignment="1">
      <alignment horizontal="center" vertical="center"/>
    </xf>
    <xf numFmtId="178" fontId="29" fillId="4" borderId="9" xfId="0" applyNumberFormat="1" applyFont="1" applyFill="1" applyBorder="1" applyAlignment="1">
      <alignment horizontal="center" vertical="center"/>
    </xf>
    <xf numFmtId="0" fontId="29" fillId="10" borderId="2" xfId="0" applyFont="1" applyFill="1" applyBorder="1" applyAlignment="1">
      <alignment horizontal="right" vertical="center"/>
    </xf>
    <xf numFmtId="0" fontId="29" fillId="10" borderId="0" xfId="0" applyFont="1" applyFill="1" applyAlignment="1">
      <alignment horizontal="right" vertical="center"/>
    </xf>
    <xf numFmtId="181" fontId="29" fillId="10" borderId="2" xfId="0" applyNumberFormat="1" applyFont="1" applyFill="1" applyBorder="1" applyAlignment="1">
      <alignment horizontal="left" vertical="center"/>
    </xf>
    <xf numFmtId="181" fontId="29" fillId="10" borderId="0" xfId="0" applyNumberFormat="1" applyFont="1" applyFill="1" applyAlignment="1">
      <alignment horizontal="left" vertical="center"/>
    </xf>
    <xf numFmtId="0" fontId="29" fillId="4" borderId="9" xfId="0" applyFont="1" applyFill="1" applyBorder="1" applyAlignment="1">
      <alignment horizontal="center" vertical="center"/>
    </xf>
    <xf numFmtId="0" fontId="29" fillId="0" borderId="2" xfId="0" applyFont="1" applyBorder="1" applyAlignment="1">
      <alignment horizontal="center" vertical="center"/>
    </xf>
    <xf numFmtId="0" fontId="19" fillId="0" borderId="174" xfId="0" applyFont="1" applyBorder="1" applyAlignment="1">
      <alignment horizontal="center" vertical="center"/>
    </xf>
    <xf numFmtId="0" fontId="19" fillId="0" borderId="175" xfId="0" applyFont="1" applyBorder="1" applyAlignment="1">
      <alignment horizontal="center" vertical="center"/>
    </xf>
    <xf numFmtId="0" fontId="19" fillId="0" borderId="175" xfId="0" applyFont="1" applyBorder="1">
      <alignment vertical="center"/>
    </xf>
    <xf numFmtId="0" fontId="19" fillId="0" borderId="176" xfId="0" applyFont="1" applyBorder="1">
      <alignment vertical="center"/>
    </xf>
    <xf numFmtId="0" fontId="17" fillId="0" borderId="175" xfId="0" applyFont="1" applyBorder="1" applyAlignment="1">
      <alignment horizontal="center" vertical="center"/>
    </xf>
    <xf numFmtId="0" fontId="17" fillId="0" borderId="175" xfId="0" applyFont="1" applyBorder="1" applyAlignment="1">
      <alignment horizontal="left" vertical="center"/>
    </xf>
    <xf numFmtId="0" fontId="17" fillId="0" borderId="176" xfId="0" applyFont="1" applyBorder="1" applyAlignment="1">
      <alignment horizontal="left" vertical="center"/>
    </xf>
    <xf numFmtId="0" fontId="161" fillId="0" borderId="175" xfId="0" applyFont="1" applyBorder="1" applyAlignment="1">
      <alignment horizontal="center" vertical="center"/>
    </xf>
    <xf numFmtId="0" fontId="17" fillId="0" borderId="175" xfId="0" applyFont="1" applyBorder="1">
      <alignment vertical="center"/>
    </xf>
    <xf numFmtId="0" fontId="17" fillId="0" borderId="177" xfId="0" applyFont="1" applyBorder="1">
      <alignment vertical="center"/>
    </xf>
    <xf numFmtId="0" fontId="17" fillId="10" borderId="172" xfId="0" applyFont="1" applyFill="1" applyBorder="1" applyAlignment="1">
      <alignment horizontal="center" vertical="center"/>
    </xf>
    <xf numFmtId="0" fontId="17" fillId="10" borderId="0" xfId="0" applyFont="1" applyFill="1" applyAlignment="1">
      <alignment horizontal="center" vertical="center"/>
    </xf>
    <xf numFmtId="0" fontId="17" fillId="10" borderId="0" xfId="0" applyFont="1" applyFill="1">
      <alignment vertical="center"/>
    </xf>
    <xf numFmtId="0" fontId="17" fillId="10" borderId="21" xfId="0" applyFont="1" applyFill="1" applyBorder="1">
      <alignment vertical="center"/>
    </xf>
    <xf numFmtId="0" fontId="17" fillId="10" borderId="0" xfId="0" applyFont="1" applyFill="1" applyAlignment="1">
      <alignment horizontal="left" vertical="center"/>
    </xf>
    <xf numFmtId="0" fontId="17" fillId="10" borderId="21" xfId="0" applyFont="1" applyFill="1" applyBorder="1" applyAlignment="1">
      <alignment horizontal="left" vertical="center"/>
    </xf>
    <xf numFmtId="0" fontId="17" fillId="10" borderId="173" xfId="0" applyFont="1" applyFill="1" applyBorder="1">
      <alignment vertical="center"/>
    </xf>
    <xf numFmtId="0" fontId="17" fillId="0" borderId="172" xfId="0" applyFont="1" applyBorder="1" applyAlignment="1">
      <alignment horizontal="center" vertical="center"/>
    </xf>
    <xf numFmtId="0" fontId="17" fillId="0" borderId="0" xfId="0" applyFont="1" applyAlignment="1">
      <alignment horizontal="center" vertical="center"/>
    </xf>
    <xf numFmtId="0" fontId="17" fillId="0" borderId="0" xfId="0" applyFont="1">
      <alignment vertical="center"/>
    </xf>
    <xf numFmtId="0" fontId="17" fillId="0" borderId="21" xfId="0" applyFont="1" applyBorder="1">
      <alignment vertical="center"/>
    </xf>
    <xf numFmtId="0" fontId="17" fillId="0" borderId="0" xfId="0" applyFont="1" applyAlignment="1">
      <alignment horizontal="left" vertical="center"/>
    </xf>
    <xf numFmtId="0" fontId="17" fillId="0" borderId="21" xfId="0" applyFont="1" applyBorder="1" applyAlignment="1">
      <alignment horizontal="left" vertical="center"/>
    </xf>
    <xf numFmtId="0" fontId="19" fillId="0" borderId="0" xfId="0" applyFont="1">
      <alignment vertical="center"/>
    </xf>
    <xf numFmtId="0" fontId="19" fillId="0" borderId="173" xfId="0" applyFont="1" applyBorder="1">
      <alignment vertical="center"/>
    </xf>
    <xf numFmtId="0" fontId="19" fillId="10" borderId="172" xfId="0" applyFont="1" applyFill="1" applyBorder="1" applyAlignment="1">
      <alignment horizontal="center" vertical="center"/>
    </xf>
    <xf numFmtId="0" fontId="19" fillId="10" borderId="21" xfId="0" applyFont="1" applyFill="1" applyBorder="1">
      <alignment vertical="center"/>
    </xf>
    <xf numFmtId="0" fontId="20" fillId="10" borderId="0" xfId="0" applyFont="1" applyFill="1">
      <alignment vertical="center"/>
    </xf>
    <xf numFmtId="0" fontId="20" fillId="10" borderId="173" xfId="0" applyFont="1" applyFill="1" applyBorder="1">
      <alignment vertical="center"/>
    </xf>
    <xf numFmtId="0" fontId="33" fillId="5" borderId="20" xfId="0" applyFont="1" applyFill="1" applyBorder="1" applyAlignment="1">
      <alignment horizontal="right" vertical="center" wrapText="1"/>
    </xf>
    <xf numFmtId="0" fontId="33" fillId="5" borderId="0" xfId="0" applyFont="1" applyFill="1" applyAlignment="1">
      <alignment horizontal="right" vertical="center" wrapText="1"/>
    </xf>
    <xf numFmtId="0" fontId="19" fillId="0" borderId="172" xfId="0" applyFont="1" applyBorder="1" applyAlignment="1">
      <alignment horizontal="center" vertical="center"/>
    </xf>
    <xf numFmtId="0" fontId="19" fillId="0" borderId="21" xfId="0" applyFont="1" applyBorder="1">
      <alignment vertical="center"/>
    </xf>
    <xf numFmtId="0" fontId="19" fillId="0" borderId="173" xfId="0" applyFont="1" applyBorder="1" applyAlignment="1">
      <alignment horizontal="left" vertical="center"/>
    </xf>
    <xf numFmtId="0" fontId="19" fillId="0" borderId="21" xfId="0" applyFont="1" applyBorder="1" applyAlignment="1">
      <alignment horizontal="left" vertical="center"/>
    </xf>
    <xf numFmtId="0" fontId="19" fillId="0" borderId="173" xfId="0" applyFont="1" applyBorder="1" applyAlignment="1">
      <alignment horizontal="center" vertical="center"/>
    </xf>
    <xf numFmtId="0" fontId="19" fillId="10" borderId="0" xfId="0" applyFont="1" applyFill="1">
      <alignment vertical="center"/>
    </xf>
    <xf numFmtId="0" fontId="19" fillId="10" borderId="0" xfId="0" applyFont="1" applyFill="1" applyAlignment="1">
      <alignment horizontal="left" vertical="center"/>
    </xf>
    <xf numFmtId="0" fontId="19" fillId="10" borderId="21" xfId="0" applyFont="1" applyFill="1" applyBorder="1" applyAlignment="1">
      <alignment horizontal="left" vertical="center"/>
    </xf>
    <xf numFmtId="0" fontId="161" fillId="10" borderId="0" xfId="0" applyFont="1" applyFill="1" applyAlignment="1">
      <alignment horizontal="center" vertical="center"/>
    </xf>
    <xf numFmtId="0" fontId="19" fillId="10" borderId="173" xfId="0" applyFont="1" applyFill="1" applyBorder="1" applyAlignment="1">
      <alignment horizontal="center" vertical="center"/>
    </xf>
    <xf numFmtId="0" fontId="17" fillId="0" borderId="173" xfId="0" applyFont="1" applyBorder="1" applyAlignment="1">
      <alignment horizontal="left" vertical="center"/>
    </xf>
    <xf numFmtId="0" fontId="155" fillId="0" borderId="0" xfId="0" applyFont="1">
      <alignment vertical="center"/>
    </xf>
    <xf numFmtId="0" fontId="19" fillId="5" borderId="0" xfId="0" applyFont="1" applyFill="1" applyAlignment="1">
      <alignment horizontal="left" vertical="center"/>
    </xf>
    <xf numFmtId="0" fontId="59" fillId="73" borderId="169" xfId="0" applyFont="1" applyFill="1" applyBorder="1" applyAlignment="1">
      <alignment horizontal="center" vertical="center"/>
    </xf>
    <xf numFmtId="0" fontId="59" fillId="73" borderId="170" xfId="0" applyFont="1" applyFill="1" applyBorder="1" applyAlignment="1">
      <alignment horizontal="center" vertical="center"/>
    </xf>
    <xf numFmtId="0" fontId="59" fillId="73" borderId="171" xfId="0" applyFont="1" applyFill="1" applyBorder="1" applyAlignment="1">
      <alignment horizontal="center" vertical="center"/>
    </xf>
    <xf numFmtId="0" fontId="19" fillId="8" borderId="172" xfId="0" applyFont="1" applyFill="1" applyBorder="1" applyAlignment="1">
      <alignment horizontal="left" vertical="center"/>
    </xf>
    <xf numFmtId="0" fontId="19" fillId="8" borderId="173" xfId="0" applyFont="1" applyFill="1" applyBorder="1" applyAlignment="1">
      <alignment horizontal="center" vertical="center"/>
    </xf>
    <xf numFmtId="0" fontId="124" fillId="0" borderId="0" xfId="0" applyFont="1">
      <alignment vertical="center"/>
    </xf>
    <xf numFmtId="0" fontId="59" fillId="73" borderId="3" xfId="0" applyFont="1" applyFill="1" applyBorder="1" applyAlignment="1">
      <alignment horizontal="center" vertical="center"/>
    </xf>
    <xf numFmtId="0" fontId="17" fillId="4" borderId="3" xfId="0" applyFont="1" applyFill="1" applyBorder="1" applyAlignment="1">
      <alignment horizontal="center" vertical="center"/>
    </xf>
    <xf numFmtId="0" fontId="157" fillId="0" borderId="0" xfId="0" applyFont="1">
      <alignment vertical="center"/>
    </xf>
    <xf numFmtId="0" fontId="158" fillId="73" borderId="3" xfId="0" applyFont="1" applyFill="1" applyBorder="1" applyAlignment="1">
      <alignment horizontal="center" vertical="center"/>
    </xf>
    <xf numFmtId="0" fontId="159" fillId="73" borderId="3" xfId="0" applyFont="1" applyFill="1" applyBorder="1" applyAlignment="1">
      <alignment horizontal="center" vertical="center"/>
    </xf>
    <xf numFmtId="0" fontId="160" fillId="73" borderId="3" xfId="0" applyFont="1" applyFill="1" applyBorder="1" applyAlignment="1">
      <alignment horizontal="center" vertical="center"/>
    </xf>
    <xf numFmtId="0" fontId="33" fillId="0" borderId="2" xfId="0" applyFont="1" applyBorder="1" applyAlignment="1">
      <alignment vertical="center" wrapText="1"/>
    </xf>
    <xf numFmtId="0" fontId="33" fillId="0" borderId="4" xfId="0" applyFont="1" applyBorder="1" applyAlignment="1">
      <alignment vertical="center" wrapText="1"/>
    </xf>
    <xf numFmtId="0" fontId="33" fillId="0" borderId="6" xfId="0" applyFont="1" applyBorder="1" applyAlignment="1">
      <alignment vertical="center" wrapText="1"/>
    </xf>
    <xf numFmtId="0" fontId="33" fillId="0" borderId="0" xfId="0" applyFont="1" applyAlignment="1">
      <alignment vertical="center" wrapText="1"/>
    </xf>
    <xf numFmtId="0" fontId="33" fillId="0" borderId="7" xfId="0" applyFont="1" applyBorder="1" applyAlignment="1">
      <alignment vertical="center" wrapText="1"/>
    </xf>
    <xf numFmtId="0" fontId="33" fillId="0" borderId="8" xfId="0" applyFont="1" applyBorder="1" applyAlignment="1">
      <alignment vertical="center" wrapText="1"/>
    </xf>
    <xf numFmtId="0" fontId="33" fillId="0" borderId="9" xfId="0" applyFont="1" applyBorder="1" applyAlignment="1">
      <alignment vertical="center" wrapText="1"/>
    </xf>
    <xf numFmtId="0" fontId="33" fillId="0" borderId="10" xfId="0" applyFont="1" applyBorder="1" applyAlignment="1">
      <alignment vertical="center" wrapText="1"/>
    </xf>
    <xf numFmtId="0" fontId="17" fillId="0" borderId="16" xfId="0" applyFont="1" applyBorder="1" applyAlignment="1" applyProtection="1">
      <alignment horizontal="left" vertical="center" wrapText="1"/>
      <protection locked="0"/>
    </xf>
    <xf numFmtId="0" fontId="17" fillId="0" borderId="17" xfId="0" applyFont="1" applyBorder="1" applyAlignment="1" applyProtection="1">
      <alignment horizontal="left" vertical="center" wrapText="1"/>
      <protection locked="0"/>
    </xf>
    <xf numFmtId="0" fontId="17" fillId="0" borderId="18" xfId="0" applyFont="1" applyBorder="1" applyAlignment="1" applyProtection="1">
      <alignment horizontal="left" vertical="center" wrapText="1"/>
      <protection locked="0"/>
    </xf>
    <xf numFmtId="0" fontId="17" fillId="0" borderId="20" xfId="0" applyFont="1" applyBorder="1" applyAlignment="1" applyProtection="1">
      <alignment horizontal="left" vertical="center" wrapText="1"/>
      <protection locked="0"/>
    </xf>
    <xf numFmtId="0" fontId="17" fillId="0" borderId="21" xfId="0" applyFont="1" applyBorder="1" applyAlignment="1" applyProtection="1">
      <alignment horizontal="left" vertical="center" wrapText="1"/>
      <protection locked="0"/>
    </xf>
    <xf numFmtId="0" fontId="17" fillId="0" borderId="22" xfId="0" applyFont="1" applyBorder="1" applyAlignment="1" applyProtection="1">
      <alignment horizontal="left" vertical="center" wrapText="1"/>
      <protection locked="0"/>
    </xf>
    <xf numFmtId="0" fontId="17" fillId="0" borderId="23" xfId="0" applyFont="1" applyBorder="1" applyAlignment="1" applyProtection="1">
      <alignment horizontal="left" vertical="center" wrapText="1"/>
      <protection locked="0"/>
    </xf>
    <xf numFmtId="0" fontId="17" fillId="0" borderId="24" xfId="0" applyFont="1" applyBorder="1" applyAlignment="1" applyProtection="1">
      <alignment horizontal="left" vertical="center" wrapText="1"/>
      <protection locked="0"/>
    </xf>
    <xf numFmtId="0" fontId="27" fillId="0" borderId="0" xfId="0" applyFont="1">
      <alignment vertical="center"/>
    </xf>
    <xf numFmtId="178" fontId="29" fillId="10" borderId="0" xfId="0" applyNumberFormat="1" applyFont="1" applyFill="1" applyAlignment="1">
      <alignment horizontal="left" vertical="center"/>
    </xf>
    <xf numFmtId="178" fontId="19" fillId="0" borderId="87" xfId="0" applyNumberFormat="1" applyFont="1" applyBorder="1" applyAlignment="1">
      <alignment horizontal="center" vertical="center"/>
    </xf>
    <xf numFmtId="178" fontId="19" fillId="0" borderId="0" xfId="0" applyNumberFormat="1" applyFont="1" applyAlignment="1">
      <alignment horizontal="center" vertical="center"/>
    </xf>
    <xf numFmtId="178" fontId="19" fillId="10" borderId="0" xfId="0" applyNumberFormat="1" applyFont="1" applyFill="1" applyAlignment="1">
      <alignment horizontal="center" vertical="center"/>
    </xf>
    <xf numFmtId="178" fontId="19" fillId="10" borderId="7" xfId="0" applyNumberFormat="1" applyFont="1" applyFill="1" applyBorder="1" applyAlignment="1">
      <alignment horizontal="center" vertical="center"/>
    </xf>
    <xf numFmtId="178" fontId="19" fillId="10" borderId="99" xfId="0" applyNumberFormat="1" applyFont="1" applyFill="1" applyBorder="1" applyAlignment="1">
      <alignment horizontal="center" vertical="center"/>
    </xf>
    <xf numFmtId="178" fontId="19" fillId="10" borderId="9" xfId="0" applyNumberFormat="1" applyFont="1" applyFill="1" applyBorder="1" applyAlignment="1">
      <alignment horizontal="center" vertical="center"/>
    </xf>
    <xf numFmtId="178" fontId="19" fillId="10" borderId="94" xfId="0" applyNumberFormat="1" applyFont="1" applyFill="1" applyBorder="1" applyAlignment="1">
      <alignment horizontal="center" vertical="center"/>
    </xf>
    <xf numFmtId="178" fontId="29" fillId="10" borderId="6" xfId="0" applyNumberFormat="1" applyFont="1" applyFill="1" applyBorder="1" applyAlignment="1">
      <alignment horizontal="center" vertical="center"/>
    </xf>
    <xf numFmtId="0" fontId="22" fillId="0" borderId="82" xfId="0" applyFont="1" applyBorder="1" applyAlignment="1">
      <alignment horizontal="left" vertical="top" wrapText="1"/>
    </xf>
    <xf numFmtId="0" fontId="22" fillId="0" borderId="80" xfId="0" applyFont="1" applyBorder="1" applyAlignment="1">
      <alignment horizontal="left" vertical="top" wrapText="1"/>
    </xf>
    <xf numFmtId="0" fontId="22" fillId="0" borderId="87" xfId="0" applyFont="1" applyBorder="1" applyAlignment="1">
      <alignment horizontal="left" vertical="top" wrapText="1"/>
    </xf>
    <xf numFmtId="0" fontId="22" fillId="0" borderId="0" xfId="0" applyFont="1" applyAlignment="1">
      <alignment horizontal="left" vertical="top" wrapText="1"/>
    </xf>
    <xf numFmtId="0" fontId="22" fillId="0" borderId="99" xfId="0" applyFont="1" applyBorder="1" applyAlignment="1">
      <alignment horizontal="left" vertical="top" wrapText="1"/>
    </xf>
    <xf numFmtId="0" fontId="22" fillId="0" borderId="9" xfId="0" applyFont="1" applyBorder="1" applyAlignment="1">
      <alignment horizontal="left" vertical="top" wrapText="1"/>
    </xf>
    <xf numFmtId="178" fontId="19" fillId="10" borderId="87" xfId="0" applyNumberFormat="1" applyFont="1" applyFill="1" applyBorder="1" applyAlignment="1">
      <alignment horizontal="center" vertical="center"/>
    </xf>
    <xf numFmtId="178" fontId="19" fillId="10" borderId="82" xfId="0" applyNumberFormat="1" applyFont="1" applyFill="1" applyBorder="1" applyAlignment="1">
      <alignment horizontal="center" vertical="center"/>
    </xf>
    <xf numFmtId="178" fontId="19" fillId="10" borderId="80" xfId="0" applyNumberFormat="1" applyFont="1" applyFill="1" applyBorder="1" applyAlignment="1">
      <alignment horizontal="center" vertical="center"/>
    </xf>
    <xf numFmtId="0" fontId="29" fillId="8" borderId="165" xfId="0" applyFont="1" applyFill="1" applyBorder="1" applyAlignment="1">
      <alignment horizontal="center" vertical="center"/>
    </xf>
    <xf numFmtId="0" fontId="29" fillId="8" borderId="166" xfId="0" applyFont="1" applyFill="1" applyBorder="1" applyAlignment="1">
      <alignment horizontal="center" vertical="center"/>
    </xf>
    <xf numFmtId="178" fontId="19" fillId="10" borderId="6" xfId="0" applyNumberFormat="1" applyFont="1" applyFill="1" applyBorder="1" applyAlignment="1">
      <alignment horizontal="center" vertical="center"/>
    </xf>
    <xf numFmtId="178" fontId="19" fillId="0" borderId="8" xfId="0" applyNumberFormat="1" applyFont="1" applyBorder="1" applyAlignment="1">
      <alignment horizontal="center" vertical="center"/>
    </xf>
    <xf numFmtId="178" fontId="19" fillId="0" borderId="9" xfId="0" applyNumberFormat="1" applyFont="1" applyBorder="1" applyAlignment="1">
      <alignment horizontal="center" vertical="center"/>
    </xf>
    <xf numFmtId="178" fontId="19" fillId="0" borderId="6" xfId="0" applyNumberFormat="1" applyFont="1" applyBorder="1" applyAlignment="1">
      <alignment horizontal="center" vertical="center"/>
    </xf>
    <xf numFmtId="0" fontId="22" fillId="0" borderId="8" xfId="0" applyFont="1" applyBorder="1" applyAlignment="1">
      <alignment horizontal="left" vertical="center"/>
    </xf>
    <xf numFmtId="0" fontId="22" fillId="0" borderId="9" xfId="0" applyFont="1" applyBorder="1" applyAlignment="1">
      <alignment horizontal="left" vertical="center"/>
    </xf>
    <xf numFmtId="0" fontId="29" fillId="8" borderId="1" xfId="0" applyFont="1" applyFill="1" applyBorder="1" applyAlignment="1">
      <alignment horizontal="center" vertical="center"/>
    </xf>
    <xf numFmtId="0" fontId="29" fillId="8" borderId="2" xfId="0" applyFont="1" applyFill="1" applyBorder="1" applyAlignment="1">
      <alignment horizontal="center" vertical="center"/>
    </xf>
    <xf numFmtId="0" fontId="19" fillId="4" borderId="7" xfId="0" applyFont="1" applyFill="1" applyBorder="1" applyAlignment="1">
      <alignment horizontal="center" vertical="center"/>
    </xf>
    <xf numFmtId="0" fontId="19" fillId="0" borderId="7" xfId="0" applyFont="1" applyBorder="1" applyAlignment="1">
      <alignment horizontal="center" vertical="center"/>
    </xf>
    <xf numFmtId="0" fontId="19" fillId="0" borderId="10" xfId="0" applyFont="1" applyBorder="1" applyAlignment="1">
      <alignment horizontal="center" vertical="center"/>
    </xf>
    <xf numFmtId="0" fontId="19" fillId="10" borderId="6" xfId="0" applyFont="1" applyFill="1" applyBorder="1" applyAlignment="1">
      <alignment horizontal="center" vertical="center"/>
    </xf>
    <xf numFmtId="178" fontId="98" fillId="10" borderId="0" xfId="0" applyNumberFormat="1" applyFont="1" applyFill="1" applyAlignment="1">
      <alignment horizontal="center" vertical="center"/>
    </xf>
    <xf numFmtId="178" fontId="98" fillId="10" borderId="7" xfId="0" applyNumberFormat="1" applyFont="1" applyFill="1" applyBorder="1" applyAlignment="1">
      <alignment horizontal="center" vertical="center"/>
    </xf>
    <xf numFmtId="49" fontId="19" fillId="4" borderId="0" xfId="0" applyNumberFormat="1" applyFont="1" applyFill="1" applyAlignment="1">
      <alignment horizontal="center" vertical="top" wrapText="1"/>
    </xf>
    <xf numFmtId="49" fontId="19" fillId="4" borderId="7" xfId="0" applyNumberFormat="1" applyFont="1" applyFill="1" applyBorder="1" applyAlignment="1">
      <alignment horizontal="center" vertical="top" wrapText="1"/>
    </xf>
    <xf numFmtId="0" fontId="29" fillId="8" borderId="4" xfId="0" applyFont="1" applyFill="1" applyBorder="1" applyAlignment="1">
      <alignment horizontal="center" vertical="center"/>
    </xf>
    <xf numFmtId="0" fontId="19" fillId="8" borderId="165" xfId="0" applyFont="1" applyFill="1" applyBorder="1" applyAlignment="1">
      <alignment horizontal="center" vertical="center"/>
    </xf>
    <xf numFmtId="0" fontId="19" fillId="8" borderId="166" xfId="0" applyFont="1" applyFill="1" applyBorder="1" applyAlignment="1">
      <alignment horizontal="center" vertical="center"/>
    </xf>
    <xf numFmtId="0" fontId="19" fillId="8" borderId="167" xfId="0" applyFont="1" applyFill="1" applyBorder="1" applyAlignment="1">
      <alignment horizontal="center" vertical="center"/>
    </xf>
    <xf numFmtId="178" fontId="29" fillId="10" borderId="1" xfId="0" applyNumberFormat="1" applyFont="1" applyFill="1" applyBorder="1" applyAlignment="1">
      <alignment horizontal="center" vertical="center"/>
    </xf>
    <xf numFmtId="178" fontId="29" fillId="10" borderId="2" xfId="0" applyNumberFormat="1" applyFont="1" applyFill="1" applyBorder="1" applyAlignment="1">
      <alignment horizontal="center" vertical="center"/>
    </xf>
    <xf numFmtId="178" fontId="29" fillId="4" borderId="2" xfId="0" applyNumberFormat="1" applyFont="1" applyFill="1" applyBorder="1" applyAlignment="1">
      <alignment horizontal="center" vertical="center"/>
    </xf>
    <xf numFmtId="20" fontId="19" fillId="0" borderId="168" xfId="0" applyNumberFormat="1" applyFont="1" applyBorder="1" applyAlignment="1">
      <alignment horizontal="center" vertical="center"/>
    </xf>
    <xf numFmtId="20" fontId="19" fillId="0" borderId="7" xfId="0" applyNumberFormat="1" applyFont="1" applyBorder="1" applyAlignment="1">
      <alignment horizontal="center" vertical="center"/>
    </xf>
    <xf numFmtId="20" fontId="19" fillId="0" borderId="99" xfId="0" applyNumberFormat="1" applyFont="1" applyBorder="1" applyAlignment="1">
      <alignment horizontal="center" vertical="center"/>
    </xf>
    <xf numFmtId="20" fontId="19" fillId="0" borderId="10" xfId="0" applyNumberFormat="1" applyFont="1" applyBorder="1" applyAlignment="1">
      <alignment horizontal="center" vertical="center"/>
    </xf>
    <xf numFmtId="49" fontId="146" fillId="0" borderId="0" xfId="0" applyNumberFormat="1" applyFont="1" applyAlignment="1">
      <alignment horizontal="left" vertical="center"/>
    </xf>
    <xf numFmtId="0" fontId="146" fillId="0" borderId="0" xfId="0" applyFont="1" applyAlignment="1">
      <alignment horizontal="left" vertical="center"/>
    </xf>
    <xf numFmtId="0" fontId="149" fillId="0" borderId="6" xfId="0" applyFont="1" applyBorder="1" applyAlignment="1">
      <alignment horizontal="center" vertical="center" wrapText="1" readingOrder="1"/>
    </xf>
    <xf numFmtId="0" fontId="32" fillId="0" borderId="0" xfId="0" applyFont="1" applyAlignment="1">
      <alignment horizontal="left" vertical="center" wrapText="1" indent="1"/>
    </xf>
    <xf numFmtId="0" fontId="153" fillId="0" borderId="0" xfId="0" applyFont="1" applyAlignment="1">
      <alignment horizontal="center" vertical="center" wrapText="1"/>
    </xf>
    <xf numFmtId="0" fontId="77" fillId="0" borderId="0" xfId="0" applyFont="1" applyAlignment="1">
      <alignment horizontal="left" vertical="center" wrapText="1"/>
    </xf>
    <xf numFmtId="0" fontId="146" fillId="0" borderId="0" xfId="0" applyFont="1" applyAlignment="1">
      <alignment horizontal="left" vertical="center" wrapText="1"/>
    </xf>
    <xf numFmtId="0" fontId="154" fillId="0" borderId="0" xfId="0" applyFont="1" applyAlignment="1">
      <alignment horizontal="center" vertical="center" wrapText="1"/>
    </xf>
    <xf numFmtId="0" fontId="32" fillId="0" borderId="0" xfId="0" applyFont="1" applyAlignment="1">
      <alignment horizontal="center" vertical="center" wrapText="1"/>
    </xf>
    <xf numFmtId="49" fontId="107" fillId="85" borderId="0" xfId="0" applyNumberFormat="1" applyFont="1" applyFill="1" applyAlignment="1">
      <alignment horizontal="left" vertical="center"/>
    </xf>
    <xf numFmtId="49" fontId="107" fillId="9" borderId="0" xfId="0" applyNumberFormat="1" applyFont="1" applyFill="1" applyAlignment="1">
      <alignment horizontal="left" vertical="center"/>
    </xf>
    <xf numFmtId="49" fontId="107" fillId="85" borderId="9" xfId="0" applyNumberFormat="1" applyFont="1" applyFill="1" applyBorder="1" applyAlignment="1">
      <alignment horizontal="left" vertical="center"/>
    </xf>
    <xf numFmtId="49" fontId="107" fillId="9" borderId="2" xfId="0" applyNumberFormat="1" applyFont="1" applyFill="1" applyBorder="1" applyAlignment="1">
      <alignment horizontal="left" vertical="center"/>
    </xf>
    <xf numFmtId="0" fontId="107" fillId="0" borderId="0" xfId="0" applyFont="1" applyAlignment="1">
      <alignment horizontal="left" vertical="center"/>
    </xf>
    <xf numFmtId="0" fontId="107" fillId="84" borderId="0" xfId="0" applyFont="1" applyFill="1" applyAlignment="1">
      <alignment horizontal="left" vertical="center"/>
    </xf>
    <xf numFmtId="0" fontId="107" fillId="0" borderId="9" xfId="0" applyFont="1" applyBorder="1" applyAlignment="1">
      <alignment horizontal="left" vertical="center"/>
    </xf>
    <xf numFmtId="0" fontId="100" fillId="10" borderId="162" xfId="0" applyFont="1" applyFill="1" applyBorder="1" applyAlignment="1">
      <alignment horizontal="center" vertical="center" wrapText="1"/>
    </xf>
    <xf numFmtId="0" fontId="100" fillId="10" borderId="163" xfId="0" applyFont="1" applyFill="1" applyBorder="1" applyAlignment="1">
      <alignment horizontal="center" vertical="center" wrapText="1"/>
    </xf>
    <xf numFmtId="0" fontId="107" fillId="84" borderId="9" xfId="0" applyFont="1" applyFill="1" applyBorder="1" applyAlignment="1">
      <alignment horizontal="left" vertical="center"/>
    </xf>
    <xf numFmtId="0" fontId="100" fillId="0" borderId="148" xfId="0" applyFont="1" applyBorder="1" applyAlignment="1">
      <alignment horizontal="center" vertical="center" wrapText="1"/>
    </xf>
    <xf numFmtId="0" fontId="100" fillId="0" borderId="98" xfId="0" applyFont="1" applyBorder="1" applyAlignment="1">
      <alignment horizontal="center" vertical="center" wrapText="1"/>
    </xf>
    <xf numFmtId="0" fontId="100" fillId="10" borderId="148" xfId="0" applyFont="1" applyFill="1" applyBorder="1" applyAlignment="1">
      <alignment horizontal="center" vertical="center" wrapText="1"/>
    </xf>
    <xf numFmtId="0" fontId="100" fillId="10" borderId="98" xfId="0" applyFont="1" applyFill="1" applyBorder="1" applyAlignment="1">
      <alignment horizontal="center" vertical="center" wrapText="1"/>
    </xf>
    <xf numFmtId="0" fontId="77" fillId="8" borderId="145" xfId="0" applyFont="1" applyFill="1" applyBorder="1" applyAlignment="1">
      <alignment horizontal="center" vertical="center" wrapText="1"/>
    </xf>
    <xf numFmtId="0" fontId="77" fillId="8" borderId="146" xfId="0" applyFont="1" applyFill="1" applyBorder="1" applyAlignment="1">
      <alignment horizontal="center" vertical="center" wrapText="1"/>
    </xf>
    <xf numFmtId="0" fontId="107" fillId="84" borderId="2" xfId="0" applyFont="1" applyFill="1" applyBorder="1" applyAlignment="1">
      <alignment horizontal="left" vertical="center"/>
    </xf>
    <xf numFmtId="0" fontId="107" fillId="0" borderId="2" xfId="0" applyFont="1" applyBorder="1" applyAlignment="1">
      <alignment horizontal="left" vertical="center"/>
    </xf>
    <xf numFmtId="0" fontId="107" fillId="9" borderId="0" xfId="0" applyFont="1" applyFill="1" applyAlignment="1">
      <alignment horizontal="left" vertical="center" wrapText="1"/>
    </xf>
    <xf numFmtId="0" fontId="151" fillId="77" borderId="0" xfId="0" applyFont="1" applyFill="1" applyAlignment="1">
      <alignment horizontal="left" vertical="center"/>
    </xf>
    <xf numFmtId="0" fontId="107" fillId="0" borderId="0" xfId="0" applyFont="1" applyAlignment="1">
      <alignment horizontal="left" vertical="center" wrapText="1"/>
    </xf>
    <xf numFmtId="0" fontId="107" fillId="9" borderId="9" xfId="0" applyFont="1" applyFill="1" applyBorder="1" applyAlignment="1">
      <alignment horizontal="left" vertical="center" wrapText="1"/>
    </xf>
    <xf numFmtId="0" fontId="101" fillId="51" borderId="1" xfId="0" applyFont="1" applyFill="1" applyBorder="1" applyAlignment="1">
      <alignment horizontal="center" vertical="center" wrapText="1"/>
    </xf>
    <xf numFmtId="0" fontId="101" fillId="51" borderId="2" xfId="0" applyFont="1" applyFill="1" applyBorder="1" applyAlignment="1">
      <alignment horizontal="center" vertical="center" wrapText="1"/>
    </xf>
    <xf numFmtId="0" fontId="101" fillId="51" borderId="4" xfId="0" applyFont="1" applyFill="1" applyBorder="1" applyAlignment="1">
      <alignment horizontal="center" vertical="center" wrapText="1"/>
    </xf>
    <xf numFmtId="0" fontId="46" fillId="0" borderId="8" xfId="0" applyFont="1" applyBorder="1" applyAlignment="1" applyProtection="1">
      <alignment horizontal="center" vertical="center" wrapText="1"/>
      <protection locked="0"/>
    </xf>
    <xf numFmtId="0" fontId="46" fillId="0" borderId="9" xfId="0" applyFont="1" applyBorder="1" applyAlignment="1" applyProtection="1">
      <alignment horizontal="center" vertical="center" wrapText="1"/>
      <protection locked="0"/>
    </xf>
    <xf numFmtId="0" fontId="46" fillId="0" borderId="10" xfId="0" applyFont="1" applyBorder="1" applyAlignment="1" applyProtection="1">
      <alignment horizontal="center" vertical="center" wrapText="1"/>
      <protection locked="0"/>
    </xf>
    <xf numFmtId="0" fontId="57" fillId="79" borderId="1" xfId="2" applyNumberFormat="1" applyFont="1" applyFill="1" applyBorder="1" applyAlignment="1" applyProtection="1">
      <alignment horizontal="center" vertical="center" wrapText="1"/>
    </xf>
    <xf numFmtId="0" fontId="57" fillId="79" borderId="2" xfId="2" applyNumberFormat="1" applyFont="1" applyFill="1" applyBorder="1" applyAlignment="1" applyProtection="1">
      <alignment horizontal="center" vertical="center" wrapText="1"/>
    </xf>
    <xf numFmtId="0" fontId="57" fillId="79" borderId="4" xfId="2" applyNumberFormat="1" applyFont="1" applyFill="1" applyBorder="1" applyAlignment="1" applyProtection="1">
      <alignment horizontal="center" vertical="center" wrapText="1"/>
    </xf>
    <xf numFmtId="0" fontId="107" fillId="53" borderId="149" xfId="0" applyFont="1" applyFill="1" applyBorder="1" applyAlignment="1" applyProtection="1">
      <alignment horizontal="center" vertical="center" wrapText="1"/>
      <protection locked="0"/>
    </xf>
    <xf numFmtId="0" fontId="107" fillId="53" borderId="63" xfId="0" applyFont="1" applyFill="1" applyBorder="1" applyAlignment="1" applyProtection="1">
      <alignment horizontal="center" vertical="center" wrapText="1"/>
      <protection locked="0"/>
    </xf>
    <xf numFmtId="0" fontId="146" fillId="82" borderId="0" xfId="0" applyFont="1" applyFill="1" applyAlignment="1">
      <alignment horizontal="left" vertical="center" wrapText="1"/>
    </xf>
    <xf numFmtId="0" fontId="152" fillId="82" borderId="0" xfId="0" applyFont="1" applyFill="1" applyAlignment="1">
      <alignment horizontal="left" vertical="center" wrapText="1"/>
    </xf>
    <xf numFmtId="0" fontId="151" fillId="77" borderId="0" xfId="0" applyFont="1" applyFill="1" applyAlignment="1">
      <alignment horizontal="center" vertical="center"/>
    </xf>
    <xf numFmtId="0" fontId="151" fillId="77" borderId="0" xfId="0" applyFont="1" applyFill="1" applyAlignment="1">
      <alignment horizontal="center" vertical="center" wrapText="1"/>
    </xf>
    <xf numFmtId="0" fontId="107" fillId="53" borderId="46" xfId="0" applyFont="1" applyFill="1" applyBorder="1" applyAlignment="1" applyProtection="1">
      <alignment horizontal="center" vertical="center" wrapText="1"/>
      <protection locked="0"/>
    </xf>
    <xf numFmtId="0" fontId="107" fillId="53" borderId="47" xfId="0" applyFont="1" applyFill="1" applyBorder="1" applyAlignment="1" applyProtection="1">
      <alignment horizontal="center" vertical="center" wrapText="1"/>
      <protection locked="0"/>
    </xf>
    <xf numFmtId="0" fontId="146" fillId="83" borderId="0" xfId="0" applyFont="1" applyFill="1" applyAlignment="1">
      <alignment horizontal="left" vertical="center" wrapText="1"/>
    </xf>
    <xf numFmtId="0" fontId="107" fillId="81" borderId="0" xfId="0" applyFont="1" applyFill="1" applyAlignment="1">
      <alignment horizontal="left" vertical="center" wrapText="1"/>
    </xf>
    <xf numFmtId="0" fontId="147" fillId="3" borderId="2" xfId="0" applyFont="1" applyFill="1" applyBorder="1" applyAlignment="1">
      <alignment horizontal="center" vertical="center" wrapText="1"/>
    </xf>
    <xf numFmtId="0" fontId="148" fillId="3" borderId="0" xfId="0" applyFont="1" applyFill="1" applyAlignment="1">
      <alignment horizontal="center" vertical="center"/>
    </xf>
    <xf numFmtId="0" fontId="149" fillId="0" borderId="0" xfId="0" applyFont="1" applyAlignment="1">
      <alignment horizontal="center" vertical="center" wrapText="1"/>
    </xf>
    <xf numFmtId="0" fontId="149" fillId="0" borderId="7" xfId="0" applyFont="1" applyBorder="1" applyAlignment="1">
      <alignment horizontal="center" vertical="center" wrapText="1"/>
    </xf>
    <xf numFmtId="0" fontId="150" fillId="79" borderId="160" xfId="2" applyNumberFormat="1" applyFont="1" applyFill="1" applyBorder="1" applyAlignment="1" applyProtection="1">
      <alignment horizontal="center" vertical="center" wrapText="1"/>
    </xf>
    <xf numFmtId="0" fontId="150" fillId="79" borderId="154" xfId="2" applyNumberFormat="1" applyFont="1" applyFill="1" applyBorder="1" applyAlignment="1" applyProtection="1">
      <alignment horizontal="center" vertical="center" wrapText="1"/>
    </xf>
    <xf numFmtId="0" fontId="142" fillId="0" borderId="0" xfId="0" applyFont="1" applyAlignment="1" applyProtection="1">
      <alignment horizontal="center" vertical="center"/>
      <protection locked="0"/>
    </xf>
    <xf numFmtId="0" fontId="143" fillId="0" borderId="0" xfId="0" applyFont="1" applyAlignment="1" applyProtection="1">
      <alignment horizontal="center" vertical="center"/>
      <protection locked="0"/>
    </xf>
    <xf numFmtId="0" fontId="12" fillId="43" borderId="150" xfId="0" applyFont="1" applyFill="1" applyBorder="1" applyAlignment="1" applyProtection="1">
      <alignment horizontal="center" vertical="center"/>
      <protection locked="0"/>
    </xf>
    <xf numFmtId="0" fontId="12" fillId="43" borderId="155" xfId="0" applyFont="1" applyFill="1" applyBorder="1" applyAlignment="1" applyProtection="1">
      <alignment horizontal="center" vertical="center"/>
      <protection locked="0"/>
    </xf>
    <xf numFmtId="0" fontId="12" fillId="43" borderId="156" xfId="0" applyFont="1" applyFill="1" applyBorder="1" applyAlignment="1" applyProtection="1">
      <alignment horizontal="center" vertical="center"/>
      <protection locked="0"/>
    </xf>
    <xf numFmtId="0" fontId="12" fillId="43" borderId="151" xfId="0" applyFont="1" applyFill="1" applyBorder="1" applyAlignment="1" applyProtection="1">
      <alignment horizontal="center" vertical="center" wrapText="1"/>
      <protection locked="0"/>
    </xf>
    <xf numFmtId="0" fontId="12" fillId="43" borderId="2" xfId="0" applyFont="1" applyFill="1" applyBorder="1" applyAlignment="1" applyProtection="1">
      <alignment horizontal="center" vertical="center" wrapText="1"/>
      <protection locked="0"/>
    </xf>
    <xf numFmtId="0" fontId="12" fillId="43" borderId="152" xfId="0" applyFont="1" applyFill="1" applyBorder="1" applyAlignment="1" applyProtection="1">
      <alignment horizontal="center" vertical="center" wrapText="1"/>
      <protection locked="0"/>
    </xf>
    <xf numFmtId="0" fontId="12" fillId="43" borderId="20" xfId="0" applyFont="1" applyFill="1" applyBorder="1" applyAlignment="1" applyProtection="1">
      <alignment horizontal="center" vertical="center" wrapText="1"/>
      <protection locked="0"/>
    </xf>
    <xf numFmtId="0" fontId="12" fillId="43" borderId="0" xfId="0" applyFont="1" applyFill="1" applyAlignment="1" applyProtection="1">
      <alignment horizontal="center" vertical="center" wrapText="1"/>
      <protection locked="0"/>
    </xf>
    <xf numFmtId="0" fontId="12" fillId="43" borderId="21" xfId="0" applyFont="1" applyFill="1" applyBorder="1" applyAlignment="1" applyProtection="1">
      <alignment horizontal="center" vertical="center" wrapText="1"/>
      <protection locked="0"/>
    </xf>
    <xf numFmtId="0" fontId="12" fillId="43" borderId="157" xfId="0" applyFont="1" applyFill="1" applyBorder="1" applyAlignment="1" applyProtection="1">
      <alignment horizontal="center" vertical="center" wrapText="1"/>
      <protection locked="0"/>
    </xf>
    <xf numFmtId="0" fontId="12" fillId="43" borderId="9" xfId="0" applyFont="1" applyFill="1" applyBorder="1" applyAlignment="1" applyProtection="1">
      <alignment horizontal="center" vertical="center" wrapText="1"/>
      <protection locked="0"/>
    </xf>
    <xf numFmtId="0" fontId="12" fillId="43" borderId="158" xfId="0" applyFont="1" applyFill="1" applyBorder="1" applyAlignment="1" applyProtection="1">
      <alignment horizontal="center" vertical="center" wrapText="1"/>
      <protection locked="0"/>
    </xf>
    <xf numFmtId="0" fontId="18" fillId="0" borderId="17" xfId="0" applyFont="1" applyBorder="1" applyAlignment="1">
      <alignment horizontal="center" vertical="center" wrapText="1"/>
    </xf>
    <xf numFmtId="0" fontId="18" fillId="0" borderId="42" xfId="0" applyFont="1" applyBorder="1" applyAlignment="1">
      <alignment horizontal="center" vertical="center" wrapText="1"/>
    </xf>
    <xf numFmtId="0" fontId="18" fillId="0" borderId="0" xfId="0" applyFont="1" applyAlignment="1">
      <alignment horizontal="center" vertical="center" wrapText="1"/>
    </xf>
    <xf numFmtId="0" fontId="18" fillId="0" borderId="7" xfId="0" applyFont="1" applyBorder="1" applyAlignment="1">
      <alignment horizontal="center" vertical="center" wrapText="1"/>
    </xf>
    <xf numFmtId="0" fontId="18" fillId="0" borderId="23" xfId="0" applyFont="1" applyBorder="1" applyAlignment="1">
      <alignment horizontal="center" vertical="center" wrapText="1"/>
    </xf>
    <xf numFmtId="0" fontId="18" fillId="0" borderId="4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0" xfId="0" applyFont="1" applyBorder="1" applyAlignment="1">
      <alignment horizontal="center" vertical="center" wrapText="1"/>
    </xf>
    <xf numFmtId="0" fontId="125" fillId="9" borderId="6" xfId="0" applyFont="1" applyFill="1" applyBorder="1" applyAlignment="1">
      <alignment horizontal="center" vertical="center"/>
    </xf>
    <xf numFmtId="0" fontId="125" fillId="9" borderId="0" xfId="0" applyFont="1" applyFill="1" applyAlignment="1">
      <alignment horizontal="center" vertical="center"/>
    </xf>
    <xf numFmtId="0" fontId="125" fillId="9" borderId="7" xfId="0" applyFont="1" applyFill="1" applyBorder="1" applyAlignment="1">
      <alignment horizontal="center" vertical="center"/>
    </xf>
    <xf numFmtId="0" fontId="18" fillId="0" borderId="6"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149" xfId="0" applyFont="1" applyBorder="1" applyAlignment="1">
      <alignment horizontal="center" vertical="center" wrapText="1"/>
    </xf>
    <xf numFmtId="0" fontId="18" fillId="0" borderId="3" xfId="0" applyFont="1" applyBorder="1" applyAlignment="1">
      <alignment horizontal="center" vertical="center"/>
    </xf>
    <xf numFmtId="0" fontId="18" fillId="0" borderId="149" xfId="0" applyFont="1" applyBorder="1" applyAlignment="1">
      <alignment horizontal="center" vertical="center"/>
    </xf>
    <xf numFmtId="0" fontId="18" fillId="0" borderId="3" xfId="0" applyFont="1" applyBorder="1" applyAlignment="1">
      <alignment horizontal="center" vertical="center" wrapText="1"/>
    </xf>
    <xf numFmtId="0" fontId="18" fillId="0" borderId="63" xfId="0" applyFont="1" applyBorder="1" applyAlignment="1">
      <alignment horizontal="center" vertical="center"/>
    </xf>
    <xf numFmtId="0" fontId="126" fillId="9" borderId="6" xfId="0" applyFont="1" applyFill="1" applyBorder="1" applyAlignment="1">
      <alignment horizontal="center" vertical="center" wrapText="1"/>
    </xf>
    <xf numFmtId="0" fontId="126" fillId="9" borderId="0" xfId="0" applyFont="1" applyFill="1" applyAlignment="1">
      <alignment horizontal="center" vertical="center" wrapText="1"/>
    </xf>
    <xf numFmtId="0" fontId="126" fillId="9" borderId="7" xfId="0" applyFont="1" applyFill="1" applyBorder="1" applyAlignment="1">
      <alignment horizontal="center" vertical="center" wrapText="1"/>
    </xf>
    <xf numFmtId="0" fontId="24" fillId="0" borderId="6" xfId="0" applyFont="1" applyBorder="1" applyAlignment="1">
      <alignment horizontal="center" vertical="center" wrapText="1"/>
    </xf>
    <xf numFmtId="0" fontId="24" fillId="0" borderId="0" xfId="0" applyFont="1" applyAlignment="1">
      <alignment horizontal="center" vertical="center" wrapText="1"/>
    </xf>
    <xf numFmtId="0" fontId="24" fillId="0" borderId="7" xfId="0" applyFont="1" applyBorder="1" applyAlignment="1">
      <alignment horizontal="center" vertical="center" wrapText="1"/>
    </xf>
    <xf numFmtId="0" fontId="29" fillId="0" borderId="27" xfId="0" applyFont="1" applyBorder="1" applyAlignment="1">
      <alignment horizontal="center" vertical="center" wrapText="1"/>
    </xf>
    <xf numFmtId="0" fontId="29" fillId="0" borderId="48" xfId="0" applyFont="1" applyBorder="1" applyAlignment="1">
      <alignment horizontal="center" vertical="center" wrapText="1"/>
    </xf>
    <xf numFmtId="0" fontId="29" fillId="0" borderId="28" xfId="0" applyFont="1" applyBorder="1" applyAlignment="1">
      <alignment horizontal="center" vertical="center" wrapText="1"/>
    </xf>
    <xf numFmtId="0" fontId="29" fillId="0" borderId="6" xfId="0" applyFont="1" applyBorder="1" applyAlignment="1">
      <alignment horizontal="center" vertical="center" wrapText="1"/>
    </xf>
    <xf numFmtId="0" fontId="29" fillId="0" borderId="0" xfId="0" applyFont="1" applyAlignment="1">
      <alignment horizontal="center" vertical="center" wrapText="1"/>
    </xf>
    <xf numFmtId="0" fontId="29" fillId="0" borderId="7" xfId="0" applyFont="1" applyBorder="1" applyAlignment="1">
      <alignment horizontal="center" vertical="center" wrapText="1"/>
    </xf>
    <xf numFmtId="0" fontId="29" fillId="0" borderId="8" xfId="0" applyFont="1" applyBorder="1" applyAlignment="1">
      <alignment horizontal="center" vertical="center" wrapText="1"/>
    </xf>
    <xf numFmtId="0" fontId="29" fillId="0" borderId="9" xfId="0" applyFont="1" applyBorder="1" applyAlignment="1">
      <alignment horizontal="center" vertical="center" wrapText="1"/>
    </xf>
    <xf numFmtId="0" fontId="29" fillId="0" borderId="10" xfId="0" applyFont="1" applyBorder="1" applyAlignment="1">
      <alignment horizontal="center" vertical="center" wrapText="1"/>
    </xf>
    <xf numFmtId="0" fontId="27" fillId="9" borderId="1" xfId="0" applyFont="1" applyFill="1" applyBorder="1" applyAlignment="1">
      <alignment horizontal="center" vertical="center"/>
    </xf>
    <xf numFmtId="0" fontId="27" fillId="9" borderId="2" xfId="0" applyFont="1" applyFill="1" applyBorder="1" applyAlignment="1">
      <alignment horizontal="center" vertical="center"/>
    </xf>
    <xf numFmtId="0" fontId="27" fillId="9" borderId="4" xfId="0" applyFont="1" applyFill="1" applyBorder="1" applyAlignment="1">
      <alignment horizontal="center" vertical="center"/>
    </xf>
    <xf numFmtId="0" fontId="27" fillId="9" borderId="6" xfId="0" applyFont="1" applyFill="1" applyBorder="1" applyAlignment="1">
      <alignment horizontal="center" vertical="center"/>
    </xf>
    <xf numFmtId="0" fontId="27" fillId="9" borderId="0" xfId="0" applyFont="1" applyFill="1" applyAlignment="1">
      <alignment horizontal="center" vertical="center"/>
    </xf>
    <xf numFmtId="0" fontId="27" fillId="9" borderId="7" xfId="0" applyFont="1" applyFill="1" applyBorder="1" applyAlignment="1">
      <alignment horizontal="center" vertical="center"/>
    </xf>
    <xf numFmtId="0" fontId="27" fillId="9" borderId="8" xfId="0" applyFont="1" applyFill="1" applyBorder="1" applyAlignment="1">
      <alignment horizontal="center" vertical="center"/>
    </xf>
    <xf numFmtId="0" fontId="27" fillId="9" borderId="9" xfId="0" applyFont="1" applyFill="1" applyBorder="1" applyAlignment="1">
      <alignment horizontal="center" vertical="center"/>
    </xf>
    <xf numFmtId="0" fontId="27" fillId="9" borderId="10" xfId="0" applyFont="1" applyFill="1" applyBorder="1" applyAlignment="1">
      <alignment horizontal="center" vertical="center"/>
    </xf>
    <xf numFmtId="0" fontId="29" fillId="0" borderId="57" xfId="0" applyFont="1" applyBorder="1" applyAlignment="1">
      <alignment horizontal="center" vertical="top" wrapText="1"/>
    </xf>
    <xf numFmtId="0" fontId="29" fillId="0" borderId="0" xfId="0" applyFont="1" applyAlignment="1">
      <alignment horizontal="center" vertical="top"/>
    </xf>
    <xf numFmtId="0" fontId="29" fillId="0" borderId="7" xfId="0" applyFont="1" applyBorder="1" applyAlignment="1">
      <alignment horizontal="center" vertical="top"/>
    </xf>
    <xf numFmtId="0" fontId="29" fillId="0" borderId="58" xfId="0" applyFont="1" applyBorder="1" applyAlignment="1">
      <alignment horizontal="center" vertical="top"/>
    </xf>
    <xf numFmtId="0" fontId="29" fillId="0" borderId="39" xfId="0" applyFont="1" applyBorder="1" applyAlignment="1">
      <alignment horizontal="center" vertical="top"/>
    </xf>
    <xf numFmtId="0" fontId="29" fillId="0" borderId="40" xfId="0" applyFont="1" applyBorder="1" applyAlignment="1">
      <alignment horizontal="center" vertical="top"/>
    </xf>
    <xf numFmtId="0" fontId="29" fillId="0" borderId="6" xfId="0" applyFont="1" applyBorder="1" applyAlignment="1">
      <alignment horizontal="center" vertical="top" wrapText="1"/>
    </xf>
    <xf numFmtId="0" fontId="29" fillId="0" borderId="52" xfId="0" applyFont="1" applyBorder="1" applyAlignment="1">
      <alignment horizontal="center" vertical="top"/>
    </xf>
    <xf numFmtId="0" fontId="29" fillId="0" borderId="38" xfId="0" applyFont="1" applyBorder="1" applyAlignment="1">
      <alignment horizontal="center" vertical="top"/>
    </xf>
    <xf numFmtId="0" fontId="29" fillId="0" borderId="51" xfId="0" applyFont="1" applyBorder="1" applyAlignment="1">
      <alignment horizontal="center" vertical="top"/>
    </xf>
    <xf numFmtId="0" fontId="29" fillId="0" borderId="0" xfId="0" applyFont="1" applyAlignment="1">
      <alignment horizontal="center" vertical="top" wrapText="1"/>
    </xf>
    <xf numFmtId="0" fontId="24" fillId="0" borderId="8"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0" xfId="0" applyFont="1" applyBorder="1" applyAlignment="1">
      <alignment horizontal="center" vertical="center" wrapText="1"/>
    </xf>
    <xf numFmtId="0" fontId="29" fillId="0" borderId="10" xfId="0" applyFont="1" applyBorder="1" applyAlignment="1">
      <alignment horizontal="center" vertical="center"/>
    </xf>
    <xf numFmtId="0" fontId="95" fillId="0" borderId="6" xfId="0" applyFont="1" applyBorder="1" applyAlignment="1">
      <alignment horizontal="center" vertical="center" wrapText="1"/>
    </xf>
    <xf numFmtId="0" fontId="95" fillId="0" borderId="0" xfId="0" applyFont="1" applyAlignment="1">
      <alignment horizontal="center" vertical="center" wrapText="1"/>
    </xf>
    <xf numFmtId="0" fontId="95" fillId="0" borderId="7" xfId="0" applyFont="1" applyBorder="1" applyAlignment="1">
      <alignment horizontal="center" vertical="center" wrapText="1"/>
    </xf>
    <xf numFmtId="0" fontId="61" fillId="0" borderId="6" xfId="0" applyFont="1" applyBorder="1" applyAlignment="1">
      <alignment horizontal="center" vertical="center"/>
    </xf>
    <xf numFmtId="0" fontId="61" fillId="0" borderId="0" xfId="0" applyFont="1" applyAlignment="1">
      <alignment horizontal="center" vertical="center"/>
    </xf>
    <xf numFmtId="0" fontId="61" fillId="0" borderId="7" xfId="0" applyFont="1" applyBorder="1" applyAlignment="1">
      <alignment horizontal="center" vertical="center"/>
    </xf>
    <xf numFmtId="0" fontId="15" fillId="0" borderId="0" xfId="0" applyFont="1" applyAlignment="1">
      <alignment horizontal="left" vertical="center" wrapText="1"/>
    </xf>
    <xf numFmtId="0" fontId="15" fillId="0" borderId="0" xfId="0" applyFont="1" applyAlignment="1">
      <alignment horizontal="left" vertical="center"/>
    </xf>
    <xf numFmtId="0" fontId="15" fillId="0" borderId="77" xfId="0" applyFont="1" applyBorder="1" applyAlignment="1">
      <alignment horizontal="left" vertical="center" wrapText="1"/>
    </xf>
    <xf numFmtId="49" fontId="5" fillId="0" borderId="6" xfId="0" applyNumberFormat="1" applyFont="1" applyBorder="1" applyAlignment="1">
      <alignment horizontal="left" vertical="center" wrapText="1"/>
    </xf>
    <xf numFmtId="178" fontId="6" fillId="0" borderId="79" xfId="0" applyNumberFormat="1" applyFont="1" applyBorder="1" applyAlignment="1" applyProtection="1">
      <alignment horizontal="center" vertical="center" wrapText="1"/>
      <protection locked="0"/>
    </xf>
    <xf numFmtId="178" fontId="6" fillId="0" borderId="80" xfId="0" applyNumberFormat="1" applyFont="1" applyBorder="1" applyAlignment="1" applyProtection="1">
      <alignment horizontal="center" vertical="center" wrapText="1"/>
      <protection locked="0"/>
    </xf>
    <xf numFmtId="178" fontId="6" fillId="0" borderId="6" xfId="0" applyNumberFormat="1" applyFont="1" applyBorder="1" applyAlignment="1" applyProtection="1">
      <alignment horizontal="center" vertical="center" wrapText="1"/>
      <protection locked="0"/>
    </xf>
    <xf numFmtId="178" fontId="6" fillId="0" borderId="0" xfId="0" applyNumberFormat="1" applyFont="1" applyAlignment="1" applyProtection="1">
      <alignment horizontal="center" vertical="center" wrapText="1"/>
      <protection locked="0"/>
    </xf>
    <xf numFmtId="49" fontId="121" fillId="0" borderId="98" xfId="0" applyNumberFormat="1" applyFont="1" applyBorder="1" applyAlignment="1">
      <alignment horizontal="center" vertical="center"/>
    </xf>
    <xf numFmtId="178" fontId="122" fillId="0" borderId="98" xfId="0" applyNumberFormat="1" applyFont="1" applyBorder="1" applyAlignment="1">
      <alignment horizontal="center" vertical="center" wrapText="1"/>
    </xf>
    <xf numFmtId="178" fontId="46" fillId="0" borderId="98" xfId="0" applyNumberFormat="1" applyFont="1" applyBorder="1" applyAlignment="1">
      <alignment horizontal="left" vertical="center" wrapText="1"/>
    </xf>
    <xf numFmtId="178" fontId="46" fillId="0" borderId="80" xfId="0" applyNumberFormat="1" applyFont="1" applyBorder="1" applyAlignment="1">
      <alignment horizontal="left" vertical="center" wrapText="1"/>
    </xf>
    <xf numFmtId="178" fontId="46" fillId="0" borderId="83" xfId="0" applyNumberFormat="1" applyFont="1" applyBorder="1" applyAlignment="1">
      <alignment horizontal="left" vertical="center" wrapText="1"/>
    </xf>
    <xf numFmtId="178" fontId="46" fillId="0" borderId="0" xfId="0" applyNumberFormat="1" applyFont="1" applyAlignment="1">
      <alignment horizontal="left" vertical="center" wrapText="1"/>
    </xf>
    <xf numFmtId="178" fontId="46" fillId="0" borderId="7" xfId="0" applyNumberFormat="1" applyFont="1" applyBorder="1" applyAlignment="1">
      <alignment horizontal="left" vertical="center" wrapText="1"/>
    </xf>
    <xf numFmtId="178" fontId="101" fillId="0" borderId="148" xfId="0" applyNumberFormat="1" applyFont="1" applyBorder="1" applyAlignment="1">
      <alignment horizontal="left" vertical="center" wrapText="1"/>
    </xf>
    <xf numFmtId="178" fontId="101" fillId="0" borderId="98" xfId="0" applyNumberFormat="1" applyFont="1" applyBorder="1" applyAlignment="1">
      <alignment horizontal="left" vertical="center" wrapText="1"/>
    </xf>
    <xf numFmtId="178" fontId="101" fillId="0" borderId="95" xfId="0" applyNumberFormat="1" applyFont="1" applyBorder="1" applyAlignment="1">
      <alignment horizontal="left" vertical="center" wrapText="1"/>
    </xf>
    <xf numFmtId="0" fontId="29" fillId="55" borderId="148" xfId="0" applyFont="1" applyFill="1" applyBorder="1" applyAlignment="1">
      <alignment horizontal="center" vertical="center"/>
    </xf>
    <xf numFmtId="0" fontId="29" fillId="55" borderId="98" xfId="0" applyFont="1" applyFill="1" applyBorder="1" applyAlignment="1">
      <alignment horizontal="center" vertical="center"/>
    </xf>
    <xf numFmtId="0" fontId="29" fillId="55" borderId="37" xfId="0" applyFont="1" applyFill="1" applyBorder="1" applyAlignment="1">
      <alignment horizontal="center" vertical="center"/>
    </xf>
    <xf numFmtId="49" fontId="5" fillId="0" borderId="0" xfId="0" applyNumberFormat="1" applyFont="1" applyAlignment="1">
      <alignment horizontal="left" vertical="center" wrapText="1"/>
    </xf>
    <xf numFmtId="49" fontId="5" fillId="0" borderId="7" xfId="0" applyNumberFormat="1" applyFont="1" applyBorder="1" applyAlignment="1">
      <alignment horizontal="left" vertical="center" wrapText="1"/>
    </xf>
    <xf numFmtId="49" fontId="5" fillId="0" borderId="9" xfId="0" applyNumberFormat="1" applyFont="1" applyBorder="1" applyAlignment="1">
      <alignment horizontal="left" vertical="center" wrapText="1"/>
    </xf>
    <xf numFmtId="49" fontId="5" fillId="0" borderId="10" xfId="0" applyNumberFormat="1" applyFont="1" applyBorder="1" applyAlignment="1">
      <alignment horizontal="left" vertical="center" wrapText="1"/>
    </xf>
    <xf numFmtId="0" fontId="128" fillId="0" borderId="6" xfId="0" applyFont="1" applyBorder="1" applyAlignment="1">
      <alignment horizontal="center" vertical="center"/>
    </xf>
    <xf numFmtId="0" fontId="128" fillId="0" borderId="0" xfId="0" applyFont="1" applyAlignment="1">
      <alignment horizontal="center" vertical="center"/>
    </xf>
    <xf numFmtId="0" fontId="128" fillId="0" borderId="7" xfId="0" applyFont="1" applyBorder="1" applyAlignment="1">
      <alignment horizontal="center" vertical="center"/>
    </xf>
    <xf numFmtId="49" fontId="5" fillId="0" borderId="0" xfId="0" applyNumberFormat="1" applyFont="1" applyAlignment="1">
      <alignment horizontal="left" vertical="center"/>
    </xf>
    <xf numFmtId="49" fontId="5" fillId="0" borderId="7" xfId="0" applyNumberFormat="1" applyFont="1" applyBorder="1" applyAlignment="1">
      <alignment horizontal="left" vertical="center"/>
    </xf>
    <xf numFmtId="178" fontId="100" fillId="0" borderId="79" xfId="0" applyNumberFormat="1" applyFont="1" applyBorder="1" applyAlignment="1">
      <alignment horizontal="left" vertical="top" wrapText="1"/>
    </xf>
    <xf numFmtId="178" fontId="100" fillId="0" borderId="80" xfId="0" applyNumberFormat="1" applyFont="1" applyBorder="1" applyAlignment="1">
      <alignment horizontal="left" vertical="top" wrapText="1"/>
    </xf>
    <xf numFmtId="178" fontId="100" fillId="0" borderId="83" xfId="0" applyNumberFormat="1" applyFont="1" applyBorder="1" applyAlignment="1">
      <alignment horizontal="left" vertical="top" wrapText="1"/>
    </xf>
    <xf numFmtId="178" fontId="100" fillId="0" borderId="6" xfId="0" applyNumberFormat="1" applyFont="1" applyBorder="1" applyAlignment="1">
      <alignment horizontal="left" vertical="top" wrapText="1"/>
    </xf>
    <xf numFmtId="178" fontId="100" fillId="0" borderId="0" xfId="0" applyNumberFormat="1" applyFont="1" applyAlignment="1">
      <alignment horizontal="left" vertical="top" wrapText="1"/>
    </xf>
    <xf numFmtId="178" fontId="100" fillId="0" borderId="7" xfId="0" applyNumberFormat="1" applyFont="1" applyBorder="1" applyAlignment="1">
      <alignment horizontal="left" vertical="top" wrapText="1"/>
    </xf>
    <xf numFmtId="178" fontId="100" fillId="0" borderId="8" xfId="0" applyNumberFormat="1" applyFont="1" applyBorder="1" applyAlignment="1">
      <alignment horizontal="left" vertical="top" wrapText="1"/>
    </xf>
    <xf numFmtId="178" fontId="100" fillId="0" borderId="9" xfId="0" applyNumberFormat="1" applyFont="1" applyBorder="1" applyAlignment="1">
      <alignment horizontal="left" vertical="top" wrapText="1"/>
    </xf>
    <xf numFmtId="178" fontId="100" fillId="0" borderId="10" xfId="0" applyNumberFormat="1" applyFont="1" applyBorder="1" applyAlignment="1">
      <alignment horizontal="left" vertical="top" wrapText="1"/>
    </xf>
    <xf numFmtId="0" fontId="28" fillId="9" borderId="1"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4" xfId="0" applyFont="1" applyFill="1" applyBorder="1" applyAlignment="1">
      <alignment horizontal="center" vertical="center"/>
    </xf>
    <xf numFmtId="0" fontId="28" fillId="9" borderId="6" xfId="0" applyFont="1" applyFill="1" applyBorder="1" applyAlignment="1">
      <alignment horizontal="center" vertical="center"/>
    </xf>
    <xf numFmtId="0" fontId="28" fillId="9" borderId="0" xfId="0" applyFont="1" applyFill="1" applyAlignment="1">
      <alignment horizontal="center" vertical="center"/>
    </xf>
    <xf numFmtId="0" fontId="28" fillId="9" borderId="7" xfId="0" applyFont="1" applyFill="1" applyBorder="1" applyAlignment="1">
      <alignment horizontal="center" vertical="center"/>
    </xf>
    <xf numFmtId="0" fontId="28" fillId="9" borderId="38" xfId="0" applyFont="1" applyFill="1" applyBorder="1" applyAlignment="1">
      <alignment horizontal="center" vertical="center"/>
    </xf>
    <xf numFmtId="0" fontId="28" fillId="9" borderId="39" xfId="0" applyFont="1" applyFill="1" applyBorder="1" applyAlignment="1">
      <alignment horizontal="center" vertical="center"/>
    </xf>
    <xf numFmtId="0" fontId="28" fillId="9" borderId="40" xfId="0" applyFont="1" applyFill="1" applyBorder="1" applyAlignment="1">
      <alignment horizontal="center" vertical="center"/>
    </xf>
    <xf numFmtId="0" fontId="24" fillId="0" borderId="27" xfId="0" applyFont="1" applyBorder="1" applyAlignment="1">
      <alignment horizontal="center" vertical="center" wrapText="1"/>
    </xf>
    <xf numFmtId="0" fontId="24" fillId="0" borderId="48" xfId="0" applyFont="1" applyBorder="1" applyAlignment="1">
      <alignment horizontal="center" vertical="center" wrapText="1"/>
    </xf>
    <xf numFmtId="0" fontId="24" fillId="0" borderId="59"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57" xfId="0" applyFont="1" applyBorder="1" applyAlignment="1">
      <alignment horizontal="center" vertical="center" wrapText="1"/>
    </xf>
    <xf numFmtId="0" fontId="24" fillId="0" borderId="52" xfId="0" applyFont="1" applyBorder="1" applyAlignment="1">
      <alignment horizontal="center" vertical="center" wrapText="1"/>
    </xf>
    <xf numFmtId="0" fontId="29" fillId="55" borderId="95" xfId="0" applyFont="1" applyFill="1" applyBorder="1" applyAlignment="1">
      <alignment horizontal="center" vertical="center"/>
    </xf>
    <xf numFmtId="0" fontId="29" fillId="55" borderId="96" xfId="0" applyFont="1" applyFill="1" applyBorder="1" applyAlignment="1">
      <alignment horizontal="center" vertical="center"/>
    </xf>
    <xf numFmtId="178" fontId="101" fillId="0" borderId="98" xfId="0" applyNumberFormat="1" applyFont="1" applyBorder="1" applyAlignment="1">
      <alignment horizontal="left" vertical="top" wrapText="1" indent="1"/>
    </xf>
    <xf numFmtId="178" fontId="101" fillId="0" borderId="96" xfId="0" applyNumberFormat="1" applyFont="1" applyBorder="1" applyAlignment="1">
      <alignment horizontal="left" vertical="top" wrapText="1" indent="1"/>
    </xf>
    <xf numFmtId="178" fontId="101" fillId="0" borderId="37" xfId="0" applyNumberFormat="1" applyFont="1" applyBorder="1" applyAlignment="1">
      <alignment horizontal="left" vertical="top" wrapText="1" indent="1"/>
    </xf>
    <xf numFmtId="0" fontId="5" fillId="0" borderId="0" xfId="0" applyFont="1" applyAlignment="1">
      <alignment horizontal="left" vertical="center" wrapText="1"/>
    </xf>
    <xf numFmtId="0" fontId="5" fillId="0" borderId="0" xfId="0" applyFont="1" applyAlignment="1">
      <alignment horizontal="left" vertical="center"/>
    </xf>
    <xf numFmtId="0" fontId="5" fillId="0" borderId="7" xfId="0" applyFont="1" applyBorder="1" applyAlignment="1">
      <alignment horizontal="left" vertical="center"/>
    </xf>
    <xf numFmtId="178" fontId="100" fillId="0" borderId="98" xfId="0" applyNumberFormat="1" applyFont="1" applyBorder="1" applyAlignment="1">
      <alignment horizontal="left" vertical="center" wrapText="1" indent="1"/>
    </xf>
    <xf numFmtId="178" fontId="100" fillId="0" borderId="96" xfId="0" applyNumberFormat="1" applyFont="1" applyBorder="1" applyAlignment="1">
      <alignment horizontal="left" vertical="center" wrapText="1" indent="1"/>
    </xf>
    <xf numFmtId="178" fontId="100" fillId="0" borderId="37" xfId="0" applyNumberFormat="1" applyFont="1" applyBorder="1" applyAlignment="1">
      <alignment horizontal="left" vertical="center" wrapText="1" indent="1"/>
    </xf>
    <xf numFmtId="49" fontId="5" fillId="0" borderId="0" xfId="0" applyNumberFormat="1" applyFont="1" applyAlignment="1">
      <alignment horizontal="left" vertical="top" wrapText="1"/>
    </xf>
    <xf numFmtId="49" fontId="5" fillId="0" borderId="7" xfId="0" applyNumberFormat="1" applyFont="1" applyBorder="1" applyAlignment="1">
      <alignment horizontal="left" vertical="top" wrapText="1"/>
    </xf>
    <xf numFmtId="0" fontId="120" fillId="73" borderId="145" xfId="0" applyFont="1" applyFill="1" applyBorder="1" applyAlignment="1">
      <alignment horizontal="center" vertical="center"/>
    </xf>
    <xf numFmtId="0" fontId="120" fillId="73" borderId="146" xfId="0" applyFont="1" applyFill="1" applyBorder="1" applyAlignment="1">
      <alignment horizontal="center" vertical="center"/>
    </xf>
    <xf numFmtId="0" fontId="120" fillId="73" borderId="147" xfId="0" applyFont="1" applyFill="1" applyBorder="1" applyAlignment="1">
      <alignment horizontal="center" vertical="center"/>
    </xf>
    <xf numFmtId="0" fontId="9" fillId="73" borderId="1" xfId="0" applyFont="1" applyFill="1" applyBorder="1" applyAlignment="1">
      <alignment horizontal="center" vertical="center"/>
    </xf>
    <xf numFmtId="0" fontId="9" fillId="73" borderId="2" xfId="0" applyFont="1" applyFill="1" applyBorder="1" applyAlignment="1">
      <alignment horizontal="center" vertical="center"/>
    </xf>
    <xf numFmtId="0" fontId="9" fillId="73" borderId="4" xfId="0" applyFont="1" applyFill="1" applyBorder="1" applyAlignment="1">
      <alignment horizontal="center" vertical="center"/>
    </xf>
    <xf numFmtId="0" fontId="29" fillId="8" borderId="98" xfId="0" applyFont="1" applyFill="1" applyBorder="1" applyAlignment="1">
      <alignment horizontal="center" vertical="center"/>
    </xf>
    <xf numFmtId="0" fontId="29" fillId="8" borderId="37" xfId="0" applyFont="1" applyFill="1" applyBorder="1" applyAlignment="1">
      <alignment horizontal="center" vertical="center"/>
    </xf>
    <xf numFmtId="0" fontId="5" fillId="55" borderId="0" xfId="0" applyFont="1" applyFill="1" applyAlignment="1">
      <alignment horizontal="center" vertical="center"/>
    </xf>
    <xf numFmtId="0" fontId="5" fillId="55" borderId="7"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4" xfId="0" applyFont="1" applyFill="1" applyBorder="1" applyAlignment="1">
      <alignment horizontal="center" vertical="center"/>
    </xf>
    <xf numFmtId="0" fontId="6" fillId="9" borderId="6" xfId="0" applyFont="1" applyFill="1" applyBorder="1" applyAlignment="1">
      <alignment horizontal="center" vertical="center"/>
    </xf>
    <xf numFmtId="0" fontId="6" fillId="9" borderId="0" xfId="0" applyFont="1" applyFill="1" applyAlignment="1">
      <alignment horizontal="center" vertical="center"/>
    </xf>
    <xf numFmtId="0" fontId="6" fillId="9" borderId="7" xfId="0" applyFont="1" applyFill="1" applyBorder="1" applyAlignment="1">
      <alignment horizontal="center" vertical="center"/>
    </xf>
    <xf numFmtId="0" fontId="6" fillId="9" borderId="84" xfId="0" applyFont="1" applyFill="1" applyBorder="1" applyAlignment="1">
      <alignment horizontal="center" vertical="center"/>
    </xf>
    <xf numFmtId="0" fontId="6" fillId="9" borderId="85" xfId="0" applyFont="1" applyFill="1" applyBorder="1" applyAlignment="1">
      <alignment horizontal="center" vertical="center"/>
    </xf>
    <xf numFmtId="0" fontId="6" fillId="9" borderId="89" xfId="0" applyFont="1" applyFill="1" applyBorder="1" applyAlignment="1">
      <alignment horizontal="center" vertical="center"/>
    </xf>
    <xf numFmtId="0" fontId="29" fillId="0" borderId="6" xfId="0" applyFont="1" applyBorder="1" applyAlignment="1">
      <alignment horizontal="left" vertical="center" wrapText="1"/>
    </xf>
    <xf numFmtId="0" fontId="29" fillId="0" borderId="0" xfId="0" applyFont="1" applyAlignment="1">
      <alignment horizontal="left" vertical="center" wrapText="1"/>
    </xf>
    <xf numFmtId="0" fontId="29" fillId="0" borderId="84" xfId="0" applyFont="1" applyBorder="1" applyAlignment="1">
      <alignment horizontal="left" vertical="center" wrapText="1"/>
    </xf>
    <xf numFmtId="0" fontId="29" fillId="0" borderId="85" xfId="0" applyFont="1" applyBorder="1" applyAlignment="1">
      <alignment horizontal="left" vertical="center" wrapText="1"/>
    </xf>
    <xf numFmtId="0" fontId="5" fillId="0" borderId="87" xfId="0" applyFont="1" applyBorder="1" applyAlignment="1">
      <alignment horizontal="center" vertical="center" wrapText="1"/>
    </xf>
    <xf numFmtId="0" fontId="5" fillId="0" borderId="0" xfId="0" applyFont="1" applyAlignment="1">
      <alignment horizontal="center" vertical="center" wrapText="1"/>
    </xf>
    <xf numFmtId="0" fontId="5" fillId="0" borderId="7" xfId="0" applyFont="1" applyBorder="1" applyAlignment="1">
      <alignment horizontal="center" vertical="center" wrapText="1"/>
    </xf>
    <xf numFmtId="0" fontId="5" fillId="0" borderId="99"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88" xfId="0" applyFont="1" applyBorder="1" applyAlignment="1">
      <alignment horizontal="center" vertical="center" wrapText="1"/>
    </xf>
    <xf numFmtId="0" fontId="19" fillId="0" borderId="87" xfId="0" applyFont="1" applyBorder="1" applyAlignment="1">
      <alignment horizontal="center" vertical="center" wrapText="1"/>
    </xf>
    <xf numFmtId="0" fontId="19" fillId="0" borderId="7" xfId="0" applyFont="1" applyBorder="1" applyAlignment="1">
      <alignment horizontal="center" vertical="center" wrapText="1"/>
    </xf>
    <xf numFmtId="0" fontId="5" fillId="0" borderId="89" xfId="0" applyFont="1" applyBorder="1" applyAlignment="1">
      <alignment horizontal="center" vertical="center" wrapText="1"/>
    </xf>
    <xf numFmtId="0" fontId="119" fillId="0" borderId="6" xfId="0" applyFont="1" applyBorder="1" applyAlignment="1">
      <alignment horizontal="center" vertical="center" wrapText="1"/>
    </xf>
    <xf numFmtId="0" fontId="119" fillId="0" borderId="0" xfId="0" applyFont="1" applyAlignment="1">
      <alignment horizontal="center" vertical="center" wrapText="1"/>
    </xf>
    <xf numFmtId="0" fontId="119" fillId="0" borderId="7" xfId="0" applyFont="1" applyBorder="1" applyAlignment="1">
      <alignment horizontal="center" vertical="center" wrapText="1"/>
    </xf>
    <xf numFmtId="0" fontId="119" fillId="0" borderId="8" xfId="0" applyFont="1" applyBorder="1" applyAlignment="1">
      <alignment horizontal="center" vertical="center" wrapText="1"/>
    </xf>
    <xf numFmtId="0" fontId="119" fillId="0" borderId="9" xfId="0" applyFont="1" applyBorder="1" applyAlignment="1">
      <alignment horizontal="center" vertical="center" wrapText="1"/>
    </xf>
    <xf numFmtId="0" fontId="119" fillId="0" borderId="10" xfId="0" applyFont="1" applyBorder="1" applyAlignment="1">
      <alignment horizontal="center" vertical="center" wrapText="1"/>
    </xf>
    <xf numFmtId="0" fontId="19" fillId="0" borderId="95" xfId="0" applyFont="1" applyBorder="1" applyAlignment="1">
      <alignment horizontal="center" vertical="center" wrapText="1"/>
    </xf>
    <xf numFmtId="0" fontId="19" fillId="0" borderId="91" xfId="0" applyFont="1" applyBorder="1" applyAlignment="1">
      <alignment horizontal="center" vertical="center" wrapText="1"/>
    </xf>
    <xf numFmtId="0" fontId="19" fillId="0" borderId="96" xfId="0" applyFont="1" applyBorder="1" applyAlignment="1">
      <alignment horizontal="center" vertical="center" wrapText="1"/>
    </xf>
    <xf numFmtId="0" fontId="19" fillId="0" borderId="89" xfId="0" applyFont="1" applyBorder="1" applyAlignment="1">
      <alignment horizontal="center" vertical="center" wrapText="1"/>
    </xf>
    <xf numFmtId="0" fontId="19" fillId="0" borderId="143" xfId="0" applyFont="1" applyBorder="1" applyAlignment="1">
      <alignment horizontal="center" vertical="center" wrapText="1"/>
    </xf>
    <xf numFmtId="0" fontId="19" fillId="0" borderId="144" xfId="0" applyFont="1" applyBorder="1" applyAlignment="1">
      <alignment horizontal="center" vertical="center" wrapText="1"/>
    </xf>
    <xf numFmtId="0" fontId="29" fillId="0" borderId="8" xfId="0" applyFont="1" applyBorder="1" applyAlignment="1">
      <alignment horizontal="left" vertical="center" wrapText="1"/>
    </xf>
    <xf numFmtId="0" fontId="29" fillId="0" borderId="9" xfId="0" applyFont="1" applyBorder="1" applyAlignment="1">
      <alignment horizontal="left" vertical="center" wrapText="1"/>
    </xf>
    <xf numFmtId="0" fontId="109" fillId="9" borderId="134" xfId="0" applyFont="1" applyFill="1" applyBorder="1" applyAlignment="1">
      <alignment horizontal="center" vertical="center"/>
    </xf>
    <xf numFmtId="0" fontId="109" fillId="9" borderId="0" xfId="0" applyFont="1" applyFill="1" applyAlignment="1">
      <alignment horizontal="center" vertical="center"/>
    </xf>
    <xf numFmtId="0" fontId="109" fillId="9" borderId="0" xfId="0" applyFont="1" applyFill="1" applyAlignment="1">
      <alignment horizontal="center" vertical="center" wrapText="1"/>
    </xf>
    <xf numFmtId="0" fontId="109" fillId="9" borderId="135" xfId="0" applyFont="1" applyFill="1" applyBorder="1" applyAlignment="1">
      <alignment horizontal="center" vertical="center"/>
    </xf>
    <xf numFmtId="0" fontId="109" fillId="4" borderId="134" xfId="0" applyFont="1" applyFill="1" applyBorder="1" applyAlignment="1">
      <alignment horizontal="center" vertical="center"/>
    </xf>
    <xf numFmtId="0" fontId="109" fillId="4" borderId="0" xfId="0" applyFont="1" applyFill="1" applyAlignment="1">
      <alignment horizontal="center" vertical="center"/>
    </xf>
    <xf numFmtId="0" fontId="109" fillId="4" borderId="0" xfId="0" applyFont="1" applyFill="1" applyAlignment="1">
      <alignment horizontal="center" vertical="center" wrapText="1"/>
    </xf>
    <xf numFmtId="0" fontId="109" fillId="4" borderId="135" xfId="0" applyFont="1" applyFill="1" applyBorder="1" applyAlignment="1">
      <alignment horizontal="center" vertical="center"/>
    </xf>
    <xf numFmtId="0" fontId="109" fillId="9" borderId="136" xfId="0" applyFont="1" applyFill="1" applyBorder="1" applyAlignment="1">
      <alignment horizontal="center" vertical="center"/>
    </xf>
    <xf numFmtId="0" fontId="109" fillId="9" borderId="137" xfId="0" applyFont="1" applyFill="1" applyBorder="1" applyAlignment="1">
      <alignment horizontal="center" vertical="center"/>
    </xf>
    <xf numFmtId="0" fontId="109" fillId="9" borderId="138" xfId="0" applyFont="1" applyFill="1" applyBorder="1" applyAlignment="1">
      <alignment horizontal="center" vertical="center"/>
    </xf>
    <xf numFmtId="0" fontId="29" fillId="0" borderId="59" xfId="0" applyFont="1" applyBorder="1" applyAlignment="1">
      <alignment horizontal="center" vertical="center" wrapText="1"/>
    </xf>
    <xf numFmtId="0" fontId="29" fillId="0" borderId="48" xfId="0" applyFont="1" applyBorder="1" applyAlignment="1">
      <alignment horizontal="center" vertical="center"/>
    </xf>
    <xf numFmtId="0" fontId="29" fillId="0" borderId="28" xfId="0" applyFont="1" applyBorder="1" applyAlignment="1">
      <alignment horizontal="center" vertical="center"/>
    </xf>
    <xf numFmtId="0" fontId="29" fillId="0" borderId="58" xfId="0" applyFont="1" applyBorder="1" applyAlignment="1">
      <alignment horizontal="center" vertical="center"/>
    </xf>
    <xf numFmtId="0" fontId="29" fillId="0" borderId="39" xfId="0" applyFont="1" applyBorder="1" applyAlignment="1">
      <alignment horizontal="center" vertical="center"/>
    </xf>
    <xf numFmtId="0" fontId="29" fillId="0" borderId="40" xfId="0" applyFont="1" applyBorder="1" applyAlignment="1">
      <alignment horizontal="center" vertical="center"/>
    </xf>
    <xf numFmtId="0" fontId="29" fillId="0" borderId="139" xfId="0" applyFont="1" applyBorder="1" applyAlignment="1">
      <alignment horizontal="center" vertical="center"/>
    </xf>
    <xf numFmtId="0" fontId="29" fillId="0" borderId="140" xfId="0" applyFont="1" applyBorder="1" applyAlignment="1">
      <alignment horizontal="center" vertical="center"/>
    </xf>
    <xf numFmtId="0" fontId="29" fillId="0" borderId="141" xfId="0" applyFont="1" applyBorder="1" applyAlignment="1">
      <alignment horizontal="center" vertical="center"/>
    </xf>
    <xf numFmtId="0" fontId="29" fillId="0" borderId="57" xfId="0" applyFont="1" applyBorder="1" applyAlignment="1">
      <alignment horizontal="center" vertical="center"/>
    </xf>
    <xf numFmtId="0" fontId="29" fillId="0" borderId="7" xfId="0" applyFont="1" applyBorder="1" applyAlignment="1">
      <alignment horizontal="center" vertical="center"/>
    </xf>
    <xf numFmtId="0" fontId="29" fillId="0" borderId="62" xfId="0" applyFont="1" applyBorder="1" applyAlignment="1">
      <alignment horizontal="center" vertical="center"/>
    </xf>
    <xf numFmtId="0" fontId="25" fillId="0" borderId="59" xfId="0" applyFont="1" applyBorder="1" applyAlignment="1">
      <alignment horizontal="center" vertical="center"/>
    </xf>
    <xf numFmtId="0" fontId="25" fillId="0" borderId="48" xfId="0" applyFont="1" applyBorder="1" applyAlignment="1">
      <alignment horizontal="center" vertical="center"/>
    </xf>
    <xf numFmtId="0" fontId="25" fillId="0" borderId="28" xfId="0" applyFont="1" applyBorder="1" applyAlignment="1">
      <alignment horizontal="center" vertical="center"/>
    </xf>
    <xf numFmtId="0" fontId="25" fillId="0" borderId="58" xfId="0" applyFont="1" applyBorder="1" applyAlignment="1">
      <alignment horizontal="center" vertical="center"/>
    </xf>
    <xf numFmtId="0" fontId="25" fillId="0" borderId="39" xfId="0" applyFont="1" applyBorder="1" applyAlignment="1">
      <alignment horizontal="center" vertical="center"/>
    </xf>
    <xf numFmtId="0" fontId="25" fillId="0" borderId="40" xfId="0" applyFont="1" applyBorder="1" applyAlignment="1">
      <alignment horizontal="center" vertical="center"/>
    </xf>
    <xf numFmtId="0" fontId="65" fillId="0" borderId="0" xfId="0" applyFont="1" applyAlignment="1">
      <alignment horizontal="center" vertical="center"/>
    </xf>
    <xf numFmtId="0" fontId="29" fillId="0" borderId="59" xfId="0" applyFont="1" applyBorder="1" applyAlignment="1">
      <alignment horizontal="center" vertical="center"/>
    </xf>
    <xf numFmtId="0" fontId="9" fillId="71" borderId="1" xfId="0" applyFont="1" applyFill="1" applyBorder="1" applyAlignment="1">
      <alignment horizontal="center" vertical="center" wrapText="1"/>
    </xf>
    <xf numFmtId="0" fontId="9" fillId="71" borderId="2" xfId="0" applyFont="1" applyFill="1" applyBorder="1" applyAlignment="1">
      <alignment horizontal="center" vertical="center" wrapText="1"/>
    </xf>
    <xf numFmtId="0" fontId="9" fillId="71" borderId="6" xfId="0" applyFont="1" applyFill="1" applyBorder="1" applyAlignment="1">
      <alignment horizontal="center" vertical="center" wrapText="1"/>
    </xf>
    <xf numFmtId="0" fontId="9" fillId="71" borderId="0" xfId="0" applyFont="1" applyFill="1" applyAlignment="1">
      <alignment horizontal="center" vertical="center" wrapText="1"/>
    </xf>
    <xf numFmtId="0" fontId="9" fillId="71" borderId="8" xfId="0" applyFont="1" applyFill="1" applyBorder="1" applyAlignment="1">
      <alignment horizontal="center" vertical="center" wrapText="1"/>
    </xf>
    <xf numFmtId="0" fontId="9" fillId="71" borderId="9" xfId="0" applyFont="1" applyFill="1" applyBorder="1" applyAlignment="1">
      <alignment horizontal="center" vertical="center" wrapText="1"/>
    </xf>
    <xf numFmtId="0" fontId="106" fillId="0" borderId="0" xfId="0" applyFont="1" applyAlignment="1">
      <alignment horizontal="center" vertical="center" wrapText="1"/>
    </xf>
    <xf numFmtId="0" fontId="106" fillId="0" borderId="0" xfId="0" applyFont="1" applyAlignment="1">
      <alignment horizontal="center" vertical="center"/>
    </xf>
    <xf numFmtId="0" fontId="115" fillId="4" borderId="0" xfId="0" applyFont="1" applyFill="1" applyAlignment="1">
      <alignment horizontal="center" vertical="center"/>
    </xf>
    <xf numFmtId="0" fontId="116" fillId="4" borderId="0" xfId="0" applyFont="1" applyFill="1" applyAlignment="1">
      <alignment horizontal="center" vertical="center"/>
    </xf>
    <xf numFmtId="0" fontId="116" fillId="4" borderId="135" xfId="0" applyFont="1" applyFill="1" applyBorder="1" applyAlignment="1">
      <alignment horizontal="center" vertical="center"/>
    </xf>
    <xf numFmtId="0" fontId="106" fillId="2" borderId="0" xfId="0" applyFont="1" applyFill="1" applyAlignment="1">
      <alignment horizontal="center" vertical="center" wrapText="1"/>
    </xf>
    <xf numFmtId="0" fontId="106" fillId="2" borderId="0" xfId="0" applyFont="1" applyFill="1" applyAlignment="1">
      <alignment horizontal="center" vertical="center"/>
    </xf>
    <xf numFmtId="0" fontId="109" fillId="4" borderId="131" xfId="0" applyFont="1" applyFill="1" applyBorder="1" applyAlignment="1">
      <alignment horizontal="center" vertical="center"/>
    </xf>
    <xf numFmtId="0" fontId="118" fillId="0" borderId="0" xfId="0" applyFont="1" applyAlignment="1">
      <alignment horizontal="center" vertical="center" wrapText="1"/>
    </xf>
    <xf numFmtId="0" fontId="106" fillId="67" borderId="0" xfId="0" applyFont="1" applyFill="1" applyAlignment="1">
      <alignment horizontal="center" vertical="center" wrapText="1"/>
    </xf>
    <xf numFmtId="0" fontId="108" fillId="67" borderId="0" xfId="0" applyFont="1" applyFill="1" applyAlignment="1">
      <alignment horizontal="center" vertical="center"/>
    </xf>
    <xf numFmtId="0" fontId="106" fillId="68" borderId="0" xfId="0" applyFont="1" applyFill="1" applyAlignment="1">
      <alignment horizontal="center" vertical="center" wrapText="1"/>
    </xf>
    <xf numFmtId="0" fontId="106" fillId="64" borderId="0" xfId="0" applyFont="1" applyFill="1" applyAlignment="1">
      <alignment horizontal="center" vertical="center" wrapText="1"/>
    </xf>
    <xf numFmtId="0" fontId="106" fillId="52" borderId="0" xfId="0" applyFont="1" applyFill="1" applyAlignment="1">
      <alignment horizontal="center" vertical="center" wrapText="1"/>
    </xf>
    <xf numFmtId="0" fontId="108" fillId="52" borderId="0" xfId="0" applyFont="1" applyFill="1" applyAlignment="1">
      <alignment horizontal="center" vertical="center" wrapText="1"/>
    </xf>
    <xf numFmtId="0" fontId="105" fillId="69" borderId="0" xfId="0" applyFont="1" applyFill="1" applyAlignment="1">
      <alignment horizontal="center" vertical="center" wrapText="1"/>
    </xf>
    <xf numFmtId="0" fontId="109" fillId="9" borderId="131" xfId="0" applyFont="1" applyFill="1" applyBorder="1" applyAlignment="1">
      <alignment horizontal="center" vertical="center"/>
    </xf>
    <xf numFmtId="0" fontId="109" fillId="9" borderId="132" xfId="0" applyFont="1" applyFill="1" applyBorder="1" applyAlignment="1">
      <alignment horizontal="center" vertical="center"/>
    </xf>
    <xf numFmtId="0" fontId="109" fillId="9" borderId="132" xfId="0" applyFont="1" applyFill="1" applyBorder="1" applyAlignment="1">
      <alignment horizontal="center" vertical="center" wrapText="1"/>
    </xf>
    <xf numFmtId="0" fontId="109" fillId="9" borderId="133" xfId="0" applyFont="1" applyFill="1" applyBorder="1" applyAlignment="1">
      <alignment horizontal="center" vertical="center"/>
    </xf>
    <xf numFmtId="0" fontId="106" fillId="70" borderId="0" xfId="0" applyFont="1" applyFill="1" applyAlignment="1">
      <alignment horizontal="center" vertical="center"/>
    </xf>
    <xf numFmtId="0" fontId="106" fillId="58" borderId="0" xfId="0" applyFont="1" applyFill="1" applyAlignment="1">
      <alignment horizontal="center" vertical="center" wrapText="1"/>
    </xf>
    <xf numFmtId="0" fontId="106" fillId="59" borderId="0" xfId="0" applyFont="1" applyFill="1" applyAlignment="1">
      <alignment horizontal="center" vertical="center"/>
    </xf>
    <xf numFmtId="0" fontId="106" fillId="60" borderId="0" xfId="0" applyFont="1" applyFill="1" applyAlignment="1">
      <alignment horizontal="center" vertical="center"/>
    </xf>
    <xf numFmtId="0" fontId="106" fillId="61" borderId="0" xfId="0" applyFont="1" applyFill="1" applyAlignment="1">
      <alignment horizontal="center" vertical="center"/>
    </xf>
    <xf numFmtId="0" fontId="106" fillId="62" borderId="0" xfId="0" applyFont="1" applyFill="1" applyAlignment="1">
      <alignment horizontal="center" vertical="center"/>
    </xf>
    <xf numFmtId="0" fontId="106" fillId="63" borderId="0" xfId="0" applyFont="1" applyFill="1" applyAlignment="1">
      <alignment horizontal="center" vertical="center"/>
    </xf>
    <xf numFmtId="0" fontId="106" fillId="64" borderId="0" xfId="0" applyFont="1" applyFill="1" applyAlignment="1">
      <alignment horizontal="center" vertical="center"/>
    </xf>
    <xf numFmtId="0" fontId="106" fillId="65" borderId="0" xfId="0" applyFont="1" applyFill="1" applyAlignment="1">
      <alignment horizontal="center" vertical="center"/>
    </xf>
    <xf numFmtId="0" fontId="106" fillId="66" borderId="0" xfId="0" applyFont="1" applyFill="1" applyAlignment="1">
      <alignment horizontal="center" vertical="center" wrapText="1"/>
    </xf>
    <xf numFmtId="0" fontId="106" fillId="66" borderId="0" xfId="0" applyFont="1" applyFill="1" applyAlignment="1">
      <alignment horizontal="center" vertical="center"/>
    </xf>
    <xf numFmtId="0" fontId="106" fillId="61" borderId="111" xfId="0" applyFont="1" applyFill="1" applyBorder="1" applyAlignment="1">
      <alignment horizontal="center" vertical="center"/>
    </xf>
    <xf numFmtId="0" fontId="106" fillId="63" borderId="0" xfId="0" applyFont="1" applyFill="1" applyAlignment="1">
      <alignment horizontal="center" vertical="center" wrapText="1"/>
    </xf>
    <xf numFmtId="0" fontId="106" fillId="65" borderId="0" xfId="0" applyFont="1" applyFill="1" applyAlignment="1">
      <alignment horizontal="center" vertical="center" wrapText="1"/>
    </xf>
    <xf numFmtId="0" fontId="109" fillId="0" borderId="0" xfId="0" applyFont="1" applyAlignment="1">
      <alignment horizontal="center" vertical="center"/>
    </xf>
    <xf numFmtId="0" fontId="109" fillId="0" borderId="101" xfId="0" applyFont="1" applyBorder="1" applyAlignment="1">
      <alignment horizontal="center" vertical="center"/>
    </xf>
    <xf numFmtId="0" fontId="106" fillId="0" borderId="16" xfId="0" applyFont="1" applyBorder="1" applyAlignment="1">
      <alignment horizontal="center" vertical="center"/>
    </xf>
    <xf numFmtId="0" fontId="106" fillId="0" borderId="17" xfId="0" applyFont="1" applyBorder="1" applyAlignment="1">
      <alignment horizontal="center" vertical="center"/>
    </xf>
    <xf numFmtId="0" fontId="106" fillId="0" borderId="20" xfId="0" applyFont="1" applyBorder="1" applyAlignment="1">
      <alignment horizontal="center" vertical="center"/>
    </xf>
    <xf numFmtId="0" fontId="106" fillId="0" borderId="22" xfId="0" applyFont="1" applyBorder="1" applyAlignment="1">
      <alignment horizontal="center" vertical="center"/>
    </xf>
    <xf numFmtId="0" fontId="106" fillId="0" borderId="23" xfId="0" applyFont="1" applyBorder="1" applyAlignment="1">
      <alignment horizontal="center" vertical="center"/>
    </xf>
    <xf numFmtId="0" fontId="106" fillId="0" borderId="16" xfId="0" applyFont="1" applyBorder="1" applyAlignment="1">
      <alignment horizontal="center" vertical="center" wrapText="1"/>
    </xf>
    <xf numFmtId="0" fontId="106" fillId="0" borderId="17" xfId="0" applyFont="1" applyBorder="1" applyAlignment="1">
      <alignment horizontal="center" vertical="center" wrapText="1"/>
    </xf>
    <xf numFmtId="0" fontId="106" fillId="0" borderId="20" xfId="0" applyFont="1" applyBorder="1" applyAlignment="1">
      <alignment horizontal="center" vertical="center" wrapText="1"/>
    </xf>
    <xf numFmtId="0" fontId="106" fillId="0" borderId="22" xfId="0" applyFont="1" applyBorder="1" applyAlignment="1">
      <alignment horizontal="center" vertical="center" wrapText="1"/>
    </xf>
    <xf numFmtId="0" fontId="106" fillId="0" borderId="23" xfId="0" applyFont="1" applyBorder="1" applyAlignment="1">
      <alignment horizontal="center" vertical="center" wrapText="1"/>
    </xf>
    <xf numFmtId="0" fontId="106" fillId="0" borderId="18" xfId="0" applyFont="1" applyBorder="1" applyAlignment="1">
      <alignment horizontal="center" vertical="center"/>
    </xf>
    <xf numFmtId="0" fontId="106" fillId="0" borderId="21" xfId="0" applyFont="1" applyBorder="1" applyAlignment="1">
      <alignment horizontal="center" vertical="center"/>
    </xf>
    <xf numFmtId="0" fontId="106" fillId="0" borderId="102" xfId="0" applyFont="1" applyBorder="1" applyAlignment="1">
      <alignment horizontal="center" vertical="center"/>
    </xf>
    <xf numFmtId="0" fontId="106" fillId="0" borderId="24" xfId="0" applyFont="1" applyBorder="1" applyAlignment="1">
      <alignment horizontal="center" vertical="center"/>
    </xf>
    <xf numFmtId="0" fontId="106" fillId="0" borderId="3" xfId="0" applyFont="1" applyBorder="1" applyAlignment="1">
      <alignment horizontal="center" vertical="center" wrapText="1"/>
    </xf>
    <xf numFmtId="0" fontId="106" fillId="0" borderId="11" xfId="0" applyFont="1" applyBorder="1" applyAlignment="1">
      <alignment horizontal="center" vertical="center" wrapText="1"/>
    </xf>
    <xf numFmtId="0" fontId="106" fillId="0" borderId="14" xfId="0" applyFont="1" applyBorder="1" applyAlignment="1">
      <alignment horizontal="center" vertical="center" wrapText="1"/>
    </xf>
    <xf numFmtId="0" fontId="108" fillId="9" borderId="7" xfId="0" applyFont="1" applyFill="1" applyBorder="1" applyAlignment="1">
      <alignment horizontal="center" vertical="center" wrapText="1"/>
    </xf>
    <xf numFmtId="0" fontId="108" fillId="0" borderId="0" xfId="0" applyFont="1" applyAlignment="1">
      <alignment horizontal="center" vertical="center"/>
    </xf>
    <xf numFmtId="0" fontId="108" fillId="0" borderId="9" xfId="0" applyFont="1" applyBorder="1" applyAlignment="1">
      <alignment horizontal="center" vertical="center"/>
    </xf>
    <xf numFmtId="0" fontId="108" fillId="0" borderId="7" xfId="0" applyFont="1" applyBorder="1" applyAlignment="1">
      <alignment horizontal="center" vertical="center" wrapText="1"/>
    </xf>
    <xf numFmtId="0" fontId="108" fillId="0" borderId="10" xfId="0" applyFont="1" applyBorder="1" applyAlignment="1">
      <alignment horizontal="center" vertical="center" wrapText="1"/>
    </xf>
    <xf numFmtId="0" fontId="106" fillId="9" borderId="0" xfId="0" applyFont="1" applyFill="1" applyAlignment="1">
      <alignment horizontal="center" vertical="center"/>
    </xf>
    <xf numFmtId="0" fontId="108" fillId="9" borderId="0" xfId="0" applyFont="1" applyFill="1" applyAlignment="1">
      <alignment horizontal="center" vertical="center"/>
    </xf>
    <xf numFmtId="0" fontId="108" fillId="9" borderId="7" xfId="0" applyFont="1" applyFill="1" applyBorder="1" applyAlignment="1">
      <alignment horizontal="center" vertical="center"/>
    </xf>
    <xf numFmtId="0" fontId="106" fillId="9" borderId="6" xfId="0" applyFont="1" applyFill="1" applyBorder="1" applyAlignment="1">
      <alignment horizontal="center" vertical="center"/>
    </xf>
    <xf numFmtId="0" fontId="106" fillId="9" borderId="8" xfId="0" applyFont="1" applyFill="1" applyBorder="1" applyAlignment="1">
      <alignment horizontal="center" vertical="center"/>
    </xf>
    <xf numFmtId="0" fontId="106" fillId="9" borderId="9" xfId="0" applyFont="1" applyFill="1" applyBorder="1" applyAlignment="1">
      <alignment horizontal="center" vertical="center"/>
    </xf>
    <xf numFmtId="0" fontId="106" fillId="9" borderId="98" xfId="0" applyFont="1" applyFill="1" applyBorder="1" applyAlignment="1">
      <alignment horizontal="center" vertical="center"/>
    </xf>
    <xf numFmtId="0" fontId="106" fillId="9" borderId="99" xfId="0" applyFont="1" applyFill="1" applyBorder="1" applyAlignment="1">
      <alignment horizontal="center" vertical="center"/>
    </xf>
    <xf numFmtId="0" fontId="106" fillId="0" borderId="87" xfId="0" applyFont="1" applyBorder="1" applyAlignment="1">
      <alignment horizontal="center" vertical="center"/>
    </xf>
    <xf numFmtId="0" fontId="106" fillId="0" borderId="93" xfId="0" applyFont="1" applyBorder="1" applyAlignment="1">
      <alignment horizontal="center" vertical="center"/>
    </xf>
    <xf numFmtId="0" fontId="106" fillId="0" borderId="99" xfId="0" applyFont="1" applyBorder="1" applyAlignment="1">
      <alignment horizontal="center" vertical="center"/>
    </xf>
    <xf numFmtId="0" fontId="106" fillId="0" borderId="9" xfId="0" applyFont="1" applyBorder="1" applyAlignment="1">
      <alignment horizontal="center" vertical="center"/>
    </xf>
    <xf numFmtId="0" fontId="106" fillId="0" borderId="94" xfId="0" applyFont="1" applyBorder="1" applyAlignment="1">
      <alignment horizontal="center" vertical="center"/>
    </xf>
    <xf numFmtId="0" fontId="106" fillId="9" borderId="86" xfId="0" applyFont="1" applyFill="1" applyBorder="1" applyAlignment="1">
      <alignment horizontal="center" vertical="center"/>
    </xf>
    <xf numFmtId="0" fontId="106" fillId="9" borderId="100" xfId="0" applyFont="1" applyFill="1" applyBorder="1" applyAlignment="1">
      <alignment horizontal="center" vertical="center"/>
    </xf>
    <xf numFmtId="0" fontId="106" fillId="9" borderId="87" xfId="0" applyFont="1" applyFill="1" applyBorder="1" applyAlignment="1">
      <alignment horizontal="center" vertical="center"/>
    </xf>
    <xf numFmtId="0" fontId="106" fillId="0" borderId="7" xfId="0" applyFont="1" applyBorder="1" applyAlignment="1">
      <alignment horizontal="center" vertical="center"/>
    </xf>
    <xf numFmtId="0" fontId="106" fillId="0" borderId="10" xfId="0" applyFont="1" applyBorder="1" applyAlignment="1">
      <alignment horizontal="center" vertical="center"/>
    </xf>
    <xf numFmtId="0" fontId="108" fillId="0" borderId="7" xfId="0" applyFont="1" applyBorder="1" applyAlignment="1">
      <alignment horizontal="center" vertical="center"/>
    </xf>
    <xf numFmtId="0" fontId="108" fillId="0" borderId="6" xfId="0" applyFont="1" applyBorder="1" applyAlignment="1">
      <alignment horizontal="center" vertical="center"/>
    </xf>
    <xf numFmtId="0" fontId="108" fillId="9" borderId="6" xfId="0" applyFont="1" applyFill="1" applyBorder="1" applyAlignment="1">
      <alignment horizontal="center" vertical="center"/>
    </xf>
    <xf numFmtId="0" fontId="108" fillId="0" borderId="8" xfId="0" applyFont="1" applyBorder="1" applyAlignment="1">
      <alignment horizontal="center" vertical="center"/>
    </xf>
    <xf numFmtId="0" fontId="5" fillId="0" borderId="27" xfId="0" applyFont="1" applyBorder="1" applyAlignment="1">
      <alignment horizontal="center" vertical="center"/>
    </xf>
    <xf numFmtId="0" fontId="5" fillId="0" borderId="48" xfId="0" applyFont="1" applyBorder="1" applyAlignment="1">
      <alignment horizontal="center" vertical="center"/>
    </xf>
    <xf numFmtId="0" fontId="5" fillId="0" borderId="59" xfId="0" applyFont="1" applyBorder="1" applyAlignment="1">
      <alignment horizontal="center" vertical="center"/>
    </xf>
    <xf numFmtId="0" fontId="5" fillId="0" borderId="49" xfId="0" applyFont="1" applyBorder="1" applyAlignment="1">
      <alignment horizontal="center" vertical="center"/>
    </xf>
    <xf numFmtId="0" fontId="5" fillId="0" borderId="28" xfId="0" applyFont="1" applyBorder="1" applyAlignment="1">
      <alignment horizontal="center" vertical="center"/>
    </xf>
    <xf numFmtId="0" fontId="26" fillId="0" borderId="87" xfId="0" applyFont="1" applyBorder="1" applyAlignment="1">
      <alignment horizontal="center" vertical="center"/>
    </xf>
    <xf numFmtId="0" fontId="26" fillId="0" borderId="0" xfId="0" applyFont="1" applyAlignment="1">
      <alignment horizontal="center" vertical="center"/>
    </xf>
    <xf numFmtId="0" fontId="26" fillId="0" borderId="7" xfId="0" applyFont="1" applyBorder="1" applyAlignment="1">
      <alignment horizontal="center" vertical="center"/>
    </xf>
    <xf numFmtId="0" fontId="26" fillId="0" borderId="82" xfId="0" applyFont="1" applyBorder="1" applyAlignment="1">
      <alignment horizontal="center" vertical="center"/>
    </xf>
    <xf numFmtId="0" fontId="26" fillId="0" borderId="80" xfId="0" applyFont="1" applyBorder="1" applyAlignment="1">
      <alignment horizontal="center" vertical="center"/>
    </xf>
    <xf numFmtId="0" fontId="26" fillId="0" borderId="83" xfId="0" applyFont="1" applyBorder="1" applyAlignment="1">
      <alignment horizontal="center" vertical="center"/>
    </xf>
    <xf numFmtId="0" fontId="109" fillId="0" borderId="3" xfId="0" applyFont="1" applyBorder="1" applyAlignment="1">
      <alignment horizontal="center" vertical="center" wrapText="1"/>
    </xf>
    <xf numFmtId="0" fontId="110" fillId="0" borderId="3" xfId="0" applyFont="1" applyBorder="1" applyAlignment="1">
      <alignment horizontal="center" vertical="center" wrapText="1"/>
    </xf>
    <xf numFmtId="0" fontId="109" fillId="0" borderId="11" xfId="0" applyFont="1" applyBorder="1" applyAlignment="1">
      <alignment horizontal="center" vertical="center" wrapText="1"/>
    </xf>
    <xf numFmtId="0" fontId="109" fillId="0" borderId="19" xfId="0" applyFont="1" applyBorder="1" applyAlignment="1">
      <alignment horizontal="center" vertical="center" wrapText="1"/>
    </xf>
    <xf numFmtId="0" fontId="109" fillId="0" borderId="13" xfId="0" applyFont="1" applyBorder="1" applyAlignment="1">
      <alignment horizontal="center" vertical="center" wrapText="1"/>
    </xf>
    <xf numFmtId="0" fontId="106" fillId="0" borderId="21" xfId="0" applyFont="1" applyBorder="1" applyAlignment="1">
      <alignment horizontal="center" vertical="center" wrapText="1"/>
    </xf>
    <xf numFmtId="0" fontId="106" fillId="0" borderId="24" xfId="0" applyFont="1" applyBorder="1" applyAlignment="1">
      <alignment horizontal="center" vertical="center" wrapText="1"/>
    </xf>
    <xf numFmtId="49" fontId="5" fillId="10" borderId="0" xfId="0" applyNumberFormat="1" applyFont="1" applyFill="1" applyAlignment="1">
      <alignment horizontal="center" vertical="center"/>
    </xf>
    <xf numFmtId="0" fontId="114" fillId="0" borderId="6" xfId="0" applyFont="1" applyBorder="1" applyAlignment="1">
      <alignment horizontal="center" vertical="center"/>
    </xf>
    <xf numFmtId="0" fontId="114" fillId="0" borderId="0" xfId="0" applyFont="1" applyAlignment="1">
      <alignment horizontal="center" vertical="center"/>
    </xf>
    <xf numFmtId="49" fontId="5" fillId="0" borderId="0" xfId="0" applyNumberFormat="1" applyFont="1" applyAlignment="1">
      <alignment horizontal="center" vertical="center"/>
    </xf>
    <xf numFmtId="0" fontId="114" fillId="9" borderId="6" xfId="0" applyFont="1" applyFill="1" applyBorder="1" applyAlignment="1">
      <alignment horizontal="center" vertical="center"/>
    </xf>
    <xf numFmtId="0" fontId="114" fillId="9" borderId="0" xfId="0" applyFont="1" applyFill="1" applyAlignment="1">
      <alignment horizontal="center" vertical="center"/>
    </xf>
    <xf numFmtId="49" fontId="5" fillId="10" borderId="9" xfId="0" applyNumberFormat="1" applyFont="1" applyFill="1" applyBorder="1" applyAlignment="1">
      <alignment horizontal="center" vertical="center"/>
    </xf>
    <xf numFmtId="0" fontId="114" fillId="0" borderId="8" xfId="0" applyFont="1" applyBorder="1" applyAlignment="1">
      <alignment horizontal="center" vertical="center"/>
    </xf>
    <xf numFmtId="0" fontId="114" fillId="0" borderId="9" xfId="0" applyFont="1" applyBorder="1" applyAlignment="1">
      <alignment horizontal="center" vertical="center"/>
    </xf>
    <xf numFmtId="49" fontId="5" fillId="4" borderId="0" xfId="0" applyNumberFormat="1" applyFont="1" applyFill="1" applyAlignment="1">
      <alignment horizontal="center" vertical="center"/>
    </xf>
    <xf numFmtId="0" fontId="117" fillId="4" borderId="6" xfId="0" applyFont="1" applyFill="1" applyBorder="1" applyAlignment="1">
      <alignment horizontal="center" vertical="center"/>
    </xf>
    <xf numFmtId="0" fontId="117" fillId="4" borderId="0" xfId="0" applyFont="1" applyFill="1" applyAlignment="1">
      <alignment horizontal="center" vertical="center"/>
    </xf>
    <xf numFmtId="0" fontId="5" fillId="71" borderId="2" xfId="0" applyFont="1" applyFill="1" applyBorder="1" applyAlignment="1">
      <alignment horizontal="center" vertical="center"/>
    </xf>
    <xf numFmtId="0" fontId="9" fillId="72" borderId="1" xfId="0" applyFont="1" applyFill="1" applyBorder="1" applyAlignment="1">
      <alignment horizontal="center" vertical="center"/>
    </xf>
    <xf numFmtId="0" fontId="9" fillId="72" borderId="2" xfId="0" applyFont="1" applyFill="1" applyBorder="1" applyAlignment="1">
      <alignment horizontal="center" vertical="center"/>
    </xf>
    <xf numFmtId="0" fontId="9" fillId="72" borderId="4" xfId="0" applyFont="1" applyFill="1" applyBorder="1" applyAlignment="1">
      <alignment horizontal="center" vertical="center"/>
    </xf>
    <xf numFmtId="0" fontId="105" fillId="57" borderId="1" xfId="0" applyFont="1" applyFill="1" applyBorder="1" applyAlignment="1">
      <alignment horizontal="center" vertical="center"/>
    </xf>
    <xf numFmtId="0" fontId="105" fillId="57" borderId="2" xfId="0" applyFont="1" applyFill="1" applyBorder="1" applyAlignment="1">
      <alignment horizontal="center" vertical="center"/>
    </xf>
    <xf numFmtId="0" fontId="105" fillId="57" borderId="4" xfId="0" applyFont="1" applyFill="1" applyBorder="1" applyAlignment="1">
      <alignment horizontal="center" vertical="center"/>
    </xf>
    <xf numFmtId="0" fontId="107" fillId="8" borderId="6" xfId="0" applyFont="1" applyFill="1" applyBorder="1" applyAlignment="1">
      <alignment horizontal="center" vertical="center" wrapText="1"/>
    </xf>
    <xf numFmtId="0" fontId="107" fillId="8" borderId="0" xfId="0" applyFont="1" applyFill="1" applyAlignment="1">
      <alignment horizontal="center" vertical="center" wrapText="1"/>
    </xf>
    <xf numFmtId="0" fontId="107" fillId="8" borderId="0" xfId="0" applyFont="1" applyFill="1" applyAlignment="1">
      <alignment horizontal="center" vertical="center"/>
    </xf>
    <xf numFmtId="0" fontId="107" fillId="8" borderId="7" xfId="0" applyFont="1" applyFill="1" applyBorder="1" applyAlignment="1">
      <alignment horizontal="center" vertical="center"/>
    </xf>
    <xf numFmtId="0" fontId="107" fillId="8" borderId="84" xfId="0" applyFont="1" applyFill="1" applyBorder="1" applyAlignment="1">
      <alignment horizontal="center" vertical="center" wrapText="1"/>
    </xf>
    <xf numFmtId="0" fontId="107" fillId="8" borderId="85" xfId="0" applyFont="1" applyFill="1" applyBorder="1" applyAlignment="1">
      <alignment horizontal="center" vertical="center" wrapText="1"/>
    </xf>
    <xf numFmtId="0" fontId="107" fillId="8" borderId="85" xfId="0" applyFont="1" applyFill="1" applyBorder="1" applyAlignment="1">
      <alignment horizontal="center" vertical="center"/>
    </xf>
    <xf numFmtId="0" fontId="107" fillId="8" borderId="89" xfId="0" applyFont="1" applyFill="1" applyBorder="1" applyAlignment="1">
      <alignment horizontal="center" vertical="center"/>
    </xf>
    <xf numFmtId="0" fontId="101" fillId="0" borderId="6" xfId="0" applyFont="1" applyBorder="1" applyAlignment="1" applyProtection="1">
      <alignment horizontal="left" vertical="center" indent="1"/>
      <protection locked="0"/>
    </xf>
    <xf numFmtId="0" fontId="101" fillId="0" borderId="0" xfId="0" applyFont="1" applyAlignment="1" applyProtection="1">
      <alignment horizontal="left" vertical="center" indent="1"/>
      <protection locked="0"/>
    </xf>
    <xf numFmtId="0" fontId="46" fillId="10" borderId="8" xfId="0" applyFont="1" applyFill="1" applyBorder="1" applyAlignment="1" applyProtection="1">
      <alignment horizontal="left" vertical="center" indent="1"/>
      <protection locked="0"/>
    </xf>
    <xf numFmtId="0" fontId="46" fillId="10" borderId="9" xfId="0" applyFont="1" applyFill="1" applyBorder="1" applyAlignment="1" applyProtection="1">
      <alignment horizontal="left" vertical="center" indent="1"/>
      <protection locked="0"/>
    </xf>
    <xf numFmtId="0" fontId="101" fillId="10" borderId="6" xfId="0" applyFont="1" applyFill="1" applyBorder="1" applyAlignment="1" applyProtection="1">
      <alignment horizontal="left" vertical="center" indent="1"/>
      <protection locked="0"/>
    </xf>
    <xf numFmtId="0" fontId="101" fillId="10" borderId="0" xfId="0" applyFont="1" applyFill="1" applyAlignment="1" applyProtection="1">
      <alignment horizontal="left" vertical="center" indent="1"/>
      <protection locked="0"/>
    </xf>
    <xf numFmtId="0" fontId="101" fillId="0" borderId="8" xfId="0" applyFont="1" applyBorder="1" applyAlignment="1" applyProtection="1">
      <alignment horizontal="left" vertical="center" indent="1"/>
      <protection locked="0"/>
    </xf>
    <xf numFmtId="0" fontId="101" fillId="0" borderId="9" xfId="0" applyFont="1" applyBorder="1" applyAlignment="1" applyProtection="1">
      <alignment horizontal="left" vertical="center" indent="1"/>
      <protection locked="0"/>
    </xf>
    <xf numFmtId="0" fontId="46" fillId="0" borderId="7" xfId="0" applyFont="1" applyBorder="1" applyAlignment="1" applyProtection="1">
      <alignment horizontal="center" vertical="center"/>
      <protection locked="0"/>
    </xf>
    <xf numFmtId="0" fontId="101" fillId="0" borderId="7" xfId="0" applyFont="1" applyBorder="1" applyAlignment="1" applyProtection="1">
      <alignment horizontal="center" vertical="center"/>
      <protection locked="0"/>
    </xf>
    <xf numFmtId="0" fontId="13" fillId="0" borderId="0" xfId="0" applyFont="1" applyAlignment="1">
      <alignment horizontal="left" vertical="center" wrapText="1"/>
    </xf>
    <xf numFmtId="0" fontId="101" fillId="0" borderId="6" xfId="0" applyFont="1" applyBorder="1" applyAlignment="1">
      <alignment horizontal="center" vertical="center" wrapText="1"/>
    </xf>
    <xf numFmtId="0" fontId="101" fillId="0" borderId="0" xfId="0" applyFont="1" applyAlignment="1">
      <alignment horizontal="center" vertical="center" wrapText="1"/>
    </xf>
    <xf numFmtId="0" fontId="101" fillId="0" borderId="7" xfId="0" applyFont="1" applyBorder="1" applyAlignment="1">
      <alignment horizontal="center" vertical="center" wrapText="1"/>
    </xf>
    <xf numFmtId="0" fontId="101" fillId="0" borderId="8" xfId="0" applyFont="1" applyBorder="1" applyAlignment="1">
      <alignment horizontal="center" vertical="center" wrapText="1"/>
    </xf>
    <xf numFmtId="0" fontId="101" fillId="0" borderId="9" xfId="0" applyFont="1" applyBorder="1" applyAlignment="1">
      <alignment horizontal="center" vertical="center" wrapText="1"/>
    </xf>
    <xf numFmtId="0" fontId="101" fillId="0" borderId="10" xfId="0" applyFont="1" applyBorder="1" applyAlignment="1">
      <alignment horizontal="center" vertical="center" wrapText="1"/>
    </xf>
    <xf numFmtId="0" fontId="100" fillId="8" borderId="6" xfId="0" applyFont="1" applyFill="1" applyBorder="1" applyAlignment="1">
      <alignment horizontal="center" vertical="center"/>
    </xf>
    <xf numFmtId="0" fontId="100" fillId="8" borderId="0" xfId="0" applyFont="1" applyFill="1" applyAlignment="1">
      <alignment horizontal="center" vertical="center"/>
    </xf>
    <xf numFmtId="0" fontId="100" fillId="8" borderId="7" xfId="0" applyFont="1" applyFill="1" applyBorder="1" applyAlignment="1">
      <alignment horizontal="center" vertical="center"/>
    </xf>
    <xf numFmtId="0" fontId="46" fillId="0" borderId="6" xfId="0" applyFont="1" applyBorder="1" applyAlignment="1" applyProtection="1">
      <alignment horizontal="left" vertical="center" indent="1"/>
      <protection locked="0"/>
    </xf>
    <xf numFmtId="0" fontId="46" fillId="0" borderId="0" xfId="0" applyFont="1" applyAlignment="1" applyProtection="1">
      <alignment horizontal="left" vertical="center" indent="1"/>
      <protection locked="0"/>
    </xf>
    <xf numFmtId="0" fontId="102" fillId="10" borderId="6" xfId="0" applyFont="1" applyFill="1" applyBorder="1" applyAlignment="1" applyProtection="1">
      <alignment horizontal="left" vertical="center" indent="1"/>
      <protection locked="0"/>
    </xf>
    <xf numFmtId="0" fontId="102" fillId="10" borderId="0" xfId="0" applyFont="1" applyFill="1" applyAlignment="1" applyProtection="1">
      <alignment horizontal="left" vertical="center" indent="1"/>
      <protection locked="0"/>
    </xf>
    <xf numFmtId="0" fontId="46" fillId="10" borderId="6" xfId="0" applyFont="1" applyFill="1" applyBorder="1" applyAlignment="1" applyProtection="1">
      <alignment horizontal="left" vertical="center" indent="1"/>
      <protection locked="0"/>
    </xf>
    <xf numFmtId="0" fontId="46" fillId="10" borderId="0" xfId="0" applyFont="1" applyFill="1" applyAlignment="1" applyProtection="1">
      <alignment horizontal="left" vertical="center" indent="1"/>
      <protection locked="0"/>
    </xf>
    <xf numFmtId="0" fontId="46" fillId="0" borderId="6" xfId="0" applyFont="1" applyBorder="1" applyAlignment="1" applyProtection="1">
      <alignment horizontal="left" vertical="center"/>
      <protection locked="0"/>
    </xf>
    <xf numFmtId="0" fontId="46" fillId="0" borderId="0" xfId="0" applyFont="1" applyAlignment="1" applyProtection="1">
      <alignment horizontal="left" vertical="center"/>
      <protection locked="0"/>
    </xf>
    <xf numFmtId="0" fontId="100" fillId="8" borderId="1" xfId="0" applyFont="1" applyFill="1" applyBorder="1" applyAlignment="1">
      <alignment horizontal="center" vertical="center"/>
    </xf>
    <xf numFmtId="0" fontId="100" fillId="8" borderId="2" xfId="0" applyFont="1" applyFill="1" applyBorder="1" applyAlignment="1">
      <alignment horizontal="center" vertical="center"/>
    </xf>
    <xf numFmtId="0" fontId="100" fillId="8" borderId="4" xfId="0" applyFont="1" applyFill="1" applyBorder="1" applyAlignment="1">
      <alignment horizontal="center" vertical="center"/>
    </xf>
    <xf numFmtId="0" fontId="101" fillId="10" borderId="6" xfId="0" applyFont="1" applyFill="1" applyBorder="1" applyAlignment="1" applyProtection="1">
      <alignment horizontal="left" vertical="center"/>
      <protection locked="0"/>
    </xf>
    <xf numFmtId="0" fontId="101" fillId="10" borderId="0" xfId="0" applyFont="1" applyFill="1" applyAlignment="1" applyProtection="1">
      <alignment horizontal="left" vertical="center"/>
      <protection locked="0"/>
    </xf>
    <xf numFmtId="0" fontId="101" fillId="4" borderId="6" xfId="0" applyFont="1" applyFill="1" applyBorder="1" applyAlignment="1">
      <alignment horizontal="center" vertical="center"/>
    </xf>
    <xf numFmtId="0" fontId="101" fillId="4" borderId="0" xfId="0" applyFont="1" applyFill="1" applyAlignment="1">
      <alignment horizontal="center" vertical="center"/>
    </xf>
    <xf numFmtId="0" fontId="101" fillId="0" borderId="6" xfId="0" applyFont="1" applyBorder="1" applyAlignment="1" applyProtection="1">
      <alignment horizontal="left" vertical="center"/>
      <protection locked="0"/>
    </xf>
    <xf numFmtId="0" fontId="101" fillId="0" borderId="0" xfId="0" applyFont="1" applyAlignment="1" applyProtection="1">
      <alignment horizontal="left" vertical="center"/>
      <protection locked="0"/>
    </xf>
    <xf numFmtId="0" fontId="102" fillId="0" borderId="6" xfId="0" applyFont="1" applyBorder="1" applyAlignment="1" applyProtection="1">
      <alignment horizontal="left" vertical="center"/>
      <protection locked="0"/>
    </xf>
    <xf numFmtId="0" fontId="102" fillId="0" borderId="0" xfId="0" applyFont="1" applyAlignment="1" applyProtection="1">
      <alignment horizontal="left" vertical="center"/>
      <protection locked="0"/>
    </xf>
    <xf numFmtId="0" fontId="101" fillId="0" borderId="6" xfId="0" applyFont="1" applyBorder="1" applyProtection="1">
      <alignment vertical="center"/>
      <protection locked="0"/>
    </xf>
    <xf numFmtId="0" fontId="101" fillId="0" borderId="0" xfId="0" applyFont="1" applyProtection="1">
      <alignment vertical="center"/>
      <protection locked="0"/>
    </xf>
    <xf numFmtId="0" fontId="101" fillId="10" borderId="6" xfId="0" applyFont="1" applyFill="1" applyBorder="1" applyProtection="1">
      <alignment vertical="center"/>
      <protection locked="0"/>
    </xf>
    <xf numFmtId="0" fontId="101" fillId="10" borderId="0" xfId="0" applyFont="1" applyFill="1" applyProtection="1">
      <alignment vertical="center"/>
      <protection locked="0"/>
    </xf>
    <xf numFmtId="0" fontId="101" fillId="0" borderId="8" xfId="0" applyFont="1" applyBorder="1" applyProtection="1">
      <alignment vertical="center"/>
      <protection locked="0"/>
    </xf>
    <xf numFmtId="0" fontId="101" fillId="0" borderId="9" xfId="0" applyFont="1" applyBorder="1" applyProtection="1">
      <alignment vertical="center"/>
      <protection locked="0"/>
    </xf>
    <xf numFmtId="0" fontId="46" fillId="10" borderId="6" xfId="0" applyFont="1" applyFill="1" applyBorder="1" applyAlignment="1" applyProtection="1">
      <alignment horizontal="left" vertical="center"/>
      <protection locked="0"/>
    </xf>
    <xf numFmtId="0" fontId="46" fillId="10" borderId="0" xfId="0" applyFont="1" applyFill="1" applyAlignment="1" applyProtection="1">
      <alignment horizontal="left" vertical="center"/>
      <protection locked="0"/>
    </xf>
    <xf numFmtId="0" fontId="46" fillId="10" borderId="6" xfId="0" applyFont="1" applyFill="1" applyBorder="1" applyProtection="1">
      <alignment vertical="center"/>
      <protection locked="0"/>
    </xf>
    <xf numFmtId="0" fontId="46" fillId="10" borderId="0" xfId="0" applyFont="1" applyFill="1" applyProtection="1">
      <alignment vertical="center"/>
      <protection locked="0"/>
    </xf>
    <xf numFmtId="0" fontId="101" fillId="10" borderId="8" xfId="0" applyFont="1" applyFill="1" applyBorder="1" applyAlignment="1" applyProtection="1">
      <alignment horizontal="left" vertical="center" indent="1"/>
      <protection locked="0"/>
    </xf>
    <xf numFmtId="0" fontId="101" fillId="10" borderId="9" xfId="0" applyFont="1" applyFill="1" applyBorder="1" applyAlignment="1" applyProtection="1">
      <alignment horizontal="left" vertical="center" indent="1"/>
      <protection locked="0"/>
    </xf>
    <xf numFmtId="0" fontId="101" fillId="10" borderId="8" xfId="0" applyFont="1" applyFill="1" applyBorder="1" applyProtection="1">
      <alignment vertical="center"/>
      <protection locked="0"/>
    </xf>
    <xf numFmtId="0" fontId="101" fillId="10" borderId="9" xfId="0" applyFont="1" applyFill="1" applyBorder="1" applyProtection="1">
      <alignment vertical="center"/>
      <protection locked="0"/>
    </xf>
    <xf numFmtId="0" fontId="102" fillId="0" borderId="6" xfId="0" applyFont="1" applyBorder="1" applyAlignment="1" applyProtection="1">
      <alignment horizontal="left" vertical="center" indent="1"/>
      <protection locked="0"/>
    </xf>
    <xf numFmtId="0" fontId="102" fillId="0" borderId="0" xfId="0" applyFont="1" applyAlignment="1" applyProtection="1">
      <alignment horizontal="left" vertical="center" indent="1"/>
      <protection locked="0"/>
    </xf>
    <xf numFmtId="0" fontId="55" fillId="0" borderId="6" xfId="0" applyFont="1" applyBorder="1" applyAlignment="1" applyProtection="1">
      <alignment horizontal="left" vertical="center" wrapText="1"/>
      <protection locked="0"/>
    </xf>
    <xf numFmtId="0" fontId="55" fillId="0" borderId="0" xfId="0" applyFont="1" applyAlignment="1" applyProtection="1">
      <alignment horizontal="left" vertical="center"/>
      <protection locked="0"/>
    </xf>
    <xf numFmtId="0" fontId="55" fillId="10" borderId="6" xfId="0" applyFont="1" applyFill="1" applyBorder="1" applyAlignment="1" applyProtection="1">
      <alignment horizontal="left" vertical="center"/>
      <protection locked="0"/>
    </xf>
    <xf numFmtId="0" fontId="55" fillId="10" borderId="0" xfId="0" applyFont="1" applyFill="1" applyAlignment="1" applyProtection="1">
      <alignment horizontal="left" vertical="center"/>
      <protection locked="0"/>
    </xf>
    <xf numFmtId="0" fontId="46" fillId="0" borderId="8" xfId="0" applyFont="1" applyBorder="1" applyAlignment="1" applyProtection="1">
      <alignment horizontal="left" vertical="center" indent="1"/>
      <protection locked="0"/>
    </xf>
    <xf numFmtId="0" fontId="46" fillId="0" borderId="9" xfId="0" applyFont="1" applyBorder="1" applyAlignment="1" applyProtection="1">
      <alignment horizontal="left" vertical="center" indent="1"/>
      <protection locked="0"/>
    </xf>
    <xf numFmtId="0" fontId="101" fillId="10" borderId="6" xfId="0" applyFont="1" applyFill="1" applyBorder="1" applyAlignment="1" applyProtection="1">
      <alignment horizontal="left" vertical="center" wrapText="1" indent="1"/>
      <protection locked="0"/>
    </xf>
    <xf numFmtId="0" fontId="101" fillId="10" borderId="0" xfId="0" applyFont="1" applyFill="1" applyAlignment="1" applyProtection="1">
      <alignment horizontal="left" vertical="center" wrapText="1" indent="1"/>
      <protection locked="0"/>
    </xf>
    <xf numFmtId="0" fontId="101" fillId="0" borderId="6" xfId="0" applyFont="1" applyBorder="1" applyAlignment="1" applyProtection="1">
      <alignment horizontal="left" vertical="center" wrapText="1" indent="1"/>
      <protection locked="0"/>
    </xf>
    <xf numFmtId="0" fontId="101" fillId="0" borderId="0" xfId="0" applyFont="1" applyAlignment="1" applyProtection="1">
      <alignment horizontal="left" vertical="center" wrapText="1" indent="1"/>
      <protection locked="0"/>
    </xf>
    <xf numFmtId="0" fontId="101" fillId="10" borderId="8" xfId="0" applyFont="1" applyFill="1" applyBorder="1" applyAlignment="1" applyProtection="1">
      <alignment horizontal="left" vertical="center" wrapText="1" indent="1"/>
      <protection locked="0"/>
    </xf>
    <xf numFmtId="0" fontId="101" fillId="10" borderId="9" xfId="0" applyFont="1" applyFill="1" applyBorder="1" applyAlignment="1" applyProtection="1">
      <alignment horizontal="left" vertical="center" wrapText="1" indent="1"/>
      <protection locked="0"/>
    </xf>
    <xf numFmtId="0" fontId="101" fillId="4" borderId="6" xfId="0" applyFont="1" applyFill="1" applyBorder="1" applyAlignment="1">
      <alignment horizontal="center" vertical="center" wrapText="1"/>
    </xf>
    <xf numFmtId="0" fontId="101" fillId="4" borderId="0" xfId="0" applyFont="1" applyFill="1" applyAlignment="1">
      <alignment horizontal="center" vertical="center" wrapText="1"/>
    </xf>
    <xf numFmtId="0" fontId="102" fillId="56" borderId="6" xfId="0" applyFont="1" applyFill="1" applyBorder="1" applyProtection="1">
      <alignment vertical="center"/>
      <protection locked="0"/>
    </xf>
    <xf numFmtId="0" fontId="102" fillId="56" borderId="0" xfId="0" applyFont="1" applyFill="1" applyProtection="1">
      <alignment vertical="center"/>
      <protection locked="0"/>
    </xf>
    <xf numFmtId="0" fontId="46" fillId="56" borderId="6" xfId="0" applyFont="1" applyFill="1" applyBorder="1" applyProtection="1">
      <alignment vertical="center"/>
      <protection locked="0"/>
    </xf>
    <xf numFmtId="0" fontId="46" fillId="56" borderId="0" xfId="0" applyFont="1" applyFill="1" applyProtection="1">
      <alignment vertical="center"/>
      <protection locked="0"/>
    </xf>
    <xf numFmtId="0" fontId="101" fillId="56" borderId="6" xfId="0" applyFont="1" applyFill="1" applyBorder="1" applyProtection="1">
      <alignment vertical="center"/>
      <protection locked="0"/>
    </xf>
    <xf numFmtId="0" fontId="101" fillId="56" borderId="0" xfId="0" applyFont="1" applyFill="1" applyProtection="1">
      <alignment vertical="center"/>
      <protection locked="0"/>
    </xf>
    <xf numFmtId="0" fontId="55" fillId="10" borderId="6" xfId="0" applyFont="1" applyFill="1" applyBorder="1" applyProtection="1">
      <alignment vertical="center"/>
      <protection locked="0"/>
    </xf>
    <xf numFmtId="0" fontId="55" fillId="10" borderId="0" xfId="0" applyFont="1" applyFill="1" applyProtection="1">
      <alignment vertical="center"/>
      <protection locked="0"/>
    </xf>
    <xf numFmtId="0" fontId="55" fillId="0" borderId="6" xfId="0" applyFont="1" applyBorder="1" applyProtection="1">
      <alignment vertical="center"/>
      <protection locked="0"/>
    </xf>
    <xf numFmtId="0" fontId="55" fillId="0" borderId="0" xfId="0" applyFont="1" applyProtection="1">
      <alignment vertical="center"/>
      <protection locked="0"/>
    </xf>
    <xf numFmtId="0" fontId="46" fillId="0" borderId="8" xfId="0" applyFont="1" applyBorder="1" applyProtection="1">
      <alignment vertical="center"/>
      <protection locked="0"/>
    </xf>
    <xf numFmtId="0" fontId="46" fillId="0" borderId="9" xfId="0" applyFont="1" applyBorder="1" applyProtection="1">
      <alignment vertical="center"/>
      <protection locked="0"/>
    </xf>
    <xf numFmtId="0" fontId="55" fillId="0" borderId="6" xfId="0" applyFont="1" applyBorder="1" applyAlignment="1" applyProtection="1">
      <alignment horizontal="left" vertical="center"/>
      <protection locked="0"/>
    </xf>
    <xf numFmtId="0" fontId="46" fillId="0" borderId="6" xfId="0" applyFont="1" applyBorder="1" applyProtection="1">
      <alignment vertical="center"/>
      <protection locked="0"/>
    </xf>
    <xf numFmtId="0" fontId="46" fillId="0" borderId="0" xfId="0" applyFont="1" applyProtection="1">
      <alignment vertical="center"/>
      <protection locked="0"/>
    </xf>
    <xf numFmtId="0" fontId="102" fillId="10" borderId="6" xfId="0" applyFont="1" applyFill="1" applyBorder="1" applyProtection="1">
      <alignment vertical="center"/>
      <protection locked="0"/>
    </xf>
    <xf numFmtId="0" fontId="102" fillId="10" borderId="0" xfId="0" applyFont="1" applyFill="1" applyProtection="1">
      <alignment vertical="center"/>
      <protection locked="0"/>
    </xf>
    <xf numFmtId="0" fontId="102" fillId="0" borderId="6" xfId="0" applyFont="1" applyBorder="1" applyProtection="1">
      <alignment vertical="center"/>
      <protection locked="0"/>
    </xf>
    <xf numFmtId="0" fontId="102" fillId="0" borderId="0" xfId="0" applyFont="1" applyProtection="1">
      <alignment vertical="center"/>
      <protection locked="0"/>
    </xf>
    <xf numFmtId="0" fontId="46" fillId="10" borderId="6" xfId="0" applyFont="1" applyFill="1" applyBorder="1" applyAlignment="1" applyProtection="1">
      <alignment vertical="center" wrapText="1"/>
      <protection locked="0"/>
    </xf>
    <xf numFmtId="0" fontId="33" fillId="0" borderId="0" xfId="0" applyFont="1" applyAlignment="1">
      <alignment horizontal="center" vertical="center"/>
    </xf>
    <xf numFmtId="0" fontId="101" fillId="0" borderId="8" xfId="0" applyFont="1" applyBorder="1" applyAlignment="1" applyProtection="1">
      <alignment horizontal="left" vertical="center"/>
      <protection locked="0"/>
    </xf>
    <xf numFmtId="0" fontId="101" fillId="0" borderId="9" xfId="0" applyFont="1" applyBorder="1" applyAlignment="1" applyProtection="1">
      <alignment horizontal="left" vertical="center"/>
      <protection locked="0"/>
    </xf>
    <xf numFmtId="0" fontId="101" fillId="10" borderId="7" xfId="0" applyFont="1" applyFill="1" applyBorder="1" applyAlignment="1" applyProtection="1">
      <alignment horizontal="left" vertical="center" indent="1"/>
      <protection locked="0"/>
    </xf>
    <xf numFmtId="0" fontId="101" fillId="0" borderId="10" xfId="0" applyFont="1" applyBorder="1" applyAlignment="1" applyProtection="1">
      <alignment horizontal="left" vertical="center" indent="1"/>
      <protection locked="0"/>
    </xf>
    <xf numFmtId="0" fontId="101" fillId="0" borderId="7" xfId="0" applyFont="1" applyBorder="1" applyAlignment="1" applyProtection="1">
      <alignment horizontal="left" vertical="center" indent="1"/>
      <protection locked="0"/>
    </xf>
    <xf numFmtId="0" fontId="101" fillId="8" borderId="1" xfId="0" applyFont="1" applyFill="1" applyBorder="1" applyAlignment="1">
      <alignment horizontal="center" vertical="center"/>
    </xf>
    <xf numFmtId="0" fontId="101" fillId="8" borderId="2" xfId="0" applyFont="1" applyFill="1" applyBorder="1" applyAlignment="1">
      <alignment horizontal="center" vertical="center"/>
    </xf>
    <xf numFmtId="0" fontId="101" fillId="8" borderId="4" xfId="0" applyFont="1" applyFill="1" applyBorder="1" applyAlignment="1">
      <alignment horizontal="center" vertical="center"/>
    </xf>
    <xf numFmtId="0" fontId="101" fillId="56" borderId="0" xfId="0" applyFont="1" applyFill="1" applyAlignment="1" applyProtection="1">
      <alignment horizontal="left" vertical="center" indent="1"/>
      <protection locked="0"/>
    </xf>
    <xf numFmtId="0" fontId="101" fillId="56" borderId="7" xfId="0" applyFont="1" applyFill="1" applyBorder="1" applyAlignment="1" applyProtection="1">
      <alignment horizontal="left" vertical="center" indent="1"/>
      <protection locked="0"/>
    </xf>
    <xf numFmtId="0" fontId="101" fillId="10" borderId="8" xfId="0" applyFont="1" applyFill="1" applyBorder="1" applyAlignment="1" applyProtection="1">
      <alignment horizontal="left" vertical="center"/>
      <protection locked="0"/>
    </xf>
    <xf numFmtId="0" fontId="101" fillId="10" borderId="9" xfId="0" applyFont="1" applyFill="1" applyBorder="1" applyAlignment="1" applyProtection="1">
      <alignment horizontal="left" vertical="center"/>
      <protection locked="0"/>
    </xf>
    <xf numFmtId="0" fontId="101" fillId="4" borderId="7" xfId="0" applyFont="1" applyFill="1" applyBorder="1" applyAlignment="1">
      <alignment horizontal="center" vertical="center"/>
    </xf>
    <xf numFmtId="0" fontId="101" fillId="10" borderId="6" xfId="0" applyFont="1" applyFill="1" applyBorder="1" applyAlignment="1" applyProtection="1">
      <alignment horizontal="left" vertical="top" indent="1"/>
      <protection locked="0"/>
    </xf>
    <xf numFmtId="0" fontId="101" fillId="10" borderId="0" xfId="0" applyFont="1" applyFill="1" applyAlignment="1" applyProtection="1">
      <alignment horizontal="left" vertical="top" indent="1"/>
      <protection locked="0"/>
    </xf>
    <xf numFmtId="0" fontId="101" fillId="0" borderId="8" xfId="0" applyFont="1" applyBorder="1" applyAlignment="1" applyProtection="1">
      <alignment horizontal="left" vertical="top" indent="1"/>
      <protection locked="0"/>
    </xf>
    <xf numFmtId="0" fontId="101" fillId="0" borderId="9" xfId="0" applyFont="1" applyBorder="1" applyAlignment="1" applyProtection="1">
      <alignment horizontal="left" vertical="top" indent="1"/>
      <protection locked="0"/>
    </xf>
    <xf numFmtId="0" fontId="101" fillId="0" borderId="6" xfId="0" applyFont="1" applyBorder="1" applyAlignment="1" applyProtection="1">
      <alignment horizontal="left" vertical="top" indent="1"/>
      <protection locked="0"/>
    </xf>
    <xf numFmtId="0" fontId="101" fillId="0" borderId="0" xfId="0" applyFont="1" applyAlignment="1" applyProtection="1">
      <alignment horizontal="left" vertical="top" indent="1"/>
      <protection locked="0"/>
    </xf>
    <xf numFmtId="0" fontId="101" fillId="0" borderId="8" xfId="0" applyFont="1" applyBorder="1" applyAlignment="1" applyProtection="1">
      <alignment horizontal="left" vertical="center" wrapText="1" indent="1"/>
      <protection locked="0"/>
    </xf>
    <xf numFmtId="0" fontId="101" fillId="0" borderId="9" xfId="0" applyFont="1" applyBorder="1" applyAlignment="1" applyProtection="1">
      <alignment horizontal="left" vertical="center" wrapText="1" indent="1"/>
      <protection locked="0"/>
    </xf>
    <xf numFmtId="0" fontId="33" fillId="0" borderId="0" xfId="0" applyFont="1" applyAlignment="1" applyProtection="1">
      <alignment horizontal="center" vertical="center"/>
      <protection locked="0"/>
    </xf>
    <xf numFmtId="0" fontId="101" fillId="10" borderId="6" xfId="0" applyFont="1" applyFill="1" applyBorder="1" applyAlignment="1" applyProtection="1">
      <alignment horizontal="left" vertical="top" wrapText="1" indent="1"/>
      <protection locked="0"/>
    </xf>
    <xf numFmtId="0" fontId="101" fillId="10" borderId="0" xfId="0" applyFont="1" applyFill="1" applyAlignment="1" applyProtection="1">
      <alignment horizontal="left" vertical="top" wrapText="1" indent="1"/>
      <protection locked="0"/>
    </xf>
    <xf numFmtId="0" fontId="46" fillId="10" borderId="6" xfId="0" applyFont="1" applyFill="1" applyBorder="1" applyAlignment="1" applyProtection="1">
      <alignment horizontal="left" vertical="top" indent="1"/>
      <protection locked="0"/>
    </xf>
    <xf numFmtId="0" fontId="46" fillId="10" borderId="0" xfId="0" applyFont="1" applyFill="1" applyAlignment="1" applyProtection="1">
      <alignment horizontal="left" vertical="top" indent="1"/>
      <protection locked="0"/>
    </xf>
    <xf numFmtId="0" fontId="46" fillId="0" borderId="6" xfId="0" applyFont="1" applyBorder="1" applyAlignment="1" applyProtection="1">
      <alignment horizontal="left" vertical="top" wrapText="1" indent="1"/>
      <protection locked="0"/>
    </xf>
    <xf numFmtId="0" fontId="46" fillId="0" borderId="0" xfId="0" applyFont="1" applyAlignment="1" applyProtection="1">
      <alignment horizontal="left" vertical="top" wrapText="1" indent="1"/>
      <protection locked="0"/>
    </xf>
    <xf numFmtId="0" fontId="19" fillId="55" borderId="6" xfId="0" applyFont="1" applyFill="1" applyBorder="1" applyAlignment="1">
      <alignment horizontal="center" vertical="center"/>
    </xf>
    <xf numFmtId="0" fontId="19" fillId="55" borderId="0" xfId="0" applyFont="1" applyFill="1" applyAlignment="1">
      <alignment horizontal="center" vertical="center"/>
    </xf>
    <xf numFmtId="0" fontId="19" fillId="55" borderId="7" xfId="0" applyFont="1" applyFill="1" applyBorder="1" applyAlignment="1">
      <alignment horizontal="center" vertical="center"/>
    </xf>
    <xf numFmtId="0" fontId="19" fillId="0" borderId="8" xfId="0" applyFont="1" applyBorder="1" applyAlignment="1">
      <alignment horizontal="left" vertical="center" wrapText="1"/>
    </xf>
    <xf numFmtId="0" fontId="99" fillId="0" borderId="0" xfId="0" applyFont="1" applyAlignment="1">
      <alignment horizontal="left" vertical="center" indent="4"/>
    </xf>
    <xf numFmtId="0" fontId="48" fillId="0" borderId="0" xfId="0" applyFont="1" applyAlignment="1">
      <alignment horizontal="left" vertical="center" indent="4"/>
    </xf>
    <xf numFmtId="0" fontId="19" fillId="55" borderId="1" xfId="0" applyFont="1" applyFill="1" applyBorder="1" applyAlignment="1">
      <alignment horizontal="center" vertical="center"/>
    </xf>
    <xf numFmtId="0" fontId="19" fillId="55" borderId="2" xfId="0" applyFont="1" applyFill="1" applyBorder="1" applyAlignment="1">
      <alignment horizontal="center" vertical="center"/>
    </xf>
    <xf numFmtId="0" fontId="19" fillId="55" borderId="4" xfId="0" applyFont="1" applyFill="1" applyBorder="1" applyAlignment="1">
      <alignment horizontal="center" vertical="center"/>
    </xf>
    <xf numFmtId="0" fontId="26" fillId="55" borderId="1" xfId="0" applyFont="1" applyFill="1" applyBorder="1" applyAlignment="1">
      <alignment horizontal="center" vertical="center"/>
    </xf>
    <xf numFmtId="0" fontId="26" fillId="55" borderId="2" xfId="0" applyFont="1" applyFill="1" applyBorder="1" applyAlignment="1">
      <alignment horizontal="center" vertical="center"/>
    </xf>
    <xf numFmtId="0" fontId="26" fillId="55" borderId="4" xfId="0" applyFont="1" applyFill="1" applyBorder="1" applyAlignment="1">
      <alignment horizontal="center" vertical="center"/>
    </xf>
    <xf numFmtId="0" fontId="19" fillId="9" borderId="9" xfId="0" applyFont="1" applyFill="1" applyBorder="1" applyAlignment="1">
      <alignment horizontal="center" vertical="center"/>
    </xf>
    <xf numFmtId="0" fontId="59" fillId="7" borderId="1" xfId="0" applyFont="1" applyFill="1" applyBorder="1" applyAlignment="1">
      <alignment horizontal="center" vertical="center"/>
    </xf>
    <xf numFmtId="0" fontId="59" fillId="7" borderId="2" xfId="0" applyFont="1" applyFill="1" applyBorder="1" applyAlignment="1">
      <alignment horizontal="center" vertical="center"/>
    </xf>
    <xf numFmtId="0" fontId="59" fillId="7" borderId="4" xfId="0" applyFont="1" applyFill="1" applyBorder="1" applyAlignment="1">
      <alignment horizontal="center" vertical="center"/>
    </xf>
    <xf numFmtId="0" fontId="15" fillId="0" borderId="9" xfId="0" applyFont="1" applyBorder="1" applyAlignment="1">
      <alignment horizontal="center" vertical="center"/>
    </xf>
    <xf numFmtId="0" fontId="15" fillId="0" borderId="0" xfId="0" applyFont="1" applyAlignment="1">
      <alignment horizontal="center" vertical="center"/>
    </xf>
    <xf numFmtId="0" fontId="32" fillId="39" borderId="0" xfId="6" applyFill="1" applyAlignment="1">
      <alignment horizontal="center" vertical="center" wrapText="1"/>
      <protection locked="0"/>
    </xf>
    <xf numFmtId="0" fontId="18" fillId="0" borderId="1" xfId="6" applyFont="1" applyBorder="1" applyAlignment="1">
      <alignment horizontal="center" vertical="center" wrapText="1"/>
      <protection locked="0"/>
    </xf>
    <xf numFmtId="0" fontId="18" fillId="0" borderId="2" xfId="6" applyFont="1" applyBorder="1" applyAlignment="1">
      <alignment horizontal="center" vertical="center" wrapText="1"/>
      <protection locked="0"/>
    </xf>
    <xf numFmtId="0" fontId="18" fillId="0" borderId="4" xfId="6" applyFont="1" applyBorder="1" applyAlignment="1">
      <alignment horizontal="center" vertical="center" wrapText="1"/>
      <protection locked="0"/>
    </xf>
    <xf numFmtId="0" fontId="18" fillId="0" borderId="6" xfId="6" applyFont="1" applyBorder="1" applyAlignment="1">
      <alignment horizontal="center" vertical="center" wrapText="1"/>
      <protection locked="0"/>
    </xf>
    <xf numFmtId="0" fontId="18" fillId="0" borderId="0" xfId="6" applyFont="1" applyAlignment="1">
      <alignment horizontal="center" vertical="center" wrapText="1"/>
      <protection locked="0"/>
    </xf>
    <xf numFmtId="0" fontId="18" fillId="0" borderId="7" xfId="6" applyFont="1" applyBorder="1" applyAlignment="1">
      <alignment horizontal="center" vertical="center" wrapText="1"/>
      <protection locked="0"/>
    </xf>
    <xf numFmtId="0" fontId="10" fillId="0" borderId="0" xfId="6" applyFont="1" applyAlignment="1">
      <alignment horizontal="center" vertical="center"/>
      <protection locked="0"/>
    </xf>
    <xf numFmtId="0" fontId="12" fillId="0" borderId="1" xfId="6" applyFont="1" applyBorder="1" applyAlignment="1">
      <alignment horizontal="center" vertical="center"/>
      <protection locked="0"/>
    </xf>
    <xf numFmtId="0" fontId="12" fillId="0" borderId="2" xfId="6" applyFont="1" applyBorder="1" applyAlignment="1">
      <alignment horizontal="center" vertical="center"/>
      <protection locked="0"/>
    </xf>
    <xf numFmtId="0" fontId="12" fillId="0" borderId="4" xfId="6" applyFont="1" applyBorder="1" applyAlignment="1">
      <alignment horizontal="center" vertical="center"/>
      <protection locked="0"/>
    </xf>
    <xf numFmtId="0" fontId="12" fillId="0" borderId="8" xfId="6" applyFont="1" applyBorder="1" applyAlignment="1">
      <alignment horizontal="center" vertical="center"/>
      <protection locked="0"/>
    </xf>
    <xf numFmtId="0" fontId="12" fillId="0" borderId="9" xfId="6" applyFont="1" applyBorder="1" applyAlignment="1">
      <alignment horizontal="center" vertical="center"/>
      <protection locked="0"/>
    </xf>
    <xf numFmtId="0" fontId="12" fillId="0" borderId="10" xfId="6" applyFont="1" applyBorder="1" applyAlignment="1">
      <alignment horizontal="center" vertical="center"/>
      <protection locked="0"/>
    </xf>
    <xf numFmtId="0" fontId="91" fillId="0" borderId="1" xfId="6" applyFont="1" applyBorder="1" applyAlignment="1">
      <alignment horizontal="center" vertical="center"/>
      <protection locked="0"/>
    </xf>
    <xf numFmtId="0" fontId="91" fillId="0" borderId="4" xfId="6" applyFont="1" applyBorder="1" applyAlignment="1">
      <alignment horizontal="center" vertical="center"/>
      <protection locked="0"/>
    </xf>
    <xf numFmtId="0" fontId="91" fillId="0" borderId="8" xfId="6" applyFont="1" applyBorder="1" applyAlignment="1">
      <alignment horizontal="center" vertical="center"/>
      <protection locked="0"/>
    </xf>
    <xf numFmtId="0" fontId="91" fillId="0" borderId="10" xfId="6" applyFont="1" applyBorder="1" applyAlignment="1">
      <alignment horizontal="center" vertical="center"/>
      <protection locked="0"/>
    </xf>
    <xf numFmtId="0" fontId="96" fillId="0" borderId="1" xfId="6" applyFont="1" applyBorder="1" applyAlignment="1">
      <alignment horizontal="center" vertical="center" wrapText="1"/>
      <protection locked="0"/>
    </xf>
    <xf numFmtId="0" fontId="10" fillId="0" borderId="2" xfId="6" applyFont="1" applyBorder="1" applyAlignment="1">
      <alignment horizontal="center" vertical="center"/>
      <protection locked="0"/>
    </xf>
    <xf numFmtId="0" fontId="10" fillId="0" borderId="4" xfId="6" applyFont="1" applyBorder="1" applyAlignment="1">
      <alignment horizontal="center" vertical="center"/>
      <protection locked="0"/>
    </xf>
    <xf numFmtId="0" fontId="10" fillId="0" borderId="6" xfId="6" applyFont="1" applyBorder="1" applyAlignment="1">
      <alignment horizontal="center" vertical="center"/>
      <protection locked="0"/>
    </xf>
    <xf numFmtId="0" fontId="10" fillId="0" borderId="7" xfId="6" applyFont="1" applyBorder="1" applyAlignment="1">
      <alignment horizontal="center" vertical="center"/>
      <protection locked="0"/>
    </xf>
    <xf numFmtId="0" fontId="10" fillId="0" borderId="8" xfId="6" applyFont="1" applyBorder="1" applyAlignment="1">
      <alignment horizontal="center" vertical="center"/>
      <protection locked="0"/>
    </xf>
    <xf numFmtId="0" fontId="10" fillId="0" borderId="9" xfId="6" applyFont="1" applyBorder="1" applyAlignment="1">
      <alignment horizontal="center" vertical="center"/>
      <protection locked="0"/>
    </xf>
    <xf numFmtId="0" fontId="10" fillId="0" borderId="10" xfId="6" applyFont="1" applyBorder="1" applyAlignment="1">
      <alignment horizontal="center" vertical="center"/>
      <protection locked="0"/>
    </xf>
    <xf numFmtId="0" fontId="10" fillId="0" borderId="1" xfId="6" applyFont="1" applyBorder="1" applyAlignment="1">
      <alignment horizontal="center" vertical="center" wrapText="1"/>
      <protection locked="0"/>
    </xf>
    <xf numFmtId="0" fontId="10" fillId="0" borderId="2" xfId="6" applyFont="1" applyBorder="1" applyAlignment="1">
      <alignment horizontal="center" vertical="center" wrapText="1"/>
      <protection locked="0"/>
    </xf>
    <xf numFmtId="0" fontId="10" fillId="0" borderId="4" xfId="6" applyFont="1" applyBorder="1" applyAlignment="1">
      <alignment horizontal="center" vertical="center" wrapText="1"/>
      <protection locked="0"/>
    </xf>
    <xf numFmtId="0" fontId="10" fillId="0" borderId="6" xfId="6" applyFont="1" applyBorder="1" applyAlignment="1">
      <alignment horizontal="center" vertical="center" wrapText="1"/>
      <protection locked="0"/>
    </xf>
    <xf numFmtId="0" fontId="10" fillId="0" borderId="0" xfId="6" applyFont="1" applyAlignment="1">
      <alignment horizontal="center" vertical="center" wrapText="1"/>
      <protection locked="0"/>
    </xf>
    <xf numFmtId="0" fontId="10" fillId="0" borderId="7" xfId="6" applyFont="1" applyBorder="1" applyAlignment="1">
      <alignment horizontal="center" vertical="center" wrapText="1"/>
      <protection locked="0"/>
    </xf>
    <xf numFmtId="0" fontId="10" fillId="0" borderId="8" xfId="6" applyFont="1" applyBorder="1" applyAlignment="1">
      <alignment horizontal="center" vertical="center" wrapText="1"/>
      <protection locked="0"/>
    </xf>
    <xf numFmtId="0" fontId="10" fillId="0" borderId="9" xfId="6" applyFont="1" applyBorder="1" applyAlignment="1">
      <alignment horizontal="center" vertical="center" wrapText="1"/>
      <protection locked="0"/>
    </xf>
    <xf numFmtId="0" fontId="10" fillId="0" borderId="10" xfId="6" applyFont="1" applyBorder="1" applyAlignment="1">
      <alignment horizontal="center" vertical="center" wrapText="1"/>
      <protection locked="0"/>
    </xf>
    <xf numFmtId="0" fontId="87" fillId="0" borderId="4" xfId="6" applyFont="1" applyBorder="1" applyAlignment="1">
      <alignment horizontal="center" vertical="center"/>
      <protection locked="0"/>
    </xf>
    <xf numFmtId="0" fontId="87" fillId="0" borderId="6" xfId="6" applyFont="1" applyBorder="1" applyAlignment="1">
      <alignment horizontal="center" vertical="center"/>
      <protection locked="0"/>
    </xf>
    <xf numFmtId="0" fontId="87" fillId="0" borderId="7" xfId="6" applyFont="1" applyBorder="1" applyAlignment="1">
      <alignment horizontal="center" vertical="center"/>
      <protection locked="0"/>
    </xf>
    <xf numFmtId="0" fontId="87" fillId="0" borderId="8" xfId="6" applyFont="1" applyBorder="1" applyAlignment="1">
      <alignment horizontal="center" vertical="center"/>
      <protection locked="0"/>
    </xf>
    <xf numFmtId="0" fontId="87" fillId="0" borderId="10" xfId="6" applyFont="1" applyBorder="1" applyAlignment="1">
      <alignment horizontal="center" vertical="center"/>
      <protection locked="0"/>
    </xf>
    <xf numFmtId="0" fontId="12" fillId="0" borderId="1" xfId="6" applyFont="1" applyBorder="1" applyAlignment="1">
      <alignment horizontal="center" vertical="center" wrapText="1"/>
      <protection locked="0"/>
    </xf>
    <xf numFmtId="0" fontId="12" fillId="0" borderId="2" xfId="6" applyFont="1" applyBorder="1" applyAlignment="1">
      <alignment horizontal="center" vertical="center" wrapText="1"/>
      <protection locked="0"/>
    </xf>
    <xf numFmtId="0" fontId="12" fillId="0" borderId="4" xfId="6" applyFont="1" applyBorder="1" applyAlignment="1">
      <alignment horizontal="center" vertical="center" wrapText="1"/>
      <protection locked="0"/>
    </xf>
    <xf numFmtId="0" fontId="12" fillId="0" borderId="6" xfId="6" applyFont="1" applyBorder="1" applyAlignment="1">
      <alignment horizontal="center" vertical="center" wrapText="1"/>
      <protection locked="0"/>
    </xf>
    <xf numFmtId="0" fontId="12" fillId="0" borderId="0" xfId="6" applyFont="1" applyAlignment="1">
      <alignment horizontal="center" vertical="center" wrapText="1"/>
      <protection locked="0"/>
    </xf>
    <xf numFmtId="0" fontId="12" fillId="0" borderId="7" xfId="6" applyFont="1" applyBorder="1" applyAlignment="1">
      <alignment horizontal="center" vertical="center" wrapText="1"/>
      <protection locked="0"/>
    </xf>
    <xf numFmtId="0" fontId="12" fillId="0" borderId="8" xfId="6" applyFont="1" applyBorder="1" applyAlignment="1">
      <alignment horizontal="center" vertical="center" wrapText="1"/>
      <protection locked="0"/>
    </xf>
    <xf numFmtId="0" fontId="12" fillId="0" borderId="9" xfId="6" applyFont="1" applyBorder="1" applyAlignment="1">
      <alignment horizontal="center" vertical="center" wrapText="1"/>
      <protection locked="0"/>
    </xf>
    <xf numFmtId="0" fontId="12" fillId="0" borderId="10" xfId="6" applyFont="1" applyBorder="1" applyAlignment="1">
      <alignment horizontal="center" vertical="center" wrapText="1"/>
      <protection locked="0"/>
    </xf>
    <xf numFmtId="0" fontId="88" fillId="41" borderId="1" xfId="0" applyFont="1" applyFill="1" applyBorder="1" applyAlignment="1" applyProtection="1">
      <alignment horizontal="center" vertical="center"/>
      <protection locked="0"/>
    </xf>
    <xf numFmtId="0" fontId="88" fillId="41" borderId="2" xfId="0" applyFont="1" applyFill="1" applyBorder="1" applyAlignment="1" applyProtection="1">
      <alignment horizontal="center" vertical="center"/>
      <protection locked="0"/>
    </xf>
    <xf numFmtId="0" fontId="88" fillId="41" borderId="4" xfId="0" applyFont="1" applyFill="1" applyBorder="1" applyAlignment="1" applyProtection="1">
      <alignment horizontal="center" vertical="center"/>
      <protection locked="0"/>
    </xf>
    <xf numFmtId="0" fontId="88" fillId="41" borderId="6" xfId="0" applyFont="1" applyFill="1" applyBorder="1" applyAlignment="1" applyProtection="1">
      <alignment horizontal="center" vertical="center"/>
      <protection locked="0"/>
    </xf>
    <xf numFmtId="0" fontId="88" fillId="41" borderId="0" xfId="0" applyFont="1" applyFill="1" applyAlignment="1" applyProtection="1">
      <alignment horizontal="center" vertical="center"/>
      <protection locked="0"/>
    </xf>
    <xf numFmtId="0" fontId="88" fillId="41" borderId="7" xfId="0" applyFont="1" applyFill="1" applyBorder="1" applyAlignment="1" applyProtection="1">
      <alignment horizontal="center" vertical="center"/>
      <protection locked="0"/>
    </xf>
    <xf numFmtId="0" fontId="88" fillId="41" borderId="8" xfId="0" applyFont="1" applyFill="1" applyBorder="1" applyAlignment="1" applyProtection="1">
      <alignment horizontal="center" vertical="center"/>
      <protection locked="0"/>
    </xf>
    <xf numFmtId="0" fontId="88" fillId="41" borderId="9" xfId="0" applyFont="1" applyFill="1" applyBorder="1" applyAlignment="1" applyProtection="1">
      <alignment horizontal="center" vertical="center"/>
      <protection locked="0"/>
    </xf>
    <xf numFmtId="0" fontId="88" fillId="41" borderId="10" xfId="0" applyFont="1" applyFill="1" applyBorder="1" applyAlignment="1" applyProtection="1">
      <alignment horizontal="center" vertical="center"/>
      <protection locked="0"/>
    </xf>
    <xf numFmtId="0" fontId="90" fillId="0" borderId="1" xfId="6" applyFont="1" applyBorder="1" applyAlignment="1">
      <alignment horizontal="center" vertical="center"/>
      <protection locked="0"/>
    </xf>
    <xf numFmtId="0" fontId="90" fillId="0" borderId="2" xfId="6" applyFont="1" applyBorder="1" applyAlignment="1">
      <alignment horizontal="center" vertical="center"/>
      <protection locked="0"/>
    </xf>
    <xf numFmtId="0" fontId="90" fillId="0" borderId="4" xfId="6" applyFont="1" applyBorder="1" applyAlignment="1">
      <alignment horizontal="center" vertical="center"/>
      <protection locked="0"/>
    </xf>
    <xf numFmtId="0" fontId="90" fillId="0" borderId="8" xfId="6" applyFont="1" applyBorder="1" applyAlignment="1">
      <alignment horizontal="center" vertical="center"/>
      <protection locked="0"/>
    </xf>
    <xf numFmtId="0" fontId="90" fillId="0" borderId="9" xfId="6" applyFont="1" applyBorder="1" applyAlignment="1">
      <alignment horizontal="center" vertical="center"/>
      <protection locked="0"/>
    </xf>
    <xf numFmtId="0" fontId="90" fillId="0" borderId="10" xfId="6" applyFont="1" applyBorder="1" applyAlignment="1">
      <alignment horizontal="center" vertical="center"/>
      <protection locked="0"/>
    </xf>
    <xf numFmtId="0" fontId="69" fillId="0" borderId="1" xfId="6" applyFont="1" applyBorder="1" applyAlignment="1">
      <alignment horizontal="center" vertical="center" wrapText="1"/>
      <protection locked="0"/>
    </xf>
    <xf numFmtId="0" fontId="92" fillId="0" borderId="0" xfId="6" applyFont="1" applyAlignment="1">
      <alignment horizontal="center" vertical="center"/>
      <protection locked="0"/>
    </xf>
    <xf numFmtId="0" fontId="91" fillId="0" borderId="1" xfId="6" applyFont="1" applyBorder="1" applyAlignment="1">
      <alignment horizontal="center" vertical="center" wrapText="1"/>
      <protection locked="0"/>
    </xf>
    <xf numFmtId="0" fontId="91" fillId="0" borderId="2" xfId="6" applyFont="1" applyBorder="1" applyAlignment="1">
      <alignment horizontal="center" vertical="center" wrapText="1"/>
      <protection locked="0"/>
    </xf>
    <xf numFmtId="0" fontId="91" fillId="0" borderId="4" xfId="6" applyFont="1" applyBorder="1" applyAlignment="1">
      <alignment horizontal="center" vertical="center" wrapText="1"/>
      <protection locked="0"/>
    </xf>
    <xf numFmtId="0" fontId="91" fillId="0" borderId="6" xfId="6" applyFont="1" applyBorder="1" applyAlignment="1">
      <alignment horizontal="center" vertical="center" wrapText="1"/>
      <protection locked="0"/>
    </xf>
    <xf numFmtId="0" fontId="91" fillId="0" borderId="0" xfId="6" applyFont="1" applyAlignment="1">
      <alignment horizontal="center" vertical="center" wrapText="1"/>
      <protection locked="0"/>
    </xf>
    <xf numFmtId="0" fontId="91" fillId="0" borderId="7" xfId="6" applyFont="1" applyBorder="1" applyAlignment="1">
      <alignment horizontal="center" vertical="center" wrapText="1"/>
      <protection locked="0"/>
    </xf>
    <xf numFmtId="0" fontId="91" fillId="0" borderId="8" xfId="6" applyFont="1" applyBorder="1" applyAlignment="1">
      <alignment horizontal="center" vertical="center" wrapText="1"/>
      <protection locked="0"/>
    </xf>
    <xf numFmtId="0" fontId="91" fillId="0" borderId="9" xfId="6" applyFont="1" applyBorder="1" applyAlignment="1">
      <alignment horizontal="center" vertical="center" wrapText="1"/>
      <protection locked="0"/>
    </xf>
    <xf numFmtId="0" fontId="91" fillId="0" borderId="10" xfId="6" applyFont="1" applyBorder="1" applyAlignment="1">
      <alignment horizontal="center" vertical="center" wrapText="1"/>
      <protection locked="0"/>
    </xf>
    <xf numFmtId="0" fontId="18" fillId="0" borderId="1" xfId="6" applyFont="1" applyBorder="1" applyAlignment="1">
      <alignment horizontal="left" vertical="center" wrapText="1" indent="1"/>
      <protection locked="0"/>
    </xf>
    <xf numFmtId="0" fontId="18" fillId="0" borderId="2" xfId="6" applyFont="1" applyBorder="1" applyAlignment="1">
      <alignment horizontal="left" vertical="center" wrapText="1" indent="1"/>
      <protection locked="0"/>
    </xf>
    <xf numFmtId="0" fontId="18" fillId="0" borderId="4" xfId="6" applyFont="1" applyBorder="1" applyAlignment="1">
      <alignment horizontal="left" vertical="center" wrapText="1" indent="1"/>
      <protection locked="0"/>
    </xf>
    <xf numFmtId="0" fontId="18" fillId="0" borderId="6" xfId="6" applyFont="1" applyBorder="1" applyAlignment="1">
      <alignment horizontal="left" vertical="center" wrapText="1" indent="1"/>
      <protection locked="0"/>
    </xf>
    <xf numFmtId="0" fontId="18" fillId="0" borderId="0" xfId="6" applyFont="1" applyAlignment="1">
      <alignment horizontal="left" vertical="center" wrapText="1" indent="1"/>
      <protection locked="0"/>
    </xf>
    <xf numFmtId="0" fontId="18" fillId="0" borderId="7" xfId="6" applyFont="1" applyBorder="1" applyAlignment="1">
      <alignment horizontal="left" vertical="center" wrapText="1" indent="1"/>
      <protection locked="0"/>
    </xf>
    <xf numFmtId="0" fontId="18" fillId="0" borderId="8" xfId="6" applyFont="1" applyBorder="1" applyAlignment="1">
      <alignment horizontal="left" vertical="center" wrapText="1" indent="1"/>
      <protection locked="0"/>
    </xf>
    <xf numFmtId="0" fontId="18" fillId="0" borderId="9" xfId="6" applyFont="1" applyBorder="1" applyAlignment="1">
      <alignment horizontal="left" vertical="center" wrapText="1" indent="1"/>
      <protection locked="0"/>
    </xf>
    <xf numFmtId="0" fontId="18" fillId="0" borderId="10" xfId="6" applyFont="1" applyBorder="1" applyAlignment="1">
      <alignment horizontal="left" vertical="center" wrapText="1" indent="1"/>
      <protection locked="0"/>
    </xf>
    <xf numFmtId="0" fontId="12" fillId="0" borderId="1" xfId="6" applyFont="1" applyBorder="1" applyAlignment="1">
      <alignment horizontal="left" vertical="center" wrapText="1" indent="1"/>
      <protection locked="0"/>
    </xf>
    <xf numFmtId="0" fontId="12" fillId="0" borderId="2" xfId="6" applyFont="1" applyBorder="1" applyAlignment="1">
      <alignment horizontal="left" vertical="center" wrapText="1" indent="1"/>
      <protection locked="0"/>
    </xf>
    <xf numFmtId="0" fontId="12" fillId="0" borderId="4" xfId="6" applyFont="1" applyBorder="1" applyAlignment="1">
      <alignment horizontal="left" vertical="center" wrapText="1" indent="1"/>
      <protection locked="0"/>
    </xf>
    <xf numFmtId="0" fontId="12" fillId="0" borderId="6" xfId="6" applyFont="1" applyBorder="1" applyAlignment="1">
      <alignment horizontal="left" vertical="center" wrapText="1" indent="1"/>
      <protection locked="0"/>
    </xf>
    <xf numFmtId="0" fontId="12" fillId="0" borderId="0" xfId="6" applyFont="1" applyAlignment="1">
      <alignment horizontal="left" vertical="center" wrapText="1" indent="1"/>
      <protection locked="0"/>
    </xf>
    <xf numFmtId="0" fontId="12" fillId="0" borderId="7" xfId="6" applyFont="1" applyBorder="1" applyAlignment="1">
      <alignment horizontal="left" vertical="center" wrapText="1" indent="1"/>
      <protection locked="0"/>
    </xf>
    <xf numFmtId="0" fontId="12" fillId="0" borderId="8" xfId="6" applyFont="1" applyBorder="1" applyAlignment="1">
      <alignment horizontal="left" vertical="center" wrapText="1" indent="1"/>
      <protection locked="0"/>
    </xf>
    <xf numFmtId="0" fontId="12" fillId="0" borderId="9" xfId="6" applyFont="1" applyBorder="1" applyAlignment="1">
      <alignment horizontal="left" vertical="center" wrapText="1" indent="1"/>
      <protection locked="0"/>
    </xf>
    <xf numFmtId="0" fontId="12" fillId="0" borderId="10" xfId="6" applyFont="1" applyBorder="1" applyAlignment="1">
      <alignment horizontal="left" vertical="center" wrapText="1" indent="1"/>
      <protection locked="0"/>
    </xf>
    <xf numFmtId="0" fontId="92" fillId="0" borderId="0" xfId="6" applyFont="1" applyAlignment="1">
      <alignment horizontal="center"/>
      <protection locked="0"/>
    </xf>
    <xf numFmtId="0" fontId="91" fillId="0" borderId="2" xfId="6" applyFont="1" applyBorder="1" applyAlignment="1">
      <alignment horizontal="center" vertical="center"/>
      <protection locked="0"/>
    </xf>
    <xf numFmtId="0" fontId="91" fillId="0" borderId="6" xfId="6" applyFont="1" applyBorder="1" applyAlignment="1">
      <alignment horizontal="center" vertical="center"/>
      <protection locked="0"/>
    </xf>
    <xf numFmtId="0" fontId="91" fillId="0" borderId="0" xfId="6" applyFont="1" applyAlignment="1">
      <alignment horizontal="center" vertical="center"/>
      <protection locked="0"/>
    </xf>
    <xf numFmtId="0" fontId="91" fillId="0" borderId="7" xfId="6" applyFont="1" applyBorder="1" applyAlignment="1">
      <alignment horizontal="center" vertical="center"/>
      <protection locked="0"/>
    </xf>
    <xf numFmtId="0" fontId="91" fillId="0" borderId="9" xfId="6" applyFont="1" applyBorder="1" applyAlignment="1">
      <alignment horizontal="center" vertical="center"/>
      <protection locked="0"/>
    </xf>
    <xf numFmtId="0" fontId="95" fillId="0" borderId="1" xfId="6" applyFont="1" applyBorder="1" applyAlignment="1">
      <alignment horizontal="center" vertical="center" wrapText="1"/>
      <protection locked="0"/>
    </xf>
    <xf numFmtId="0" fontId="18" fillId="0" borderId="4" xfId="6" applyFont="1" applyBorder="1" applyAlignment="1">
      <alignment horizontal="center" vertical="center"/>
      <protection locked="0"/>
    </xf>
    <xf numFmtId="0" fontId="18" fillId="0" borderId="6" xfId="6" applyFont="1" applyBorder="1" applyAlignment="1">
      <alignment horizontal="center" vertical="center"/>
      <protection locked="0"/>
    </xf>
    <xf numFmtId="0" fontId="18" fillId="0" borderId="7" xfId="6" applyFont="1" applyBorder="1" applyAlignment="1">
      <alignment horizontal="center" vertical="center"/>
      <protection locked="0"/>
    </xf>
    <xf numFmtId="0" fontId="18" fillId="0" borderId="8" xfId="6" applyFont="1" applyBorder="1" applyAlignment="1">
      <alignment horizontal="center" vertical="center"/>
      <protection locked="0"/>
    </xf>
    <xf numFmtId="0" fontId="18" fillId="0" borderId="10" xfId="6" applyFont="1" applyBorder="1" applyAlignment="1">
      <alignment horizontal="center" vertical="center"/>
      <protection locked="0"/>
    </xf>
    <xf numFmtId="0" fontId="18" fillId="0" borderId="8" xfId="6" applyFont="1" applyBorder="1" applyAlignment="1">
      <alignment horizontal="center" vertical="center" wrapText="1"/>
      <protection locked="0"/>
    </xf>
    <xf numFmtId="0" fontId="18" fillId="0" borderId="10" xfId="6" applyFont="1" applyBorder="1" applyAlignment="1">
      <alignment horizontal="center" vertical="center" wrapText="1"/>
      <protection locked="0"/>
    </xf>
    <xf numFmtId="0" fontId="32" fillId="46" borderId="3" xfId="6" applyFill="1" applyBorder="1" applyAlignment="1">
      <alignment horizontal="center" vertical="center" wrapText="1"/>
      <protection locked="0"/>
    </xf>
    <xf numFmtId="0" fontId="32" fillId="46" borderId="3" xfId="6" applyFill="1" applyBorder="1" applyAlignment="1">
      <alignment horizontal="left" vertical="center" wrapText="1"/>
      <protection locked="0"/>
    </xf>
    <xf numFmtId="0" fontId="32" fillId="46" borderId="11" xfId="6" applyFill="1" applyBorder="1" applyAlignment="1">
      <alignment horizontal="left" vertical="center" wrapText="1"/>
      <protection locked="0"/>
    </xf>
    <xf numFmtId="0" fontId="32" fillId="47" borderId="3" xfId="6" applyFill="1" applyBorder="1" applyAlignment="1">
      <alignment horizontal="center" vertical="center" wrapText="1"/>
      <protection locked="0"/>
    </xf>
    <xf numFmtId="0" fontId="32" fillId="47" borderId="11" xfId="6" applyFill="1" applyBorder="1" applyAlignment="1">
      <alignment horizontal="center" vertical="center" wrapText="1"/>
      <protection locked="0"/>
    </xf>
    <xf numFmtId="0" fontId="17" fillId="0" borderId="6" xfId="6" applyFont="1" applyBorder="1" applyAlignment="1" applyProtection="1">
      <alignment horizontal="center" vertical="center" wrapText="1"/>
    </xf>
    <xf numFmtId="0" fontId="17" fillId="0" borderId="0" xfId="6" applyFont="1" applyAlignment="1" applyProtection="1">
      <alignment horizontal="center" vertical="center"/>
    </xf>
    <xf numFmtId="0" fontId="17" fillId="0" borderId="8" xfId="6" applyFont="1" applyBorder="1" applyAlignment="1" applyProtection="1">
      <alignment horizontal="center" vertical="center"/>
    </xf>
    <xf numFmtId="0" fontId="17" fillId="0" borderId="9" xfId="6" applyFont="1" applyBorder="1" applyAlignment="1" applyProtection="1">
      <alignment horizontal="center" vertical="center"/>
    </xf>
    <xf numFmtId="0" fontId="59" fillId="49" borderId="2" xfId="6" applyFont="1" applyFill="1" applyBorder="1" applyAlignment="1" applyProtection="1">
      <alignment horizontal="center" vertical="center"/>
    </xf>
    <xf numFmtId="0" fontId="59" fillId="49" borderId="4" xfId="6" applyFont="1" applyFill="1" applyBorder="1" applyAlignment="1" applyProtection="1">
      <alignment horizontal="center" vertical="center"/>
    </xf>
    <xf numFmtId="0" fontId="59" fillId="49" borderId="0" xfId="6" applyFont="1" applyFill="1" applyAlignment="1" applyProtection="1">
      <alignment horizontal="center" vertical="center"/>
    </xf>
    <xf numFmtId="0" fontId="59" fillId="49" borderId="7" xfId="6" applyFont="1" applyFill="1" applyBorder="1" applyAlignment="1" applyProtection="1">
      <alignment horizontal="center" vertical="center"/>
    </xf>
    <xf numFmtId="0" fontId="12" fillId="0" borderId="75" xfId="6" applyFont="1" applyBorder="1" applyAlignment="1" applyProtection="1">
      <alignment horizontal="left" vertical="center" wrapText="1"/>
    </xf>
    <xf numFmtId="0" fontId="12" fillId="0" borderId="0" xfId="6" applyFont="1" applyAlignment="1" applyProtection="1">
      <alignment horizontal="left" vertical="center" wrapText="1"/>
    </xf>
    <xf numFmtId="0" fontId="12" fillId="0" borderId="7" xfId="6" applyFont="1" applyBorder="1" applyAlignment="1" applyProtection="1">
      <alignment horizontal="left" vertical="center" wrapText="1"/>
    </xf>
    <xf numFmtId="0" fontId="12" fillId="0" borderId="72" xfId="6" applyFont="1" applyBorder="1" applyAlignment="1" applyProtection="1">
      <alignment horizontal="left" vertical="center" wrapText="1"/>
    </xf>
    <xf numFmtId="0" fontId="12" fillId="0" borderId="73" xfId="6" applyFont="1" applyBorder="1" applyAlignment="1" applyProtection="1">
      <alignment horizontal="left" vertical="center" wrapText="1"/>
    </xf>
    <xf numFmtId="0" fontId="12" fillId="0" borderId="74" xfId="6" applyFont="1" applyBorder="1" applyAlignment="1" applyProtection="1">
      <alignment horizontal="left" vertical="center" wrapText="1"/>
    </xf>
    <xf numFmtId="0" fontId="12" fillId="9" borderId="75" xfId="6" applyFont="1" applyFill="1" applyBorder="1" applyAlignment="1" applyProtection="1">
      <alignment horizontal="left" vertical="center" wrapText="1"/>
    </xf>
    <xf numFmtId="0" fontId="12" fillId="9" borderId="0" xfId="6" applyFont="1" applyFill="1" applyAlignment="1" applyProtection="1">
      <alignment horizontal="left" vertical="center" wrapText="1"/>
    </xf>
    <xf numFmtId="0" fontId="12" fillId="9" borderId="7" xfId="6" applyFont="1" applyFill="1" applyBorder="1" applyAlignment="1" applyProtection="1">
      <alignment horizontal="left" vertical="center" wrapText="1"/>
    </xf>
    <xf numFmtId="0" fontId="12" fillId="9" borderId="72" xfId="6" applyFont="1" applyFill="1" applyBorder="1" applyAlignment="1" applyProtection="1">
      <alignment horizontal="left" vertical="center" wrapText="1"/>
    </xf>
    <xf numFmtId="0" fontId="12" fillId="9" borderId="73" xfId="6" applyFont="1" applyFill="1" applyBorder="1" applyAlignment="1" applyProtection="1">
      <alignment horizontal="left" vertical="center" wrapText="1"/>
    </xf>
    <xf numFmtId="0" fontId="12" fillId="9" borderId="74" xfId="6" applyFont="1" applyFill="1" applyBorder="1" applyAlignment="1" applyProtection="1">
      <alignment horizontal="left" vertical="center" wrapText="1"/>
    </xf>
    <xf numFmtId="49" fontId="17" fillId="9" borderId="0" xfId="6" applyNumberFormat="1" applyFont="1" applyFill="1" applyAlignment="1" applyProtection="1">
      <alignment horizontal="center" vertical="center"/>
    </xf>
    <xf numFmtId="49" fontId="17" fillId="9" borderId="9" xfId="6" applyNumberFormat="1" applyFont="1" applyFill="1" applyBorder="1" applyAlignment="1" applyProtection="1">
      <alignment horizontal="center" vertical="center"/>
    </xf>
    <xf numFmtId="49" fontId="12" fillId="9" borderId="0" xfId="6" applyNumberFormat="1" applyFont="1" applyFill="1" applyAlignment="1" applyProtection="1">
      <alignment horizontal="center" vertical="center"/>
    </xf>
    <xf numFmtId="49" fontId="12" fillId="9" borderId="7" xfId="6" applyNumberFormat="1" applyFont="1" applyFill="1" applyBorder="1" applyAlignment="1" applyProtection="1">
      <alignment horizontal="center" vertical="center"/>
    </xf>
    <xf numFmtId="49" fontId="12" fillId="9" borderId="9" xfId="6" applyNumberFormat="1" applyFont="1" applyFill="1" applyBorder="1" applyAlignment="1" applyProtection="1">
      <alignment horizontal="center" vertical="center"/>
    </xf>
    <xf numFmtId="49" fontId="12" fillId="9" borderId="10" xfId="6" applyNumberFormat="1" applyFont="1" applyFill="1" applyBorder="1" applyAlignment="1" applyProtection="1">
      <alignment horizontal="center" vertical="center"/>
    </xf>
    <xf numFmtId="0" fontId="12" fillId="0" borderId="0" xfId="6" applyFont="1" applyAlignment="1">
      <alignment horizontal="center" vertical="center"/>
      <protection locked="0"/>
    </xf>
    <xf numFmtId="0" fontId="31" fillId="41" borderId="16" xfId="6" applyFont="1" applyFill="1" applyBorder="1" applyAlignment="1">
      <alignment horizontal="left" vertical="center" wrapText="1"/>
      <protection locked="0"/>
    </xf>
    <xf numFmtId="0" fontId="31" fillId="41" borderId="20" xfId="6" applyFont="1" applyFill="1" applyBorder="1" applyAlignment="1">
      <alignment horizontal="left" vertical="center" wrapText="1"/>
      <protection locked="0"/>
    </xf>
    <xf numFmtId="0" fontId="31" fillId="41" borderId="18" xfId="6" applyFont="1" applyFill="1" applyBorder="1" applyAlignment="1">
      <alignment horizontal="left" vertical="center" wrapText="1"/>
      <protection locked="0"/>
    </xf>
    <xf numFmtId="0" fontId="31" fillId="41" borderId="21" xfId="6" applyFont="1" applyFill="1" applyBorder="1" applyAlignment="1">
      <alignment horizontal="left" vertical="center" wrapText="1"/>
      <protection locked="0"/>
    </xf>
    <xf numFmtId="0" fontId="97" fillId="0" borderId="0" xfId="6" applyFont="1" applyAlignment="1">
      <alignment horizontal="center" vertical="center"/>
      <protection locked="0"/>
    </xf>
    <xf numFmtId="0" fontId="93" fillId="0" borderId="0" xfId="6" applyFont="1" applyAlignment="1">
      <alignment horizontal="left" vertical="center"/>
      <protection locked="0"/>
    </xf>
    <xf numFmtId="0" fontId="17" fillId="0" borderId="41" xfId="6" applyFont="1" applyBorder="1" applyAlignment="1" applyProtection="1">
      <alignment horizontal="center" vertical="center"/>
    </xf>
    <xf numFmtId="0" fontId="17" fillId="0" borderId="17" xfId="6" applyFont="1" applyBorder="1" applyAlignment="1" applyProtection="1">
      <alignment horizontal="center" vertical="center"/>
    </xf>
    <xf numFmtId="0" fontId="17" fillId="0" borderId="6" xfId="6" applyFont="1" applyBorder="1" applyAlignment="1" applyProtection="1">
      <alignment horizontal="center" vertical="center"/>
    </xf>
    <xf numFmtId="0" fontId="17" fillId="0" borderId="3" xfId="6" applyFont="1" applyBorder="1" applyAlignment="1" applyProtection="1">
      <alignment horizontal="center" vertical="center" wrapText="1"/>
    </xf>
    <xf numFmtId="0" fontId="17" fillId="0" borderId="63" xfId="6" applyFont="1" applyBorder="1" applyAlignment="1" applyProtection="1">
      <alignment horizontal="center" vertical="center"/>
    </xf>
    <xf numFmtId="0" fontId="17" fillId="0" borderId="3" xfId="6" applyFont="1" applyBorder="1" applyAlignment="1" applyProtection="1">
      <alignment horizontal="center" vertical="center"/>
    </xf>
    <xf numFmtId="0" fontId="17" fillId="0" borderId="63" xfId="6" applyFont="1" applyBorder="1" applyAlignment="1" applyProtection="1">
      <alignment horizontal="center" vertical="center" wrapText="1"/>
    </xf>
    <xf numFmtId="0" fontId="12" fillId="0" borderId="6" xfId="6" applyFont="1" applyBorder="1" applyAlignment="1" applyProtection="1">
      <alignment horizontal="center" vertical="center"/>
    </xf>
    <xf numFmtId="0" fontId="12" fillId="0" borderId="0" xfId="6" applyFont="1" applyAlignment="1" applyProtection="1">
      <alignment horizontal="center" vertical="center"/>
    </xf>
    <xf numFmtId="0" fontId="12" fillId="10" borderId="68" xfId="6" applyFont="1" applyFill="1" applyBorder="1" applyAlignment="1" applyProtection="1">
      <alignment horizontal="left" vertical="center" wrapText="1"/>
    </xf>
    <xf numFmtId="0" fontId="12" fillId="10" borderId="69" xfId="6" applyFont="1" applyFill="1" applyBorder="1" applyAlignment="1" applyProtection="1">
      <alignment horizontal="left" vertical="center" wrapText="1"/>
    </xf>
    <xf numFmtId="0" fontId="12" fillId="10" borderId="70" xfId="6" applyFont="1" applyFill="1" applyBorder="1" applyAlignment="1" applyProtection="1">
      <alignment horizontal="left" vertical="center" wrapText="1"/>
    </xf>
    <xf numFmtId="0" fontId="12" fillId="10" borderId="72" xfId="6" applyFont="1" applyFill="1" applyBorder="1" applyAlignment="1" applyProtection="1">
      <alignment horizontal="left" vertical="center" wrapText="1"/>
    </xf>
    <xf numFmtId="0" fontId="12" fillId="10" borderId="73" xfId="6" applyFont="1" applyFill="1" applyBorder="1" applyAlignment="1" applyProtection="1">
      <alignment horizontal="left" vertical="center" wrapText="1"/>
    </xf>
    <xf numFmtId="0" fontId="12" fillId="10" borderId="74" xfId="6" applyFont="1" applyFill="1" applyBorder="1" applyAlignment="1" applyProtection="1">
      <alignment horizontal="left" vertical="center" wrapText="1"/>
    </xf>
    <xf numFmtId="0" fontId="17" fillId="0" borderId="65" xfId="6" applyFont="1" applyBorder="1" applyAlignment="1" applyProtection="1">
      <alignment horizontal="center" vertical="center" wrapText="1"/>
    </xf>
    <xf numFmtId="0" fontId="17" fillId="0" borderId="66" xfId="6" applyFont="1" applyBorder="1" applyAlignment="1" applyProtection="1">
      <alignment horizontal="center" vertical="center" wrapText="1"/>
    </xf>
    <xf numFmtId="0" fontId="32" fillId="46" borderId="3" xfId="6" applyFill="1" applyBorder="1" applyAlignment="1">
      <alignment horizontal="center" wrapText="1"/>
      <protection locked="0"/>
    </xf>
    <xf numFmtId="0" fontId="32" fillId="46" borderId="11" xfId="6" applyFill="1" applyBorder="1" applyAlignment="1">
      <alignment horizontal="center" wrapText="1"/>
      <protection locked="0"/>
    </xf>
    <xf numFmtId="0" fontId="67" fillId="9" borderId="1" xfId="6" applyFont="1" applyFill="1" applyBorder="1" applyAlignment="1" applyProtection="1">
      <alignment horizontal="center" vertical="center"/>
    </xf>
    <xf numFmtId="0" fontId="67" fillId="9" borderId="2" xfId="6" applyFont="1" applyFill="1" applyBorder="1" applyAlignment="1" applyProtection="1">
      <alignment horizontal="center" vertical="center"/>
    </xf>
    <xf numFmtId="0" fontId="67" fillId="9" borderId="4" xfId="6" applyFont="1" applyFill="1" applyBorder="1" applyAlignment="1" applyProtection="1">
      <alignment horizontal="center" vertical="center"/>
    </xf>
    <xf numFmtId="0" fontId="67" fillId="9" borderId="6" xfId="6" applyFont="1" applyFill="1" applyBorder="1" applyAlignment="1" applyProtection="1">
      <alignment horizontal="center" vertical="center"/>
    </xf>
    <xf numFmtId="0" fontId="67" fillId="9" borderId="0" xfId="6" applyFont="1" applyFill="1" applyAlignment="1" applyProtection="1">
      <alignment horizontal="center" vertical="center"/>
    </xf>
    <xf numFmtId="0" fontId="67" fillId="9" borderId="7" xfId="6" applyFont="1" applyFill="1" applyBorder="1" applyAlignment="1" applyProtection="1">
      <alignment horizontal="center" vertical="center"/>
    </xf>
    <xf numFmtId="0" fontId="94" fillId="0" borderId="1" xfId="6" applyFont="1" applyBorder="1" applyAlignment="1">
      <alignment horizontal="center" vertical="center" wrapText="1"/>
      <protection locked="0"/>
    </xf>
    <xf numFmtId="0" fontId="94" fillId="0" borderId="4" xfId="6" applyFont="1" applyBorder="1" applyAlignment="1">
      <alignment horizontal="center" vertical="center" wrapText="1"/>
      <protection locked="0"/>
    </xf>
    <xf numFmtId="0" fontId="94" fillId="0" borderId="6" xfId="6" applyFont="1" applyBorder="1" applyAlignment="1">
      <alignment horizontal="center" vertical="center" wrapText="1"/>
      <protection locked="0"/>
    </xf>
    <xf numFmtId="0" fontId="94" fillId="0" borderId="7" xfId="6" applyFont="1" applyBorder="1" applyAlignment="1">
      <alignment horizontal="center" vertical="center" wrapText="1"/>
      <protection locked="0"/>
    </xf>
    <xf numFmtId="0" fontId="94" fillId="0" borderId="8" xfId="6" applyFont="1" applyBorder="1" applyAlignment="1">
      <alignment horizontal="center" vertical="center" wrapText="1"/>
      <protection locked="0"/>
    </xf>
    <xf numFmtId="0" fontId="94" fillId="0" borderId="10" xfId="6" applyFont="1" applyBorder="1" applyAlignment="1">
      <alignment horizontal="center" vertical="center" wrapText="1"/>
      <protection locked="0"/>
    </xf>
    <xf numFmtId="0" fontId="77" fillId="0" borderId="17" xfId="6" applyFont="1" applyBorder="1" applyAlignment="1">
      <alignment horizontal="left" vertical="center" wrapText="1"/>
      <protection locked="0"/>
    </xf>
    <xf numFmtId="0" fontId="77" fillId="0" borderId="18" xfId="6" applyFont="1" applyBorder="1" applyAlignment="1">
      <alignment horizontal="left" vertical="center" wrapText="1"/>
      <protection locked="0"/>
    </xf>
    <xf numFmtId="0" fontId="77" fillId="0" borderId="0" xfId="6" applyFont="1" applyAlignment="1">
      <alignment horizontal="left" vertical="center" wrapText="1"/>
      <protection locked="0"/>
    </xf>
    <xf numFmtId="0" fontId="77" fillId="0" borderId="21" xfId="6" applyFont="1" applyBorder="1" applyAlignment="1">
      <alignment horizontal="left" vertical="center" wrapText="1"/>
      <protection locked="0"/>
    </xf>
    <xf numFmtId="0" fontId="77" fillId="0" borderId="20" xfId="6" applyFont="1" applyBorder="1" applyAlignment="1">
      <alignment horizontal="left" vertical="center" wrapText="1"/>
      <protection locked="0"/>
    </xf>
    <xf numFmtId="0" fontId="77" fillId="0" borderId="22" xfId="6" applyFont="1" applyBorder="1" applyAlignment="1">
      <alignment horizontal="left" vertical="center" wrapText="1"/>
      <protection locked="0"/>
    </xf>
    <xf numFmtId="0" fontId="77" fillId="0" borderId="24" xfId="6" applyFont="1" applyBorder="1" applyAlignment="1">
      <alignment horizontal="left" vertical="center" wrapText="1"/>
      <protection locked="0"/>
    </xf>
    <xf numFmtId="0" fontId="77" fillId="0" borderId="6" xfId="6" applyFont="1" applyBorder="1" applyAlignment="1">
      <alignment horizontal="left" vertical="top" wrapText="1"/>
      <protection locked="0"/>
    </xf>
    <xf numFmtId="0" fontId="77" fillId="0" borderId="7" xfId="6" applyFont="1" applyBorder="1" applyAlignment="1">
      <alignment horizontal="left" vertical="top" wrapText="1"/>
      <protection locked="0"/>
    </xf>
    <xf numFmtId="0" fontId="77" fillId="0" borderId="8" xfId="6" applyFont="1" applyBorder="1" applyAlignment="1">
      <alignment horizontal="left" vertical="top" wrapText="1"/>
      <protection locked="0"/>
    </xf>
    <xf numFmtId="0" fontId="77" fillId="0" borderId="10" xfId="6" applyFont="1" applyBorder="1" applyAlignment="1">
      <alignment horizontal="left" vertical="top" wrapText="1"/>
      <protection locked="0"/>
    </xf>
    <xf numFmtId="0" fontId="76" fillId="39" borderId="21" xfId="0" applyFont="1" applyFill="1" applyBorder="1" applyAlignment="1" applyProtection="1">
      <alignment horizontal="center" vertical="center"/>
      <protection locked="0"/>
    </xf>
    <xf numFmtId="0" fontId="47" fillId="34" borderId="18" xfId="6" applyFont="1" applyFill="1" applyBorder="1" applyAlignment="1">
      <alignment horizontal="center" vertical="center" wrapText="1"/>
      <protection locked="0"/>
    </xf>
    <xf numFmtId="0" fontId="47" fillId="34" borderId="21" xfId="6" applyFont="1" applyFill="1" applyBorder="1" applyAlignment="1">
      <alignment horizontal="center" vertical="center" wrapText="1"/>
      <protection locked="0"/>
    </xf>
    <xf numFmtId="0" fontId="47" fillId="34" borderId="24" xfId="6" applyFont="1" applyFill="1" applyBorder="1" applyAlignment="1">
      <alignment horizontal="center" vertical="center" wrapText="1"/>
      <protection locked="0"/>
    </xf>
    <xf numFmtId="0" fontId="47" fillId="34" borderId="17" xfId="6" applyFont="1" applyFill="1" applyBorder="1" applyAlignment="1">
      <alignment horizontal="center" vertical="center" wrapText="1"/>
      <protection locked="0"/>
    </xf>
    <xf numFmtId="0" fontId="47" fillId="34" borderId="0" xfId="6" applyFont="1" applyFill="1" applyAlignment="1">
      <alignment horizontal="center" vertical="center" wrapText="1"/>
      <protection locked="0"/>
    </xf>
    <xf numFmtId="0" fontId="47" fillId="40" borderId="18" xfId="6" applyFont="1" applyFill="1" applyBorder="1" applyAlignment="1">
      <alignment horizontal="center" vertical="center" wrapText="1"/>
      <protection locked="0"/>
    </xf>
    <xf numFmtId="0" fontId="32" fillId="40" borderId="21" xfId="6" applyFill="1" applyBorder="1" applyAlignment="1">
      <alignment horizontal="center" vertical="center" wrapText="1"/>
      <protection locked="0"/>
    </xf>
    <xf numFmtId="0" fontId="32" fillId="40" borderId="24" xfId="6" applyFill="1" applyBorder="1" applyAlignment="1">
      <alignment horizontal="center" vertical="center" wrapText="1"/>
      <protection locked="0"/>
    </xf>
    <xf numFmtId="0" fontId="47" fillId="41" borderId="18" xfId="6" applyFont="1" applyFill="1" applyBorder="1" applyAlignment="1">
      <alignment horizontal="center" vertical="center" wrapText="1"/>
      <protection locked="0"/>
    </xf>
    <xf numFmtId="0" fontId="47" fillId="41" borderId="21" xfId="6" applyFont="1" applyFill="1" applyBorder="1" applyAlignment="1">
      <alignment horizontal="center" vertical="center" wrapText="1"/>
      <protection locked="0"/>
    </xf>
    <xf numFmtId="0" fontId="50" fillId="41" borderId="18" xfId="6" applyFont="1" applyFill="1" applyBorder="1" applyAlignment="1">
      <alignment horizontal="center" vertical="center" wrapText="1"/>
      <protection locked="0"/>
    </xf>
    <xf numFmtId="0" fontId="50" fillId="41" borderId="21" xfId="6" applyFont="1" applyFill="1" applyBorder="1" applyAlignment="1">
      <alignment horizontal="center" vertical="center" wrapText="1"/>
      <protection locked="0"/>
    </xf>
    <xf numFmtId="0" fontId="50" fillId="41" borderId="24" xfId="6" applyFont="1" applyFill="1" applyBorder="1" applyAlignment="1">
      <alignment horizontal="center" vertical="center" wrapText="1"/>
      <protection locked="0"/>
    </xf>
    <xf numFmtId="0" fontId="54" fillId="44" borderId="17" xfId="6" applyFont="1" applyFill="1" applyBorder="1" applyAlignment="1">
      <alignment horizontal="center" vertical="center" wrapText="1"/>
      <protection locked="0"/>
    </xf>
    <xf numFmtId="0" fontId="54" fillId="44" borderId="0" xfId="6" applyFont="1" applyFill="1" applyAlignment="1">
      <alignment horizontal="center" vertical="center" wrapText="1"/>
      <protection locked="0"/>
    </xf>
    <xf numFmtId="0" fontId="54" fillId="44" borderId="23" xfId="6" applyFont="1" applyFill="1" applyBorder="1" applyAlignment="1">
      <alignment horizontal="center" vertical="center" wrapText="1"/>
      <protection locked="0"/>
    </xf>
    <xf numFmtId="0" fontId="79" fillId="44" borderId="0" xfId="6" applyFont="1" applyFill="1" applyAlignment="1">
      <alignment horizontal="center" vertical="center" wrapText="1"/>
      <protection locked="0"/>
    </xf>
    <xf numFmtId="0" fontId="47" fillId="44" borderId="15" xfId="6" applyFont="1" applyFill="1" applyBorder="1" applyAlignment="1">
      <alignment horizontal="center" vertical="center" wrapText="1"/>
      <protection locked="0"/>
    </xf>
    <xf numFmtId="0" fontId="47" fillId="43" borderId="21" xfId="6" applyFont="1" applyFill="1" applyBorder="1" applyAlignment="1">
      <alignment horizontal="center" vertical="center" wrapText="1"/>
      <protection locked="0"/>
    </xf>
    <xf numFmtId="0" fontId="47" fillId="43" borderId="24" xfId="6" applyFont="1" applyFill="1" applyBorder="1" applyAlignment="1">
      <alignment horizontal="center" vertical="center" wrapText="1"/>
      <protection locked="0"/>
    </xf>
    <xf numFmtId="0" fontId="12" fillId="0" borderId="0" xfId="6" applyFont="1" applyAlignment="1" applyProtection="1">
      <alignment horizontal="center" vertical="center" wrapText="1"/>
    </xf>
    <xf numFmtId="0" fontId="12" fillId="0" borderId="7" xfId="6" applyFont="1" applyBorder="1" applyAlignment="1" applyProtection="1">
      <alignment horizontal="center" vertical="center" wrapText="1"/>
    </xf>
    <xf numFmtId="0" fontId="12" fillId="9" borderId="0" xfId="6" applyFont="1" applyFill="1" applyAlignment="1" applyProtection="1">
      <alignment horizontal="center" vertical="center" wrapText="1"/>
    </xf>
    <xf numFmtId="0" fontId="12" fillId="9" borderId="7" xfId="6" applyFont="1" applyFill="1" applyBorder="1" applyAlignment="1" applyProtection="1">
      <alignment horizontal="center" vertical="center" wrapText="1"/>
    </xf>
    <xf numFmtId="49" fontId="12" fillId="0" borderId="0" xfId="6" applyNumberFormat="1" applyFont="1" applyAlignment="1" applyProtection="1">
      <alignment horizontal="center" vertical="center" wrapText="1"/>
    </xf>
    <xf numFmtId="49" fontId="12" fillId="0" borderId="7" xfId="6" applyNumberFormat="1" applyFont="1" applyBorder="1" applyAlignment="1" applyProtection="1">
      <alignment horizontal="center" vertical="center" wrapText="1"/>
    </xf>
    <xf numFmtId="49" fontId="12" fillId="0" borderId="0" xfId="6" applyNumberFormat="1" applyFont="1" applyAlignment="1" applyProtection="1">
      <alignment horizontal="center" vertical="center"/>
    </xf>
    <xf numFmtId="49" fontId="12" fillId="0" borderId="7" xfId="6" applyNumberFormat="1" applyFont="1" applyBorder="1" applyAlignment="1" applyProtection="1">
      <alignment horizontal="center" vertical="center"/>
    </xf>
    <xf numFmtId="49" fontId="66" fillId="9" borderId="1" xfId="6" applyNumberFormat="1" applyFont="1" applyFill="1" applyBorder="1" applyAlignment="1" applyProtection="1">
      <alignment horizontal="center" vertical="center"/>
    </xf>
    <xf numFmtId="49" fontId="66" fillId="9" borderId="2" xfId="6" applyNumberFormat="1" applyFont="1" applyFill="1" applyBorder="1" applyAlignment="1" applyProtection="1">
      <alignment horizontal="center" vertical="center"/>
    </xf>
    <xf numFmtId="49" fontId="66" fillId="9" borderId="4" xfId="6" applyNumberFormat="1" applyFont="1" applyFill="1" applyBorder="1" applyAlignment="1" applyProtection="1">
      <alignment horizontal="center" vertical="center"/>
    </xf>
    <xf numFmtId="49" fontId="66" fillId="9" borderId="6" xfId="6" applyNumberFormat="1" applyFont="1" applyFill="1" applyBorder="1" applyAlignment="1" applyProtection="1">
      <alignment horizontal="center" vertical="center"/>
    </xf>
    <xf numFmtId="49" fontId="66" fillId="9" borderId="0" xfId="6" applyNumberFormat="1" applyFont="1" applyFill="1" applyAlignment="1" applyProtection="1">
      <alignment horizontal="center" vertical="center"/>
    </xf>
    <xf numFmtId="49" fontId="66" fillId="9" borderId="7" xfId="6" applyNumberFormat="1" applyFont="1" applyFill="1" applyBorder="1" applyAlignment="1" applyProtection="1">
      <alignment horizontal="center" vertical="center"/>
    </xf>
    <xf numFmtId="49" fontId="66" fillId="9" borderId="8" xfId="6" applyNumberFormat="1" applyFont="1" applyFill="1" applyBorder="1" applyAlignment="1" applyProtection="1">
      <alignment horizontal="center" vertical="center"/>
    </xf>
    <xf numFmtId="49" fontId="66" fillId="9" borderId="9" xfId="6" applyNumberFormat="1" applyFont="1" applyFill="1" applyBorder="1" applyAlignment="1" applyProtection="1">
      <alignment horizontal="center" vertical="center"/>
    </xf>
    <xf numFmtId="49" fontId="66" fillId="9" borderId="10" xfId="6" applyNumberFormat="1" applyFont="1" applyFill="1" applyBorder="1" applyAlignment="1" applyProtection="1">
      <alignment horizontal="center" vertical="center"/>
    </xf>
    <xf numFmtId="49" fontId="12" fillId="0" borderId="6" xfId="6" applyNumberFormat="1" applyFont="1" applyBorder="1" applyAlignment="1" applyProtection="1">
      <alignment horizontal="left" vertical="center" wrapText="1"/>
    </xf>
    <xf numFmtId="49" fontId="12" fillId="0" borderId="7" xfId="6" applyNumberFormat="1" applyFont="1" applyBorder="1" applyAlignment="1" applyProtection="1">
      <alignment horizontal="left" vertical="center" wrapText="1"/>
    </xf>
    <xf numFmtId="49" fontId="12" fillId="0" borderId="8" xfId="6" applyNumberFormat="1" applyFont="1" applyBorder="1" applyAlignment="1" applyProtection="1">
      <alignment horizontal="left" vertical="center" wrapText="1"/>
    </xf>
    <xf numFmtId="49" fontId="12" fillId="0" borderId="10" xfId="6" applyNumberFormat="1" applyFont="1" applyBorder="1" applyAlignment="1" applyProtection="1">
      <alignment horizontal="left" vertical="center" wrapText="1"/>
    </xf>
    <xf numFmtId="49" fontId="12" fillId="0" borderId="0" xfId="6" applyNumberFormat="1" applyFont="1" applyAlignment="1" applyProtection="1">
      <alignment horizontal="left" vertical="center" wrapText="1"/>
    </xf>
    <xf numFmtId="49" fontId="12" fillId="0" borderId="9" xfId="6" applyNumberFormat="1" applyFont="1" applyBorder="1" applyAlignment="1" applyProtection="1">
      <alignment horizontal="left" vertical="center" wrapText="1"/>
    </xf>
    <xf numFmtId="0" fontId="12" fillId="0" borderId="6" xfId="6" applyFont="1" applyBorder="1" applyAlignment="1" applyProtection="1">
      <alignment horizontal="left" vertical="center" wrapText="1"/>
    </xf>
    <xf numFmtId="0" fontId="12" fillId="0" borderId="8" xfId="6" applyFont="1" applyBorder="1" applyAlignment="1" applyProtection="1">
      <alignment horizontal="left" vertical="center" wrapText="1"/>
    </xf>
    <xf numFmtId="0" fontId="12" fillId="0" borderId="9" xfId="6" applyFont="1" applyBorder="1" applyAlignment="1" applyProtection="1">
      <alignment horizontal="left" vertical="center" wrapText="1"/>
    </xf>
    <xf numFmtId="0" fontId="12" fillId="0" borderId="10" xfId="6" applyFont="1" applyBorder="1" applyAlignment="1" applyProtection="1">
      <alignment horizontal="left" vertical="center" wrapText="1"/>
    </xf>
    <xf numFmtId="0" fontId="20" fillId="0" borderId="6" xfId="6" applyFont="1" applyBorder="1" applyAlignment="1" applyProtection="1">
      <alignment horizontal="left" vertical="center" wrapText="1"/>
    </xf>
    <xf numFmtId="0" fontId="20" fillId="0" borderId="0" xfId="6" applyFont="1" applyAlignment="1" applyProtection="1">
      <alignment horizontal="left" vertical="center" wrapText="1"/>
    </xf>
    <xf numFmtId="0" fontId="20" fillId="0" borderId="7" xfId="6" applyFont="1" applyBorder="1" applyAlignment="1" applyProtection="1">
      <alignment horizontal="left" vertical="center" wrapText="1"/>
    </xf>
    <xf numFmtId="0" fontId="20" fillId="0" borderId="8" xfId="6" applyFont="1" applyBorder="1" applyAlignment="1" applyProtection="1">
      <alignment horizontal="left" vertical="center" wrapText="1"/>
    </xf>
    <xf numFmtId="0" fontId="20" fillId="0" borderId="9" xfId="6" applyFont="1" applyBorder="1" applyAlignment="1" applyProtection="1">
      <alignment horizontal="left" vertical="center" wrapText="1"/>
    </xf>
    <xf numFmtId="0" fontId="20" fillId="0" borderId="10" xfId="6" applyFont="1" applyBorder="1" applyAlignment="1" applyProtection="1">
      <alignment horizontal="left" vertical="center" wrapText="1"/>
    </xf>
    <xf numFmtId="49" fontId="67" fillId="9" borderId="1" xfId="6" applyNumberFormat="1" applyFont="1" applyFill="1" applyBorder="1" applyAlignment="1" applyProtection="1">
      <alignment horizontal="center" vertical="center"/>
    </xf>
    <xf numFmtId="49" fontId="67" fillId="9" borderId="4" xfId="6" applyNumberFormat="1" applyFont="1" applyFill="1" applyBorder="1" applyAlignment="1" applyProtection="1">
      <alignment horizontal="center" vertical="center"/>
    </xf>
    <xf numFmtId="49" fontId="67" fillId="9" borderId="6" xfId="6" applyNumberFormat="1" applyFont="1" applyFill="1" applyBorder="1" applyAlignment="1" applyProtection="1">
      <alignment horizontal="center" vertical="center"/>
    </xf>
    <xf numFmtId="49" fontId="67" fillId="9" borderId="7" xfId="6" applyNumberFormat="1" applyFont="1" applyFill="1" applyBorder="1" applyAlignment="1" applyProtection="1">
      <alignment horizontal="center" vertical="center"/>
    </xf>
    <xf numFmtId="49" fontId="12" fillId="0" borderId="77" xfId="6" applyNumberFormat="1" applyFont="1" applyBorder="1" applyAlignment="1">
      <alignment horizontal="center" vertical="center" wrapText="1"/>
      <protection locked="0"/>
    </xf>
    <xf numFmtId="49" fontId="17" fillId="0" borderId="77" xfId="6" applyNumberFormat="1" applyFont="1" applyBorder="1" applyAlignment="1">
      <alignment horizontal="center" vertical="center"/>
      <protection locked="0"/>
    </xf>
    <xf numFmtId="49" fontId="17" fillId="0" borderId="78" xfId="6" applyNumberFormat="1" applyFont="1" applyBorder="1" applyAlignment="1">
      <alignment horizontal="center" vertical="center"/>
      <protection locked="0"/>
    </xf>
    <xf numFmtId="49" fontId="76" fillId="39" borderId="0" xfId="0" applyNumberFormat="1" applyFont="1" applyFill="1" applyAlignment="1" applyProtection="1">
      <alignment horizontal="center" vertical="center"/>
      <protection locked="0"/>
    </xf>
    <xf numFmtId="0" fontId="76" fillId="39" borderId="0" xfId="0" applyFont="1" applyFill="1" applyAlignment="1" applyProtection="1">
      <alignment horizontal="center" vertical="center"/>
      <protection locked="0"/>
    </xf>
    <xf numFmtId="0" fontId="76" fillId="39" borderId="11" xfId="0" applyFont="1" applyFill="1" applyBorder="1" applyAlignment="1" applyProtection="1">
      <alignment horizontal="center" vertical="center"/>
      <protection locked="0"/>
    </xf>
    <xf numFmtId="0" fontId="76" fillId="39" borderId="13" xfId="0" applyFont="1" applyFill="1" applyBorder="1" applyAlignment="1" applyProtection="1">
      <alignment horizontal="center" vertical="center"/>
      <protection locked="0"/>
    </xf>
    <xf numFmtId="0" fontId="17" fillId="0" borderId="1" xfId="6" applyFont="1" applyBorder="1" applyAlignment="1">
      <alignment horizontal="center" vertical="center" wrapText="1"/>
      <protection locked="0"/>
    </xf>
    <xf numFmtId="0" fontId="17" fillId="0" borderId="4" xfId="6" applyFont="1" applyBorder="1" applyAlignment="1">
      <alignment horizontal="center" vertical="center"/>
      <protection locked="0"/>
    </xf>
    <xf numFmtId="0" fontId="17" fillId="0" borderId="6" xfId="6" applyFont="1" applyBorder="1" applyAlignment="1">
      <alignment horizontal="center" vertical="center"/>
      <protection locked="0"/>
    </xf>
    <xf numFmtId="0" fontId="17" fillId="0" borderId="7" xfId="6" applyFont="1" applyBorder="1" applyAlignment="1">
      <alignment horizontal="center" vertical="center"/>
      <protection locked="0"/>
    </xf>
    <xf numFmtId="0" fontId="17" fillId="0" borderId="8" xfId="6" applyFont="1" applyBorder="1" applyAlignment="1">
      <alignment horizontal="center" vertical="center"/>
      <protection locked="0"/>
    </xf>
    <xf numFmtId="0" fontId="17" fillId="0" borderId="10" xfId="6" applyFont="1" applyBorder="1" applyAlignment="1">
      <alignment horizontal="center" vertical="center"/>
      <protection locked="0"/>
    </xf>
    <xf numFmtId="49" fontId="17" fillId="0" borderId="0" xfId="6" applyNumberFormat="1" applyFont="1" applyAlignment="1" applyProtection="1">
      <alignment horizontal="center" vertical="center"/>
    </xf>
    <xf numFmtId="49" fontId="84" fillId="9" borderId="0" xfId="6" applyNumberFormat="1" applyFont="1" applyFill="1" applyAlignment="1" applyProtection="1">
      <alignment horizontal="center" vertical="center"/>
    </xf>
    <xf numFmtId="49" fontId="59" fillId="49" borderId="2" xfId="6" applyNumberFormat="1" applyFont="1" applyFill="1" applyBorder="1" applyAlignment="1" applyProtection="1">
      <alignment horizontal="center" vertical="center"/>
    </xf>
    <xf numFmtId="49" fontId="59" fillId="49" borderId="0" xfId="6" applyNumberFormat="1" applyFont="1" applyFill="1" applyAlignment="1" applyProtection="1">
      <alignment horizontal="center" vertical="center"/>
    </xf>
    <xf numFmtId="49" fontId="67" fillId="9" borderId="2" xfId="6" applyNumberFormat="1" applyFont="1" applyFill="1" applyBorder="1" applyAlignment="1" applyProtection="1">
      <alignment horizontal="center" vertical="center"/>
    </xf>
    <xf numFmtId="49" fontId="67" fillId="9" borderId="0" xfId="6" applyNumberFormat="1" applyFont="1" applyFill="1" applyAlignment="1" applyProtection="1">
      <alignment horizontal="center" vertical="center"/>
    </xf>
    <xf numFmtId="49" fontId="17" fillId="0" borderId="6" xfId="6" applyNumberFormat="1" applyFont="1" applyBorder="1" applyAlignment="1" applyProtection="1">
      <alignment horizontal="center" vertical="center" wrapText="1"/>
    </xf>
    <xf numFmtId="49" fontId="17" fillId="0" borderId="7" xfId="6" applyNumberFormat="1" applyFont="1" applyBorder="1" applyAlignment="1" applyProtection="1">
      <alignment horizontal="center" vertical="center" wrapText="1"/>
    </xf>
    <xf numFmtId="49" fontId="18" fillId="0" borderId="6" xfId="6" applyNumberFormat="1" applyFont="1" applyBorder="1" applyAlignment="1" applyProtection="1">
      <alignment horizontal="center" vertical="center" wrapText="1"/>
    </xf>
    <xf numFmtId="49" fontId="18" fillId="0" borderId="0" xfId="6" applyNumberFormat="1" applyFont="1" applyAlignment="1" applyProtection="1">
      <alignment horizontal="center" vertical="center" wrapText="1"/>
    </xf>
    <xf numFmtId="49" fontId="18" fillId="0" borderId="8" xfId="6" applyNumberFormat="1" applyFont="1" applyBorder="1" applyAlignment="1" applyProtection="1">
      <alignment horizontal="center" vertical="center" wrapText="1"/>
    </xf>
    <xf numFmtId="49" fontId="18" fillId="0" borderId="9" xfId="6" applyNumberFormat="1" applyFont="1" applyBorder="1" applyAlignment="1" applyProtection="1">
      <alignment horizontal="center" vertical="center" wrapText="1"/>
    </xf>
    <xf numFmtId="0" fontId="86" fillId="9" borderId="1" xfId="6" applyFont="1" applyFill="1" applyBorder="1" applyAlignment="1" applyProtection="1">
      <alignment horizontal="center" vertical="center"/>
    </xf>
    <xf numFmtId="0" fontId="86" fillId="9" borderId="2" xfId="6" applyFont="1" applyFill="1" applyBorder="1" applyAlignment="1" applyProtection="1">
      <alignment horizontal="center" vertical="center"/>
    </xf>
    <xf numFmtId="0" fontId="86" fillId="9" borderId="4" xfId="6" applyFont="1" applyFill="1" applyBorder="1" applyAlignment="1" applyProtection="1">
      <alignment horizontal="center" vertical="center"/>
    </xf>
    <xf numFmtId="0" fontId="86" fillId="9" borderId="6" xfId="6" applyFont="1" applyFill="1" applyBorder="1" applyAlignment="1" applyProtection="1">
      <alignment horizontal="center" vertical="center"/>
    </xf>
    <xf numFmtId="0" fontId="86" fillId="9" borderId="0" xfId="6" applyFont="1" applyFill="1" applyAlignment="1" applyProtection="1">
      <alignment horizontal="center" vertical="center"/>
    </xf>
    <xf numFmtId="0" fontId="86" fillId="9" borderId="7" xfId="6" applyFont="1" applyFill="1" applyBorder="1" applyAlignment="1" applyProtection="1">
      <alignment horizontal="center" vertical="center"/>
    </xf>
    <xf numFmtId="0" fontId="17" fillId="0" borderId="7" xfId="6" applyFont="1" applyBorder="1" applyAlignment="1" applyProtection="1">
      <alignment horizontal="center" vertical="center" wrapText="1"/>
    </xf>
    <xf numFmtId="0" fontId="17" fillId="0" borderId="8" xfId="6" applyFont="1" applyBorder="1" applyAlignment="1" applyProtection="1">
      <alignment horizontal="center" vertical="center" wrapText="1"/>
    </xf>
    <xf numFmtId="0" fontId="17" fillId="0" borderId="10" xfId="6" applyFont="1" applyBorder="1" applyAlignment="1" applyProtection="1">
      <alignment horizontal="center" vertical="center" wrapText="1"/>
    </xf>
    <xf numFmtId="0" fontId="96" fillId="0" borderId="0" xfId="6" applyFont="1" applyAlignment="1">
      <alignment horizontal="center" vertical="center" wrapText="1"/>
      <protection locked="0"/>
    </xf>
    <xf numFmtId="0" fontId="75" fillId="0" borderId="21" xfId="6" applyFont="1" applyBorder="1" applyAlignment="1">
      <alignment horizontal="left" vertical="center" wrapText="1"/>
      <protection locked="0"/>
    </xf>
    <xf numFmtId="0" fontId="75" fillId="0" borderId="21" xfId="6" applyFont="1" applyBorder="1" applyAlignment="1">
      <alignment horizontal="left" vertical="center"/>
      <protection locked="0"/>
    </xf>
    <xf numFmtId="0" fontId="76" fillId="39" borderId="20" xfId="0" applyFont="1" applyFill="1" applyBorder="1" applyAlignment="1" applyProtection="1">
      <alignment horizontal="center" vertical="center"/>
      <protection locked="0"/>
    </xf>
    <xf numFmtId="49" fontId="59" fillId="49" borderId="1" xfId="6" applyNumberFormat="1" applyFont="1" applyFill="1" applyBorder="1" applyAlignment="1" applyProtection="1">
      <alignment horizontal="center" vertical="center"/>
    </xf>
    <xf numFmtId="49" fontId="59" fillId="49" borderId="6" xfId="6" applyNumberFormat="1" applyFont="1" applyFill="1" applyBorder="1" applyAlignment="1" applyProtection="1">
      <alignment horizontal="center" vertical="center"/>
    </xf>
    <xf numFmtId="49" fontId="17" fillId="9" borderId="6" xfId="6" applyNumberFormat="1" applyFont="1" applyFill="1" applyBorder="1" applyAlignment="1" applyProtection="1">
      <alignment horizontal="center" vertical="center" wrapText="1"/>
    </xf>
    <xf numFmtId="49" fontId="17" fillId="9" borderId="6" xfId="6" applyNumberFormat="1" applyFont="1" applyFill="1" applyBorder="1" applyAlignment="1" applyProtection="1">
      <alignment horizontal="center" vertical="center"/>
    </xf>
    <xf numFmtId="49" fontId="84" fillId="9" borderId="6" xfId="6" applyNumberFormat="1" applyFont="1" applyFill="1" applyBorder="1" applyAlignment="1" applyProtection="1">
      <alignment horizontal="center" vertical="center"/>
    </xf>
    <xf numFmtId="49" fontId="17" fillId="0" borderId="6" xfId="6" applyNumberFormat="1" applyFont="1" applyBorder="1" applyAlignment="1" applyProtection="1">
      <alignment horizontal="center" vertical="center"/>
    </xf>
    <xf numFmtId="49" fontId="17" fillId="9" borderId="8" xfId="6" applyNumberFormat="1" applyFont="1" applyFill="1" applyBorder="1" applyAlignment="1" applyProtection="1">
      <alignment horizontal="center" vertical="center"/>
    </xf>
    <xf numFmtId="49" fontId="20" fillId="0" borderId="77" xfId="6" applyNumberFormat="1" applyFont="1" applyBorder="1" applyAlignment="1" applyProtection="1">
      <alignment horizontal="left" vertical="center" wrapText="1"/>
    </xf>
    <xf numFmtId="49" fontId="20" fillId="0" borderId="78" xfId="6" applyNumberFormat="1" applyFont="1" applyBorder="1" applyAlignment="1" applyProtection="1">
      <alignment horizontal="left" vertical="center" wrapText="1"/>
    </xf>
    <xf numFmtId="49" fontId="17" fillId="0" borderId="8" xfId="6" applyNumberFormat="1" applyFont="1" applyBorder="1" applyAlignment="1" applyProtection="1">
      <alignment horizontal="center" vertical="center" wrapText="1"/>
    </xf>
    <xf numFmtId="0" fontId="18" fillId="53" borderId="6" xfId="6" applyFont="1" applyFill="1" applyBorder="1" applyAlignment="1" applyProtection="1">
      <alignment horizontal="center" vertical="center"/>
    </xf>
    <xf numFmtId="0" fontId="69" fillId="0" borderId="76" xfId="6" applyFont="1" applyBorder="1" applyAlignment="1">
      <alignment horizontal="center" vertical="center" wrapText="1"/>
      <protection locked="0"/>
    </xf>
    <xf numFmtId="0" fontId="10" fillId="0" borderId="77" xfId="6" applyFont="1" applyBorder="1" applyAlignment="1">
      <alignment horizontal="center" vertical="center"/>
      <protection locked="0"/>
    </xf>
    <xf numFmtId="0" fontId="10" fillId="0" borderId="78" xfId="6" applyFont="1" applyBorder="1" applyAlignment="1">
      <alignment horizontal="center" vertical="center"/>
      <protection locked="0"/>
    </xf>
    <xf numFmtId="0" fontId="93" fillId="0" borderId="0" xfId="6" applyFont="1" applyAlignment="1">
      <alignment horizontal="right" vertical="center"/>
      <protection locked="0"/>
    </xf>
    <xf numFmtId="0" fontId="32" fillId="40" borderId="16" xfId="6" applyFill="1" applyBorder="1" applyAlignment="1">
      <alignment horizontal="left" vertical="center" wrapText="1"/>
      <protection locked="0"/>
    </xf>
    <xf numFmtId="0" fontId="32" fillId="40" borderId="20" xfId="6" applyFill="1" applyBorder="1" applyAlignment="1">
      <alignment horizontal="left" vertical="center" wrapText="1"/>
      <protection locked="0"/>
    </xf>
    <xf numFmtId="0" fontId="32" fillId="40" borderId="22" xfId="6" applyFill="1" applyBorder="1" applyAlignment="1">
      <alignment horizontal="left" vertical="center" wrapText="1"/>
      <protection locked="0"/>
    </xf>
    <xf numFmtId="0" fontId="18" fillId="53" borderId="44" xfId="6" applyFont="1" applyFill="1" applyBorder="1" applyAlignment="1" applyProtection="1">
      <alignment horizontal="center" vertical="center"/>
    </xf>
    <xf numFmtId="0" fontId="18" fillId="53" borderId="23" xfId="6" applyFont="1" applyFill="1" applyBorder="1" applyAlignment="1" applyProtection="1">
      <alignment horizontal="center" vertical="center"/>
    </xf>
    <xf numFmtId="0" fontId="12" fillId="0" borderId="6" xfId="6" applyFont="1" applyBorder="1" applyAlignment="1" applyProtection="1">
      <alignment horizontal="center" vertical="center" wrapText="1"/>
    </xf>
    <xf numFmtId="0" fontId="12" fillId="0" borderId="8" xfId="6" applyFont="1" applyBorder="1" applyAlignment="1" applyProtection="1">
      <alignment horizontal="center" vertical="center" wrapText="1"/>
    </xf>
    <xf numFmtId="0" fontId="12" fillId="0" borderId="9" xfId="6" applyFont="1" applyBorder="1" applyAlignment="1" applyProtection="1">
      <alignment horizontal="center" vertical="center" wrapText="1"/>
    </xf>
    <xf numFmtId="0" fontId="12" fillId="0" borderId="10" xfId="6" applyFont="1" applyBorder="1" applyAlignment="1" applyProtection="1">
      <alignment horizontal="center" vertical="center" wrapText="1"/>
    </xf>
    <xf numFmtId="0" fontId="17" fillId="0" borderId="87" xfId="6" applyFont="1" applyBorder="1" applyAlignment="1" applyProtection="1">
      <alignment horizontal="center" vertical="center" wrapText="1"/>
    </xf>
    <xf numFmtId="0" fontId="17" fillId="0" borderId="0" xfId="6" applyFont="1" applyAlignment="1" applyProtection="1">
      <alignment horizontal="center" vertical="center" wrapText="1"/>
    </xf>
    <xf numFmtId="0" fontId="17" fillId="0" borderId="97" xfId="6" applyFont="1" applyBorder="1" applyAlignment="1" applyProtection="1">
      <alignment horizontal="center" vertical="center" wrapText="1"/>
    </xf>
    <xf numFmtId="0" fontId="17" fillId="0" borderId="23" xfId="6" applyFont="1" applyBorder="1" applyAlignment="1" applyProtection="1">
      <alignment horizontal="center" vertical="center" wrapText="1"/>
    </xf>
    <xf numFmtId="0" fontId="17" fillId="0" borderId="43" xfId="6" applyFont="1" applyBorder="1" applyAlignment="1" applyProtection="1">
      <alignment horizontal="center" vertical="center" wrapText="1"/>
    </xf>
    <xf numFmtId="0" fontId="20" fillId="53" borderId="0" xfId="6" applyFont="1" applyFill="1" applyAlignment="1" applyProtection="1">
      <alignment horizontal="center" vertical="center" wrapText="1"/>
    </xf>
    <xf numFmtId="0" fontId="10" fillId="54" borderId="87" xfId="6" applyFont="1" applyFill="1" applyBorder="1" applyAlignment="1" applyProtection="1">
      <alignment horizontal="center" vertical="center"/>
    </xf>
    <xf numFmtId="0" fontId="10" fillId="54" borderId="93" xfId="6" applyFont="1" applyFill="1" applyBorder="1" applyAlignment="1" applyProtection="1">
      <alignment horizontal="center" vertical="center"/>
    </xf>
    <xf numFmtId="0" fontId="24" fillId="54" borderId="0" xfId="0" applyFont="1" applyFill="1" applyAlignment="1">
      <alignment horizontal="center" vertical="center"/>
    </xf>
    <xf numFmtId="0" fontId="24" fillId="54" borderId="7" xfId="0" applyFont="1" applyFill="1" applyBorder="1" applyAlignment="1">
      <alignment horizontal="center" vertical="center"/>
    </xf>
    <xf numFmtId="0" fontId="24" fillId="54" borderId="6" xfId="0" applyFont="1" applyFill="1" applyBorder="1" applyAlignment="1">
      <alignment horizontal="center" vertical="center" wrapText="1"/>
    </xf>
    <xf numFmtId="0" fontId="24" fillId="54" borderId="0" xfId="0" applyFont="1" applyFill="1" applyAlignment="1">
      <alignment horizontal="center" vertical="center" wrapText="1"/>
    </xf>
    <xf numFmtId="0" fontId="24" fillId="54" borderId="7" xfId="0" applyFont="1" applyFill="1" applyBorder="1" applyAlignment="1">
      <alignment horizontal="center" vertical="center" wrapText="1"/>
    </xf>
    <xf numFmtId="0" fontId="24" fillId="54" borderId="8" xfId="0" applyFont="1" applyFill="1" applyBorder="1" applyAlignment="1">
      <alignment horizontal="center" vertical="center" wrapText="1"/>
    </xf>
    <xf numFmtId="0" fontId="24" fillId="54" borderId="9" xfId="0" applyFont="1" applyFill="1" applyBorder="1" applyAlignment="1">
      <alignment horizontal="center" vertical="center" wrapText="1"/>
    </xf>
    <xf numFmtId="0" fontId="24" fillId="54" borderId="10" xfId="0" applyFont="1" applyFill="1" applyBorder="1" applyAlignment="1">
      <alignment horizontal="center" vertical="center" wrapText="1"/>
    </xf>
    <xf numFmtId="0" fontId="12" fillId="0" borderId="90" xfId="6" applyFont="1" applyBorder="1" applyAlignment="1" applyProtection="1">
      <alignment horizontal="center" vertical="center" wrapText="1"/>
    </xf>
    <xf numFmtId="0" fontId="12" fillId="0" borderId="91" xfId="6" applyFont="1" applyBorder="1" applyAlignment="1" applyProtection="1">
      <alignment horizontal="center" vertical="center" wrapText="1"/>
    </xf>
    <xf numFmtId="0" fontId="12" fillId="0" borderId="92" xfId="6" applyFont="1" applyBorder="1" applyAlignment="1" applyProtection="1">
      <alignment horizontal="center" vertical="center" wrapText="1"/>
    </xf>
    <xf numFmtId="0" fontId="18" fillId="0" borderId="6" xfId="6" applyFont="1" applyBorder="1" applyAlignment="1" applyProtection="1">
      <alignment horizontal="center" vertical="center" wrapText="1"/>
    </xf>
    <xf numFmtId="0" fontId="18" fillId="0" borderId="0" xfId="6" applyFont="1" applyAlignment="1" applyProtection="1">
      <alignment horizontal="center" vertical="center" wrapText="1"/>
    </xf>
    <xf numFmtId="0" fontId="18" fillId="51" borderId="90" xfId="6" applyFont="1" applyFill="1" applyBorder="1" applyAlignment="1" applyProtection="1">
      <alignment horizontal="center" vertical="center"/>
    </xf>
    <xf numFmtId="0" fontId="18" fillId="51" borderId="91" xfId="6" applyFont="1" applyFill="1" applyBorder="1" applyAlignment="1" applyProtection="1">
      <alignment horizontal="center" vertical="center"/>
    </xf>
    <xf numFmtId="0" fontId="18" fillId="51" borderId="95" xfId="6" applyFont="1" applyFill="1" applyBorder="1" applyAlignment="1" applyProtection="1">
      <alignment horizontal="center" vertical="center"/>
    </xf>
    <xf numFmtId="0" fontId="18" fillId="51" borderId="96" xfId="6" applyFont="1" applyFill="1" applyBorder="1" applyAlignment="1" applyProtection="1">
      <alignment horizontal="center" vertical="center"/>
    </xf>
    <xf numFmtId="0" fontId="18" fillId="51" borderId="92" xfId="6" applyFont="1" applyFill="1" applyBorder="1" applyAlignment="1" applyProtection="1">
      <alignment horizontal="center" vertical="center"/>
    </xf>
    <xf numFmtId="0" fontId="17" fillId="53" borderId="0" xfId="6" applyFont="1" applyFill="1" applyAlignment="1" applyProtection="1">
      <alignment horizontal="center" vertical="center"/>
    </xf>
    <xf numFmtId="0" fontId="18" fillId="51" borderId="79" xfId="6" applyFont="1" applyFill="1" applyBorder="1" applyAlignment="1" applyProtection="1">
      <alignment horizontal="center" vertical="center"/>
    </xf>
    <xf numFmtId="0" fontId="18" fillId="51" borderId="80" xfId="6" applyFont="1" applyFill="1" applyBorder="1" applyAlignment="1" applyProtection="1">
      <alignment horizontal="center" vertical="center"/>
    </xf>
    <xf numFmtId="0" fontId="18" fillId="51" borderId="83" xfId="6" applyFont="1" applyFill="1" applyBorder="1" applyAlignment="1" applyProtection="1">
      <alignment horizontal="center" vertical="center"/>
    </xf>
    <xf numFmtId="0" fontId="12" fillId="0" borderId="79" xfId="6" applyFont="1" applyBorder="1" applyAlignment="1" applyProtection="1">
      <alignment horizontal="center" vertical="center" wrapText="1"/>
    </xf>
    <xf numFmtId="0" fontId="12" fillId="0" borderId="80" xfId="6" applyFont="1" applyBorder="1" applyAlignment="1" applyProtection="1">
      <alignment horizontal="center" vertical="center" wrapText="1"/>
    </xf>
    <xf numFmtId="0" fontId="12" fillId="0" borderId="81" xfId="6" applyFont="1" applyBorder="1" applyAlignment="1" applyProtection="1">
      <alignment horizontal="center" vertical="center" wrapText="1"/>
    </xf>
    <xf numFmtId="0" fontId="12" fillId="0" borderId="84" xfId="6" applyFont="1" applyBorder="1" applyAlignment="1" applyProtection="1">
      <alignment horizontal="center" vertical="center" wrapText="1"/>
    </xf>
    <xf numFmtId="0" fontId="12" fillId="0" borderId="85" xfId="6" applyFont="1" applyBorder="1" applyAlignment="1" applyProtection="1">
      <alignment horizontal="center" vertical="center" wrapText="1"/>
    </xf>
    <xf numFmtId="0" fontId="12" fillId="0" borderId="86" xfId="6" applyFont="1" applyBorder="1" applyAlignment="1" applyProtection="1">
      <alignment horizontal="center" vertical="center" wrapText="1"/>
    </xf>
    <xf numFmtId="0" fontId="17" fillId="0" borderId="82" xfId="6" applyFont="1" applyBorder="1" applyAlignment="1" applyProtection="1">
      <alignment horizontal="center" vertical="center" wrapText="1"/>
    </xf>
    <xf numFmtId="0" fontId="17" fillId="0" borderId="80" xfId="6" applyFont="1" applyBorder="1" applyAlignment="1" applyProtection="1">
      <alignment horizontal="center" vertical="center" wrapText="1"/>
    </xf>
    <xf numFmtId="0" fontId="17" fillId="0" borderId="83" xfId="6" applyFont="1" applyBorder="1" applyAlignment="1" applyProtection="1">
      <alignment horizontal="center" vertical="center" wrapText="1"/>
    </xf>
    <xf numFmtId="0" fontId="68" fillId="9" borderId="6" xfId="6" applyFont="1" applyFill="1" applyBorder="1" applyAlignment="1" applyProtection="1">
      <alignment horizontal="center" vertical="center" wrapText="1"/>
    </xf>
    <xf numFmtId="0" fontId="68" fillId="9" borderId="0" xfId="6" applyFont="1" applyFill="1" applyAlignment="1" applyProtection="1">
      <alignment horizontal="center" vertical="center" wrapText="1"/>
    </xf>
    <xf numFmtId="0" fontId="68" fillId="9" borderId="82" xfId="6" applyFont="1" applyFill="1" applyBorder="1" applyAlignment="1" applyProtection="1">
      <alignment horizontal="center" vertical="center" wrapText="1"/>
    </xf>
    <xf numFmtId="0" fontId="68" fillId="9" borderId="80" xfId="6" applyFont="1" applyFill="1" applyBorder="1" applyAlignment="1" applyProtection="1">
      <alignment horizontal="center" vertical="center" wrapText="1"/>
    </xf>
    <xf numFmtId="0" fontId="68" fillId="9" borderId="83" xfId="6" applyFont="1" applyFill="1" applyBorder="1" applyAlignment="1" applyProtection="1">
      <alignment horizontal="center" vertical="center" wrapText="1"/>
    </xf>
    <xf numFmtId="0" fontId="68" fillId="9" borderId="84" xfId="6" applyFont="1" applyFill="1" applyBorder="1" applyAlignment="1" applyProtection="1">
      <alignment horizontal="center" vertical="center" wrapText="1"/>
    </xf>
    <xf numFmtId="0" fontId="68" fillId="9" borderId="85" xfId="6" applyFont="1" applyFill="1" applyBorder="1" applyAlignment="1" applyProtection="1">
      <alignment horizontal="center" vertical="center" wrapText="1"/>
    </xf>
    <xf numFmtId="0" fontId="68" fillId="9" borderId="88" xfId="6" applyFont="1" applyFill="1" applyBorder="1" applyAlignment="1" applyProtection="1">
      <alignment horizontal="center" vertical="center" wrapText="1"/>
    </xf>
    <xf numFmtId="0" fontId="68" fillId="9" borderId="89" xfId="6" applyFont="1" applyFill="1" applyBorder="1" applyAlignment="1" applyProtection="1">
      <alignment horizontal="center" vertical="center" wrapText="1"/>
    </xf>
    <xf numFmtId="0" fontId="12" fillId="0" borderId="6" xfId="6" quotePrefix="1" applyFont="1" applyBorder="1" applyAlignment="1" applyProtection="1">
      <alignment horizontal="center" vertical="center" wrapText="1"/>
    </xf>
    <xf numFmtId="0" fontId="12" fillId="0" borderId="93" xfId="6" applyFont="1" applyBorder="1" applyAlignment="1" applyProtection="1">
      <alignment horizontal="center" vertical="center" wrapText="1"/>
    </xf>
    <xf numFmtId="0" fontId="12" fillId="0" borderId="94" xfId="6" applyFont="1" applyBorder="1" applyAlignment="1" applyProtection="1">
      <alignment horizontal="center" vertical="center" wrapText="1"/>
    </xf>
    <xf numFmtId="0" fontId="17" fillId="0" borderId="9" xfId="6" applyFont="1" applyBorder="1" applyAlignment="1" applyProtection="1">
      <alignment horizontal="center" vertical="center" wrapText="1"/>
    </xf>
    <xf numFmtId="0" fontId="67" fillId="51" borderId="1" xfId="6" applyFont="1" applyFill="1" applyBorder="1" applyAlignment="1" applyProtection="1">
      <alignment horizontal="center" vertical="center"/>
    </xf>
    <xf numFmtId="0" fontId="67" fillId="51" borderId="2" xfId="6" applyFont="1" applyFill="1" applyBorder="1" applyAlignment="1" applyProtection="1">
      <alignment horizontal="center" vertical="center"/>
    </xf>
    <xf numFmtId="0" fontId="67" fillId="51" borderId="4" xfId="6" applyFont="1" applyFill="1" applyBorder="1" applyAlignment="1" applyProtection="1">
      <alignment horizontal="center" vertical="center"/>
    </xf>
    <xf numFmtId="0" fontId="67" fillId="51" borderId="6" xfId="6" applyFont="1" applyFill="1" applyBorder="1" applyAlignment="1" applyProtection="1">
      <alignment horizontal="center" vertical="center"/>
    </xf>
    <xf numFmtId="0" fontId="67" fillId="51" borderId="0" xfId="6" applyFont="1" applyFill="1" applyAlignment="1" applyProtection="1">
      <alignment horizontal="center" vertical="center"/>
    </xf>
    <xf numFmtId="0" fontId="67" fillId="51" borderId="7" xfId="6" applyFont="1" applyFill="1" applyBorder="1" applyAlignment="1" applyProtection="1">
      <alignment horizontal="center" vertical="center"/>
    </xf>
    <xf numFmtId="0" fontId="87" fillId="52" borderId="1" xfId="6" applyFont="1" applyFill="1" applyBorder="1" applyAlignment="1" applyProtection="1">
      <alignment horizontal="center" vertical="center"/>
    </xf>
    <xf numFmtId="0" fontId="87" fillId="52" borderId="2" xfId="6" applyFont="1" applyFill="1" applyBorder="1" applyAlignment="1" applyProtection="1">
      <alignment horizontal="center" vertical="center"/>
    </xf>
    <xf numFmtId="0" fontId="87" fillId="52" borderId="4" xfId="6" applyFont="1" applyFill="1" applyBorder="1" applyAlignment="1" applyProtection="1">
      <alignment horizontal="center" vertical="center"/>
    </xf>
    <xf numFmtId="0" fontId="87" fillId="52" borderId="84" xfId="6" applyFont="1" applyFill="1" applyBorder="1" applyAlignment="1" applyProtection="1">
      <alignment horizontal="center" vertical="center"/>
    </xf>
    <xf numFmtId="0" fontId="87" fillId="52" borderId="85" xfId="6" applyFont="1" applyFill="1" applyBorder="1" applyAlignment="1" applyProtection="1">
      <alignment horizontal="center" vertical="center"/>
    </xf>
    <xf numFmtId="0" fontId="87" fillId="52" borderId="89" xfId="6" applyFont="1" applyFill="1" applyBorder="1" applyAlignment="1" applyProtection="1">
      <alignment horizontal="center" vertical="center"/>
    </xf>
    <xf numFmtId="49" fontId="17" fillId="0" borderId="46" xfId="6" applyNumberFormat="1" applyFont="1" applyBorder="1" applyAlignment="1" applyProtection="1">
      <alignment horizontal="center" vertical="center"/>
    </xf>
    <xf numFmtId="49" fontId="17" fillId="0" borderId="15" xfId="6" applyNumberFormat="1" applyFont="1" applyBorder="1" applyAlignment="1" applyProtection="1">
      <alignment horizontal="center" vertical="center"/>
    </xf>
    <xf numFmtId="49" fontId="17" fillId="0" borderId="47" xfId="6" applyNumberFormat="1" applyFont="1" applyBorder="1" applyAlignment="1" applyProtection="1">
      <alignment horizontal="center" vertical="center"/>
    </xf>
    <xf numFmtId="49" fontId="17" fillId="0" borderId="8" xfId="6" applyNumberFormat="1" applyFont="1" applyBorder="1" applyAlignment="1" applyProtection="1">
      <alignment horizontal="center" vertical="center"/>
    </xf>
    <xf numFmtId="49" fontId="17" fillId="0" borderId="9" xfId="6" applyNumberFormat="1" applyFont="1" applyBorder="1" applyAlignment="1" applyProtection="1">
      <alignment horizontal="center" vertical="center"/>
    </xf>
    <xf numFmtId="49" fontId="17" fillId="0" borderId="10" xfId="6" applyNumberFormat="1" applyFont="1" applyBorder="1" applyAlignment="1" applyProtection="1">
      <alignment horizontal="center" vertical="center"/>
    </xf>
    <xf numFmtId="0" fontId="9" fillId="50" borderId="1" xfId="6" applyFont="1" applyFill="1" applyBorder="1" applyAlignment="1" applyProtection="1">
      <alignment horizontal="center" vertical="center"/>
    </xf>
    <xf numFmtId="0" fontId="80" fillId="50" borderId="2" xfId="6" applyFont="1" applyFill="1" applyBorder="1" applyAlignment="1" applyProtection="1">
      <alignment horizontal="center" vertical="center"/>
    </xf>
    <xf numFmtId="0" fontId="80" fillId="50" borderId="4" xfId="6" applyFont="1" applyFill="1" applyBorder="1" applyAlignment="1" applyProtection="1">
      <alignment horizontal="center" vertical="center"/>
    </xf>
    <xf numFmtId="0" fontId="81" fillId="10" borderId="67" xfId="6" applyFont="1" applyFill="1" applyBorder="1" applyAlignment="1" applyProtection="1">
      <alignment horizontal="center" vertical="center"/>
    </xf>
    <xf numFmtId="0" fontId="81" fillId="10" borderId="71" xfId="6" applyFont="1" applyFill="1" applyBorder="1" applyAlignment="1" applyProtection="1">
      <alignment horizontal="center" vertical="center"/>
    </xf>
    <xf numFmtId="0" fontId="82" fillId="0" borderId="6" xfId="6" applyFont="1" applyBorder="1" applyAlignment="1" applyProtection="1">
      <alignment horizontal="center" vertical="center"/>
    </xf>
    <xf numFmtId="0" fontId="82" fillId="0" borderId="71" xfId="6" applyFont="1" applyBorder="1" applyAlignment="1" applyProtection="1">
      <alignment horizontal="center" vertical="center"/>
    </xf>
    <xf numFmtId="0" fontId="83" fillId="9" borderId="6" xfId="6" applyFont="1" applyFill="1" applyBorder="1" applyAlignment="1" applyProtection="1">
      <alignment horizontal="center" vertical="center"/>
    </xf>
    <xf numFmtId="0" fontId="83" fillId="9" borderId="71" xfId="6" applyFont="1" applyFill="1" applyBorder="1" applyAlignment="1" applyProtection="1">
      <alignment horizontal="center" vertical="center"/>
    </xf>
    <xf numFmtId="0" fontId="85" fillId="0" borderId="6" xfId="6" applyFont="1" applyBorder="1" applyAlignment="1" applyProtection="1">
      <alignment horizontal="center" vertical="center"/>
    </xf>
    <xf numFmtId="49" fontId="17" fillId="0" borderId="0" xfId="6" applyNumberFormat="1" applyFont="1" applyAlignment="1" applyProtection="1">
      <alignment horizontal="center" vertical="center" wrapText="1"/>
    </xf>
    <xf numFmtId="49" fontId="12" fillId="0" borderId="41" xfId="6" applyNumberFormat="1" applyFont="1" applyBorder="1" applyAlignment="1" applyProtection="1">
      <alignment horizontal="center" vertical="center"/>
    </xf>
    <xf numFmtId="49" fontId="12" fillId="0" borderId="17" xfId="6" applyNumberFormat="1" applyFont="1" applyBorder="1" applyAlignment="1" applyProtection="1">
      <alignment horizontal="center" vertical="center"/>
    </xf>
    <xf numFmtId="49" fontId="12" fillId="0" borderId="42" xfId="6" applyNumberFormat="1" applyFont="1" applyBorder="1" applyAlignment="1" applyProtection="1">
      <alignment horizontal="center" vertical="center"/>
    </xf>
    <xf numFmtId="49" fontId="17" fillId="0" borderId="7" xfId="6" applyNumberFormat="1" applyFont="1" applyBorder="1" applyAlignment="1" applyProtection="1">
      <alignment horizontal="center" vertical="center"/>
    </xf>
    <xf numFmtId="49" fontId="17" fillId="0" borderId="41" xfId="6" applyNumberFormat="1" applyFont="1" applyBorder="1" applyAlignment="1" applyProtection="1">
      <alignment horizontal="center" vertical="center"/>
    </xf>
    <xf numFmtId="49" fontId="17" fillId="0" borderId="17" xfId="6" applyNumberFormat="1" applyFont="1" applyBorder="1" applyAlignment="1" applyProtection="1">
      <alignment horizontal="center" vertical="center"/>
    </xf>
    <xf numFmtId="49" fontId="17" fillId="0" borderId="42" xfId="6" applyNumberFormat="1" applyFont="1" applyBorder="1" applyAlignment="1" applyProtection="1">
      <alignment horizontal="center" vertical="center"/>
    </xf>
    <xf numFmtId="49" fontId="71" fillId="33" borderId="0" xfId="0" applyNumberFormat="1" applyFont="1" applyFill="1" applyAlignment="1" applyProtection="1">
      <alignment horizontal="center" vertical="center"/>
      <protection locked="0"/>
    </xf>
    <xf numFmtId="49" fontId="71" fillId="33" borderId="1" xfId="0" applyNumberFormat="1" applyFont="1" applyFill="1" applyBorder="1" applyAlignment="1" applyProtection="1">
      <alignment horizontal="center" vertical="center"/>
      <protection locked="0"/>
    </xf>
    <xf numFmtId="49" fontId="71" fillId="33" borderId="4" xfId="0" applyNumberFormat="1" applyFont="1" applyFill="1" applyBorder="1" applyAlignment="1" applyProtection="1">
      <alignment horizontal="center" vertical="center"/>
      <protection locked="0"/>
    </xf>
    <xf numFmtId="0" fontId="32" fillId="46" borderId="3" xfId="6" applyFill="1" applyBorder="1" applyAlignment="1">
      <alignment horizontal="center" vertical="center"/>
      <protection locked="0"/>
    </xf>
    <xf numFmtId="0" fontId="32" fillId="5" borderId="17" xfId="6" applyFill="1" applyBorder="1" applyAlignment="1" applyProtection="1">
      <alignment horizontal="center" vertical="center"/>
    </xf>
    <xf numFmtId="49" fontId="59" fillId="29" borderId="1" xfId="6" applyNumberFormat="1" applyFont="1" applyFill="1" applyBorder="1" applyAlignment="1" applyProtection="1">
      <alignment horizontal="center" vertical="center"/>
    </xf>
    <xf numFmtId="49" fontId="59" fillId="29" borderId="2" xfId="6" applyNumberFormat="1" applyFont="1" applyFill="1" applyBorder="1" applyAlignment="1" applyProtection="1">
      <alignment horizontal="center" vertical="center"/>
    </xf>
    <xf numFmtId="49" fontId="59" fillId="29" borderId="4" xfId="6" applyNumberFormat="1" applyFont="1" applyFill="1" applyBorder="1" applyAlignment="1" applyProtection="1">
      <alignment horizontal="center" vertical="center"/>
    </xf>
    <xf numFmtId="49" fontId="12" fillId="0" borderId="6" xfId="6" applyNumberFormat="1" applyFont="1" applyBorder="1" applyAlignment="1" applyProtection="1">
      <alignment horizontal="center" vertical="center" wrapText="1"/>
    </xf>
    <xf numFmtId="0" fontId="9" fillId="29" borderId="1" xfId="6" applyFont="1" applyFill="1" applyBorder="1" applyAlignment="1" applyProtection="1">
      <alignment horizontal="center" vertical="center"/>
    </xf>
    <xf numFmtId="0" fontId="9" fillId="29" borderId="2" xfId="6" applyFont="1" applyFill="1" applyBorder="1" applyAlignment="1" applyProtection="1">
      <alignment horizontal="center" vertical="center"/>
    </xf>
    <xf numFmtId="0" fontId="9" fillId="29" borderId="4" xfId="6" applyFont="1" applyFill="1" applyBorder="1" applyAlignment="1" applyProtection="1">
      <alignment horizontal="center" vertical="center"/>
    </xf>
    <xf numFmtId="0" fontId="12" fillId="8" borderId="6" xfId="6" applyFont="1" applyFill="1" applyBorder="1" applyAlignment="1" applyProtection="1">
      <alignment horizontal="center" vertical="center"/>
    </xf>
    <xf numFmtId="0" fontId="12" fillId="8" borderId="0" xfId="6" applyFont="1" applyFill="1" applyAlignment="1" applyProtection="1">
      <alignment horizontal="center" vertical="center"/>
    </xf>
    <xf numFmtId="0" fontId="12" fillId="8" borderId="7" xfId="6" applyFont="1" applyFill="1" applyBorder="1" applyAlignment="1" applyProtection="1">
      <alignment horizontal="center" vertical="center"/>
    </xf>
    <xf numFmtId="0" fontId="32" fillId="41" borderId="18" xfId="6" applyFill="1" applyBorder="1" applyAlignment="1">
      <alignment horizontal="left" vertical="center" wrapText="1"/>
      <protection locked="0"/>
    </xf>
    <xf numFmtId="0" fontId="32" fillId="41" borderId="21" xfId="6" applyFill="1" applyBorder="1" applyAlignment="1">
      <alignment horizontal="left" vertical="center" wrapText="1"/>
      <protection locked="0"/>
    </xf>
    <xf numFmtId="0" fontId="31" fillId="41" borderId="24" xfId="6" applyFont="1" applyFill="1" applyBorder="1" applyAlignment="1">
      <alignment horizontal="left" vertical="center" wrapText="1"/>
      <protection locked="0"/>
    </xf>
    <xf numFmtId="0" fontId="77" fillId="0" borderId="16" xfId="6" applyFont="1" applyBorder="1" applyAlignment="1">
      <alignment horizontal="left" vertical="center" wrapText="1"/>
      <protection locked="0"/>
    </xf>
    <xf numFmtId="0" fontId="77" fillId="0" borderId="19" xfId="6" applyFont="1" applyBorder="1" applyAlignment="1">
      <alignment horizontal="left" vertical="center" wrapText="1"/>
      <protection locked="0"/>
    </xf>
    <xf numFmtId="0" fontId="77" fillId="0" borderId="13" xfId="6" applyFont="1" applyBorder="1" applyAlignment="1">
      <alignment horizontal="left" vertical="center" wrapText="1"/>
      <protection locked="0"/>
    </xf>
    <xf numFmtId="0" fontId="32" fillId="35" borderId="16" xfId="6" applyFill="1" applyBorder="1" applyAlignment="1">
      <alignment horizontal="center" vertical="center" wrapText="1"/>
      <protection locked="0"/>
    </xf>
    <xf numFmtId="0" fontId="32" fillId="35" borderId="17" xfId="6" applyFill="1" applyBorder="1" applyAlignment="1">
      <alignment horizontal="center" vertical="center" wrapText="1"/>
      <protection locked="0"/>
    </xf>
    <xf numFmtId="0" fontId="32" fillId="35" borderId="18" xfId="6" applyFill="1" applyBorder="1" applyAlignment="1">
      <alignment horizontal="center" vertical="center" wrapText="1"/>
      <protection locked="0"/>
    </xf>
    <xf numFmtId="0" fontId="32" fillId="35" borderId="20" xfId="6" applyFill="1" applyBorder="1" applyAlignment="1">
      <alignment horizontal="center" vertical="center" wrapText="1"/>
      <protection locked="0"/>
    </xf>
    <xf numFmtId="0" fontId="32" fillId="35" borderId="0" xfId="6" applyFill="1" applyAlignment="1">
      <alignment horizontal="center" vertical="center" wrapText="1"/>
      <protection locked="0"/>
    </xf>
    <xf numFmtId="0" fontId="32" fillId="35" borderId="21" xfId="6" applyFill="1" applyBorder="1" applyAlignment="1">
      <alignment horizontal="center" vertical="center" wrapText="1"/>
      <protection locked="0"/>
    </xf>
    <xf numFmtId="0" fontId="17" fillId="36" borderId="20" xfId="6" applyFont="1" applyFill="1" applyBorder="1" applyAlignment="1">
      <alignment horizontal="center" vertical="center" wrapText="1"/>
      <protection locked="0"/>
    </xf>
    <xf numFmtId="0" fontId="17" fillId="36" borderId="0" xfId="6" applyFont="1" applyFill="1" applyAlignment="1">
      <alignment horizontal="center" vertical="center" wrapText="1"/>
      <protection locked="0"/>
    </xf>
    <xf numFmtId="0" fontId="17" fillId="36" borderId="21" xfId="6" applyFont="1" applyFill="1" applyBorder="1" applyAlignment="1">
      <alignment horizontal="center" vertical="center" wrapText="1"/>
      <protection locked="0"/>
    </xf>
    <xf numFmtId="0" fontId="17" fillId="36" borderId="20" xfId="6" applyFont="1" applyFill="1" applyBorder="1" applyAlignment="1">
      <alignment horizontal="left" vertical="center" wrapText="1"/>
      <protection locked="0"/>
    </xf>
    <xf numFmtId="0" fontId="17" fillId="36" borderId="0" xfId="6" applyFont="1" applyFill="1" applyAlignment="1">
      <alignment horizontal="left" vertical="center" wrapText="1"/>
      <protection locked="0"/>
    </xf>
    <xf numFmtId="0" fontId="17" fillId="36" borderId="21" xfId="6" applyFont="1" applyFill="1" applyBorder="1" applyAlignment="1">
      <alignment horizontal="left" vertical="center" wrapText="1"/>
      <protection locked="0"/>
    </xf>
    <xf numFmtId="0" fontId="17" fillId="36" borderId="22" xfId="6" applyFont="1" applyFill="1" applyBorder="1" applyAlignment="1">
      <alignment horizontal="left" vertical="center" wrapText="1"/>
      <protection locked="0"/>
    </xf>
    <xf numFmtId="0" fontId="17" fillId="36" borderId="23" xfId="6" applyFont="1" applyFill="1" applyBorder="1" applyAlignment="1">
      <alignment horizontal="left" vertical="center" wrapText="1"/>
      <protection locked="0"/>
    </xf>
    <xf numFmtId="0" fontId="17" fillId="36" borderId="24" xfId="6" applyFont="1" applyFill="1" applyBorder="1" applyAlignment="1">
      <alignment horizontal="left" vertical="center" wrapText="1"/>
      <protection locked="0"/>
    </xf>
    <xf numFmtId="0" fontId="32" fillId="37" borderId="16" xfId="6" applyFill="1" applyBorder="1" applyAlignment="1">
      <alignment horizontal="left" vertical="center" wrapText="1"/>
      <protection locked="0"/>
    </xf>
    <xf numFmtId="0" fontId="32" fillId="37" borderId="17" xfId="6" applyFill="1" applyBorder="1" applyAlignment="1">
      <alignment horizontal="left" vertical="center" wrapText="1"/>
      <protection locked="0"/>
    </xf>
    <xf numFmtId="0" fontId="32" fillId="37" borderId="18" xfId="6" applyFill="1" applyBorder="1" applyAlignment="1">
      <alignment horizontal="left" vertical="center" wrapText="1"/>
      <protection locked="0"/>
    </xf>
    <xf numFmtId="0" fontId="32" fillId="37" borderId="20" xfId="6" applyFill="1" applyBorder="1" applyAlignment="1">
      <alignment horizontal="left" vertical="center" wrapText="1"/>
      <protection locked="0"/>
    </xf>
    <xf numFmtId="0" fontId="32" fillId="37" borderId="0" xfId="6" applyFill="1" applyAlignment="1">
      <alignment horizontal="left" vertical="center" wrapText="1"/>
      <protection locked="0"/>
    </xf>
    <xf numFmtId="0" fontId="32" fillId="37" borderId="21" xfId="6" applyFill="1" applyBorder="1" applyAlignment="1">
      <alignment horizontal="left" vertical="center" wrapText="1"/>
      <protection locked="0"/>
    </xf>
    <xf numFmtId="0" fontId="32" fillId="37" borderId="22" xfId="6" applyFill="1" applyBorder="1" applyAlignment="1">
      <alignment horizontal="left" vertical="center" wrapText="1"/>
      <protection locked="0"/>
    </xf>
    <xf numFmtId="0" fontId="32" fillId="37" borderId="23" xfId="6" applyFill="1" applyBorder="1" applyAlignment="1">
      <alignment horizontal="left" vertical="center" wrapText="1"/>
      <protection locked="0"/>
    </xf>
    <xf numFmtId="0" fontId="32" fillId="37" borderId="24" xfId="6" applyFill="1" applyBorder="1" applyAlignment="1">
      <alignment horizontal="left" vertical="center" wrapText="1"/>
      <protection locked="0"/>
    </xf>
    <xf numFmtId="0" fontId="32" fillId="38" borderId="16" xfId="6" applyFill="1" applyBorder="1" applyAlignment="1">
      <alignment horizontal="left" vertical="center" wrapText="1"/>
      <protection locked="0"/>
    </xf>
    <xf numFmtId="0" fontId="32" fillId="38" borderId="17" xfId="6" applyFill="1" applyBorder="1" applyAlignment="1">
      <alignment horizontal="left" vertical="center" wrapText="1"/>
      <protection locked="0"/>
    </xf>
    <xf numFmtId="0" fontId="32" fillId="38" borderId="18" xfId="6" applyFill="1" applyBorder="1" applyAlignment="1">
      <alignment horizontal="left" vertical="center" wrapText="1"/>
      <protection locked="0"/>
    </xf>
    <xf numFmtId="0" fontId="32" fillId="38" borderId="20" xfId="6" applyFill="1" applyBorder="1" applyAlignment="1">
      <alignment horizontal="left" vertical="center" wrapText="1"/>
      <protection locked="0"/>
    </xf>
    <xf numFmtId="0" fontId="32" fillId="38" borderId="0" xfId="6" applyFill="1" applyAlignment="1">
      <alignment horizontal="left" vertical="center" wrapText="1"/>
      <protection locked="0"/>
    </xf>
    <xf numFmtId="0" fontId="32" fillId="38" borderId="21" xfId="6" applyFill="1" applyBorder="1" applyAlignment="1">
      <alignment horizontal="left" vertical="center" wrapText="1"/>
      <protection locked="0"/>
    </xf>
    <xf numFmtId="0" fontId="32" fillId="38" borderId="22" xfId="6" applyFill="1" applyBorder="1" applyAlignment="1">
      <alignment horizontal="left" vertical="center" wrapText="1"/>
      <protection locked="0"/>
    </xf>
    <xf numFmtId="0" fontId="32" fillId="38" borderId="23" xfId="6" applyFill="1" applyBorder="1" applyAlignment="1">
      <alignment horizontal="left" vertical="center" wrapText="1"/>
      <protection locked="0"/>
    </xf>
    <xf numFmtId="0" fontId="32" fillId="38" borderId="24" xfId="6" applyFill="1" applyBorder="1" applyAlignment="1">
      <alignment horizontal="left" vertical="center" wrapText="1"/>
      <protection locked="0"/>
    </xf>
    <xf numFmtId="0" fontId="12" fillId="0" borderId="16" xfId="6" applyFont="1" applyBorder="1" applyAlignment="1">
      <alignment horizontal="left" vertical="center" wrapText="1"/>
      <protection locked="0"/>
    </xf>
    <xf numFmtId="0" fontId="12" fillId="0" borderId="18" xfId="6" applyFont="1" applyBorder="1" applyAlignment="1">
      <alignment horizontal="left" vertical="center" wrapText="1"/>
      <protection locked="0"/>
    </xf>
    <xf numFmtId="0" fontId="12" fillId="0" borderId="20" xfId="6" applyFont="1" applyBorder="1" applyAlignment="1">
      <alignment horizontal="left" vertical="center" wrapText="1"/>
      <protection locked="0"/>
    </xf>
    <xf numFmtId="0" fontId="12" fillId="0" borderId="21" xfId="6" applyFont="1" applyBorder="1" applyAlignment="1">
      <alignment horizontal="left" vertical="center" wrapText="1"/>
      <protection locked="0"/>
    </xf>
    <xf numFmtId="0" fontId="12" fillId="0" borderId="22" xfId="6" applyFont="1" applyBorder="1" applyAlignment="1">
      <alignment horizontal="left" vertical="center" wrapText="1"/>
      <protection locked="0"/>
    </xf>
    <xf numFmtId="0" fontId="12" fillId="0" borderId="24" xfId="6" applyFont="1" applyBorder="1" applyAlignment="1">
      <alignment horizontal="left" vertical="center" wrapText="1"/>
      <protection locked="0"/>
    </xf>
    <xf numFmtId="0" fontId="32" fillId="42" borderId="16" xfId="6" applyFill="1" applyBorder="1" applyAlignment="1">
      <alignment horizontal="left" vertical="center" wrapText="1"/>
      <protection locked="0"/>
    </xf>
    <xf numFmtId="0" fontId="32" fillId="42" borderId="18" xfId="6" applyFill="1" applyBorder="1" applyAlignment="1">
      <alignment horizontal="left" vertical="center" wrapText="1"/>
      <protection locked="0"/>
    </xf>
    <xf numFmtId="0" fontId="32" fillId="42" borderId="20" xfId="6" applyFill="1" applyBorder="1" applyAlignment="1">
      <alignment horizontal="left" vertical="center" wrapText="1"/>
      <protection locked="0"/>
    </xf>
    <xf numFmtId="0" fontId="32" fillId="42" borderId="21" xfId="6" applyFill="1" applyBorder="1" applyAlignment="1">
      <alignment horizontal="left" vertical="center" wrapText="1"/>
      <protection locked="0"/>
    </xf>
    <xf numFmtId="0" fontId="32" fillId="45" borderId="13" xfId="6" applyFill="1" applyBorder="1" applyAlignment="1">
      <alignment horizontal="center" vertical="center" wrapText="1"/>
      <protection locked="0"/>
    </xf>
    <xf numFmtId="0" fontId="32" fillId="45" borderId="22" xfId="6" applyFill="1" applyBorder="1" applyAlignment="1">
      <alignment horizontal="center" vertical="center" wrapText="1"/>
      <protection locked="0"/>
    </xf>
    <xf numFmtId="0" fontId="32" fillId="45" borderId="3" xfId="6" applyFill="1" applyBorder="1" applyAlignment="1">
      <alignment horizontal="center" vertical="center" wrapText="1"/>
      <protection locked="0"/>
    </xf>
    <xf numFmtId="0" fontId="32" fillId="45" borderId="14" xfId="6" applyFill="1" applyBorder="1" applyAlignment="1">
      <alignment horizontal="center" vertical="center" wrapText="1"/>
      <protection locked="0"/>
    </xf>
    <xf numFmtId="0" fontId="32" fillId="45" borderId="16" xfId="6" applyFill="1" applyBorder="1" applyAlignment="1">
      <alignment horizontal="center" vertical="center" wrapText="1"/>
      <protection locked="0"/>
    </xf>
    <xf numFmtId="0" fontId="32" fillId="46" borderId="13" xfId="6" applyFill="1" applyBorder="1" applyAlignment="1">
      <alignment horizontal="center" vertical="top" wrapText="1"/>
      <protection locked="0"/>
    </xf>
    <xf numFmtId="0" fontId="32" fillId="46" borderId="3" xfId="6" applyFill="1" applyBorder="1" applyAlignment="1">
      <alignment horizontal="center" vertical="top" wrapText="1"/>
      <protection locked="0"/>
    </xf>
    <xf numFmtId="0" fontId="65" fillId="0" borderId="0" xfId="0" applyFont="1" applyAlignment="1" applyProtection="1">
      <alignment horizontal="center" vertical="center"/>
      <protection locked="0"/>
    </xf>
    <xf numFmtId="0" fontId="70" fillId="0" borderId="0" xfId="0" applyFont="1" applyAlignment="1" applyProtection="1">
      <alignment horizontal="center" vertical="center" wrapText="1"/>
      <protection locked="0"/>
    </xf>
    <xf numFmtId="0" fontId="66" fillId="0" borderId="0" xfId="0" applyFont="1" applyAlignment="1" applyProtection="1">
      <alignment horizontal="center" vertical="center"/>
      <protection locked="0"/>
    </xf>
    <xf numFmtId="0" fontId="18" fillId="0" borderId="0" xfId="0" applyFont="1" applyAlignment="1" applyProtection="1">
      <alignment horizontal="center" vertical="center" wrapText="1"/>
      <protection locked="0"/>
    </xf>
    <xf numFmtId="0" fontId="18" fillId="0" borderId="0" xfId="6" applyFont="1" applyAlignment="1">
      <alignment horizontal="center" vertical="center"/>
      <protection locked="0"/>
    </xf>
    <xf numFmtId="0" fontId="17" fillId="0" borderId="0" xfId="6" applyFont="1" applyAlignment="1">
      <alignment horizontal="center" vertical="center"/>
      <protection locked="0"/>
    </xf>
    <xf numFmtId="0" fontId="10" fillId="32" borderId="6" xfId="6" applyFont="1" applyFill="1" applyBorder="1" applyAlignment="1" applyProtection="1">
      <alignment horizontal="left" vertical="center" wrapText="1"/>
    </xf>
    <xf numFmtId="0" fontId="10" fillId="32" borderId="0" xfId="6" applyFont="1" applyFill="1" applyAlignment="1" applyProtection="1">
      <alignment horizontal="left" vertical="center" wrapText="1"/>
    </xf>
    <xf numFmtId="0" fontId="12" fillId="32" borderId="0" xfId="6" applyFont="1" applyFill="1" applyAlignment="1" applyProtection="1">
      <alignment horizontal="center" vertical="center" wrapText="1"/>
    </xf>
    <xf numFmtId="0" fontId="12" fillId="32" borderId="0" xfId="6" applyFont="1" applyFill="1" applyAlignment="1" applyProtection="1">
      <alignment horizontal="center" vertical="center"/>
    </xf>
    <xf numFmtId="0" fontId="12" fillId="32" borderId="7" xfId="6" applyFont="1" applyFill="1" applyBorder="1" applyAlignment="1" applyProtection="1">
      <alignment horizontal="center" vertical="center"/>
    </xf>
    <xf numFmtId="0" fontId="10" fillId="0" borderId="6"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0" fillId="0" borderId="8" xfId="6" applyFont="1" applyBorder="1" applyAlignment="1" applyProtection="1">
      <alignment horizontal="left" vertical="center" wrapText="1"/>
    </xf>
    <xf numFmtId="0" fontId="10" fillId="0" borderId="9" xfId="6" applyFont="1" applyBorder="1" applyAlignment="1" applyProtection="1">
      <alignment horizontal="left" vertical="center" wrapText="1"/>
    </xf>
    <xf numFmtId="0" fontId="12" fillId="0" borderId="9" xfId="6" applyFont="1" applyBorder="1" applyAlignment="1" applyProtection="1">
      <alignment horizontal="center" vertical="center"/>
    </xf>
    <xf numFmtId="0" fontId="12" fillId="0" borderId="7" xfId="6" applyFont="1" applyBorder="1" applyAlignment="1" applyProtection="1">
      <alignment horizontal="center" vertical="center"/>
    </xf>
    <xf numFmtId="0" fontId="12" fillId="0" borderId="10" xfId="6" applyFont="1" applyBorder="1" applyAlignment="1" applyProtection="1">
      <alignment horizontal="center" vertical="center"/>
    </xf>
    <xf numFmtId="49" fontId="12" fillId="0" borderId="0" xfId="6" applyNumberFormat="1" applyFont="1" applyAlignment="1">
      <alignment horizontal="center" vertical="center" wrapText="1"/>
      <protection locked="0"/>
    </xf>
    <xf numFmtId="49" fontId="12" fillId="0" borderId="0" xfId="6" applyNumberFormat="1" applyFont="1" applyAlignment="1">
      <alignment horizontal="center" vertical="center"/>
      <protection locked="0"/>
    </xf>
    <xf numFmtId="0" fontId="27" fillId="31" borderId="1" xfId="0" applyFont="1" applyFill="1" applyBorder="1" applyAlignment="1">
      <alignment horizontal="center" vertical="center"/>
    </xf>
    <xf numFmtId="0" fontId="27" fillId="31" borderId="2" xfId="0" applyFont="1" applyFill="1" applyBorder="1" applyAlignment="1">
      <alignment horizontal="center" vertical="center"/>
    </xf>
    <xf numFmtId="0" fontId="27" fillId="31" borderId="4" xfId="0" applyFont="1" applyFill="1" applyBorder="1" applyAlignment="1">
      <alignment horizontal="center" vertical="center"/>
    </xf>
    <xf numFmtId="0" fontId="27" fillId="31" borderId="6" xfId="0" applyFont="1" applyFill="1" applyBorder="1" applyAlignment="1">
      <alignment horizontal="center" vertical="center"/>
    </xf>
    <xf numFmtId="0" fontId="27" fillId="31" borderId="0" xfId="0" applyFont="1" applyFill="1" applyAlignment="1">
      <alignment horizontal="center" vertical="center"/>
    </xf>
    <xf numFmtId="0" fontId="27" fillId="31" borderId="7" xfId="0" applyFont="1" applyFill="1" applyBorder="1" applyAlignment="1">
      <alignment horizontal="center" vertical="center"/>
    </xf>
    <xf numFmtId="0" fontId="18" fillId="0" borderId="59" xfId="0" applyFont="1" applyBorder="1" applyAlignment="1">
      <alignment horizontal="center" vertical="center" wrapText="1"/>
    </xf>
    <xf numFmtId="0" fontId="18" fillId="0" borderId="48"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58" xfId="0" applyFont="1" applyBorder="1" applyAlignment="1">
      <alignment horizontal="center" vertical="center" wrapText="1"/>
    </xf>
    <xf numFmtId="0" fontId="18" fillId="0" borderId="39" xfId="0" applyFont="1" applyBorder="1" applyAlignment="1">
      <alignment horizontal="center" vertical="center" wrapText="1"/>
    </xf>
    <xf numFmtId="0" fontId="18" fillId="0" borderId="40" xfId="0" applyFont="1" applyBorder="1" applyAlignment="1">
      <alignment horizontal="center" vertical="center" wrapText="1"/>
    </xf>
    <xf numFmtId="0" fontId="29" fillId="0" borderId="57" xfId="0" applyFont="1" applyBorder="1" applyAlignment="1">
      <alignment horizontal="center" vertical="center" wrapText="1"/>
    </xf>
    <xf numFmtId="0" fontId="29" fillId="0" borderId="58" xfId="0" applyFont="1" applyBorder="1" applyAlignment="1">
      <alignment horizontal="center" vertical="center" wrapText="1"/>
    </xf>
    <xf numFmtId="0" fontId="29" fillId="0" borderId="39" xfId="0" applyFont="1" applyBorder="1" applyAlignment="1">
      <alignment horizontal="center" vertical="center" wrapText="1"/>
    </xf>
    <xf numFmtId="0" fontId="32" fillId="0" borderId="0" xfId="6" applyAlignment="1" applyProtection="1">
      <alignment horizontal="center" vertical="center"/>
    </xf>
    <xf numFmtId="0" fontId="18" fillId="0" borderId="52" xfId="6" applyFont="1" applyBorder="1" applyAlignment="1" applyProtection="1">
      <alignment horizontal="center" vertical="center" wrapText="1"/>
    </xf>
    <xf numFmtId="0" fontId="18" fillId="0" borderId="57" xfId="0" applyFont="1" applyBorder="1" applyAlignment="1">
      <alignment horizontal="center" vertical="center" wrapText="1"/>
    </xf>
    <xf numFmtId="0" fontId="18" fillId="0" borderId="60" xfId="0" applyFont="1" applyBorder="1" applyAlignment="1">
      <alignment horizontal="center" vertical="center" wrapText="1"/>
    </xf>
    <xf numFmtId="0" fontId="18" fillId="0" borderId="61" xfId="0" applyFont="1" applyBorder="1" applyAlignment="1">
      <alignment horizontal="center" vertical="center" wrapText="1"/>
    </xf>
    <xf numFmtId="0" fontId="18" fillId="0" borderId="54" xfId="0" applyFont="1" applyBorder="1" applyAlignment="1">
      <alignment horizontal="center" vertical="center" wrapText="1"/>
    </xf>
    <xf numFmtId="0" fontId="18" fillId="0" borderId="57" xfId="6" applyFont="1" applyBorder="1" applyAlignment="1" applyProtection="1">
      <alignment horizontal="center" vertical="center" wrapText="1"/>
    </xf>
    <xf numFmtId="0" fontId="18" fillId="0" borderId="7" xfId="6" applyFont="1" applyBorder="1" applyAlignment="1" applyProtection="1">
      <alignment horizontal="center" vertical="center" wrapText="1"/>
    </xf>
    <xf numFmtId="0" fontId="18" fillId="0" borderId="58" xfId="6" applyFont="1" applyBorder="1" applyAlignment="1" applyProtection="1">
      <alignment horizontal="center" vertical="center" wrapText="1"/>
    </xf>
    <xf numFmtId="0" fontId="18" fillId="0" borderId="39" xfId="6" applyFont="1" applyBorder="1" applyAlignment="1" applyProtection="1">
      <alignment horizontal="center" vertical="center" wrapText="1"/>
    </xf>
    <xf numFmtId="0" fontId="18" fillId="0" borderId="40" xfId="6" applyFont="1" applyBorder="1" applyAlignment="1" applyProtection="1">
      <alignment horizontal="center" vertical="center" wrapText="1"/>
    </xf>
    <xf numFmtId="0" fontId="18" fillId="0" borderId="49" xfId="0" applyFont="1" applyBorder="1" applyAlignment="1">
      <alignment horizontal="center" vertical="center" wrapText="1"/>
    </xf>
    <xf numFmtId="0" fontId="18" fillId="0" borderId="51" xfId="0" applyFont="1" applyBorder="1" applyAlignment="1">
      <alignment horizontal="center" vertical="center" wrapText="1"/>
    </xf>
    <xf numFmtId="0" fontId="18" fillId="0" borderId="62" xfId="0" applyFont="1" applyBorder="1" applyAlignment="1">
      <alignment horizontal="center" vertical="center" wrapText="1"/>
    </xf>
    <xf numFmtId="0" fontId="18" fillId="0" borderId="56" xfId="0" applyFont="1" applyBorder="1" applyAlignment="1">
      <alignment horizontal="center" vertical="center" wrapText="1"/>
    </xf>
    <xf numFmtId="0" fontId="50" fillId="22" borderId="21" xfId="6" applyFont="1" applyFill="1" applyBorder="1" applyAlignment="1" applyProtection="1">
      <alignment horizontal="center" vertical="center" wrapText="1"/>
    </xf>
    <xf numFmtId="0" fontId="54" fillId="25" borderId="21" xfId="6" applyFont="1" applyFill="1" applyBorder="1" applyAlignment="1" applyProtection="1">
      <alignment horizontal="center" vertical="center" wrapText="1"/>
    </xf>
    <xf numFmtId="0" fontId="54" fillId="25" borderId="24" xfId="6" applyFont="1" applyFill="1" applyBorder="1" applyAlignment="1" applyProtection="1">
      <alignment horizontal="center" vertical="center" wrapText="1"/>
    </xf>
    <xf numFmtId="0" fontId="56" fillId="26" borderId="0" xfId="6" applyFont="1" applyFill="1" applyAlignment="1" applyProtection="1">
      <alignment horizontal="center" vertical="center" wrapText="1"/>
    </xf>
    <xf numFmtId="0" fontId="56" fillId="26" borderId="23" xfId="6" applyFont="1" applyFill="1" applyBorder="1" applyAlignment="1" applyProtection="1">
      <alignment horizontal="center" vertical="center" wrapText="1"/>
    </xf>
    <xf numFmtId="0" fontId="42" fillId="0" borderId="3" xfId="6" applyFont="1" applyBorder="1" applyAlignment="1" applyProtection="1">
      <alignment horizontal="center" vertical="center" textRotation="255" wrapText="1"/>
    </xf>
    <xf numFmtId="0" fontId="18" fillId="0" borderId="50" xfId="0" applyFont="1" applyBorder="1" applyAlignment="1">
      <alignment horizontal="center" vertical="center" wrapText="1"/>
    </xf>
    <xf numFmtId="0" fontId="18" fillId="0" borderId="55" xfId="0" applyFont="1" applyBorder="1" applyAlignment="1">
      <alignment horizontal="center" vertical="center" wrapText="1"/>
    </xf>
    <xf numFmtId="0" fontId="18" fillId="0" borderId="48" xfId="6" applyFont="1" applyBorder="1" applyAlignment="1" applyProtection="1">
      <alignment horizontal="center" vertical="center" wrapText="1"/>
    </xf>
    <xf numFmtId="0" fontId="40" fillId="12" borderId="12" xfId="6" applyFont="1" applyFill="1" applyBorder="1" applyAlignment="1" applyProtection="1">
      <alignment horizontal="left" vertical="center" wrapText="1"/>
    </xf>
    <xf numFmtId="0" fontId="40" fillId="12" borderId="3" xfId="6" applyFont="1" applyFill="1" applyBorder="1" applyAlignment="1" applyProtection="1">
      <alignment horizontal="left" vertical="center" wrapText="1"/>
    </xf>
    <xf numFmtId="0" fontId="32" fillId="13" borderId="17" xfId="6" applyFill="1" applyBorder="1" applyAlignment="1" applyProtection="1">
      <alignment horizontal="center" vertical="center" wrapText="1"/>
    </xf>
    <xf numFmtId="0" fontId="32" fillId="13" borderId="18" xfId="6" applyFill="1" applyBorder="1" applyAlignment="1" applyProtection="1">
      <alignment horizontal="center" vertical="center" wrapText="1"/>
    </xf>
    <xf numFmtId="0" fontId="32" fillId="13" borderId="0" xfId="6" applyFill="1" applyAlignment="1" applyProtection="1">
      <alignment horizontal="center" vertical="center" wrapText="1"/>
    </xf>
    <xf numFmtId="0" fontId="32" fillId="13" borderId="21" xfId="6" applyFill="1" applyBorder="1" applyAlignment="1" applyProtection="1">
      <alignment horizontal="center" vertical="center" wrapText="1"/>
    </xf>
    <xf numFmtId="0" fontId="32" fillId="13" borderId="23" xfId="6" applyFill="1" applyBorder="1" applyAlignment="1" applyProtection="1">
      <alignment horizontal="center" vertical="center" wrapText="1"/>
    </xf>
    <xf numFmtId="0" fontId="32" fillId="13" borderId="24" xfId="6" applyFill="1" applyBorder="1" applyAlignment="1" applyProtection="1">
      <alignment horizontal="center" vertical="center" wrapText="1"/>
    </xf>
    <xf numFmtId="0" fontId="48" fillId="0" borderId="16" xfId="6" applyFont="1" applyBorder="1" applyAlignment="1" applyProtection="1">
      <alignment horizontal="center" vertical="center" wrapText="1"/>
    </xf>
    <xf numFmtId="0" fontId="32" fillId="0" borderId="17" xfId="6" applyBorder="1" applyAlignment="1" applyProtection="1">
      <alignment horizontal="center" vertical="center" wrapText="1"/>
    </xf>
    <xf numFmtId="0" fontId="32" fillId="0" borderId="20" xfId="6" applyBorder="1" applyAlignment="1" applyProtection="1">
      <alignment horizontal="center" vertical="center" wrapText="1"/>
    </xf>
    <xf numFmtId="0" fontId="32" fillId="0" borderId="0" xfId="6" applyAlignment="1" applyProtection="1">
      <alignment horizontal="center" vertical="center" wrapText="1"/>
    </xf>
    <xf numFmtId="0" fontId="32" fillId="0" borderId="22" xfId="6" applyBorder="1" applyAlignment="1" applyProtection="1">
      <alignment horizontal="center" vertical="center" wrapText="1"/>
    </xf>
    <xf numFmtId="0" fontId="32" fillId="0" borderId="23" xfId="6" applyBorder="1" applyAlignment="1" applyProtection="1">
      <alignment horizontal="center" vertical="center" wrapText="1"/>
    </xf>
    <xf numFmtId="0" fontId="43" fillId="16" borderId="16" xfId="6" applyFont="1" applyFill="1" applyBorder="1" applyAlignment="1" applyProtection="1">
      <alignment horizontal="center" vertical="center" wrapText="1"/>
    </xf>
    <xf numFmtId="0" fontId="43" fillId="16" borderId="17" xfId="6" applyFont="1" applyFill="1" applyBorder="1" applyAlignment="1" applyProtection="1">
      <alignment horizontal="center" vertical="center" wrapText="1"/>
    </xf>
    <xf numFmtId="0" fontId="43" fillId="16" borderId="18" xfId="6" applyFont="1" applyFill="1" applyBorder="1" applyAlignment="1" applyProtection="1">
      <alignment horizontal="center" vertical="center" wrapText="1"/>
    </xf>
    <xf numFmtId="0" fontId="43" fillId="16" borderId="20" xfId="6" applyFont="1" applyFill="1" applyBorder="1" applyAlignment="1" applyProtection="1">
      <alignment horizontal="center" vertical="center" wrapText="1"/>
    </xf>
    <xf numFmtId="0" fontId="43" fillId="16" borderId="0" xfId="6" applyFont="1" applyFill="1" applyAlignment="1" applyProtection="1">
      <alignment horizontal="center" vertical="center" wrapText="1"/>
    </xf>
    <xf numFmtId="0" fontId="43" fillId="16" borderId="21" xfId="6" applyFont="1" applyFill="1" applyBorder="1" applyAlignment="1" applyProtection="1">
      <alignment horizontal="center" vertical="center" wrapText="1"/>
    </xf>
    <xf numFmtId="0" fontId="43" fillId="16" borderId="22" xfId="6" applyFont="1" applyFill="1" applyBorder="1" applyAlignment="1" applyProtection="1">
      <alignment horizontal="center" vertical="center" wrapText="1"/>
    </xf>
    <xf numFmtId="0" fontId="43" fillId="16" borderId="23" xfId="6" applyFont="1" applyFill="1" applyBorder="1" applyAlignment="1" applyProtection="1">
      <alignment horizontal="center" vertical="center" wrapText="1"/>
    </xf>
    <xf numFmtId="0" fontId="43" fillId="16" borderId="24" xfId="6" applyFont="1" applyFill="1" applyBorder="1" applyAlignment="1" applyProtection="1">
      <alignment horizontal="center" vertical="center" wrapText="1"/>
    </xf>
    <xf numFmtId="0" fontId="32" fillId="20" borderId="17" xfId="6" applyFill="1" applyBorder="1" applyAlignment="1" applyProtection="1">
      <alignment horizontal="center" vertical="center" wrapText="1"/>
    </xf>
    <xf numFmtId="0" fontId="32" fillId="20" borderId="17" xfId="6" applyFill="1" applyBorder="1" applyAlignment="1" applyProtection="1">
      <alignment horizontal="center" vertical="center"/>
    </xf>
    <xf numFmtId="0" fontId="32" fillId="20" borderId="18" xfId="6" applyFill="1" applyBorder="1" applyAlignment="1" applyProtection="1">
      <alignment horizontal="center" vertical="center"/>
    </xf>
    <xf numFmtId="0" fontId="32" fillId="20" borderId="0" xfId="6" applyFill="1" applyAlignment="1" applyProtection="1">
      <alignment horizontal="center" vertical="center"/>
    </xf>
    <xf numFmtId="0" fontId="32" fillId="20" borderId="21" xfId="6" applyFill="1" applyBorder="1" applyAlignment="1" applyProtection="1">
      <alignment horizontal="center" vertical="center"/>
    </xf>
    <xf numFmtId="0" fontId="32" fillId="20" borderId="23" xfId="6" applyFill="1" applyBorder="1" applyAlignment="1" applyProtection="1">
      <alignment horizontal="center" vertical="center"/>
    </xf>
    <xf numFmtId="0" fontId="32" fillId="20" borderId="24" xfId="6" applyFill="1" applyBorder="1" applyAlignment="1" applyProtection="1">
      <alignment horizontal="center" vertical="center"/>
    </xf>
    <xf numFmtId="0" fontId="32" fillId="21" borderId="17" xfId="6" applyFill="1" applyBorder="1" applyAlignment="1" applyProtection="1">
      <alignment horizontal="center" vertical="center" wrapText="1"/>
    </xf>
    <xf numFmtId="0" fontId="32" fillId="21" borderId="18" xfId="6" applyFill="1" applyBorder="1" applyAlignment="1" applyProtection="1">
      <alignment horizontal="center" vertical="center" wrapText="1"/>
    </xf>
    <xf numFmtId="0" fontId="32" fillId="21" borderId="0" xfId="6" applyFill="1" applyAlignment="1" applyProtection="1">
      <alignment horizontal="center" vertical="center" wrapText="1"/>
    </xf>
    <xf numFmtId="0" fontId="32" fillId="21" borderId="21" xfId="6" applyFill="1" applyBorder="1" applyAlignment="1" applyProtection="1">
      <alignment horizontal="center" vertical="center" wrapText="1"/>
    </xf>
    <xf numFmtId="0" fontId="32" fillId="21" borderId="23" xfId="6" applyFill="1" applyBorder="1" applyAlignment="1" applyProtection="1">
      <alignment horizontal="center" vertical="center" wrapText="1"/>
    </xf>
    <xf numFmtId="0" fontId="32" fillId="21" borderId="24" xfId="6" applyFill="1" applyBorder="1" applyAlignment="1" applyProtection="1">
      <alignment horizontal="center" vertical="center" wrapText="1"/>
    </xf>
    <xf numFmtId="0" fontId="51" fillId="0" borderId="0" xfId="6" applyFont="1" applyAlignment="1" applyProtection="1">
      <alignment horizontal="left" vertical="center" wrapText="1"/>
    </xf>
    <xf numFmtId="0" fontId="4" fillId="23" borderId="16" xfId="6" applyFont="1" applyFill="1" applyBorder="1" applyAlignment="1" applyProtection="1">
      <alignment horizontal="center" vertical="center"/>
    </xf>
    <xf numFmtId="0" fontId="4" fillId="23" borderId="17" xfId="6" applyFont="1" applyFill="1" applyBorder="1" applyAlignment="1" applyProtection="1">
      <alignment horizontal="center" vertical="center"/>
    </xf>
    <xf numFmtId="0" fontId="4" fillId="23" borderId="18" xfId="6" applyFont="1" applyFill="1" applyBorder="1" applyAlignment="1" applyProtection="1">
      <alignment horizontal="center" vertical="center"/>
    </xf>
    <xf numFmtId="0" fontId="4" fillId="23" borderId="20" xfId="6" applyFont="1" applyFill="1" applyBorder="1" applyAlignment="1" applyProtection="1">
      <alignment horizontal="center" vertical="center"/>
    </xf>
    <xf numFmtId="0" fontId="4" fillId="23" borderId="0" xfId="6" applyFont="1" applyFill="1" applyAlignment="1" applyProtection="1">
      <alignment horizontal="center" vertical="center"/>
    </xf>
    <xf numFmtId="0" fontId="4" fillId="23" borderId="21" xfId="6" applyFont="1" applyFill="1" applyBorder="1" applyAlignment="1" applyProtection="1">
      <alignment horizontal="center" vertical="center"/>
    </xf>
    <xf numFmtId="0" fontId="4" fillId="23" borderId="22" xfId="6" applyFont="1" applyFill="1" applyBorder="1" applyAlignment="1" applyProtection="1">
      <alignment horizontal="center" vertical="center"/>
    </xf>
    <xf numFmtId="0" fontId="4" fillId="23" borderId="23" xfId="6" applyFont="1" applyFill="1" applyBorder="1" applyAlignment="1" applyProtection="1">
      <alignment horizontal="center" vertical="center"/>
    </xf>
    <xf numFmtId="0" fontId="4" fillId="23" borderId="24" xfId="6" applyFont="1" applyFill="1" applyBorder="1" applyAlignment="1" applyProtection="1">
      <alignment horizontal="center" vertical="center"/>
    </xf>
    <xf numFmtId="0" fontId="4" fillId="14" borderId="16" xfId="6" applyFont="1" applyFill="1" applyBorder="1" applyAlignment="1" applyProtection="1">
      <alignment horizontal="center" vertical="center" wrapText="1"/>
    </xf>
    <xf numFmtId="0" fontId="4" fillId="14" borderId="17" xfId="6" applyFont="1" applyFill="1" applyBorder="1" applyAlignment="1" applyProtection="1">
      <alignment horizontal="center" vertical="center"/>
    </xf>
    <xf numFmtId="0" fontId="4" fillId="14" borderId="18" xfId="6" applyFont="1" applyFill="1" applyBorder="1" applyAlignment="1" applyProtection="1">
      <alignment horizontal="center" vertical="center"/>
    </xf>
    <xf numFmtId="0" fontId="4" fillId="14" borderId="20" xfId="6" applyFont="1" applyFill="1" applyBorder="1" applyAlignment="1" applyProtection="1">
      <alignment horizontal="center" vertical="center"/>
    </xf>
    <xf numFmtId="0" fontId="4" fillId="14" borderId="0" xfId="6" applyFont="1" applyFill="1" applyAlignment="1" applyProtection="1">
      <alignment horizontal="center" vertical="center"/>
    </xf>
    <xf numFmtId="0" fontId="4" fillId="14" borderId="21" xfId="6" applyFont="1" applyFill="1" applyBorder="1" applyAlignment="1" applyProtection="1">
      <alignment horizontal="center" vertical="center"/>
    </xf>
    <xf numFmtId="0" fontId="4" fillId="14" borderId="22" xfId="6" applyFont="1" applyFill="1" applyBorder="1" applyAlignment="1" applyProtection="1">
      <alignment horizontal="center" vertical="center"/>
    </xf>
    <xf numFmtId="0" fontId="4" fillId="14" borderId="23" xfId="6" applyFont="1" applyFill="1" applyBorder="1" applyAlignment="1" applyProtection="1">
      <alignment horizontal="center" vertical="center"/>
    </xf>
    <xf numFmtId="0" fontId="4" fillId="14" borderId="24" xfId="6" applyFont="1" applyFill="1" applyBorder="1" applyAlignment="1" applyProtection="1">
      <alignment horizontal="center" vertical="center"/>
    </xf>
    <xf numFmtId="0" fontId="32" fillId="28" borderId="3" xfId="6" applyFill="1" applyBorder="1" applyAlignment="1" applyProtection="1">
      <alignment horizontal="left" vertical="center" wrapText="1"/>
    </xf>
    <xf numFmtId="49" fontId="61" fillId="0" borderId="41" xfId="6" applyNumberFormat="1" applyFont="1" applyBorder="1" applyAlignment="1" applyProtection="1">
      <alignment horizontal="center" vertical="center" wrapText="1"/>
    </xf>
    <xf numFmtId="49" fontId="61" fillId="0" borderId="17" xfId="6" applyNumberFormat="1" applyFont="1" applyBorder="1" applyAlignment="1" applyProtection="1">
      <alignment horizontal="center" vertical="center" wrapText="1"/>
    </xf>
    <xf numFmtId="49" fontId="61" fillId="0" borderId="42" xfId="6" applyNumberFormat="1" applyFont="1" applyBorder="1" applyAlignment="1" applyProtection="1">
      <alignment horizontal="center" vertical="center" wrapText="1"/>
    </xf>
    <xf numFmtId="49" fontId="61" fillId="0" borderId="6" xfId="6" applyNumberFormat="1" applyFont="1" applyBorder="1" applyAlignment="1" applyProtection="1">
      <alignment horizontal="center" vertical="center" wrapText="1"/>
    </xf>
    <xf numFmtId="49" fontId="61" fillId="0" borderId="0" xfId="6" applyNumberFormat="1" applyFont="1" applyAlignment="1" applyProtection="1">
      <alignment horizontal="center" vertical="center" wrapText="1"/>
    </xf>
    <xf numFmtId="49" fontId="61" fillId="0" borderId="7" xfId="6" applyNumberFormat="1" applyFont="1" applyBorder="1" applyAlignment="1" applyProtection="1">
      <alignment horizontal="center" vertical="center" wrapText="1"/>
    </xf>
    <xf numFmtId="49" fontId="61" fillId="0" borderId="44" xfId="6" applyNumberFormat="1" applyFont="1" applyBorder="1" applyAlignment="1" applyProtection="1">
      <alignment horizontal="center" vertical="center" wrapText="1"/>
    </xf>
    <xf numFmtId="49" fontId="61" fillId="0" borderId="23" xfId="6" applyNumberFormat="1" applyFont="1" applyBorder="1" applyAlignment="1" applyProtection="1">
      <alignment horizontal="center" vertical="center" wrapText="1"/>
    </xf>
    <xf numFmtId="49" fontId="61" fillId="0" borderId="43" xfId="6" applyNumberFormat="1" applyFont="1" applyBorder="1" applyAlignment="1" applyProtection="1">
      <alignment horizontal="center" vertical="center" wrapText="1"/>
    </xf>
    <xf numFmtId="0" fontId="32" fillId="30" borderId="3" xfId="6" applyFill="1" applyBorder="1" applyAlignment="1" applyProtection="1">
      <alignment horizontal="left" vertical="center" wrapText="1"/>
    </xf>
    <xf numFmtId="49" fontId="61" fillId="0" borderId="17" xfId="6" applyNumberFormat="1" applyFont="1" applyBorder="1" applyAlignment="1" applyProtection="1">
      <alignment horizontal="center" vertical="center"/>
    </xf>
    <xf numFmtId="49" fontId="61" fillId="0" borderId="42" xfId="6" applyNumberFormat="1" applyFont="1" applyBorder="1" applyAlignment="1" applyProtection="1">
      <alignment horizontal="center" vertical="center"/>
    </xf>
    <xf numFmtId="49" fontId="61" fillId="0" borderId="6" xfId="6" applyNumberFormat="1" applyFont="1" applyBorder="1" applyAlignment="1" applyProtection="1">
      <alignment horizontal="center" vertical="center"/>
    </xf>
    <xf numFmtId="49" fontId="61" fillId="0" borderId="0" xfId="6" applyNumberFormat="1" applyFont="1" applyAlignment="1" applyProtection="1">
      <alignment horizontal="center" vertical="center"/>
    </xf>
    <xf numFmtId="49" fontId="61" fillId="0" borderId="7" xfId="6" applyNumberFormat="1" applyFont="1" applyBorder="1" applyAlignment="1" applyProtection="1">
      <alignment horizontal="center" vertical="center"/>
    </xf>
    <xf numFmtId="49" fontId="64" fillId="0" borderId="6" xfId="6" applyNumberFormat="1" applyFont="1" applyBorder="1" applyAlignment="1" applyProtection="1">
      <alignment horizontal="center" vertical="center" wrapText="1"/>
    </xf>
    <xf numFmtId="49" fontId="64" fillId="0" borderId="0" xfId="6" applyNumberFormat="1" applyFont="1" applyAlignment="1" applyProtection="1">
      <alignment horizontal="center" vertical="center" wrapText="1"/>
    </xf>
    <xf numFmtId="49" fontId="64" fillId="0" borderId="7" xfId="6" applyNumberFormat="1" applyFont="1" applyBorder="1" applyAlignment="1" applyProtection="1">
      <alignment horizontal="center" vertical="center" wrapText="1"/>
    </xf>
    <xf numFmtId="49" fontId="64" fillId="0" borderId="41" xfId="6" applyNumberFormat="1" applyFont="1" applyBorder="1" applyAlignment="1" applyProtection="1">
      <alignment horizontal="center" vertical="center" wrapText="1"/>
    </xf>
    <xf numFmtId="49" fontId="64" fillId="0" borderId="17" xfId="6" applyNumberFormat="1" applyFont="1" applyBorder="1" applyAlignment="1" applyProtection="1">
      <alignment horizontal="center" vertical="center" wrapText="1"/>
    </xf>
    <xf numFmtId="49" fontId="64" fillId="0" borderId="42" xfId="6" applyNumberFormat="1" applyFont="1" applyBorder="1" applyAlignment="1" applyProtection="1">
      <alignment horizontal="center" vertical="center" wrapText="1"/>
    </xf>
    <xf numFmtId="49" fontId="64" fillId="0" borderId="44" xfId="6" applyNumberFormat="1" applyFont="1" applyBorder="1" applyAlignment="1" applyProtection="1">
      <alignment horizontal="center" vertical="center" wrapText="1"/>
    </xf>
    <xf numFmtId="49" fontId="64" fillId="0" borderId="23" xfId="6" applyNumberFormat="1" applyFont="1" applyBorder="1" applyAlignment="1" applyProtection="1">
      <alignment horizontal="center" vertical="center" wrapText="1"/>
    </xf>
    <xf numFmtId="49" fontId="64" fillId="0" borderId="43" xfId="6" applyNumberFormat="1" applyFont="1" applyBorder="1" applyAlignment="1" applyProtection="1">
      <alignment horizontal="center" vertical="center" wrapText="1"/>
    </xf>
    <xf numFmtId="49" fontId="64" fillId="0" borderId="0" xfId="6" applyNumberFormat="1" applyFont="1" applyAlignment="1" applyProtection="1">
      <alignment horizontal="center" vertical="center"/>
    </xf>
    <xf numFmtId="49" fontId="64" fillId="0" borderId="7" xfId="6" applyNumberFormat="1" applyFont="1" applyBorder="1" applyAlignment="1" applyProtection="1">
      <alignment horizontal="center" vertical="center"/>
    </xf>
    <xf numFmtId="49" fontId="64" fillId="0" borderId="44" xfId="6" applyNumberFormat="1" applyFont="1" applyBorder="1" applyAlignment="1" applyProtection="1">
      <alignment horizontal="center" vertical="center"/>
    </xf>
    <xf numFmtId="49" fontId="64" fillId="0" borderId="23" xfId="6" applyNumberFormat="1" applyFont="1" applyBorder="1" applyAlignment="1" applyProtection="1">
      <alignment horizontal="center" vertical="center"/>
    </xf>
    <xf numFmtId="49" fontId="64" fillId="0" borderId="43" xfId="6" applyNumberFormat="1" applyFont="1" applyBorder="1" applyAlignment="1" applyProtection="1">
      <alignment horizontal="center" vertical="center"/>
    </xf>
    <xf numFmtId="49" fontId="64" fillId="0" borderId="8" xfId="6" applyNumberFormat="1" applyFont="1" applyBorder="1" applyAlignment="1" applyProtection="1">
      <alignment horizontal="center" vertical="center"/>
    </xf>
    <xf numFmtId="49" fontId="64" fillId="0" borderId="9" xfId="6" applyNumberFormat="1" applyFont="1" applyBorder="1" applyAlignment="1" applyProtection="1">
      <alignment horizontal="center" vertical="center"/>
    </xf>
    <xf numFmtId="49" fontId="64" fillId="0" borderId="10" xfId="6" applyNumberFormat="1" applyFont="1" applyBorder="1" applyAlignment="1" applyProtection="1">
      <alignment horizontal="center" vertical="center"/>
    </xf>
    <xf numFmtId="0" fontId="61" fillId="0" borderId="0" xfId="0" applyFont="1" applyAlignment="1" applyProtection="1">
      <alignment horizontal="center" vertical="center"/>
      <protection locked="0"/>
    </xf>
    <xf numFmtId="49" fontId="17" fillId="0" borderId="0" xfId="6" applyNumberFormat="1" applyFont="1" applyAlignment="1">
      <alignment horizontal="center" vertical="center"/>
      <protection locked="0"/>
    </xf>
    <xf numFmtId="49" fontId="67" fillId="0" borderId="0" xfId="6" applyNumberFormat="1" applyFont="1" applyAlignment="1">
      <alignment horizontal="center" vertical="center"/>
      <protection locked="0"/>
    </xf>
    <xf numFmtId="49" fontId="17" fillId="0" borderId="0" xfId="6" applyNumberFormat="1" applyFont="1" applyAlignment="1">
      <alignment horizontal="center" vertical="center" wrapText="1"/>
      <protection locked="0"/>
    </xf>
    <xf numFmtId="0" fontId="67" fillId="0" borderId="0" xfId="6" applyFont="1" applyAlignment="1">
      <alignment horizontal="center" vertical="center"/>
      <protection locked="0"/>
    </xf>
    <xf numFmtId="0" fontId="17" fillId="0" borderId="0" xfId="6" applyFont="1" applyAlignment="1">
      <alignment horizontal="center" vertical="center" wrapText="1"/>
      <protection locked="0"/>
    </xf>
    <xf numFmtId="0" fontId="20" fillId="0" borderId="0" xfId="6" applyFont="1" applyAlignment="1">
      <alignment horizontal="center" vertical="center" wrapText="1"/>
      <protection locked="0"/>
    </xf>
    <xf numFmtId="0" fontId="68" fillId="0" borderId="0" xfId="6" applyFont="1" applyAlignment="1">
      <alignment horizontal="center" vertical="center" wrapText="1"/>
      <protection locked="0"/>
    </xf>
    <xf numFmtId="0" fontId="64" fillId="0" borderId="0" xfId="6" applyFont="1" applyAlignment="1">
      <alignment horizontal="center" vertical="center"/>
      <protection locked="0"/>
    </xf>
    <xf numFmtId="0" fontId="69" fillId="0" borderId="0" xfId="6" applyFont="1" applyAlignment="1">
      <alignment horizontal="center" vertical="center"/>
      <protection locked="0"/>
    </xf>
    <xf numFmtId="0" fontId="64" fillId="0" borderId="38" xfId="0" applyFont="1" applyBorder="1" applyAlignment="1">
      <alignment horizontal="center" vertical="center" wrapText="1"/>
    </xf>
    <xf numFmtId="0" fontId="64" fillId="0" borderId="39" xfId="0" applyFont="1" applyBorder="1" applyAlignment="1">
      <alignment horizontal="center" vertical="center" wrapText="1"/>
    </xf>
    <xf numFmtId="0" fontId="64" fillId="0" borderId="51" xfId="0" applyFont="1" applyBorder="1" applyAlignment="1">
      <alignment horizontal="center" vertical="center" wrapText="1"/>
    </xf>
    <xf numFmtId="0" fontId="18" fillId="32" borderId="6" xfId="6" applyFont="1" applyFill="1" applyBorder="1" applyAlignment="1" applyProtection="1">
      <alignment horizontal="center" vertical="center"/>
    </xf>
    <xf numFmtId="0" fontId="18" fillId="32" borderId="0" xfId="6" applyFont="1" applyFill="1" applyAlignment="1" applyProtection="1">
      <alignment horizontal="center" vertical="center"/>
    </xf>
    <xf numFmtId="0" fontId="18" fillId="32" borderId="7" xfId="6" applyFont="1" applyFill="1" applyBorder="1" applyAlignment="1" applyProtection="1">
      <alignment horizontal="center" vertical="center"/>
    </xf>
    <xf numFmtId="0" fontId="29" fillId="0" borderId="40"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38" xfId="0" applyFont="1" applyBorder="1" applyAlignment="1">
      <alignment horizontal="center" vertical="center" wrapText="1"/>
    </xf>
    <xf numFmtId="0" fontId="29" fillId="0" borderId="52" xfId="0" applyFont="1" applyBorder="1" applyAlignment="1">
      <alignment horizontal="left" vertical="center" wrapText="1"/>
    </xf>
    <xf numFmtId="0" fontId="29" fillId="0" borderId="38" xfId="0" applyFont="1" applyBorder="1" applyAlignment="1">
      <alignment horizontal="left" vertical="center" wrapText="1"/>
    </xf>
    <xf numFmtId="0" fontId="29" fillId="0" borderId="51" xfId="0" applyFont="1" applyBorder="1" applyAlignment="1">
      <alignment horizontal="left" vertical="center" wrapText="1"/>
    </xf>
    <xf numFmtId="0" fontId="29" fillId="0" borderId="57" xfId="0" applyFont="1" applyBorder="1" applyAlignment="1">
      <alignment horizontal="left" vertical="center" wrapText="1"/>
    </xf>
    <xf numFmtId="0" fontId="29" fillId="0" borderId="7" xfId="0" applyFont="1" applyBorder="1" applyAlignment="1">
      <alignment horizontal="left" vertical="center" wrapText="1"/>
    </xf>
    <xf numFmtId="0" fontId="29" fillId="0" borderId="58" xfId="0" applyFont="1" applyBorder="1" applyAlignment="1">
      <alignment horizontal="left" vertical="center" wrapText="1"/>
    </xf>
    <xf numFmtId="0" fontId="29" fillId="0" borderId="39" xfId="0" applyFont="1" applyBorder="1" applyAlignment="1">
      <alignment horizontal="left" vertical="center" wrapText="1"/>
    </xf>
    <xf numFmtId="0" fontId="29" fillId="0" borderId="40" xfId="0" applyFont="1" applyBorder="1" applyAlignment="1">
      <alignment horizontal="left" vertical="center" wrapText="1"/>
    </xf>
    <xf numFmtId="0" fontId="18" fillId="0" borderId="52" xfId="0" applyFont="1" applyBorder="1" applyAlignment="1">
      <alignment horizontal="center" vertical="center" wrapText="1"/>
    </xf>
    <xf numFmtId="0" fontId="61" fillId="0" borderId="46" xfId="6" applyFont="1" applyBorder="1" applyAlignment="1" applyProtection="1">
      <alignment horizontal="center" vertical="center"/>
    </xf>
    <xf numFmtId="0" fontId="12" fillId="0" borderId="15" xfId="6" applyFont="1" applyBorder="1" applyAlignment="1" applyProtection="1">
      <alignment horizontal="center" vertical="center"/>
    </xf>
    <xf numFmtId="0" fontId="12" fillId="0" borderId="47" xfId="6" applyFont="1" applyBorder="1" applyAlignment="1" applyProtection="1">
      <alignment horizontal="center" vertical="center"/>
    </xf>
    <xf numFmtId="0" fontId="64" fillId="0" borderId="8" xfId="6" applyFont="1" applyBorder="1" applyAlignment="1" applyProtection="1">
      <alignment horizontal="center" vertical="center"/>
    </xf>
    <xf numFmtId="0" fontId="17" fillId="0" borderId="10" xfId="6" applyFont="1" applyBorder="1" applyAlignment="1" applyProtection="1">
      <alignment horizontal="center" vertical="center"/>
    </xf>
    <xf numFmtId="0" fontId="18" fillId="0" borderId="53" xfId="0" applyFont="1" applyBorder="1" applyAlignment="1">
      <alignment horizontal="center" vertical="center" wrapText="1"/>
    </xf>
    <xf numFmtId="0" fontId="65" fillId="10" borderId="1" xfId="0" applyFont="1" applyFill="1" applyBorder="1" applyAlignment="1">
      <alignment horizontal="center" vertical="center"/>
    </xf>
    <xf numFmtId="0" fontId="65" fillId="10" borderId="2" xfId="0" applyFont="1" applyFill="1" applyBorder="1" applyAlignment="1">
      <alignment horizontal="center" vertical="center"/>
    </xf>
    <xf numFmtId="0" fontId="65" fillId="10" borderId="4" xfId="0" applyFont="1" applyFill="1" applyBorder="1" applyAlignment="1">
      <alignment horizontal="center" vertical="center"/>
    </xf>
    <xf numFmtId="0" fontId="65" fillId="10" borderId="6" xfId="0" applyFont="1" applyFill="1" applyBorder="1" applyAlignment="1">
      <alignment horizontal="center" vertical="center"/>
    </xf>
    <xf numFmtId="0" fontId="65" fillId="10" borderId="0" xfId="0" applyFont="1" applyFill="1" applyAlignment="1">
      <alignment horizontal="center" vertical="center"/>
    </xf>
    <xf numFmtId="0" fontId="65" fillId="10" borderId="7" xfId="0" applyFont="1" applyFill="1" applyBorder="1" applyAlignment="1">
      <alignment horizontal="center" vertical="center"/>
    </xf>
    <xf numFmtId="0" fontId="20" fillId="0" borderId="6" xfId="0" applyFont="1" applyBorder="1" applyAlignment="1">
      <alignment horizontal="center" vertical="center" wrapText="1"/>
    </xf>
    <xf numFmtId="0" fontId="20" fillId="0" borderId="0" xfId="0" applyFont="1" applyAlignment="1">
      <alignment horizontal="center" vertical="center" wrapText="1"/>
    </xf>
    <xf numFmtId="0" fontId="20" fillId="0" borderId="52" xfId="0" applyFont="1" applyBorder="1" applyAlignment="1">
      <alignment horizontal="center" vertical="center" wrapText="1"/>
    </xf>
    <xf numFmtId="0" fontId="20" fillId="0" borderId="7"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56" xfId="0" applyFont="1" applyBorder="1" applyAlignment="1">
      <alignment horizontal="center" vertical="center" wrapText="1"/>
    </xf>
    <xf numFmtId="0" fontId="20" fillId="0" borderId="10" xfId="0" applyFont="1" applyBorder="1" applyAlignment="1">
      <alignment horizontal="center" vertical="center" wrapText="1"/>
    </xf>
    <xf numFmtId="0" fontId="6" fillId="9" borderId="1" xfId="0" applyFont="1" applyFill="1" applyBorder="1" applyAlignment="1">
      <alignment horizontal="center" vertical="center" wrapText="1"/>
    </xf>
    <xf numFmtId="0" fontId="6" fillId="9" borderId="2"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38" xfId="0" applyFont="1" applyFill="1" applyBorder="1" applyAlignment="1">
      <alignment horizontal="center" vertical="center" wrapText="1"/>
    </xf>
    <xf numFmtId="0" fontId="6" fillId="9" borderId="39" xfId="0" applyFont="1" applyFill="1" applyBorder="1" applyAlignment="1">
      <alignment horizontal="center" vertical="center" wrapText="1"/>
    </xf>
    <xf numFmtId="0" fontId="6" fillId="9" borderId="40" xfId="0" applyFont="1" applyFill="1" applyBorder="1" applyAlignment="1">
      <alignment horizontal="center" vertical="center" wrapText="1"/>
    </xf>
    <xf numFmtId="0" fontId="29" fillId="0" borderId="38" xfId="0" applyFont="1" applyBorder="1" applyAlignment="1">
      <alignment horizontal="center" vertical="center"/>
    </xf>
    <xf numFmtId="0" fontId="65" fillId="10" borderId="39" xfId="0" applyFont="1" applyFill="1" applyBorder="1" applyAlignment="1">
      <alignment horizontal="center" vertical="center"/>
    </xf>
    <xf numFmtId="0" fontId="65" fillId="10" borderId="40" xfId="0" applyFont="1" applyFill="1" applyBorder="1" applyAlignment="1">
      <alignment horizontal="center" vertical="center"/>
    </xf>
    <xf numFmtId="49" fontId="34" fillId="3" borderId="0" xfId="0" applyNumberFormat="1" applyFont="1" applyFill="1" applyAlignment="1">
      <alignment horizontal="center" vertical="center"/>
    </xf>
    <xf numFmtId="49" fontId="36" fillId="11" borderId="0" xfId="0" applyNumberFormat="1" applyFont="1" applyFill="1" applyAlignment="1">
      <alignment horizontal="center" vertical="center"/>
    </xf>
    <xf numFmtId="0" fontId="57" fillId="11" borderId="1" xfId="6" applyFont="1" applyFill="1" applyBorder="1" applyAlignment="1" applyProtection="1">
      <alignment horizontal="center" vertical="center"/>
    </xf>
    <xf numFmtId="0" fontId="57" fillId="11" borderId="2" xfId="6" applyFont="1" applyFill="1" applyBorder="1" applyAlignment="1" applyProtection="1">
      <alignment horizontal="center" vertical="center"/>
    </xf>
    <xf numFmtId="0" fontId="57" fillId="11" borderId="4" xfId="6" applyFont="1" applyFill="1" applyBorder="1" applyAlignment="1" applyProtection="1">
      <alignment horizontal="center" vertical="center"/>
    </xf>
    <xf numFmtId="0" fontId="4" fillId="0" borderId="0" xfId="6" applyFont="1" applyAlignment="1" applyProtection="1">
      <alignment horizontal="center" vertical="center"/>
    </xf>
    <xf numFmtId="49" fontId="63" fillId="0" borderId="6" xfId="6" applyNumberFormat="1" applyFont="1" applyBorder="1" applyAlignment="1" applyProtection="1">
      <alignment horizontal="center" vertical="center"/>
    </xf>
    <xf numFmtId="49" fontId="63" fillId="0" borderId="0" xfId="6" applyNumberFormat="1" applyFont="1" applyAlignment="1" applyProtection="1">
      <alignment horizontal="center" vertical="center"/>
    </xf>
    <xf numFmtId="49" fontId="63" fillId="0" borderId="7" xfId="6" applyNumberFormat="1" applyFont="1" applyBorder="1" applyAlignment="1" applyProtection="1">
      <alignment horizontal="center" vertical="center"/>
    </xf>
    <xf numFmtId="0" fontId="59" fillId="29" borderId="1" xfId="6" applyFont="1" applyFill="1" applyBorder="1" applyAlignment="1" applyProtection="1">
      <alignment horizontal="center" vertical="center"/>
    </xf>
    <xf numFmtId="0" fontId="59" fillId="29" borderId="2" xfId="6" applyFont="1" applyFill="1" applyBorder="1" applyAlignment="1" applyProtection="1">
      <alignment horizontal="center" vertical="center"/>
    </xf>
    <xf numFmtId="0" fontId="59" fillId="29" borderId="4" xfId="6" applyFont="1" applyFill="1" applyBorder="1" applyAlignment="1" applyProtection="1">
      <alignment horizontal="center" vertical="center"/>
    </xf>
    <xf numFmtId="0" fontId="46" fillId="14" borderId="0" xfId="0" applyFont="1" applyFill="1" applyAlignment="1">
      <alignment horizontal="center" vertical="center"/>
    </xf>
    <xf numFmtId="0" fontId="46" fillId="14" borderId="7" xfId="0" applyFont="1" applyFill="1" applyBorder="1" applyAlignment="1">
      <alignment horizontal="center" vertical="center"/>
    </xf>
    <xf numFmtId="0" fontId="39" fillId="0" borderId="12" xfId="6" applyFont="1" applyBorder="1" applyAlignment="1" applyProtection="1">
      <alignment horizontal="center" vertical="center" wrapText="1"/>
    </xf>
    <xf numFmtId="0" fontId="47" fillId="14" borderId="12" xfId="6" applyFont="1" applyFill="1" applyBorder="1" applyAlignment="1" applyProtection="1">
      <alignment horizontal="center" vertical="center" wrapText="1"/>
    </xf>
    <xf numFmtId="0" fontId="47" fillId="19" borderId="12" xfId="6" applyFont="1" applyFill="1" applyBorder="1" applyAlignment="1" applyProtection="1">
      <alignment horizontal="center" vertical="center" wrapText="1"/>
    </xf>
    <xf numFmtId="0" fontId="47" fillId="24" borderId="18" xfId="6" applyFont="1" applyFill="1" applyBorder="1" applyAlignment="1" applyProtection="1">
      <alignment horizontal="center" vertical="center" wrapText="1"/>
    </xf>
    <xf numFmtId="0" fontId="54" fillId="10" borderId="18" xfId="6" applyFont="1" applyFill="1" applyBorder="1" applyAlignment="1" applyProtection="1">
      <alignment horizontal="center" vertical="center" wrapText="1"/>
    </xf>
    <xf numFmtId="0" fontId="47" fillId="27" borderId="18" xfId="6" applyFont="1" applyFill="1" applyBorder="1" applyAlignment="1" applyProtection="1">
      <alignment horizontal="center" vertical="center" wrapText="1"/>
    </xf>
    <xf numFmtId="0" fontId="50" fillId="0" borderId="12" xfId="6" applyFont="1" applyBorder="1" applyAlignment="1" applyProtection="1">
      <alignment horizontal="center" vertical="center" wrapText="1"/>
    </xf>
    <xf numFmtId="0" fontId="32" fillId="0" borderId="12" xfId="6" applyBorder="1" applyAlignment="1" applyProtection="1">
      <alignment horizontal="center" vertical="center" wrapText="1"/>
    </xf>
    <xf numFmtId="0" fontId="41" fillId="0" borderId="12" xfId="6" applyFont="1" applyBorder="1" applyAlignment="1" applyProtection="1">
      <alignment horizontal="center" vertical="center" wrapText="1"/>
    </xf>
    <xf numFmtId="0" fontId="45" fillId="12" borderId="12" xfId="6" applyFont="1" applyFill="1" applyBorder="1" applyAlignment="1" applyProtection="1">
      <alignment horizontal="center" vertical="center" wrapText="1"/>
    </xf>
    <xf numFmtId="0" fontId="45" fillId="14" borderId="21" xfId="6" applyFont="1" applyFill="1" applyBorder="1" applyAlignment="1" applyProtection="1">
      <alignment horizontal="center" vertical="center" wrapText="1"/>
    </xf>
    <xf numFmtId="0" fontId="49" fillId="15" borderId="12" xfId="6" applyFont="1" applyFill="1" applyBorder="1" applyAlignment="1" applyProtection="1">
      <alignment horizontal="center" vertical="center" wrapText="1"/>
    </xf>
    <xf numFmtId="0" fontId="50" fillId="17" borderId="18" xfId="6" applyFont="1" applyFill="1" applyBorder="1" applyAlignment="1" applyProtection="1">
      <alignment horizontal="center" vertical="center" wrapText="1"/>
    </xf>
    <xf numFmtId="0" fontId="50" fillId="17" borderId="21" xfId="6" applyFont="1" applyFill="1" applyBorder="1" applyAlignment="1" applyProtection="1">
      <alignment horizontal="center" vertical="center" wrapText="1"/>
    </xf>
    <xf numFmtId="0" fontId="5" fillId="0" borderId="32" xfId="0" applyFont="1" applyBorder="1" applyAlignment="1">
      <alignment horizontal="left" vertical="center" wrapText="1"/>
    </xf>
    <xf numFmtId="0" fontId="5" fillId="0" borderId="33" xfId="0" applyFont="1" applyBorder="1" applyAlignment="1">
      <alignment horizontal="left" vertical="center" wrapText="1"/>
    </xf>
    <xf numFmtId="0" fontId="5" fillId="0" borderId="34" xfId="0" applyFont="1" applyBorder="1" applyAlignment="1">
      <alignment horizontal="left" vertical="center" wrapText="1"/>
    </xf>
    <xf numFmtId="0" fontId="26" fillId="0" borderId="32" xfId="0" applyFont="1" applyBorder="1" applyAlignment="1">
      <alignment horizontal="center" vertical="center" wrapText="1"/>
    </xf>
    <xf numFmtId="0" fontId="26" fillId="0" borderId="35" xfId="0" applyFont="1" applyBorder="1" applyAlignment="1">
      <alignment horizontal="center" vertical="center" wrapText="1"/>
    </xf>
    <xf numFmtId="0" fontId="26" fillId="0" borderId="33" xfId="0" applyFont="1" applyBorder="1" applyAlignment="1">
      <alignment horizontal="center" vertical="center" wrapText="1"/>
    </xf>
    <xf numFmtId="0" fontId="5" fillId="0" borderId="33" xfId="0" applyFont="1" applyBorder="1" applyAlignment="1">
      <alignment horizontal="center" vertical="center" wrapText="1"/>
    </xf>
    <xf numFmtId="0" fontId="26" fillId="0" borderId="36" xfId="0" applyFont="1" applyBorder="1" applyAlignment="1">
      <alignment horizontal="center" vertical="center" wrapText="1"/>
    </xf>
    <xf numFmtId="0" fontId="5" fillId="0" borderId="34" xfId="0" applyFont="1" applyBorder="1" applyAlignment="1">
      <alignment horizontal="center" vertical="center" wrapText="1"/>
    </xf>
    <xf numFmtId="0" fontId="5" fillId="0" borderId="36" xfId="0" applyFont="1" applyBorder="1" applyAlignment="1">
      <alignment horizontal="left" vertical="center" wrapText="1"/>
    </xf>
    <xf numFmtId="0" fontId="5" fillId="0" borderId="6"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10" borderId="1" xfId="0" applyFont="1" applyFill="1" applyBorder="1" applyAlignment="1">
      <alignment horizontal="center" vertical="center" wrapText="1"/>
    </xf>
    <xf numFmtId="0" fontId="5" fillId="10" borderId="6" xfId="0" applyFont="1" applyFill="1" applyBorder="1" applyAlignment="1">
      <alignment horizontal="center" vertical="center" wrapText="1"/>
    </xf>
    <xf numFmtId="0" fontId="5" fillId="10" borderId="8"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7" fillId="10" borderId="2"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27" fillId="10" borderId="6" xfId="0" applyFont="1" applyFill="1" applyBorder="1" applyAlignment="1">
      <alignment horizontal="center" vertical="center" wrapText="1"/>
    </xf>
    <xf numFmtId="0" fontId="27" fillId="10" borderId="0" xfId="0" applyFont="1" applyFill="1" applyAlignment="1">
      <alignment horizontal="center" vertical="center" wrapText="1"/>
    </xf>
    <xf numFmtId="0" fontId="27" fillId="10" borderId="7" xfId="0" applyFont="1" applyFill="1" applyBorder="1" applyAlignment="1">
      <alignment horizontal="center" vertical="center" wrapText="1"/>
    </xf>
    <xf numFmtId="0" fontId="27" fillId="10" borderId="8" xfId="0" applyFont="1" applyFill="1" applyBorder="1" applyAlignment="1">
      <alignment horizontal="center" vertical="center" wrapText="1"/>
    </xf>
    <xf numFmtId="0" fontId="27" fillId="10" borderId="9" xfId="0" applyFont="1" applyFill="1" applyBorder="1" applyAlignment="1">
      <alignment horizontal="center" vertical="center" wrapText="1"/>
    </xf>
    <xf numFmtId="0" fontId="27" fillId="10" borderId="10"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28" fillId="10" borderId="4" xfId="0" applyFont="1" applyFill="1" applyBorder="1" applyAlignment="1">
      <alignment horizontal="center" vertical="center" wrapText="1"/>
    </xf>
    <xf numFmtId="0" fontId="28" fillId="10" borderId="6" xfId="0" applyFont="1" applyFill="1" applyBorder="1" applyAlignment="1">
      <alignment horizontal="center" vertical="center" wrapText="1"/>
    </xf>
    <xf numFmtId="0" fontId="28" fillId="10" borderId="7" xfId="0" applyFont="1" applyFill="1" applyBorder="1" applyAlignment="1">
      <alignment horizontal="center" vertical="center" wrapText="1"/>
    </xf>
    <xf numFmtId="0" fontId="29" fillId="0" borderId="29" xfId="0" applyFont="1" applyBorder="1" applyAlignment="1">
      <alignment horizontal="center" vertical="center" wrapText="1"/>
    </xf>
    <xf numFmtId="0" fontId="29" fillId="0" borderId="30" xfId="0" applyFont="1" applyBorder="1" applyAlignment="1">
      <alignment horizontal="center" vertical="center" wrapText="1"/>
    </xf>
    <xf numFmtId="0" fontId="29" fillId="0" borderId="31" xfId="0" applyFont="1" applyBorder="1" applyAlignment="1">
      <alignment horizontal="center" vertical="center" wrapText="1"/>
    </xf>
    <xf numFmtId="0" fontId="5" fillId="0" borderId="37" xfId="0" applyFont="1" applyBorder="1" applyAlignment="1">
      <alignment horizontal="left" vertical="center" wrapText="1"/>
    </xf>
    <xf numFmtId="0" fontId="28" fillId="10" borderId="8" xfId="0" applyFont="1" applyFill="1" applyBorder="1" applyAlignment="1">
      <alignment horizontal="center" vertical="center" wrapText="1"/>
    </xf>
    <xf numFmtId="0" fontId="9" fillId="6" borderId="1" xfId="0" applyFont="1" applyFill="1" applyBorder="1" applyAlignment="1">
      <alignment horizontal="center" vertical="center"/>
    </xf>
    <xf numFmtId="0" fontId="9" fillId="6" borderId="4" xfId="0" applyFont="1" applyFill="1" applyBorder="1" applyAlignment="1">
      <alignment horizontal="center" vertical="center"/>
    </xf>
    <xf numFmtId="0" fontId="9" fillId="7" borderId="25" xfId="0" applyFont="1" applyFill="1" applyBorder="1" applyAlignment="1">
      <alignment horizontal="center" vertical="center"/>
    </xf>
    <xf numFmtId="0" fontId="9" fillId="7" borderId="26" xfId="0" applyFont="1" applyFill="1" applyBorder="1" applyAlignment="1">
      <alignment horizontal="center" vertical="center"/>
    </xf>
    <xf numFmtId="0" fontId="9" fillId="7" borderId="1" xfId="0" applyFont="1" applyFill="1" applyBorder="1" applyAlignment="1" applyProtection="1">
      <alignment horizontal="center" vertical="center"/>
      <protection hidden="1"/>
    </xf>
    <xf numFmtId="0" fontId="9" fillId="7" borderId="4" xfId="0" applyFont="1" applyFill="1" applyBorder="1" applyAlignment="1" applyProtection="1">
      <alignment horizontal="center" vertical="center"/>
      <protection hidden="1"/>
    </xf>
    <xf numFmtId="0" fontId="5" fillId="0" borderId="7" xfId="0" applyFont="1" applyBorder="1" applyAlignment="1" applyProtection="1">
      <alignment horizontal="left" vertical="center" wrapText="1"/>
      <protection hidden="1"/>
    </xf>
    <xf numFmtId="0" fontId="5" fillId="0" borderId="10" xfId="0" applyFont="1" applyBorder="1" applyAlignment="1" applyProtection="1">
      <alignment horizontal="left" vertical="center" wrapText="1"/>
      <protection hidden="1"/>
    </xf>
    <xf numFmtId="0" fontId="5" fillId="0" borderId="18" xfId="0" applyFont="1" applyBorder="1" applyAlignment="1">
      <alignment horizontal="left" vertical="center" wrapText="1"/>
    </xf>
    <xf numFmtId="0" fontId="5" fillId="0" borderId="3" xfId="0" applyFont="1" applyBorder="1" applyAlignment="1">
      <alignment horizontal="left" vertical="center" wrapText="1"/>
    </xf>
    <xf numFmtId="0" fontId="5" fillId="0" borderId="13" xfId="0" applyFont="1" applyBorder="1" applyAlignment="1">
      <alignment horizontal="left" vertical="center" wrapText="1"/>
    </xf>
    <xf numFmtId="0" fontId="16" fillId="0" borderId="3" xfId="0" applyFont="1" applyBorder="1" applyAlignment="1">
      <alignment horizontal="left" vertical="center"/>
    </xf>
    <xf numFmtId="0" fontId="15" fillId="0" borderId="3" xfId="0" applyFont="1" applyBorder="1" applyAlignment="1">
      <alignment horizontal="left" vertical="center" wrapText="1"/>
    </xf>
    <xf numFmtId="0" fontId="11" fillId="0" borderId="3" xfId="0" applyFont="1" applyBorder="1" applyAlignment="1">
      <alignment horizontal="left" vertical="center" wrapText="1"/>
    </xf>
    <xf numFmtId="0" fontId="11" fillId="0" borderId="3" xfId="0" applyFont="1" applyBorder="1">
      <alignment vertical="center"/>
    </xf>
    <xf numFmtId="0" fontId="16" fillId="0" borderId="3" xfId="0" applyFont="1" applyBorder="1">
      <alignment vertical="center"/>
    </xf>
    <xf numFmtId="0" fontId="12" fillId="0" borderId="3" xfId="0" applyFont="1" applyBorder="1" applyAlignment="1">
      <alignment vertical="center" wrapText="1"/>
    </xf>
    <xf numFmtId="0" fontId="5" fillId="0" borderId="3" xfId="0" applyFont="1" applyBorder="1" applyAlignment="1">
      <alignment horizontal="left" vertical="center"/>
    </xf>
    <xf numFmtId="0" fontId="12" fillId="0" borderId="3" xfId="0" applyFont="1" applyBorder="1" applyAlignment="1">
      <alignment horizontal="left" vertical="center" wrapText="1"/>
    </xf>
    <xf numFmtId="0" fontId="11" fillId="0" borderId="16" xfId="0" applyFont="1" applyBorder="1" applyAlignment="1">
      <alignment horizontal="left" vertical="center" wrapText="1"/>
    </xf>
    <xf numFmtId="0" fontId="11" fillId="0" borderId="17" xfId="0" applyFont="1" applyBorder="1" applyAlignment="1">
      <alignment horizontal="left" vertical="center" wrapText="1"/>
    </xf>
    <xf numFmtId="0" fontId="11" fillId="0" borderId="18" xfId="0" applyFont="1" applyBorder="1" applyAlignment="1">
      <alignment horizontal="left" vertical="center" wrapText="1"/>
    </xf>
    <xf numFmtId="0" fontId="11" fillId="0" borderId="20" xfId="0" applyFont="1" applyBorder="1" applyAlignment="1">
      <alignment horizontal="left" vertical="center" wrapText="1"/>
    </xf>
    <xf numFmtId="0" fontId="11" fillId="0" borderId="0" xfId="0" applyFont="1" applyAlignment="1">
      <alignment horizontal="left" vertical="center" wrapText="1"/>
    </xf>
    <xf numFmtId="0" fontId="11" fillId="0" borderId="21" xfId="0" applyFont="1" applyBorder="1" applyAlignment="1">
      <alignment horizontal="left" vertical="center" wrapText="1"/>
    </xf>
    <xf numFmtId="0" fontId="11" fillId="0" borderId="22" xfId="0" applyFont="1" applyBorder="1" applyAlignment="1">
      <alignment horizontal="left" vertical="center" wrapText="1"/>
    </xf>
    <xf numFmtId="0" fontId="11" fillId="0" borderId="23" xfId="0" applyFont="1" applyBorder="1" applyAlignment="1">
      <alignment horizontal="left" vertical="center" wrapText="1"/>
    </xf>
    <xf numFmtId="0" fontId="11" fillId="0" borderId="24" xfId="0" applyFont="1" applyBorder="1" applyAlignment="1">
      <alignment horizontal="left" vertical="center" wrapText="1"/>
    </xf>
    <xf numFmtId="0" fontId="11" fillId="0" borderId="3" xfId="0" applyFont="1" applyBorder="1" applyAlignment="1">
      <alignment vertical="center" wrapText="1"/>
    </xf>
    <xf numFmtId="0" fontId="16" fillId="0" borderId="3" xfId="0" applyFont="1" applyBorder="1" applyAlignment="1">
      <alignment vertical="center" wrapText="1"/>
    </xf>
    <xf numFmtId="0" fontId="16" fillId="0" borderId="11" xfId="0" applyFont="1" applyBorder="1" applyAlignment="1">
      <alignment vertical="center" wrapText="1"/>
    </xf>
    <xf numFmtId="0" fontId="12" fillId="0" borderId="3" xfId="0" applyFont="1" applyBorder="1">
      <alignment vertical="center"/>
    </xf>
    <xf numFmtId="0" fontId="12" fillId="0" borderId="3" xfId="0" applyFont="1" applyBorder="1" applyAlignment="1">
      <alignment horizontal="left" vertical="center"/>
    </xf>
    <xf numFmtId="0" fontId="5" fillId="0" borderId="3" xfId="0" applyFont="1" applyBorder="1" applyAlignment="1">
      <alignment vertical="center" wrapText="1"/>
    </xf>
    <xf numFmtId="0" fontId="5" fillId="0" borderId="3" xfId="0" applyFont="1" applyBorder="1">
      <alignment vertical="center"/>
    </xf>
    <xf numFmtId="0" fontId="6" fillId="0" borderId="0" xfId="0" applyFont="1" applyAlignment="1">
      <alignment horizontal="center" vertical="center"/>
    </xf>
    <xf numFmtId="0" fontId="13" fillId="0" borderId="3" xfId="0" applyFont="1" applyBorder="1" applyAlignment="1">
      <alignment horizontal="left" vertical="center" wrapText="1"/>
    </xf>
    <xf numFmtId="0" fontId="5" fillId="0" borderId="12" xfId="0" applyFont="1" applyBorder="1" applyAlignment="1">
      <alignment horizontal="left" vertical="center" wrapText="1"/>
    </xf>
    <xf numFmtId="0" fontId="5" fillId="0" borderId="12" xfId="0" applyFont="1" applyBorder="1" applyAlignment="1">
      <alignment horizontal="left" vertical="center"/>
    </xf>
    <xf numFmtId="0" fontId="5" fillId="0" borderId="3" xfId="0" applyFont="1" applyBorder="1" applyAlignment="1">
      <alignment horizontal="center" vertical="center" wrapText="1"/>
    </xf>
    <xf numFmtId="0" fontId="7" fillId="0" borderId="3" xfId="1" applyNumberFormat="1" applyFont="1" applyFill="1" applyBorder="1" applyAlignment="1" applyProtection="1">
      <alignment horizontal="center" vertical="center" wrapText="1"/>
    </xf>
    <xf numFmtId="0" fontId="8" fillId="0" borderId="3" xfId="1" applyNumberFormat="1" applyFont="1" applyFill="1" applyBorder="1" applyAlignment="1" applyProtection="1">
      <alignment horizontal="center" vertical="center" wrapText="1"/>
    </xf>
    <xf numFmtId="0" fontId="5" fillId="0" borderId="3" xfId="0" applyFont="1" applyBorder="1" applyAlignment="1">
      <alignment horizontal="center" vertical="center"/>
    </xf>
    <xf numFmtId="0" fontId="5" fillId="0" borderId="0" xfId="0" applyFont="1" applyAlignment="1">
      <alignment vertical="center" wrapText="1"/>
    </xf>
    <xf numFmtId="0" fontId="5" fillId="0" borderId="0" xfId="0" applyFont="1">
      <alignment vertical="center"/>
    </xf>
    <xf numFmtId="0" fontId="7"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12" fillId="4" borderId="3" xfId="0" applyFont="1" applyFill="1" applyBorder="1" applyAlignment="1">
      <alignment horizontal="center" vertical="center" wrapText="1"/>
    </xf>
    <xf numFmtId="0" fontId="17" fillId="4" borderId="3" xfId="0" applyFont="1" applyFill="1" applyBorder="1" applyAlignment="1">
      <alignment horizontal="center" vertical="center" wrapText="1"/>
    </xf>
    <xf numFmtId="0" fontId="20" fillId="4" borderId="3" xfId="0" applyFont="1" applyFill="1" applyBorder="1" applyAlignment="1">
      <alignment horizontal="center" vertical="center" wrapText="1"/>
    </xf>
    <xf numFmtId="0" fontId="10" fillId="4" borderId="3" xfId="0" applyFont="1" applyFill="1" applyBorder="1" applyAlignment="1">
      <alignment horizontal="center" vertical="center" textRotation="255" wrapText="1"/>
    </xf>
    <xf numFmtId="0" fontId="10" fillId="4" borderId="3" xfId="0" applyFont="1" applyFill="1" applyBorder="1" applyAlignment="1">
      <alignment vertical="center" wrapText="1"/>
    </xf>
    <xf numFmtId="0" fontId="10" fillId="4" borderId="14" xfId="0" applyFont="1" applyFill="1" applyBorder="1" applyAlignment="1">
      <alignment horizontal="center" vertical="center" textRotation="255" wrapText="1"/>
    </xf>
    <xf numFmtId="0" fontId="10" fillId="4" borderId="13" xfId="0" applyFont="1" applyFill="1" applyBorder="1" applyAlignment="1">
      <alignment horizontal="center" vertical="center" wrapText="1"/>
    </xf>
    <xf numFmtId="0" fontId="10" fillId="4" borderId="3" xfId="0" applyFont="1" applyFill="1" applyBorder="1" applyAlignment="1">
      <alignment horizontal="center" vertical="center" wrapText="1"/>
    </xf>
    <xf numFmtId="0" fontId="10" fillId="4" borderId="11" xfId="0" applyFont="1" applyFill="1" applyBorder="1" applyAlignment="1">
      <alignment horizontal="center" vertical="center" textRotation="255" wrapText="1"/>
    </xf>
    <xf numFmtId="0" fontId="10" fillId="4" borderId="19" xfId="0" applyFont="1" applyFill="1" applyBorder="1" applyAlignment="1">
      <alignment horizontal="center" vertical="center" textRotation="255" wrapText="1"/>
    </xf>
    <xf numFmtId="0" fontId="10" fillId="4" borderId="13" xfId="0" applyFont="1" applyFill="1" applyBorder="1" applyAlignment="1">
      <alignment horizontal="center" vertical="center" textRotation="255" wrapText="1"/>
    </xf>
    <xf numFmtId="0" fontId="22" fillId="0" borderId="3" xfId="0" applyFont="1" applyBorder="1" applyAlignment="1">
      <alignment horizontal="left" vertical="center"/>
    </xf>
    <xf numFmtId="0" fontId="9" fillId="3" borderId="3" xfId="0" applyFont="1" applyFill="1" applyBorder="1" applyAlignment="1">
      <alignment horizontal="center" vertical="center"/>
    </xf>
    <xf numFmtId="0" fontId="14" fillId="4" borderId="3" xfId="0" applyFont="1" applyFill="1" applyBorder="1" applyAlignment="1">
      <alignment horizontal="center" vertical="center" wrapText="1"/>
    </xf>
    <xf numFmtId="0" fontId="9" fillId="3" borderId="11" xfId="0" applyFont="1" applyFill="1" applyBorder="1" applyAlignment="1">
      <alignment horizontal="center" vertical="center"/>
    </xf>
    <xf numFmtId="0" fontId="18" fillId="4" borderId="3" xfId="0" applyFont="1" applyFill="1" applyBorder="1" applyAlignment="1">
      <alignment horizontal="center" vertical="center" textRotation="255" wrapText="1"/>
    </xf>
    <xf numFmtId="0" fontId="5" fillId="4" borderId="3" xfId="0" applyFont="1" applyFill="1" applyBorder="1" applyAlignment="1">
      <alignment horizontal="center" vertical="center" textRotation="255" wrapText="1"/>
    </xf>
    <xf numFmtId="0" fontId="18" fillId="4" borderId="3" xfId="0" applyFont="1" applyFill="1" applyBorder="1" applyAlignment="1">
      <alignment horizontal="center" vertical="center" wrapText="1"/>
    </xf>
    <xf numFmtId="0" fontId="16" fillId="0" borderId="3" xfId="0" applyFont="1" applyBorder="1" applyAlignment="1">
      <alignment horizontal="left" vertical="center" wrapText="1"/>
    </xf>
    <xf numFmtId="0" fontId="9" fillId="3" borderId="13" xfId="0" applyFont="1" applyFill="1" applyBorder="1" applyAlignment="1">
      <alignment horizontal="center" vertical="center"/>
    </xf>
    <xf numFmtId="0" fontId="12" fillId="4" borderId="3" xfId="0" applyFont="1" applyFill="1" applyBorder="1" applyAlignment="1">
      <alignment horizontal="center" vertical="center" textRotation="255" wrapText="1"/>
    </xf>
    <xf numFmtId="0" fontId="21" fillId="0" borderId="3" xfId="0" applyFont="1" applyBorder="1" applyAlignment="1">
      <alignment horizontal="left" vertical="center"/>
    </xf>
    <xf numFmtId="0" fontId="15" fillId="0" borderId="3" xfId="0" applyFont="1" applyBorder="1" applyAlignment="1">
      <alignment horizontal="left" vertical="center"/>
    </xf>
    <xf numFmtId="0" fontId="17" fillId="4" borderId="3" xfId="0" applyFont="1" applyFill="1" applyBorder="1" applyAlignment="1">
      <alignment horizontal="center" vertical="top" wrapText="1"/>
    </xf>
    <xf numFmtId="0" fontId="19" fillId="4" borderId="3" xfId="0" applyFont="1" applyFill="1" applyBorder="1" applyAlignment="1">
      <alignment horizontal="center" vertical="center" textRotation="255" wrapText="1"/>
    </xf>
    <xf numFmtId="0" fontId="19" fillId="0" borderId="3" xfId="0" applyFont="1" applyBorder="1" applyAlignment="1">
      <alignment horizontal="left" vertical="center"/>
    </xf>
    <xf numFmtId="0" fontId="18" fillId="4" borderId="3" xfId="0" applyFont="1" applyFill="1" applyBorder="1" applyAlignment="1">
      <alignment horizontal="center" vertical="center" textRotation="255"/>
    </xf>
    <xf numFmtId="0" fontId="9" fillId="3" borderId="14" xfId="0" applyFont="1" applyFill="1" applyBorder="1" applyAlignment="1">
      <alignment horizontal="center" vertical="center"/>
    </xf>
    <xf numFmtId="0" fontId="9" fillId="3" borderId="15" xfId="0" applyFont="1" applyFill="1" applyBorder="1" applyAlignment="1">
      <alignment horizontal="center" vertical="center"/>
    </xf>
    <xf numFmtId="0" fontId="9" fillId="3" borderId="12" xfId="0" applyFont="1" applyFill="1" applyBorder="1" applyAlignment="1">
      <alignment horizontal="center" vertical="center"/>
    </xf>
    <xf numFmtId="0" fontId="9" fillId="3" borderId="3" xfId="0" applyFont="1" applyFill="1" applyBorder="1" applyAlignment="1">
      <alignment horizontal="left" vertical="center" indent="1"/>
    </xf>
    <xf numFmtId="0" fontId="16" fillId="0" borderId="3" xfId="0" applyFont="1" applyBorder="1" applyAlignment="1">
      <alignment horizontal="center" vertical="center"/>
    </xf>
    <xf numFmtId="0" fontId="9" fillId="3" borderId="0" xfId="0" applyFont="1" applyFill="1" applyAlignment="1">
      <alignment horizontal="left" vertical="center" indent="1"/>
    </xf>
    <xf numFmtId="0" fontId="9" fillId="3" borderId="3" xfId="0" applyFont="1" applyFill="1" applyBorder="1" applyAlignment="1">
      <alignment horizontal="center" vertical="center" wrapText="1"/>
    </xf>
    <xf numFmtId="0" fontId="12" fillId="4" borderId="13" xfId="0" applyFont="1" applyFill="1" applyBorder="1" applyAlignment="1">
      <alignment horizontal="center" vertical="center" wrapText="1"/>
    </xf>
    <xf numFmtId="0" fontId="1" fillId="0" borderId="3" xfId="0" applyFont="1" applyBorder="1" applyAlignment="1">
      <alignment horizontal="center" vertical="center"/>
    </xf>
    <xf numFmtId="0" fontId="0" fillId="0" borderId="3" xfId="0" applyBorder="1" applyAlignment="1">
      <alignment horizontal="center" vertical="center" wrapText="1"/>
    </xf>
    <xf numFmtId="0" fontId="0" fillId="0" borderId="9" xfId="0" applyBorder="1" applyAlignment="1">
      <alignment horizontal="center" vertical="center"/>
    </xf>
    <xf numFmtId="0" fontId="1" fillId="0" borderId="5" xfId="0" applyFont="1" applyBorder="1" applyAlignment="1">
      <alignment horizontal="center" vertical="center"/>
    </xf>
    <xf numFmtId="0" fontId="2" fillId="0" borderId="3" xfId="0" applyFont="1" applyBorder="1" applyAlignment="1">
      <alignment horizontal="center" vertical="center"/>
    </xf>
    <xf numFmtId="0" fontId="3" fillId="0" borderId="3" xfId="0" applyFont="1" applyBorder="1" applyAlignment="1">
      <alignment horizontal="center" vertical="center"/>
    </xf>
  </cellXfs>
  <cellStyles count="7">
    <cellStyle name="20% - 着色 1" xfId="3" builtinId="30"/>
    <cellStyle name="40% - 着色 1" xfId="4" builtinId="31"/>
    <cellStyle name="60% - 着色 1" xfId="5" builtinId="32"/>
    <cellStyle name="常规" xfId="0" builtinId="0"/>
    <cellStyle name="常规 2" xfId="6" xr:uid="{00000000-0005-0000-0000-000031000000}"/>
    <cellStyle name="超链接" xfId="1" builtinId="8"/>
    <cellStyle name="着色 1" xfId="2" builtinId="29"/>
  </cellStyles>
  <dxfs count="93">
    <dxf>
      <font>
        <color theme="0" tint="-0.249977111117893"/>
      </font>
    </dxf>
    <dxf>
      <font>
        <color theme="0" tint="-0.249977111117893"/>
      </font>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ont>
        <b/>
        <i val="0"/>
        <color theme="0"/>
      </font>
      <fill>
        <patternFill patternType="solid">
          <bgColor theme="5"/>
        </patternFill>
      </fill>
    </dxf>
    <dxf>
      <font>
        <b/>
        <i val="0"/>
        <color theme="0"/>
      </font>
      <fill>
        <patternFill patternType="solid">
          <bgColor theme="5"/>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ont>
        <b/>
        <i val="0"/>
        <color theme="0"/>
      </font>
      <fill>
        <patternFill patternType="solid">
          <bgColor theme="9" tint="0.39997558519241921"/>
        </patternFill>
      </fill>
    </dxf>
    <dxf>
      <font>
        <b/>
        <i val="0"/>
        <color theme="0"/>
      </font>
      <fill>
        <patternFill patternType="solid">
          <bgColor theme="1"/>
        </patternFill>
      </fill>
    </dxf>
    <dxf>
      <font>
        <b/>
        <i val="0"/>
        <color theme="0"/>
      </font>
      <fill>
        <patternFill patternType="solid">
          <bgColor theme="5"/>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ont>
        <b/>
        <i val="0"/>
        <color theme="0"/>
      </font>
      <fill>
        <patternFill patternType="solid">
          <bgColor theme="6"/>
        </patternFill>
      </fill>
    </dxf>
    <dxf>
      <font>
        <b/>
        <i val="0"/>
        <color theme="0"/>
      </font>
      <fill>
        <patternFill patternType="solid">
          <bgColor theme="7"/>
        </patternFill>
      </fill>
    </dxf>
    <dxf>
      <font>
        <color theme="0"/>
      </font>
      <fill>
        <patternFill patternType="solid">
          <bgColor theme="7"/>
        </patternFill>
      </fill>
    </dxf>
    <dxf>
      <font>
        <color theme="0"/>
      </font>
      <fill>
        <patternFill patternType="solid">
          <bgColor theme="5"/>
        </patternFill>
      </fill>
    </dxf>
    <dxf>
      <font>
        <color theme="0"/>
      </font>
      <fill>
        <patternFill patternType="solid">
          <bgColor theme="5"/>
        </patternFill>
      </fill>
    </dxf>
    <dxf>
      <font>
        <b/>
        <i val="0"/>
        <color theme="0"/>
      </font>
      <fill>
        <patternFill patternType="solid">
          <bgColor theme="4"/>
        </patternFill>
      </fill>
    </dxf>
    <dxf>
      <font>
        <b/>
        <i val="0"/>
        <color theme="0"/>
      </font>
      <fill>
        <patternFill patternType="solid">
          <bgColor theme="7"/>
        </patternFill>
      </fill>
    </dxf>
    <dxf>
      <fill>
        <patternFill patternType="solid">
          <bgColor rgb="FF00B050"/>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theme="4" tint="0.79995117038483843"/>
        </patternFill>
      </fill>
    </dxf>
    <dxf>
      <font>
        <color theme="0"/>
      </font>
      <fill>
        <patternFill patternType="solid">
          <bgColor rgb="FFC00000"/>
        </patternFill>
      </fill>
    </dxf>
    <dxf>
      <fill>
        <patternFill patternType="solid">
          <bgColor theme="0"/>
        </patternFill>
      </fill>
    </dxf>
    <dxf>
      <font>
        <b/>
        <i val="0"/>
        <color theme="0"/>
      </font>
      <fill>
        <patternFill patternType="solid">
          <bgColor theme="5"/>
        </patternFill>
      </fill>
    </dxf>
    <dxf>
      <font>
        <color theme="8"/>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92"/>
      <tableStyleElement type="headerRow" dxfId="91"/>
      <tableStyleElement type="totalRow" dxfId="90"/>
      <tableStyleElement type="firstColumn" dxfId="89"/>
      <tableStyleElement type="lastColumn" dxfId="88"/>
      <tableStyleElement type="firstRowStripe" dxfId="87"/>
      <tableStyleElement type="firstColumnStripe" dxfId="86"/>
    </tableStyle>
    <tableStyle name="PivotStylePreset2_Accent1" table="0" count="10" xr9:uid="{267968C8-6FFD-4C36-ACC1-9EA1FD1885CA}">
      <tableStyleElement type="headerRow" dxfId="85"/>
      <tableStyleElement type="totalRow" dxfId="84"/>
      <tableStyleElement type="firstRowStripe" dxfId="83"/>
      <tableStyleElement type="firstColumnStripe" dxfId="82"/>
      <tableStyleElement type="firstSubtotalRow" dxfId="81"/>
      <tableStyleElement type="secondSubtotalRow" dxfId="80"/>
      <tableStyleElement type="firstRowSubheading" dxfId="79"/>
      <tableStyleElement type="secondRowSubheading" dxfId="78"/>
      <tableStyleElement type="pageFieldLabels" dxfId="77"/>
      <tableStyleElement type="pageFieldValues" dxfId="76"/>
    </tableStyle>
  </tableStyles>
  <colors>
    <mruColors>
      <color rgb="FFDEEAF6"/>
      <color rgb="FFF7FD9D"/>
      <color rgb="FFA2C7B6"/>
      <color rgb="FFA9A3BF"/>
      <color rgb="FF8B7E9A"/>
      <color rgb="FF9AC6A3"/>
      <color rgb="FFF8F7E5"/>
      <color rgb="FF9DC3E5"/>
      <color rgb="FFDDEBDE"/>
      <color rgb="FFBED7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2514079066971701"/>
          <c:y val="0.10688089416695799"/>
          <c:w val="0.78872570194384495"/>
          <c:h val="0.79664048865619597"/>
        </c:manualLayout>
      </c:layout>
      <c:radarChart>
        <c:radarStyle val="filled"/>
        <c:varyColors val="0"/>
        <c:ser>
          <c:idx val="0"/>
          <c:order val="0"/>
          <c:spPr>
            <a:solidFill>
              <a:schemeClr val="accent1"/>
            </a:solidFill>
            <a:ln>
              <a:noFill/>
            </a:ln>
            <a:effectLst/>
          </c:spPr>
          <c:val>
            <c:numRef>
              <c:f>附表!$G$8:$L$8</c:f>
            </c:numRef>
          </c:val>
          <c:extLst>
            <c:ext xmlns:c15="http://schemas.microsoft.com/office/drawing/2012/chart" uri="{02D57815-91ED-43cb-92C2-25804820EDAC}">
              <c15:filteredCategoryTitle>
                <c15:cat>
                  <c:multiLvlStrRef>
                    <c:extLst>
                      <c:ext uri="{02D57815-91ED-43cb-92C2-25804820EDAC}">
                        <c15:formulaRef>
                          <c15:sqref>附表!$G$7:$L$7</c15:sqref>
                        </c15:formulaRef>
                      </c:ext>
                    </c:extLst>
                  </c:multiLvlStrRef>
                </c15:cat>
              </c15:filteredCategoryTitle>
            </c:ext>
            <c:ext xmlns:c16="http://schemas.microsoft.com/office/drawing/2014/chart" uri="{C3380CC4-5D6E-409C-BE32-E72D297353CC}">
              <c16:uniqueId val="{00000000-0397-4A98-AE7F-833FF51D3BBA}"/>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89725484"/>
        <c:crosses val="autoZero"/>
        <c:auto val="1"/>
        <c:lblAlgn val="ctr"/>
        <c:lblOffset val="100"/>
        <c:noMultiLvlLbl val="0"/>
      </c:catAx>
      <c:valAx>
        <c:axId val="897254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noFill/>
                <a:latin typeface="+mn-lt"/>
                <a:ea typeface="+mn-ea"/>
                <a:cs typeface="+mn-cs"/>
              </a:defRPr>
            </a:pPr>
            <a:endParaRPr lang="zh-CN"/>
          </a:p>
        </c:txPr>
        <c:crossAx val="282020864"/>
        <c:crosses val="autoZero"/>
        <c:crossBetween val="between"/>
      </c:valAx>
      <c:spPr>
        <a:noFill/>
        <a:ln>
          <a:noFill/>
        </a:ln>
        <a:effectLst/>
      </c:spPr>
    </c:plotArea>
    <c:plotVisOnly val="1"/>
    <c:dispBlanksAs val="gap"/>
    <c:showDLblsOverMax val="0"/>
    <c:extLst>
      <c:ext uri="{0b15fc19-7d7d-44ad-8c2d-2c3a37ce22c3}">
        <chartProps xmlns="https://web.wps.cn/et/2018/main" chartId="{1f72be50-9980-42f0-8e84-e5ac2c1748b9}"/>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9780633936655"/>
          <c:y val="0.19835024580028501"/>
          <c:w val="0.433223672352059"/>
          <c:h val="0.65901541905160099"/>
        </c:manualLayout>
      </c:layout>
      <c:radarChart>
        <c:radarStyle val="filled"/>
        <c:varyColors val="0"/>
        <c:ser>
          <c:idx val="0"/>
          <c:order val="0"/>
          <c:spPr>
            <a:solidFill>
              <a:schemeClr val="accent1"/>
            </a:solidFill>
            <a:ln>
              <a:noFill/>
            </a:ln>
            <a:effectLst/>
          </c:spPr>
          <c:val>
            <c:numRef>
              <c:f>附表!$G$14:$O$14</c:f>
            </c:numRef>
          </c:val>
          <c:extLst>
            <c:ext xmlns:c16="http://schemas.microsoft.com/office/drawing/2014/chart" uri="{C3380CC4-5D6E-409C-BE32-E72D297353CC}">
              <c16:uniqueId val="{00000000-2078-4E4E-952B-26F94968503C}"/>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47028619"/>
        <c:crosses val="autoZero"/>
        <c:auto val="1"/>
        <c:lblAlgn val="ctr"/>
        <c:lblOffset val="100"/>
        <c:noMultiLvlLbl val="0"/>
      </c:catAx>
      <c:valAx>
        <c:axId val="7470286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793954566"/>
        <c:crosses val="autoZero"/>
        <c:crossBetween val="between"/>
      </c:valAx>
      <c:spPr>
        <a:noFill/>
        <a:ln>
          <a:noFill/>
        </a:ln>
        <a:effectLst/>
      </c:spPr>
    </c:plotArea>
    <c:plotVisOnly val="1"/>
    <c:dispBlanksAs val="gap"/>
    <c:showDLblsOverMax val="0"/>
    <c:extLst>
      <c:ext uri="{0b15fc19-7d7d-44ad-8c2d-2c3a37ce22c3}">
        <chartProps xmlns="https://web.wps.cn/et/2018/main" chartId="{e684fadb-d595-4322-a3a2-387fb0c20c1c}"/>
      </c:ext>
    </c:extLst>
  </c:chart>
  <c:spPr>
    <a:solidFill>
      <a:schemeClr val="bg1"/>
    </a:solidFill>
    <a:ln w="9525" cap="flat" cmpd="sng" algn="ctr">
      <a:solidFill>
        <a:schemeClr val="tx1">
          <a:lumMod val="15000"/>
          <a:lumOff val="85000"/>
        </a:schemeClr>
      </a:solidFill>
      <a:round/>
    </a:ln>
    <a:effectLst/>
  </c:spPr>
  <c:txPr>
    <a:bodyPr/>
    <a:lstStyle/>
    <a:p>
      <a:pPr>
        <a:defRPr lang="zh-CN"/>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147</xdr:col>
      <xdr:colOff>111125</xdr:colOff>
      <xdr:row>7</xdr:row>
      <xdr:rowOff>31115</xdr:rowOff>
    </xdr:from>
    <xdr:to>
      <xdr:col>159</xdr:col>
      <xdr:colOff>155557</xdr:colOff>
      <xdr:row>15</xdr:row>
      <xdr:rowOff>20940</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121</xdr:col>
      <xdr:colOff>183515</xdr:colOff>
      <xdr:row>9</xdr:row>
      <xdr:rowOff>203200</xdr:rowOff>
    </xdr:from>
    <xdr:to>
      <xdr:col>121</xdr:col>
      <xdr:colOff>183515</xdr:colOff>
      <xdr:row>11</xdr:row>
      <xdr:rowOff>219710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97</xdr:col>
      <xdr:colOff>6985</xdr:colOff>
      <xdr:row>109</xdr:row>
      <xdr:rowOff>5715</xdr:rowOff>
    </xdr:from>
    <xdr:to>
      <xdr:col>120</xdr:col>
      <xdr:colOff>207645</xdr:colOff>
      <xdr:row>115</xdr:row>
      <xdr:rowOff>17145</xdr:rowOff>
    </xdr:to>
    <xdr:sp macro="" textlink="">
      <xdr:nvSpPr>
        <xdr:cNvPr id="4" name=" ">
          <a:extLst>
            <a:ext uri="{FF2B5EF4-FFF2-40B4-BE49-F238E27FC236}">
              <a16:creationId xmlns:a16="http://schemas.microsoft.com/office/drawing/2014/main" id="{00000000-0008-0000-0000-000004000000}"/>
            </a:ext>
          </a:extLst>
        </xdr:cNvPr>
        <xdr:cNvSpPr txBox="1"/>
      </xdr:nvSpPr>
      <xdr:spPr>
        <a:xfrm>
          <a:off x="12124690" y="23389590"/>
          <a:ext cx="5107940" cy="125730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endParaRPr lang="zh-CN" alt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25</xdr:col>
      <xdr:colOff>110490</xdr:colOff>
      <xdr:row>43</xdr:row>
      <xdr:rowOff>92710</xdr:rowOff>
    </xdr:from>
    <xdr:to>
      <xdr:col>35</xdr:col>
      <xdr:colOff>250139</xdr:colOff>
      <xdr:row>66</xdr:row>
      <xdr:rowOff>92710</xdr:rowOff>
    </xdr:to>
    <xdr:sp macro="" textlink="">
      <xdr:nvSpPr>
        <xdr:cNvPr id="2" name=" ">
          <a:extLst>
            <a:ext uri="{FF2B5EF4-FFF2-40B4-BE49-F238E27FC236}">
              <a16:creationId xmlns:a16="http://schemas.microsoft.com/office/drawing/2014/main" id="{00000000-0008-0000-0300-000002000000}"/>
            </a:ext>
          </a:extLst>
        </xdr:cNvPr>
        <xdr:cNvSpPr txBox="1"/>
      </xdr:nvSpPr>
      <xdr:spPr>
        <a:xfrm>
          <a:off x="9839960" y="9222740"/>
          <a:ext cx="4025265" cy="469392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r>
            <a:rPr lang="zh-CN" altLang="en-US"/>
            <a:t>																							</a:t>
          </a:r>
        </a:p>
        <a:p>
          <a:pPr algn="l"/>
          <a:endParaRPr lang="zh-CN" alt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372745</xdr:colOff>
      <xdr:row>6</xdr:row>
      <xdr:rowOff>41275</xdr:rowOff>
    </xdr:from>
    <xdr:to>
      <xdr:col>5</xdr:col>
      <xdr:colOff>292735</xdr:colOff>
      <xdr:row>29</xdr:row>
      <xdr:rowOff>83820</xdr:rowOff>
    </xdr:to>
    <xdr:pic>
      <xdr:nvPicPr>
        <xdr:cNvPr id="2" name="图片 1" descr="Screenshot_20240710_151843_cn.wps.moffice_eng">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971550" y="1138555"/>
          <a:ext cx="2315210" cy="4248785"/>
        </a:xfrm>
        <a:prstGeom prst="rect">
          <a:avLst/>
        </a:prstGeom>
      </xdr:spPr>
    </xdr:pic>
    <xdr:clientData/>
  </xdr:twoCellAnchor>
  <xdr:twoCellAnchor>
    <xdr:from>
      <xdr:col>5</xdr:col>
      <xdr:colOff>331470</xdr:colOff>
      <xdr:row>6</xdr:row>
      <xdr:rowOff>66675</xdr:rowOff>
    </xdr:from>
    <xdr:to>
      <xdr:col>9</xdr:col>
      <xdr:colOff>278765</xdr:colOff>
      <xdr:row>29</xdr:row>
      <xdr:rowOff>128270</xdr:rowOff>
    </xdr:to>
    <xdr:pic>
      <xdr:nvPicPr>
        <xdr:cNvPr id="3" name="图片 2" descr="Screenshot_20240710_152039_cn.wps.moffice_eng">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3325495" y="1163955"/>
          <a:ext cx="2342515" cy="4267835"/>
        </a:xfrm>
        <a:prstGeom prst="rect">
          <a:avLst/>
        </a:prstGeom>
      </xdr:spPr>
    </xdr:pic>
    <xdr:clientData/>
  </xdr:twoCellAnchor>
  <xdr:twoCellAnchor>
    <xdr:from>
      <xdr:col>14</xdr:col>
      <xdr:colOff>88900</xdr:colOff>
      <xdr:row>6</xdr:row>
      <xdr:rowOff>48260</xdr:rowOff>
    </xdr:from>
    <xdr:to>
      <xdr:col>22</xdr:col>
      <xdr:colOff>477520</xdr:colOff>
      <xdr:row>21</xdr:row>
      <xdr:rowOff>82550</xdr:rowOff>
    </xdr:to>
    <xdr:pic>
      <xdr:nvPicPr>
        <xdr:cNvPr id="4" name="图片 1" descr="电脑教学">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8472170" y="1145540"/>
          <a:ext cx="5179060" cy="277749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angruixi\OneDrive%20-%20stu.cqnu.edu.cn\&#36305;&#22242;\COC7&#31354;&#30333;&#21345;CY23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人物卡"/>
      <sheetName val="简化卡 骰娘导入"/>
      <sheetName val="职业列表"/>
      <sheetName val="成长表（测试）"/>
      <sheetName val="本职技能"/>
      <sheetName val="附表"/>
      <sheetName val="技能注释"/>
      <sheetName val="属性注释"/>
      <sheetName val="资产及物价参考"/>
      <sheetName val="武器列表 战斗"/>
      <sheetName val="防具表 载具表"/>
      <sheetName val="疯狂表"/>
      <sheetName val="更新说明"/>
    </sheetNames>
    <sheetDataSet>
      <sheetData sheetId="0"/>
      <sheetData sheetId="1"/>
      <sheetData sheetId="2"/>
      <sheetData sheetId="3"/>
      <sheetData sheetId="4"/>
      <sheetData sheetId="5">
        <row r="114">
          <cell r="M114">
            <v>1</v>
          </cell>
          <cell r="N114" t="str">
            <v>洗澡恐惧症（Ablutophobia）：对于洗涤或洗澡的恐惧。</v>
          </cell>
          <cell r="S114">
            <v>1</v>
          </cell>
          <cell r="T114" t="str">
            <v>沐浴癖（Ablutomania）：执着于清洗自己。</v>
          </cell>
        </row>
        <row r="115">
          <cell r="M115">
            <v>2</v>
          </cell>
          <cell r="N115" t="str">
            <v>恐高症（Acrophobia）：对于身处高处的恐惧。</v>
          </cell>
          <cell r="S115">
            <v>2</v>
          </cell>
          <cell r="T115" t="str">
            <v>犹豫癖（Aboulomania）：病态地犹豫不定。</v>
          </cell>
        </row>
        <row r="116">
          <cell r="M116">
            <v>3</v>
          </cell>
          <cell r="N116" t="str">
            <v>飞行恐惧症（Aerophobia）：对飞行的恐惧。</v>
          </cell>
          <cell r="S116">
            <v>3</v>
          </cell>
          <cell r="T116" t="str">
            <v>喜暗狂（Achluomania）：对黑暗的过度热爱。</v>
          </cell>
        </row>
        <row r="117">
          <cell r="M117">
            <v>4</v>
          </cell>
          <cell r="N117" t="str">
            <v>广场恐惧症（Agoraphobia）：对于开放的（拥挤）公共场所的恐惧。</v>
          </cell>
          <cell r="S117">
            <v>4</v>
          </cell>
          <cell r="T117" t="str">
            <v>喜高狂（Acromaniaheights）：狂热迷恋高处。</v>
          </cell>
        </row>
        <row r="118">
          <cell r="M118">
            <v>5</v>
          </cell>
          <cell r="N118" t="str">
            <v>恐鸡症（Alektorophobia）：对鸡的恐惧。</v>
          </cell>
          <cell r="S118">
            <v>5</v>
          </cell>
          <cell r="T118" t="str">
            <v>亲切癖（Agathomania）：病态地对他人友好。</v>
          </cell>
        </row>
        <row r="119">
          <cell r="M119">
            <v>6</v>
          </cell>
          <cell r="N119" t="str">
            <v>大蒜恐惧症（Alliumphobia）：对大蒜的恐惧。</v>
          </cell>
          <cell r="S119">
            <v>6</v>
          </cell>
          <cell r="T119" t="str">
            <v>喜旷症（Agromania）：强烈地倾向于待在开阔空间中。</v>
          </cell>
        </row>
        <row r="120">
          <cell r="M120">
            <v>7</v>
          </cell>
          <cell r="N120" t="str">
            <v>乘车恐惧症（Amaxophobia）：对于乘坐地面载具的恐惧。</v>
          </cell>
          <cell r="S120">
            <v>7</v>
          </cell>
          <cell r="T120" t="str">
            <v>喜尖狂（Aichmomania）：痴迷于尖锐或锋利的物体。</v>
          </cell>
        </row>
        <row r="121">
          <cell r="M121">
            <v>8</v>
          </cell>
          <cell r="N121" t="str">
            <v>恐风症（Ancraophobia）：对风的恐惧。</v>
          </cell>
          <cell r="S121">
            <v>8</v>
          </cell>
          <cell r="T121" t="str">
            <v>恋猫狂（Ailuromania）：近乎病态地对猫友善。</v>
          </cell>
        </row>
        <row r="122">
          <cell r="M122">
            <v>9</v>
          </cell>
          <cell r="N122" t="str">
            <v>男性恐惧症（Androphobia）：对于成年男性的恐惧。</v>
          </cell>
          <cell r="S122">
            <v>9</v>
          </cell>
          <cell r="T122" t="str">
            <v>疼痛癖（Algomania）：痴迷于疼痛。</v>
          </cell>
        </row>
        <row r="123">
          <cell r="M123">
            <v>10</v>
          </cell>
          <cell r="N123" t="str">
            <v>恐英症（Anglophobia）：对英格兰或英格兰文化的恐惧。</v>
          </cell>
          <cell r="S123">
            <v>10</v>
          </cell>
          <cell r="T123" t="str">
            <v>喜蒜狂（Alliomania）：痴迷于大蒜。</v>
          </cell>
        </row>
        <row r="124">
          <cell r="M124">
            <v>11</v>
          </cell>
          <cell r="N124" t="str">
            <v>恐花症（Anthophobia）：对花的恐惧。</v>
          </cell>
          <cell r="S124">
            <v>11</v>
          </cell>
          <cell r="T124" t="str">
            <v>乘车癖（Amaxomania）：痴迷于乘坐车辆。</v>
          </cell>
        </row>
        <row r="125">
          <cell r="M125">
            <v>12</v>
          </cell>
          <cell r="N125" t="str">
            <v>截肢者恐惧症（Apotemnophobia）：对截肢者的恐惧。</v>
          </cell>
          <cell r="S125">
            <v>12</v>
          </cell>
          <cell r="T125" t="str">
            <v>欣快癖（Amenomania）：不正常地感到喜悦。</v>
          </cell>
        </row>
        <row r="126">
          <cell r="M126">
            <v>13</v>
          </cell>
          <cell r="N126" t="str">
            <v>蜘蛛恐惧症（Arachnophobia）：对蜘蛛的恐惧。</v>
          </cell>
          <cell r="S126">
            <v>13</v>
          </cell>
          <cell r="T126" t="str">
            <v>喜花狂（Anthomania）：痴迷于花朵。</v>
          </cell>
        </row>
        <row r="127">
          <cell r="M127">
            <v>14</v>
          </cell>
          <cell r="N127" t="str">
            <v>闪电恐惧症（Astraphobia）：对闪电的恐惧。</v>
          </cell>
          <cell r="S127">
            <v>14</v>
          </cell>
          <cell r="T127" t="str">
            <v>计算癖（Arithmomania）：狂热地痴迷于数字。</v>
          </cell>
        </row>
        <row r="128">
          <cell r="M128">
            <v>15</v>
          </cell>
          <cell r="N128" t="str">
            <v>废墟恐惧症（Atephobia）：对遗迹或残址的恐惧。</v>
          </cell>
          <cell r="S128">
            <v>15</v>
          </cell>
          <cell r="T128" t="str">
            <v>消费癖（Asoticamania）：鲁莽冲动地消费。</v>
          </cell>
        </row>
        <row r="129">
          <cell r="M129">
            <v>16</v>
          </cell>
          <cell r="N129" t="str">
            <v>长笛恐惧症（Aulophobia）：对长笛的恐惧。</v>
          </cell>
          <cell r="S129">
            <v>16</v>
          </cell>
          <cell r="T129" t="str">
            <v>隐居癖*（Automania）：过度地热爱独自隐居。（原文如此，存疑，Automania 实际上是恋车癖）</v>
          </cell>
        </row>
        <row r="130">
          <cell r="M130">
            <v>17</v>
          </cell>
          <cell r="N130" t="str">
            <v>细菌恐惧症（Bacteriophobia）：对细菌的恐惧。</v>
          </cell>
          <cell r="S130">
            <v>17</v>
          </cell>
          <cell r="T130" t="str">
            <v>芭蕾癖（Balletmania）：痴迷于芭蕾舞。</v>
          </cell>
        </row>
        <row r="131">
          <cell r="M131">
            <v>18</v>
          </cell>
          <cell r="N131" t="str">
            <v>导弹/子弹恐惧症（Ballistophobia）：对导弹或子弹的恐惧。</v>
          </cell>
          <cell r="S131">
            <v>18</v>
          </cell>
          <cell r="T131" t="str">
            <v>窃书癖（Biliokleptomania）：无法克制偷窃书籍的冲动。</v>
          </cell>
        </row>
        <row r="132">
          <cell r="M132">
            <v>19</v>
          </cell>
          <cell r="N132" t="str">
            <v>跌落恐惧症（Basophobia）：对于跌倒或摔落的恐惧。</v>
          </cell>
          <cell r="S132">
            <v>19</v>
          </cell>
          <cell r="T132" t="str">
            <v>恋书狂（Bibliomania）：痴迷于书籍和/或阅读</v>
          </cell>
        </row>
        <row r="133">
          <cell r="M133">
            <v>20</v>
          </cell>
          <cell r="N133" t="str">
            <v>书籍恐惧症（Bibliophobia）：对书籍的恐惧。</v>
          </cell>
          <cell r="S133">
            <v>20</v>
          </cell>
          <cell r="T133" t="str">
            <v>磨牙癖（Bruxomania）：无法克制磨牙的冲动。</v>
          </cell>
        </row>
        <row r="134">
          <cell r="M134">
            <v>21</v>
          </cell>
          <cell r="N134" t="str">
            <v>植物恐惧症（Botanophobia）：对植物的恐惧。</v>
          </cell>
          <cell r="S134">
            <v>21</v>
          </cell>
          <cell r="T134" t="str">
            <v>灵臆症（Cacodemomania）：病态地坚信自己已被一个邪恶的灵体占据。</v>
          </cell>
        </row>
        <row r="135">
          <cell r="M135">
            <v>22</v>
          </cell>
          <cell r="N135" t="str">
            <v>美女恐惧症（Caligynephobia）：对美貌女性的恐惧。</v>
          </cell>
          <cell r="S135">
            <v>22</v>
          </cell>
          <cell r="T135" t="str">
            <v>美貌狂（Callomania）：痴迷于自身的美貌。</v>
          </cell>
        </row>
        <row r="136">
          <cell r="M136">
            <v>23</v>
          </cell>
          <cell r="N136" t="str">
            <v>寒冷恐惧症（Cheimaphobia）：对寒冷的恐惧。</v>
          </cell>
          <cell r="S136">
            <v>23</v>
          </cell>
          <cell r="T136" t="str">
            <v>地图狂（Cartacoethes）：在何时何处都无法控制查阅地图的冲动。</v>
          </cell>
        </row>
        <row r="137">
          <cell r="M137">
            <v>24</v>
          </cell>
          <cell r="N137" t="str">
            <v>恐钟表症（Chronomentrophobia）：对于钟表的恐惧。</v>
          </cell>
          <cell r="S137">
            <v>24</v>
          </cell>
          <cell r="T137" t="str">
            <v>跳跃狂（Catapedamania）：痴迷于从高处跳下。</v>
          </cell>
        </row>
        <row r="138">
          <cell r="M138">
            <v>25</v>
          </cell>
          <cell r="N138" t="str">
            <v>幽闭恐惧症（Claustrophobia）：对于处在封闭的空间中的恐惧。</v>
          </cell>
          <cell r="S138">
            <v>25</v>
          </cell>
          <cell r="T138" t="str">
            <v>喜冷症（Cheimatomania）：对寒冷或寒冷的物体的反常喜爱。</v>
          </cell>
        </row>
        <row r="139">
          <cell r="M139">
            <v>26</v>
          </cell>
          <cell r="N139" t="str">
            <v>小丑恐惧症（Coulrophobia）：对小丑的恐惧。</v>
          </cell>
          <cell r="S139">
            <v>26</v>
          </cell>
          <cell r="T139" t="str">
            <v>舞蹈狂（Choreomania）：无法控制地起舞或发颤。</v>
          </cell>
        </row>
        <row r="140">
          <cell r="M140">
            <v>27</v>
          </cell>
          <cell r="N140" t="str">
            <v>恐犬症（Cynophobia）：对狗的恐惧。</v>
          </cell>
          <cell r="S140">
            <v>27</v>
          </cell>
          <cell r="T140" t="str">
            <v>恋床癖（Clinomania）：过度地热爱待在床上。</v>
          </cell>
        </row>
        <row r="141">
          <cell r="M141">
            <v>28</v>
          </cell>
          <cell r="N141" t="str">
            <v>恶魔恐惧症（Demonophobia）：对邪灵或恶魔的恐惧。</v>
          </cell>
          <cell r="S141">
            <v>28</v>
          </cell>
          <cell r="T141" t="str">
            <v>恋墓狂（Coimetormania）：痴迷于墓地。</v>
          </cell>
        </row>
        <row r="142">
          <cell r="M142">
            <v>29</v>
          </cell>
          <cell r="N142" t="str">
            <v>人群恐惧症（Demophobia）：对人群的恐惧。</v>
          </cell>
          <cell r="S142">
            <v>29</v>
          </cell>
          <cell r="T142" t="str">
            <v>色彩狂（Coloromania）：痴迷于某种颜色。</v>
          </cell>
        </row>
        <row r="143">
          <cell r="M143">
            <v>30</v>
          </cell>
          <cell r="N143" t="str">
            <v>牙科恐惧症①（Dentophobia）：对牙医的恐惧。</v>
          </cell>
          <cell r="S143">
            <v>30</v>
          </cell>
          <cell r="T143" t="str">
            <v>小丑狂（Coulromania）：痴迷于小丑。</v>
          </cell>
        </row>
        <row r="144">
          <cell r="M144">
            <v>31</v>
          </cell>
          <cell r="N144" t="str">
            <v>丢弃恐惧症（Disposophobia）：对于丢弃物件的恐惧（贮藏癖）。</v>
          </cell>
          <cell r="S144">
            <v>31</v>
          </cell>
          <cell r="T144" t="str">
            <v>恐惧狂（Countermania）：执着于经历恐怖的场面。</v>
          </cell>
        </row>
        <row r="145">
          <cell r="M145">
            <v>32</v>
          </cell>
          <cell r="N145" t="str">
            <v>皮毛恐惧症（Doraphobia）：对动物皮毛的恐惧。</v>
          </cell>
          <cell r="S145">
            <v>32</v>
          </cell>
          <cell r="T145" t="str">
            <v>杀戮癖（Dacnomania）：痴迷于杀戮。</v>
          </cell>
        </row>
        <row r="146">
          <cell r="M146">
            <v>33</v>
          </cell>
          <cell r="N146" t="str">
            <v>过马路恐惧症（Dromophobia）：对于过马路的恐惧。</v>
          </cell>
          <cell r="S146">
            <v>33</v>
          </cell>
          <cell r="T146" t="str">
            <v>魔臆症（Demonomania）：病态地坚信自己已被恶魔附身。</v>
          </cell>
        </row>
        <row r="147">
          <cell r="M147">
            <v>34</v>
          </cell>
          <cell r="N147" t="str">
            <v>教堂恐惧症（Ecclesiophobia）：对教堂的恐惧。</v>
          </cell>
          <cell r="S147">
            <v>34</v>
          </cell>
          <cell r="T147" t="str">
            <v>抓挠癖（Dermatillomania）：执着于抓挠自己的皮肤。</v>
          </cell>
        </row>
        <row r="148">
          <cell r="M148">
            <v>35</v>
          </cell>
          <cell r="N148" t="str">
            <v>镜子恐惧症（Eisoptrophobia）：对镜子的恐惧。</v>
          </cell>
          <cell r="S148">
            <v>35</v>
          </cell>
          <cell r="T148" t="str">
            <v>正义狂（Dikemania）：痴迷于目睹正义被伸张。</v>
          </cell>
        </row>
        <row r="149">
          <cell r="M149">
            <v>36</v>
          </cell>
          <cell r="N149" t="str">
            <v>针尖恐惧症（Enetophobia）：对针或大头针的恐惧。</v>
          </cell>
          <cell r="S149">
            <v>36</v>
          </cell>
          <cell r="T149" t="str">
            <v>嗜酒狂（Dipsomania）：反常地渴求酒精。</v>
          </cell>
        </row>
        <row r="150">
          <cell r="M150">
            <v>37</v>
          </cell>
          <cell r="N150" t="str">
            <v>昆虫恐惧症（Entomophobia）：对昆虫的恐惧。</v>
          </cell>
          <cell r="S150">
            <v>37</v>
          </cell>
          <cell r="T150" t="str">
            <v>毛皮狂（Doramania）：痴迷于拥有毛皮。（存疑）</v>
          </cell>
        </row>
        <row r="151">
          <cell r="M151">
            <v>38</v>
          </cell>
          <cell r="N151" t="str">
            <v>恐猫症（Felinophobia）：对猫的恐惧。</v>
          </cell>
          <cell r="S151">
            <v>38</v>
          </cell>
          <cell r="T151" t="str">
            <v>赠物癖（Doromania）：痴迷于赠送礼物。</v>
          </cell>
        </row>
        <row r="152">
          <cell r="M152">
            <v>39</v>
          </cell>
          <cell r="N152" t="str">
            <v>过桥恐惧症（Gephyrophobia）：对于过桥的恐惧。</v>
          </cell>
          <cell r="S152">
            <v>39</v>
          </cell>
          <cell r="T152" t="str">
            <v>漂泊症（Drapetomania）：执着于逃离。</v>
          </cell>
        </row>
        <row r="153">
          <cell r="M153">
            <v>40</v>
          </cell>
          <cell r="N153" t="str">
            <v>恐老症（Gerontophobia）：对于老年人或变老的恐惧。</v>
          </cell>
          <cell r="S153">
            <v>40</v>
          </cell>
          <cell r="T153" t="str">
            <v>漫游癖（Ecdemiomania）：执着于四处漫游。</v>
          </cell>
        </row>
        <row r="154">
          <cell r="M154">
            <v>41</v>
          </cell>
          <cell r="N154" t="str">
            <v>恐女症（Gynophobia）：对女性的恐惧。</v>
          </cell>
          <cell r="S154">
            <v>41</v>
          </cell>
          <cell r="T154" t="str">
            <v>自恋狂（Egomania）：近乎病态地以自我为中心或自我崇拜。</v>
          </cell>
        </row>
        <row r="155">
          <cell r="M155">
            <v>42</v>
          </cell>
          <cell r="N155" t="str">
            <v>恐血症（Haemaphobia）：对血的恐惧。</v>
          </cell>
          <cell r="S155">
            <v>42</v>
          </cell>
          <cell r="T155" t="str">
            <v>职业狂（Empleomania）：对于工作的无尽病态渴求。</v>
          </cell>
        </row>
        <row r="156">
          <cell r="M156">
            <v>43</v>
          </cell>
          <cell r="N156" t="str">
            <v>宗教罪行恐惧症（Hamartophobia）：对宗教罪行的恐惧。</v>
          </cell>
          <cell r="S156">
            <v>43</v>
          </cell>
          <cell r="T156" t="str">
            <v>臆罪症（Enosimania）：病态地坚信自己带有罪孽。</v>
          </cell>
        </row>
        <row r="157">
          <cell r="M157">
            <v>44</v>
          </cell>
          <cell r="N157" t="str">
            <v>触摸恐惧症（Haphophobia）：对于被触摸的恐惧。</v>
          </cell>
          <cell r="S157">
            <v>44</v>
          </cell>
          <cell r="T157" t="str">
            <v>学识狂（Epistemomania）：痴迷于获取学识。</v>
          </cell>
        </row>
        <row r="158">
          <cell r="M158">
            <v>45</v>
          </cell>
          <cell r="N158" t="str">
            <v>爬虫恐惧症（Herpetophobia）：对爬行动物的恐惧。</v>
          </cell>
          <cell r="S158">
            <v>45</v>
          </cell>
          <cell r="T158" t="str">
            <v>静止癖（Eremiomania）：执着于保持安静。</v>
          </cell>
        </row>
        <row r="159">
          <cell r="M159">
            <v>46</v>
          </cell>
          <cell r="N159" t="str">
            <v>迷雾恐惧症（Homichlophobia）：对雾的恐惧。</v>
          </cell>
          <cell r="S159">
            <v>46</v>
          </cell>
          <cell r="T159" t="str">
            <v>乙醚上瘾（Etheromania）：渴求乙醚。</v>
          </cell>
        </row>
        <row r="160">
          <cell r="M160">
            <v>47</v>
          </cell>
          <cell r="N160" t="str">
            <v>火器恐惧症（Hoplophobia）：对火器的恐惧。</v>
          </cell>
          <cell r="S160">
            <v>47</v>
          </cell>
          <cell r="T160" t="str">
            <v>求婚狂（Gamomania）：痴迷于进行奇特的求婚。</v>
          </cell>
        </row>
        <row r="161">
          <cell r="M161">
            <v>48</v>
          </cell>
          <cell r="N161" t="str">
            <v>恐水症（Hydrophobia）：对水的恐惧。</v>
          </cell>
          <cell r="S161">
            <v>48</v>
          </cell>
          <cell r="T161" t="str">
            <v>狂笑癖（Geliomania）：无法自制地，强迫性的大笑。</v>
          </cell>
        </row>
        <row r="162">
          <cell r="M162">
            <v>49</v>
          </cell>
          <cell r="N162" t="str">
            <v>催眠恐惧症①（Hypnophobia）：对于睡眠或被催眠的恐惧。</v>
          </cell>
          <cell r="S162">
            <v>49</v>
          </cell>
          <cell r="T162" t="str">
            <v>巫术狂（Goetomania）：痴迷于女巫与巫术。</v>
          </cell>
        </row>
        <row r="163">
          <cell r="M163">
            <v>50</v>
          </cell>
          <cell r="N163" t="str">
            <v>白袍恐惧症（Iatrophobia）：对医生的恐惧。</v>
          </cell>
          <cell r="S163">
            <v>50</v>
          </cell>
          <cell r="T163" t="str">
            <v>写作癖（Graphomania）：痴迷于将每一件事写下来。</v>
          </cell>
        </row>
        <row r="164">
          <cell r="M164">
            <v>51</v>
          </cell>
          <cell r="N164" t="str">
            <v>鱼类恐惧症（Ichthyophobia）：对鱼的恐惧。</v>
          </cell>
          <cell r="S164">
            <v>51</v>
          </cell>
          <cell r="T164" t="str">
            <v>裸体狂（Gymnomania）：执着于裸露身体。</v>
          </cell>
        </row>
        <row r="165">
          <cell r="M165">
            <v>52</v>
          </cell>
          <cell r="N165" t="str">
            <v>蟑螂恐惧症（Katsaridaphobia）：对蟑螂的恐惧。</v>
          </cell>
          <cell r="S165">
            <v>52</v>
          </cell>
          <cell r="T165" t="str">
            <v>妄想狂（Habromania）：近乎病态地充满愉快的妄想（而不顾现实状况如何）。</v>
          </cell>
        </row>
        <row r="166">
          <cell r="M166">
            <v>53</v>
          </cell>
          <cell r="N166" t="str">
            <v>雷鸣恐惧症（Keraunophobia）：对雷声的恐惧。</v>
          </cell>
          <cell r="S166">
            <v>53</v>
          </cell>
          <cell r="T166" t="str">
            <v>蠕虫狂（Helminthomania）：过度地喜爱蠕虫。</v>
          </cell>
        </row>
        <row r="167">
          <cell r="M167">
            <v>54</v>
          </cell>
          <cell r="N167" t="str">
            <v>蔬菜恐惧症（Lachanophobia）：对蔬菜的恐惧。</v>
          </cell>
          <cell r="S167">
            <v>54</v>
          </cell>
          <cell r="T167" t="str">
            <v>枪械狂（Hoplomania）：痴迷于火器。</v>
          </cell>
        </row>
        <row r="168">
          <cell r="M168">
            <v>55</v>
          </cell>
          <cell r="N168" t="str">
            <v>噪音恐惧症（Ligyrophobia）：对刺耳噪音的恐惧。</v>
          </cell>
          <cell r="S168">
            <v>55</v>
          </cell>
          <cell r="T168" t="str">
            <v>饮水狂（Hydromania）：反常地渴求水分。</v>
          </cell>
        </row>
        <row r="169">
          <cell r="M169">
            <v>56</v>
          </cell>
          <cell r="N169" t="str">
            <v>恐湖症（Limnophobia）：对湖泊的恐惧。</v>
          </cell>
          <cell r="S169">
            <v>56</v>
          </cell>
          <cell r="T169" t="str">
            <v>喜鱼癖（Ichthyomania）：痴迷于鱼类。</v>
          </cell>
        </row>
        <row r="170">
          <cell r="M170">
            <v>57</v>
          </cell>
          <cell r="N170" t="str">
            <v>机械恐惧症（Mechanophobia）：对机器或机械的恐惧。</v>
          </cell>
          <cell r="S170">
            <v>57</v>
          </cell>
          <cell r="T170" t="str">
            <v>图标狂（Iconomania）：痴迷于图标与肖像</v>
          </cell>
        </row>
        <row r="171">
          <cell r="M171">
            <v>58</v>
          </cell>
          <cell r="N171" t="str">
            <v>巨物恐惧症（Megalophobia）：对于庞大物件的恐惧。</v>
          </cell>
          <cell r="S171">
            <v>58</v>
          </cell>
          <cell r="T171" t="str">
            <v>偶像狂（Idolomania）：痴迷于甚至愿献身于某个偶像。</v>
          </cell>
        </row>
        <row r="172">
          <cell r="M172">
            <v>59</v>
          </cell>
          <cell r="N172" t="str">
            <v>捆绑恐惧症（Merinthophobia）：对于被捆绑或紧缚的恐惧。</v>
          </cell>
          <cell r="S172">
            <v>59</v>
          </cell>
          <cell r="T172" t="str">
            <v>信息狂（Infomania）：痴迷于积累各种信息与资讯。</v>
          </cell>
        </row>
        <row r="173">
          <cell r="M173">
            <v>60</v>
          </cell>
          <cell r="N173" t="str">
            <v>流星恐惧症（Meteorophobia）：对流星或陨石的恐惧。</v>
          </cell>
          <cell r="S173">
            <v>60</v>
          </cell>
          <cell r="T173" t="str">
            <v>射击狂（Klazomania）：反常地执着于射击。</v>
          </cell>
        </row>
        <row r="174">
          <cell r="M174">
            <v>61</v>
          </cell>
          <cell r="N174" t="str">
            <v>孤独恐惧症（Monophobia）：对于一人独处的恐惧。</v>
          </cell>
          <cell r="S174">
            <v>61</v>
          </cell>
          <cell r="T174" t="str">
            <v>偷窃癖（Kleptomania）：反常地执着于偷窃。</v>
          </cell>
        </row>
        <row r="175">
          <cell r="M175">
            <v>62</v>
          </cell>
          <cell r="N175" t="str">
            <v>不洁恐惧症（Mysophobia）：对污垢或污染的恐惧。</v>
          </cell>
          <cell r="S175">
            <v>62</v>
          </cell>
          <cell r="T175" t="str">
            <v>噪音癖（Ligyromania）：无法自制地执着于制造响亮或刺耳的噪音。</v>
          </cell>
        </row>
        <row r="176">
          <cell r="M176">
            <v>63</v>
          </cell>
          <cell r="N176" t="str">
            <v>黏液恐惧症（Myxophobia）：对黏液（史莱姆）的恐惧。</v>
          </cell>
          <cell r="S176">
            <v>63</v>
          </cell>
          <cell r="T176" t="str">
            <v>喜线癖（Linonomania）：痴迷于线绳。</v>
          </cell>
        </row>
        <row r="177">
          <cell r="M177">
            <v>64</v>
          </cell>
          <cell r="N177" t="str">
            <v>尸体恐惧症（Necrophobia）：对尸体的恐惧。</v>
          </cell>
          <cell r="S177">
            <v>64</v>
          </cell>
          <cell r="T177" t="str">
            <v>彩票狂（Lotterymania）：极端地执着于购买彩票。</v>
          </cell>
        </row>
        <row r="178">
          <cell r="M178">
            <v>65</v>
          </cell>
          <cell r="N178" t="str">
            <v>数字8恐惧症（Octophobia）：对数字 8 的恐惧。</v>
          </cell>
          <cell r="S178">
            <v>65</v>
          </cell>
          <cell r="T178" t="str">
            <v>抑郁症（Lypemania）：近乎病态的重度抑郁倾向。</v>
          </cell>
        </row>
        <row r="179">
          <cell r="M179">
            <v>66</v>
          </cell>
          <cell r="N179" t="str">
            <v>恐牙症（Odontophobia）：对牙齿的恐惧。</v>
          </cell>
          <cell r="S179">
            <v>66</v>
          </cell>
          <cell r="T179" t="str">
            <v>巨石狂（Megalithomania）：当站在石环中或立起的巨石旁时，就会近乎病态地写出各种奇怪的创意。</v>
          </cell>
        </row>
        <row r="180">
          <cell r="M180">
            <v>67</v>
          </cell>
          <cell r="N180" t="str">
            <v>恐梦症（Oneirophobia）：对梦境的恐惧。</v>
          </cell>
          <cell r="S180">
            <v>67</v>
          </cell>
          <cell r="T180" t="str">
            <v>旋律狂（Melomania）：痴迷于音乐或一段特定的旋律。</v>
          </cell>
        </row>
        <row r="181">
          <cell r="M181">
            <v>68</v>
          </cell>
          <cell r="N181" t="str">
            <v>称呼恐惧症（Onomatophobia）：对于特定词语的恐惧。</v>
          </cell>
          <cell r="S181">
            <v>68</v>
          </cell>
          <cell r="T181" t="str">
            <v>作诗癖（Metromania）：无法抑制地想要不停作诗。</v>
          </cell>
        </row>
        <row r="182">
          <cell r="M182">
            <v>69</v>
          </cell>
          <cell r="N182" t="str">
            <v>恐蛇症（Ophidiophobia）：对蛇的恐惧。</v>
          </cell>
          <cell r="S182">
            <v>69</v>
          </cell>
          <cell r="T182" t="str">
            <v>憎恨癖（Misomania）：憎恨一切事物，痴迷于憎恨某个事物或团体。</v>
          </cell>
        </row>
        <row r="183">
          <cell r="M183">
            <v>70</v>
          </cell>
          <cell r="N183" t="str">
            <v>恐鸟症（Ornithophobia）：对鸟的恐惧。</v>
          </cell>
          <cell r="S183">
            <v>70</v>
          </cell>
          <cell r="T183" t="str">
            <v>偏执狂（Monomania）：近乎病态地痴迷与专注某个特定的想法或创意。</v>
          </cell>
        </row>
        <row r="184">
          <cell r="M184">
            <v>71</v>
          </cell>
          <cell r="N184" t="str">
            <v>寄生虫恐惧症（Parasitophobia）：对寄生虫的恐惧。</v>
          </cell>
          <cell r="S184">
            <v>71</v>
          </cell>
          <cell r="T184" t="str">
            <v>夸大癖（Mythomania）：以一种近乎病态的程度说谎或夸大事物。</v>
          </cell>
        </row>
        <row r="185">
          <cell r="M185">
            <v>72</v>
          </cell>
          <cell r="N185" t="str">
            <v>人偶恐惧症（Pediophobia）：对人偶的恐惧。</v>
          </cell>
          <cell r="S185">
            <v>72</v>
          </cell>
          <cell r="T185" t="str">
            <v>臆想症（Nosomania）：妄想自己正在被某种臆想出的疾病折磨。</v>
          </cell>
        </row>
        <row r="186">
          <cell r="M186">
            <v>73</v>
          </cell>
          <cell r="N186" t="str">
            <v>吞咽恐惧症（Phagophobia）：对于吞咽或被吞咽的恐惧。</v>
          </cell>
          <cell r="S186">
            <v>73</v>
          </cell>
          <cell r="T186" t="str">
            <v>记录癖（Notomania）：执着于记录一切事物（例如摄影）</v>
          </cell>
        </row>
        <row r="187">
          <cell r="M187">
            <v>74</v>
          </cell>
          <cell r="N187" t="str">
            <v>药物恐惧症（Pharmacophobia）：对药物的恐惧。</v>
          </cell>
          <cell r="S187">
            <v>74</v>
          </cell>
          <cell r="T187" t="str">
            <v>恋名狂（Onomamania）：痴迷于名字（人物的、地点的、事物的）</v>
          </cell>
        </row>
        <row r="188">
          <cell r="M188">
            <v>75</v>
          </cell>
          <cell r="N188" t="str">
            <v>幽灵恐惧症（Phasmophobia）：对鬼魂的恐惧。</v>
          </cell>
          <cell r="S188">
            <v>75</v>
          </cell>
          <cell r="T188" t="str">
            <v>称名癖（Onomatomania）：无法抑制地不断重复某个词语的冲动。</v>
          </cell>
        </row>
        <row r="189">
          <cell r="M189">
            <v>76</v>
          </cell>
          <cell r="N189" t="str">
            <v>日光恐惧症（Phenogophobia）：对日光的恐惧。</v>
          </cell>
          <cell r="S189">
            <v>76</v>
          </cell>
          <cell r="T189" t="str">
            <v>剔指癖（Onychotillomania）：执着于剔指甲。</v>
          </cell>
        </row>
        <row r="190">
          <cell r="M190">
            <v>77</v>
          </cell>
          <cell r="N190" t="str">
            <v>胡须恐惧症（Pogonophobia）：对胡须的恐惧。</v>
          </cell>
          <cell r="S190">
            <v>77</v>
          </cell>
          <cell r="T190" t="str">
            <v>恋食癖（Opsomania）：对某种食物的病态热爱。</v>
          </cell>
        </row>
        <row r="191">
          <cell r="M191">
            <v>78</v>
          </cell>
          <cell r="N191" t="str">
            <v>河流恐惧症（Potamophobia）：对河流的恐惧。</v>
          </cell>
          <cell r="S191">
            <v>78</v>
          </cell>
          <cell r="T191" t="str">
            <v>抱怨癖（Paramania）：一种在抱怨时产生的近乎病态的愉悦感。</v>
          </cell>
        </row>
        <row r="192">
          <cell r="M192">
            <v>79</v>
          </cell>
          <cell r="N192" t="str">
            <v>酒精恐惧症（Potophobia）：对酒或酒精的恐惧。</v>
          </cell>
          <cell r="S192">
            <v>79</v>
          </cell>
          <cell r="T192" t="str">
            <v>面具狂（Personamania）：执着于佩戴面具。</v>
          </cell>
        </row>
        <row r="193">
          <cell r="M193">
            <v>80</v>
          </cell>
          <cell r="N193" t="str">
            <v>恐火症（Pyrophobia）：对火的恐惧。</v>
          </cell>
          <cell r="S193">
            <v>80</v>
          </cell>
          <cell r="T193" t="str">
            <v>幽灵狂（Phasmomania）：痴迷于幽灵。</v>
          </cell>
        </row>
        <row r="194">
          <cell r="M194">
            <v>81</v>
          </cell>
          <cell r="N194" t="str">
            <v>魔法恐惧症（Rhabdophobia）：对魔法的恐惧。</v>
          </cell>
          <cell r="S194">
            <v>81</v>
          </cell>
          <cell r="T194" t="str">
            <v>谋杀癖（Phonomania）：病态的谋杀倾向。</v>
          </cell>
        </row>
        <row r="195">
          <cell r="M195">
            <v>82</v>
          </cell>
          <cell r="N195" t="str">
            <v>黑暗恐惧症（Scotophobia）：对黑暗或夜晚的恐惧。</v>
          </cell>
          <cell r="S195">
            <v>82</v>
          </cell>
          <cell r="T195" t="str">
            <v>渴光癖（Photomania）：对光的病态渴求。</v>
          </cell>
        </row>
        <row r="196">
          <cell r="M196">
            <v>83</v>
          </cell>
          <cell r="N196" t="str">
            <v>恐月症（Selenophobia）：对月亮的恐惧。</v>
          </cell>
          <cell r="S196">
            <v>83</v>
          </cell>
          <cell r="T196" t="str">
            <v>背德癖（Planomania）：病态地渴求违背社会道德（原文如此，存疑，Planomania 实际上是漂泊症）</v>
          </cell>
        </row>
        <row r="197">
          <cell r="M197">
            <v>84</v>
          </cell>
          <cell r="N197" t="str">
            <v>火车恐惧症（Siderodromophobia）：对于乘坐火车出行的恐惧。</v>
          </cell>
          <cell r="S197">
            <v>84</v>
          </cell>
          <cell r="T197" t="str">
            <v>求财癖（Plutomania）：对财富的强迫性的渴望。</v>
          </cell>
        </row>
        <row r="198">
          <cell r="M198">
            <v>85</v>
          </cell>
          <cell r="N198" t="str">
            <v>恐星症（Siderophobia）：对星星的恐惧。</v>
          </cell>
          <cell r="S198">
            <v>85</v>
          </cell>
          <cell r="T198" t="str">
            <v>欺骗狂（Pseudomania）：无法抑制的执着于撒谎。</v>
          </cell>
        </row>
        <row r="199">
          <cell r="M199">
            <v>86</v>
          </cell>
          <cell r="N199" t="str">
            <v>狭室恐惧症（Stenophobia）：对狭小物件或地点的恐惧。</v>
          </cell>
          <cell r="S199">
            <v>86</v>
          </cell>
          <cell r="T199" t="str">
            <v>纵火狂（Pyromania）：执着于纵火。</v>
          </cell>
        </row>
        <row r="200">
          <cell r="M200">
            <v>87</v>
          </cell>
          <cell r="N200" t="str">
            <v>对称恐惧症（Symmetrophobia）：对对称的恐惧。</v>
          </cell>
          <cell r="S200">
            <v>87</v>
          </cell>
          <cell r="T200" t="str">
            <v>提问狂（Questiong-Asking Mania）：执着于提问。</v>
          </cell>
        </row>
        <row r="201">
          <cell r="M201">
            <v>88</v>
          </cell>
          <cell r="N201" t="str">
            <v>活埋恐惧症（Taphephobia）：对于被活埋或墓地的恐惧。</v>
          </cell>
          <cell r="S201">
            <v>88</v>
          </cell>
          <cell r="T201" t="str">
            <v>挖鼻癖（Rhinotillexomania）：执着于挖鼻子。</v>
          </cell>
        </row>
        <row r="202">
          <cell r="M202">
            <v>89</v>
          </cell>
          <cell r="N202" t="str">
            <v>公牛恐惧症（Taurophobia）：对公牛的恐惧。</v>
          </cell>
          <cell r="S202">
            <v>89</v>
          </cell>
          <cell r="T202" t="str">
            <v>涂鸦癖（Scribbleomania）：沉迷于涂鸦。</v>
          </cell>
        </row>
        <row r="203">
          <cell r="M203">
            <v>90</v>
          </cell>
          <cell r="N203" t="str">
            <v>电话恐惧症（Telephonophobia）：对电话的恐惧。</v>
          </cell>
          <cell r="S203">
            <v>90</v>
          </cell>
          <cell r="T203" t="str">
            <v>列车狂（Siderodromomania）：认为火车或类似的依靠轨道交通的旅行方式充满魅力。</v>
          </cell>
        </row>
        <row r="204">
          <cell r="M204">
            <v>91</v>
          </cell>
          <cell r="N204" t="str">
            <v>怪物恐惧症①（Teratophobia）：对怪物的恐惧。</v>
          </cell>
          <cell r="S204">
            <v>91</v>
          </cell>
          <cell r="T204" t="str">
            <v>臆智症（Sophomania）：臆想自己拥有难以置信的智慧。</v>
          </cell>
        </row>
        <row r="205">
          <cell r="M205">
            <v>92</v>
          </cell>
          <cell r="N205" t="str">
            <v>深海恐惧症（Thalassophobia）：对海洋的恐惧。</v>
          </cell>
          <cell r="S205">
            <v>92</v>
          </cell>
          <cell r="T205" t="str">
            <v>科技狂（Technomania）：痴迷于新的科技。</v>
          </cell>
        </row>
        <row r="206">
          <cell r="M206">
            <v>93</v>
          </cell>
          <cell r="N206" t="str">
            <v>手术恐惧症（Tomophobia）：对外科手术的恐惧。</v>
          </cell>
          <cell r="S206">
            <v>93</v>
          </cell>
          <cell r="T206" t="str">
            <v>臆咒狂（Thanatomania）：坚信自己已被某种死亡魔法所诅咒。</v>
          </cell>
        </row>
        <row r="207">
          <cell r="M207">
            <v>94</v>
          </cell>
          <cell r="N207" t="str">
            <v>十三恐惧症（Triskadekaphobia）：对数字 13 的恐惧症。</v>
          </cell>
          <cell r="S207">
            <v>94</v>
          </cell>
          <cell r="T207" t="str">
            <v>臆神狂（Theomania）：坚信自己是一位神灵。</v>
          </cell>
        </row>
        <row r="208">
          <cell r="M208">
            <v>95</v>
          </cell>
          <cell r="N208" t="str">
            <v>衣物恐惧症（Vestiphobia）：对衣物的恐惧。</v>
          </cell>
          <cell r="S208">
            <v>95</v>
          </cell>
          <cell r="T208" t="str">
            <v>抓挠癖（Titillomaniac）：抓挠自己的强迫倾向。</v>
          </cell>
        </row>
        <row r="209">
          <cell r="M209">
            <v>96</v>
          </cell>
          <cell r="N209" t="str">
            <v>女巫恐惧症（Wiccaphobia）：对女巫与巫术的恐惧。</v>
          </cell>
          <cell r="S209">
            <v>96</v>
          </cell>
          <cell r="T209" t="str">
            <v>手术狂（Tomomania）：对进行手术的不正常爱好。</v>
          </cell>
        </row>
        <row r="210">
          <cell r="M210">
            <v>97</v>
          </cell>
          <cell r="N210" t="str">
            <v>黄色恐惧症（Xanthophobia）：对黄色或“黄”字的恐惧。</v>
          </cell>
          <cell r="S210">
            <v>97</v>
          </cell>
          <cell r="T210" t="str">
            <v>拔毛癖（Trichotillomania）：执着于拔下自己的头发。</v>
          </cell>
        </row>
        <row r="211">
          <cell r="M211">
            <v>98</v>
          </cell>
          <cell r="N211" t="str">
            <v>外语恐惧症（Xenoglossophobia）：对外语的恐惧。</v>
          </cell>
          <cell r="S211">
            <v>98</v>
          </cell>
          <cell r="T211" t="str">
            <v>臆盲症（Typhlomania）：病理性的失明。</v>
          </cell>
        </row>
        <row r="212">
          <cell r="M212">
            <v>99</v>
          </cell>
          <cell r="N212" t="str">
            <v>异域恐惧症（Xenophobia）：对陌生人或外国人的恐惧。</v>
          </cell>
          <cell r="S212">
            <v>99</v>
          </cell>
          <cell r="T212" t="str">
            <v>嗜外狂（Xenomania）：痴迷于异国的事物。</v>
          </cell>
        </row>
        <row r="213">
          <cell r="M213">
            <v>100</v>
          </cell>
          <cell r="N213" t="str">
            <v>动物恐惧症（Zoophobia）：对动物的恐惧。</v>
          </cell>
          <cell r="S213">
            <v>100</v>
          </cell>
          <cell r="T213" t="str">
            <v>喜兽癖（Zoomania）：对待动物的态度近乎疯狂地友好。</v>
          </cell>
        </row>
      </sheetData>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3" Type="http://schemas.openxmlformats.org/officeDocument/2006/relationships/hyperlink" Target="https://skring.lanzouq.com/iamGb22h7yle" TargetMode="External"/><Relationship Id="rId2" Type="http://schemas.openxmlformats.org/officeDocument/2006/relationships/hyperlink" Target="https://skring.lanzouq.com/iOnEb22h7ysb" TargetMode="External"/><Relationship Id="rId1" Type="http://schemas.openxmlformats.org/officeDocument/2006/relationships/hyperlink" Target="https://skring.lanzouq.com/i1SvX22h7ypi" TargetMode="External"/><Relationship Id="rId6" Type="http://schemas.openxmlformats.org/officeDocument/2006/relationships/hyperlink" Target="https://skring.lanzouq.com/b00rn1x7ra" TargetMode="External"/><Relationship Id="rId5" Type="http://schemas.openxmlformats.org/officeDocument/2006/relationships/hyperlink" Target="https://skring.lanzouq.com/i3ha022h7yeh" TargetMode="External"/><Relationship Id="rId4" Type="http://schemas.openxmlformats.org/officeDocument/2006/relationships/hyperlink" Target="https://skring.lanzouq.com/iW8ws22h7yoh"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W171"/>
  <sheetViews>
    <sheetView showGridLines="0" tabSelected="1" topLeftCell="A7" zoomScaleNormal="100" workbookViewId="0">
      <selection activeCell="BT11" sqref="BT11:BU11"/>
    </sheetView>
  </sheetViews>
  <sheetFormatPr defaultColWidth="4.08984375" defaultRowHeight="18" customHeight="1" outlineLevelRow="2" outlineLevelCol="2"/>
  <cols>
    <col min="2" max="40" width="3.81640625" hidden="1" customWidth="1" outlineLevel="2"/>
    <col min="41" max="41" width="3.81640625" customWidth="1" outlineLevel="1" collapsed="1"/>
    <col min="42" max="43" width="3.81640625" customWidth="1" outlineLevel="1"/>
    <col min="44" max="47" width="3.08984375" hidden="1" customWidth="1" outlineLevel="2"/>
    <col min="48" max="48" width="4.08984375" customWidth="1" outlineLevel="1" collapsed="1"/>
    <col min="49" max="50" width="4.08984375" customWidth="1" outlineLevel="1"/>
    <col min="51" max="51" width="3.08984375" customWidth="1" outlineLevel="2"/>
    <col min="52" max="52" width="3.08984375" style="395" customWidth="1" outlineLevel="2"/>
    <col min="53" max="54" width="3.08984375" style="395"/>
    <col min="55" max="57" width="3.6328125" style="395" customWidth="1"/>
    <col min="58" max="62" width="3.08984375" style="395"/>
    <col min="63" max="65" width="3.6328125" style="395" customWidth="1"/>
    <col min="66" max="69" width="3.08984375" style="395"/>
    <col min="70" max="70" width="4.6328125" style="395" customWidth="1"/>
    <col min="71" max="71" width="3.08984375" style="395" customWidth="1"/>
    <col min="72" max="75" width="3.08984375" style="395"/>
    <col min="76" max="79" width="3.6328125" style="27" customWidth="1"/>
    <col min="80" max="81" width="3.08984375" style="395"/>
    <col min="82" max="82" width="3.81640625" style="395"/>
    <col min="83" max="83" width="3.08984375" style="395"/>
    <col min="84" max="84" width="5.90625" style="395"/>
    <col min="85" max="91" width="3.08984375" style="395"/>
    <col min="92" max="92" width="4.6328125" style="395" customWidth="1"/>
    <col min="93" max="97" width="3.08984375" style="395"/>
    <col min="98" max="120" width="3.08984375" style="395" outlineLevel="1"/>
    <col min="121" max="122" width="3.08984375" style="395" customWidth="1" outlineLevel="1"/>
    <col min="123" max="123" width="3.08984375" style="395" customWidth="1"/>
    <col min="124" max="147" width="3.08984375" style="395" hidden="1" customWidth="1" outlineLevel="2"/>
    <col min="148" max="148" width="3.08984375" style="395" customWidth="1" collapsed="1"/>
    <col min="149" max="164" width="3.08984375" style="395" customWidth="1"/>
    <col min="165" max="168" width="3.08984375" style="395"/>
    <col min="169" max="170" width="3.08984375" style="395" hidden="1" customWidth="1"/>
    <col min="171" max="193" width="3.08984375" style="395"/>
  </cols>
  <sheetData>
    <row r="1" spans="1:121" ht="18" hidden="1" customHeight="1" outlineLevel="1">
      <c r="BA1" s="1563" t="s">
        <v>0</v>
      </c>
      <c r="BB1" s="1564"/>
      <c r="BC1" s="2738" t="s">
        <v>1</v>
      </c>
      <c r="BD1" s="2738"/>
      <c r="BE1" s="2738"/>
      <c r="BF1" s="2738"/>
      <c r="BG1" s="2738"/>
      <c r="BH1" s="2748" t="s">
        <v>2</v>
      </c>
      <c r="BI1" s="2748"/>
      <c r="BJ1" s="2748"/>
      <c r="BK1" s="2748"/>
      <c r="BL1" s="2748"/>
      <c r="BM1" s="2748" t="s">
        <v>3</v>
      </c>
      <c r="BN1" s="2748"/>
      <c r="BO1" s="2748"/>
      <c r="BP1" s="2748"/>
      <c r="BQ1" s="2748"/>
      <c r="BR1" s="2748"/>
      <c r="BS1" s="2748" t="s">
        <v>4</v>
      </c>
      <c r="BT1" s="2748"/>
      <c r="BU1" s="2748"/>
      <c r="BV1" s="2748"/>
      <c r="BW1" s="2748"/>
      <c r="BX1" s="1603"/>
      <c r="BY1" s="1566" t="s">
        <v>5</v>
      </c>
      <c r="BZ1" s="1567"/>
      <c r="CA1" s="2749" t="s">
        <v>1</v>
      </c>
      <c r="CB1" s="2750"/>
      <c r="CC1" s="2750"/>
      <c r="CD1" s="2750"/>
      <c r="CE1" s="2750"/>
      <c r="CF1" s="1601" t="s">
        <v>2</v>
      </c>
      <c r="CG1" s="1601"/>
      <c r="CH1" s="1601"/>
      <c r="CI1" s="1601"/>
      <c r="CJ1" s="1601"/>
      <c r="CK1" s="1601" t="s">
        <v>3</v>
      </c>
      <c r="CL1" s="1601"/>
      <c r="CM1" s="1601"/>
      <c r="CN1" s="1601"/>
      <c r="CO1" s="1601"/>
      <c r="CP1" s="1601"/>
      <c r="CQ1" s="1601" t="s">
        <v>4</v>
      </c>
      <c r="CR1" s="1601"/>
      <c r="CS1" s="1601"/>
      <c r="CT1" s="1601"/>
      <c r="CU1" s="1601"/>
      <c r="CV1" s="1601"/>
    </row>
    <row r="2" spans="1:121" ht="18" hidden="1" customHeight="1" outlineLevel="1">
      <c r="BA2" s="1563"/>
      <c r="BB2" s="1565"/>
      <c r="BC2" s="2732" t="s">
        <v>6</v>
      </c>
      <c r="BD2" s="2733"/>
      <c r="BE2" s="2733"/>
      <c r="BF2" s="2733"/>
      <c r="BG2" s="2734"/>
      <c r="BH2" s="2736" t="str">
        <f>_xlfn.XLOOKUP(BC2,成长经历!B34:B71,成长经历!K34:K71)</f>
        <v>好友</v>
      </c>
      <c r="BI2" s="2738"/>
      <c r="BJ2" s="2738"/>
      <c r="BK2" s="2738"/>
      <c r="BL2" s="2738"/>
      <c r="BM2" s="2748" t="str">
        <f>_xlfn.XLOOKUP(BC2,成长经历!B34:B71,成长经历!F34:F71)</f>
        <v>中国上海电车</v>
      </c>
      <c r="BN2" s="2748"/>
      <c r="BO2" s="2748"/>
      <c r="BP2" s="2748"/>
      <c r="BQ2" s="2748"/>
      <c r="BR2" s="2748"/>
      <c r="BS2" s="2748" t="str">
        <f>_xlfn.XLOOKUP(BC2,成长经历!B34:B71,成长经历!U34:U71)</f>
        <v>兴海之路（常暗）</v>
      </c>
      <c r="BT2" s="2748"/>
      <c r="BU2" s="2748"/>
      <c r="BV2" s="2748"/>
      <c r="BW2" s="2748"/>
      <c r="BX2" s="1603"/>
      <c r="BY2" s="1568"/>
      <c r="BZ2" s="1569"/>
      <c r="CA2" s="2751" t="s">
        <v>7</v>
      </c>
      <c r="CB2" s="2752"/>
      <c r="CC2" s="2752"/>
      <c r="CD2" s="2752"/>
      <c r="CE2" s="2753"/>
      <c r="CF2" s="2729" t="str">
        <f>_xlfn.XLOOKUP(CA2,成长经历!AA34:AA71,成长经历!AJ34:AJ71)</f>
        <v>信仰启发者</v>
      </c>
      <c r="CG2" s="2754"/>
      <c r="CH2" s="2754"/>
      <c r="CI2" s="2754"/>
      <c r="CJ2" s="2754"/>
      <c r="CK2" s="1601" t="str">
        <f>_xlfn.XLOOKUP(CA2,成长经历!AA34:AA71,成长经历!AE34:AE71)</f>
        <v>美国牡丹丘</v>
      </c>
      <c r="CL2" s="1601"/>
      <c r="CM2" s="1601"/>
      <c r="CN2" s="1601"/>
      <c r="CO2" s="1601"/>
      <c r="CP2" s="1601"/>
      <c r="CQ2" s="1601" t="str">
        <f>_xlfn.XLOOKUP(CA2,成长经历!AA34:AA71,成长经历!AT34:AT71)</f>
        <v>牡丹丘之泪···</v>
      </c>
      <c r="CR2" s="1601"/>
      <c r="CS2" s="1601"/>
      <c r="CT2" s="1601"/>
      <c r="CU2" s="1601"/>
      <c r="CV2" s="1601"/>
    </row>
    <row r="3" spans="1:121" ht="18" hidden="1" customHeight="1" outlineLevel="1">
      <c r="BA3" s="1601" t="s">
        <v>8</v>
      </c>
      <c r="BB3" s="1601"/>
      <c r="BC3" s="1601"/>
      <c r="BD3" s="2484" t="s">
        <v>9</v>
      </c>
      <c r="BE3" s="2484"/>
      <c r="BF3" s="2484"/>
      <c r="BG3" s="2755"/>
      <c r="BH3" s="2756" t="s">
        <v>10</v>
      </c>
      <c r="BI3" s="2756"/>
      <c r="BJ3" s="2756"/>
      <c r="BK3" s="2757"/>
      <c r="BL3" s="2758" t="s">
        <v>11</v>
      </c>
      <c r="BM3" s="2756"/>
      <c r="BN3" s="2756"/>
      <c r="BO3" s="2757"/>
      <c r="BP3" s="2759" t="s">
        <v>12</v>
      </c>
      <c r="BQ3" s="2759"/>
      <c r="BR3" s="2759" t="s">
        <v>13</v>
      </c>
      <c r="BS3" s="2759"/>
      <c r="BT3" s="2759" t="s">
        <v>14</v>
      </c>
      <c r="BU3" s="2759"/>
      <c r="BV3" s="2759"/>
      <c r="BW3" s="2759"/>
      <c r="BX3" s="2760"/>
      <c r="BY3" s="1603" t="s">
        <v>15</v>
      </c>
      <c r="BZ3" s="1603"/>
      <c r="CA3" s="1603"/>
      <c r="CB3" s="2329" t="s">
        <v>16</v>
      </c>
      <c r="CC3" s="2329"/>
      <c r="CD3" s="2329"/>
      <c r="CE3" s="2761"/>
      <c r="CF3" s="2762" t="s">
        <v>17</v>
      </c>
      <c r="CG3" s="2762"/>
      <c r="CH3" s="2762"/>
      <c r="CI3" s="2763"/>
      <c r="CJ3" s="2764" t="s">
        <v>11</v>
      </c>
      <c r="CK3" s="2762"/>
      <c r="CL3" s="2762"/>
      <c r="CM3" s="2763"/>
      <c r="CN3" s="2765" t="s">
        <v>12</v>
      </c>
      <c r="CO3" s="2765"/>
      <c r="CP3" s="2748" t="s">
        <v>13</v>
      </c>
      <c r="CQ3" s="2748"/>
      <c r="CR3" s="2748" t="s">
        <v>14</v>
      </c>
      <c r="CS3" s="2748"/>
      <c r="CT3" s="2748"/>
      <c r="CU3" s="2748"/>
      <c r="CV3" s="2748"/>
    </row>
    <row r="4" spans="1:121" ht="18" hidden="1" customHeight="1" outlineLevel="1">
      <c r="BA4" s="1601"/>
      <c r="BB4" s="1601"/>
      <c r="BC4" s="1602"/>
      <c r="BD4" s="2725"/>
      <c r="BE4" s="2726"/>
      <c r="BF4" s="2726"/>
      <c r="BG4" s="2727"/>
      <c r="BH4" s="2728" t="str">
        <f>IF(BD4="","",_xlfn.XLOOKUP(BD4,成长经历!B77:B113,成长经历!G77:G113))</f>
        <v/>
      </c>
      <c r="BI4" s="2728"/>
      <c r="BJ4" s="2728"/>
      <c r="BK4" s="2729"/>
      <c r="BL4" s="2730" t="str">
        <f>IF(BD4="","",_xlfn.XLOOKUP(BD4,成长经历!B77:B113,成长经历!L77:L113))</f>
        <v/>
      </c>
      <c r="BM4" s="2728"/>
      <c r="BN4" s="2728"/>
      <c r="BO4" s="2729"/>
      <c r="BP4" s="2730" t="str">
        <f>IF(BD4="","",_xlfn.XLOOKUP(BD4,成长经历!B77:B113,成长经历!Q77:Q113))</f>
        <v/>
      </c>
      <c r="BQ4" s="2729"/>
      <c r="BR4" s="1601" t="str">
        <f>_xlfn.XLOOKUP(BD4,成长经历!B77:B113,成长经历!S77:S113)</f>
        <v>☐</v>
      </c>
      <c r="BS4" s="1601"/>
      <c r="BT4" s="1601" t="str">
        <f>IF(BD4="","",_xlfn.XLOOKUP(BD4,成长经历!B77:B113,成长经历!U77:U113))</f>
        <v/>
      </c>
      <c r="BU4" s="1601"/>
      <c r="BV4" s="1601"/>
      <c r="BW4" s="1601"/>
      <c r="BX4" s="2731"/>
      <c r="BY4" s="1604"/>
      <c r="BZ4" s="1604"/>
      <c r="CA4" s="1605"/>
      <c r="CB4" s="2732"/>
      <c r="CC4" s="2733"/>
      <c r="CD4" s="2733"/>
      <c r="CE4" s="2734"/>
      <c r="CF4" s="2735" t="str">
        <f>IF(CB4="","",_xlfn.XLOOKUP(CB4,成长经历!AB77:AB113,成长经历!AG77:AG113))</f>
        <v/>
      </c>
      <c r="CG4" s="2735"/>
      <c r="CH4" s="2735"/>
      <c r="CI4" s="2736"/>
      <c r="CJ4" s="2737" t="str">
        <f>IF(CB4="","",_xlfn.XLOOKUP(CB4,成长经历!AB77:AB113,成长经历!AL77:AL113))</f>
        <v/>
      </c>
      <c r="CK4" s="2735"/>
      <c r="CL4" s="2735"/>
      <c r="CM4" s="2736"/>
      <c r="CN4" s="2737" t="str">
        <f>IF(CB4="","",_xlfn.XLOOKUP(CB4,成长经历!AB77:AB113,成长经历!AQ77:AQ113))</f>
        <v/>
      </c>
      <c r="CO4" s="2736"/>
      <c r="CP4" s="2738" t="str">
        <f>_xlfn.XLOOKUP(CB4,成长经历!AB77:AB113,成长经历!AS77:AS113)</f>
        <v>☐</v>
      </c>
      <c r="CQ4" s="2738"/>
      <c r="CR4" s="2738" t="str">
        <f>IF(CB4="","",_xlfn.XLOOKUP(CB4,成长经历!AB77:AB113,成长经历!AU77:AU113))</f>
        <v/>
      </c>
      <c r="CS4" s="2738"/>
      <c r="CT4" s="2738"/>
      <c r="CU4" s="2738"/>
      <c r="CV4" s="2738"/>
    </row>
    <row r="5" spans="1:121" ht="18" hidden="1" customHeight="1" outlineLevel="1">
      <c r="BA5" s="1593" t="s">
        <v>18</v>
      </c>
      <c r="BB5" s="1594"/>
      <c r="BC5" s="2739" t="s">
        <v>19</v>
      </c>
      <c r="BD5" s="2740"/>
      <c r="BE5" s="2741"/>
      <c r="BF5" s="2742" t="s">
        <v>10</v>
      </c>
      <c r="BG5" s="2743"/>
      <c r="BH5" s="1594"/>
      <c r="BI5" s="1595" t="s">
        <v>20</v>
      </c>
      <c r="BJ5" s="1594"/>
      <c r="BK5" s="1595" t="s">
        <v>21</v>
      </c>
      <c r="BL5" s="1594"/>
      <c r="BM5" s="1595" t="s">
        <v>22</v>
      </c>
      <c r="BN5" s="1594"/>
      <c r="BO5" s="1595" t="s">
        <v>23</v>
      </c>
      <c r="BP5" s="1594"/>
      <c r="BQ5" s="2744" t="s">
        <v>24</v>
      </c>
      <c r="BR5" s="2744"/>
      <c r="BS5" s="1595"/>
      <c r="BT5" s="1595" t="s">
        <v>25</v>
      </c>
      <c r="BU5" s="1594"/>
      <c r="BV5" s="2744" t="s">
        <v>26</v>
      </c>
      <c r="BW5" s="2744"/>
      <c r="BX5" s="2745"/>
      <c r="BY5" s="1597" t="s">
        <v>27</v>
      </c>
      <c r="BZ5" s="1598"/>
      <c r="CA5" s="2746" t="s">
        <v>28</v>
      </c>
      <c r="CB5" s="2747"/>
      <c r="CC5" s="2747"/>
      <c r="CD5" s="2715" t="s">
        <v>10</v>
      </c>
      <c r="CE5" s="2715"/>
      <c r="CF5" s="2715"/>
      <c r="CG5" s="2715" t="s">
        <v>29</v>
      </c>
      <c r="CH5" s="2715"/>
      <c r="CI5" s="2715"/>
      <c r="CJ5" s="2715" t="s">
        <v>24</v>
      </c>
      <c r="CK5" s="2715"/>
      <c r="CL5" s="2715"/>
      <c r="CM5" s="2715"/>
      <c r="CN5" s="2715" t="s">
        <v>30</v>
      </c>
      <c r="CO5" s="2715"/>
      <c r="CP5" s="2715"/>
      <c r="CQ5" s="2715" t="s">
        <v>31</v>
      </c>
      <c r="CR5" s="2715"/>
      <c r="CS5" s="2715"/>
      <c r="CT5" s="2715"/>
      <c r="CU5" s="2715"/>
      <c r="CV5" s="2715"/>
    </row>
    <row r="6" spans="1:121" ht="18" hidden="1" customHeight="1" outlineLevel="1">
      <c r="BA6" s="1595"/>
      <c r="BB6" s="1596"/>
      <c r="BC6" s="2701"/>
      <c r="BD6" s="2702"/>
      <c r="BE6" s="2703"/>
      <c r="BF6" s="2704" t="str">
        <f>IF(BC6="","",_xlfn.XLOOKUP(BC6,成长经历!B119:B155,成长经历!F119:F155))</f>
        <v/>
      </c>
      <c r="BG6" s="2704"/>
      <c r="BH6" s="2705"/>
      <c r="BI6" s="2706" t="str">
        <f>IF(BC6="","",_xlfn.XLOOKUP(BC6,成长经历!B119:B155,成长经历!J119:J155))</f>
        <v/>
      </c>
      <c r="BJ6" s="2705"/>
      <c r="BK6" s="2706" t="str">
        <f>IF(BC6="","",_xlfn.XLOOKUP(BC6,成长经历!B119:B155,成长经历!M119:M155))</f>
        <v/>
      </c>
      <c r="BL6" s="2705"/>
      <c r="BM6" s="2706" t="str">
        <f>IF(BC6="","",_xlfn.XLOOKUP(BC6,成长经历!B119:B155,成长经历!O119:O155))</f>
        <v/>
      </c>
      <c r="BN6" s="2705"/>
      <c r="BO6" s="2706" t="str">
        <f>IF(BC6="","",_xlfn.XLOOKUP(BC6,成长经历!B119:B155,成长经历!R119:R155))</f>
        <v/>
      </c>
      <c r="BP6" s="2705"/>
      <c r="BQ6" s="2707" t="str">
        <f>IF(BC6="","",_xlfn.XLOOKUP(BC6,成长经历!B119:B155,成长经历!U119:U155))</f>
        <v/>
      </c>
      <c r="BR6" s="2707"/>
      <c r="BS6" s="2706"/>
      <c r="BT6" s="2708" t="s">
        <v>32</v>
      </c>
      <c r="BU6" s="2709"/>
      <c r="BV6" s="2707" t="str">
        <f>IF(BC6="","",_xlfn.XLOOKUP(BC6,成长经历!B119:B155,成长经历!AC119:AC155))</f>
        <v/>
      </c>
      <c r="BW6" s="2707"/>
      <c r="BX6" s="2710"/>
      <c r="BY6" s="1599"/>
      <c r="BZ6" s="1600"/>
      <c r="CA6" s="2711"/>
      <c r="CB6" s="2712"/>
      <c r="CC6" s="2713"/>
      <c r="CD6" s="2714" t="str">
        <f>IF(CA6="","",_xlfn.XLOOKUP(CA6,成长经历!BA35:BA71,成长经历!BE35:BE71,""))</f>
        <v/>
      </c>
      <c r="CE6" s="2715"/>
      <c r="CF6" s="2715"/>
      <c r="CG6" s="2715" t="str">
        <f>IF(CA6="","",_xlfn.XLOOKUP(CA6,成长经历!BA35:BA71,成长经历!BI35:BI71,""))</f>
        <v/>
      </c>
      <c r="CH6" s="2715"/>
      <c r="CI6" s="2715"/>
      <c r="CJ6" s="2715" t="str">
        <f>IF(CA6="","",_xlfn.XLOOKUP(CA6,成长经历!BA35:BA71,成长经历!BE35:BE71,""))</f>
        <v/>
      </c>
      <c r="CK6" s="2715"/>
      <c r="CL6" s="2715"/>
      <c r="CM6" s="2715"/>
      <c r="CN6" s="2715" t="str">
        <f>IF(CA6="","",_xlfn.XLOOKUP(CA6,成长经历!BA35:BA71,成长经历!BK35:BK71,""))</f>
        <v/>
      </c>
      <c r="CO6" s="2715"/>
      <c r="CP6" s="2715"/>
      <c r="CQ6" s="2715" t="str">
        <f>IF(CA6="","",_xlfn.XLOOKUP(CA6,成长经历!BA35:BA71,成长经历!BT35:BT71,""))</f>
        <v/>
      </c>
      <c r="CR6" s="2715"/>
      <c r="CS6" s="2715"/>
      <c r="CT6" s="2715"/>
      <c r="CU6" s="2715"/>
      <c r="CV6" s="2715"/>
    </row>
    <row r="7" spans="1:121" ht="18" customHeight="1" collapsed="1">
      <c r="BA7" s="2716" t="s">
        <v>33</v>
      </c>
      <c r="BB7" s="2716"/>
      <c r="BC7" s="2716"/>
      <c r="BD7" s="2716"/>
      <c r="BE7" s="2716"/>
      <c r="BF7" s="2716"/>
      <c r="BG7" s="2716"/>
      <c r="BH7" s="2716"/>
      <c r="BI7" s="2716"/>
      <c r="BJ7" s="2716"/>
      <c r="BK7" s="2716"/>
      <c r="BL7" s="2716"/>
      <c r="BM7" s="2716"/>
      <c r="BN7" s="2716"/>
      <c r="BO7" s="2716"/>
      <c r="BP7" s="2716"/>
      <c r="BQ7" s="2716"/>
      <c r="BR7" s="2716"/>
      <c r="BS7" s="2716"/>
      <c r="BT7" s="2716"/>
      <c r="BU7" s="2716"/>
      <c r="BV7" s="2716"/>
      <c r="BW7" s="2716"/>
      <c r="BX7" s="2717"/>
      <c r="BY7" s="2717"/>
      <c r="BZ7" s="2717"/>
      <c r="CA7" s="2717"/>
      <c r="CB7" s="2716"/>
      <c r="CC7" s="2716"/>
      <c r="CD7" s="2716"/>
      <c r="CE7" s="2716"/>
      <c r="CF7" s="2716"/>
      <c r="CG7" s="2716"/>
      <c r="CH7" s="2716"/>
      <c r="CI7" s="2716"/>
      <c r="CJ7" s="2716"/>
      <c r="CK7" s="2716"/>
      <c r="CL7" s="2716"/>
      <c r="CM7" s="2716"/>
      <c r="CN7" s="2716"/>
      <c r="CO7" s="2716"/>
      <c r="CP7" s="2716"/>
      <c r="CQ7" s="2716"/>
      <c r="CR7" s="2716"/>
    </row>
    <row r="8" spans="1:121" ht="18" customHeight="1">
      <c r="A8" s="1321" t="s">
        <v>34</v>
      </c>
      <c r="B8" s="1321"/>
      <c r="C8" s="1321"/>
      <c r="D8" s="1321"/>
      <c r="E8" s="1321"/>
      <c r="F8" s="1321"/>
      <c r="G8" s="1321"/>
      <c r="H8" s="1321"/>
      <c r="I8" s="1321"/>
      <c r="J8" s="1321"/>
      <c r="K8" s="1321"/>
      <c r="L8" s="1321"/>
      <c r="M8" s="1321"/>
      <c r="N8" s="1321"/>
      <c r="O8" s="1321"/>
      <c r="P8" s="1321"/>
      <c r="Q8" s="1321"/>
      <c r="R8" s="1321"/>
      <c r="S8" s="1321"/>
      <c r="T8" s="1321"/>
      <c r="U8" s="1321"/>
      <c r="V8" s="1321"/>
      <c r="W8" s="1321"/>
      <c r="X8" s="1321"/>
      <c r="Y8" s="1321"/>
      <c r="Z8" s="1321"/>
      <c r="AA8" s="1321"/>
      <c r="AB8" s="1321"/>
      <c r="AC8" s="1321"/>
      <c r="AD8" s="1321"/>
      <c r="AE8" s="1321"/>
      <c r="AF8" s="1321"/>
      <c r="AG8" s="1321"/>
      <c r="AH8" s="1321"/>
      <c r="AI8" s="1321"/>
      <c r="AJ8" s="1321"/>
      <c r="AK8" s="1321"/>
      <c r="AL8" s="1321"/>
      <c r="AM8" s="1321"/>
      <c r="AN8" s="1321"/>
      <c r="AO8" s="1321"/>
      <c r="AP8" s="1321"/>
      <c r="AQ8" s="1321"/>
      <c r="AR8" s="1321"/>
      <c r="AS8" s="1321"/>
      <c r="AT8" s="1321"/>
      <c r="AU8" s="1321"/>
      <c r="AV8" s="1321"/>
      <c r="AW8" s="1321"/>
      <c r="AX8" s="1321"/>
      <c r="AY8" s="1321"/>
      <c r="AZ8" s="1321"/>
      <c r="BA8" s="1913" t="s">
        <v>35</v>
      </c>
      <c r="BB8" s="1914"/>
      <c r="BC8" s="1914"/>
      <c r="BD8" s="1914"/>
      <c r="BE8" s="1914"/>
      <c r="BF8" s="1914"/>
      <c r="BG8" s="1914"/>
      <c r="BH8" s="1915"/>
      <c r="BI8" s="1916" t="str">
        <f>附表!BB53</f>
        <v>基本信息未填写！</v>
      </c>
      <c r="BJ8" s="1914"/>
      <c r="BK8" s="1914"/>
      <c r="BL8" s="1914"/>
      <c r="BM8" s="1914"/>
      <c r="BN8" s="1914"/>
      <c r="BO8" s="1914"/>
      <c r="BP8" s="1917"/>
      <c r="BR8" s="2718" t="s">
        <v>36</v>
      </c>
      <c r="BS8" s="2719"/>
      <c r="BT8" s="2719"/>
      <c r="BU8" s="2720" t="str">
        <f>附表!D37</f>
        <v>请和kp商议</v>
      </c>
      <c r="BV8" s="2720"/>
      <c r="BW8" s="2720"/>
      <c r="BX8" s="2721"/>
      <c r="BY8" s="2721"/>
      <c r="BZ8" s="2722" t="s">
        <v>37</v>
      </c>
      <c r="CA8" s="2722"/>
      <c r="CB8" s="2719" t="s">
        <v>38</v>
      </c>
      <c r="CC8" s="2719"/>
      <c r="CD8" s="2723">
        <f>BT9+BT11+BT13+BZ9+BZ11+BZ13+CF9+CF11+CF13</f>
        <v>0</v>
      </c>
      <c r="CE8" s="2723"/>
      <c r="CF8" s="2723" t="s">
        <v>39</v>
      </c>
      <c r="CG8" s="2723"/>
      <c r="CH8" s="2723">
        <f>CD8-CF13</f>
        <v>0</v>
      </c>
      <c r="CI8" s="2724"/>
      <c r="CK8" s="1584" t="s">
        <v>40</v>
      </c>
      <c r="CL8" s="1585"/>
      <c r="CM8" s="1585"/>
      <c r="CN8" s="1585"/>
      <c r="CO8" s="1585"/>
      <c r="CP8" s="1585"/>
      <c r="CQ8" s="1585"/>
      <c r="CR8" s="1586"/>
      <c r="CT8" s="2685">
        <f>SUM(AR12:AS22)</f>
        <v>0</v>
      </c>
      <c r="CU8" s="2685"/>
      <c r="CV8" s="2685"/>
      <c r="CW8" s="2685"/>
      <c r="CX8" s="2685"/>
      <c r="CY8" s="2685"/>
      <c r="CZ8" s="2685"/>
      <c r="DA8" s="2685"/>
      <c r="DB8" s="2685">
        <f>SUM(AR25:AS104)</f>
        <v>0</v>
      </c>
      <c r="DC8" s="2685"/>
      <c r="DD8" s="2685"/>
      <c r="DE8" s="2685"/>
      <c r="DF8" s="2685"/>
      <c r="DG8" s="2685"/>
      <c r="DH8" s="2685"/>
      <c r="DI8" s="2685"/>
      <c r="DJ8" s="1131"/>
      <c r="DK8" s="1131"/>
      <c r="DL8" s="1131"/>
      <c r="DM8" s="1131"/>
      <c r="DN8" s="1131"/>
      <c r="DO8" s="1131"/>
      <c r="DP8" s="1131"/>
      <c r="DQ8" s="1131"/>
    </row>
    <row r="9" spans="1:121" ht="18" customHeight="1">
      <c r="A9" s="1321"/>
      <c r="B9" s="1321"/>
      <c r="C9" s="1321"/>
      <c r="D9" s="1321"/>
      <c r="E9" s="1321"/>
      <c r="F9" s="1321"/>
      <c r="G9" s="1321"/>
      <c r="H9" s="1321"/>
      <c r="I9" s="1321"/>
      <c r="J9" s="1321"/>
      <c r="K9" s="1321"/>
      <c r="L9" s="1321"/>
      <c r="M9" s="1321"/>
      <c r="N9" s="1321"/>
      <c r="O9" s="1321"/>
      <c r="P9" s="1321"/>
      <c r="Q9" s="1321"/>
      <c r="R9" s="1321"/>
      <c r="S9" s="1321"/>
      <c r="T9" s="1321"/>
      <c r="U9" s="1321"/>
      <c r="V9" s="1321"/>
      <c r="W9" s="1321"/>
      <c r="X9" s="1321"/>
      <c r="Y9" s="1321"/>
      <c r="Z9" s="1321"/>
      <c r="AA9" s="1321"/>
      <c r="AB9" s="1321"/>
      <c r="AC9" s="1321"/>
      <c r="AD9" s="1321"/>
      <c r="AE9" s="1321"/>
      <c r="AF9" s="1321"/>
      <c r="AG9" s="1321"/>
      <c r="AH9" s="1321"/>
      <c r="AI9" s="1321"/>
      <c r="AJ9" s="1321"/>
      <c r="AK9" s="1321"/>
      <c r="AL9" s="1321"/>
      <c r="AM9" s="1321"/>
      <c r="AN9" s="1321"/>
      <c r="AO9" s="1321"/>
      <c r="AP9" s="1321"/>
      <c r="AQ9" s="1321"/>
      <c r="AR9" s="1321"/>
      <c r="AS9" s="1321"/>
      <c r="AT9" s="1321"/>
      <c r="AU9" s="1321"/>
      <c r="AV9" s="1321"/>
      <c r="AW9" s="1321"/>
      <c r="AX9" s="1321"/>
      <c r="AY9" s="1321"/>
      <c r="AZ9" s="1321"/>
      <c r="BA9" s="1437" t="s">
        <v>1</v>
      </c>
      <c r="BB9" s="1430"/>
      <c r="BC9" s="1430"/>
      <c r="BD9" s="2686"/>
      <c r="BE9" s="2686"/>
      <c r="BF9" s="2686"/>
      <c r="BG9" s="2686"/>
      <c r="BH9" s="2686"/>
      <c r="BI9" s="2686"/>
      <c r="BJ9" s="2686"/>
      <c r="BK9" s="2686"/>
      <c r="BL9" s="2686"/>
      <c r="BM9" s="2686"/>
      <c r="BN9" s="2686"/>
      <c r="BO9" s="2686"/>
      <c r="BP9" s="2687"/>
      <c r="BR9" s="1579" t="s">
        <v>41</v>
      </c>
      <c r="BS9" s="1580"/>
      <c r="BT9" s="2688"/>
      <c r="BU9" s="2689"/>
      <c r="BV9" s="1611">
        <f>IFERROR(INT(STRA/2),0)</f>
        <v>0</v>
      </c>
      <c r="BW9" s="1611"/>
      <c r="BX9" s="1581" t="s">
        <v>42</v>
      </c>
      <c r="BY9" s="1581"/>
      <c r="BZ9" s="2690"/>
      <c r="CA9" s="2691"/>
      <c r="CB9" s="2667">
        <f>IFERROR(INT(DEXA/2),0)</f>
        <v>0</v>
      </c>
      <c r="CC9" s="2667"/>
      <c r="CD9" s="1580" t="s">
        <v>43</v>
      </c>
      <c r="CE9" s="1580"/>
      <c r="CF9" s="2688"/>
      <c r="CG9" s="2689"/>
      <c r="CH9" s="2639">
        <f>IFERROR(INT(POWA/2),0)</f>
        <v>0</v>
      </c>
      <c r="CI9" s="2692"/>
      <c r="CK9" s="1587"/>
      <c r="CL9" s="1588"/>
      <c r="CM9" s="1588"/>
      <c r="CN9" s="1588"/>
      <c r="CO9" s="1588"/>
      <c r="CP9" s="1588"/>
      <c r="CQ9" s="1588"/>
      <c r="CR9" s="1589"/>
      <c r="CT9" s="2693" t="s">
        <v>44</v>
      </c>
      <c r="CU9" s="2694"/>
      <c r="CV9" s="2694"/>
      <c r="CW9" s="2694"/>
      <c r="CX9" s="2694"/>
      <c r="CY9" s="2694"/>
      <c r="CZ9" s="2694"/>
      <c r="DA9" s="2694"/>
      <c r="DB9" s="2694"/>
      <c r="DC9" s="2694"/>
      <c r="DD9" s="2694"/>
      <c r="DE9" s="2694"/>
      <c r="DF9" s="2694"/>
      <c r="DG9" s="2694"/>
      <c r="DH9" s="2694"/>
      <c r="DI9" s="2694"/>
      <c r="DJ9" s="2694"/>
      <c r="DK9" s="2694"/>
      <c r="DL9" s="2694"/>
      <c r="DM9" s="2694"/>
      <c r="DN9" s="2694"/>
      <c r="DO9" s="2694"/>
      <c r="DP9" s="2694"/>
      <c r="DQ9" s="2695"/>
    </row>
    <row r="10" spans="1:121" ht="18" customHeight="1">
      <c r="A10" s="1321"/>
      <c r="B10" s="1321"/>
      <c r="C10" s="1321"/>
      <c r="D10" s="1321"/>
      <c r="E10" s="1321"/>
      <c r="F10" s="1321"/>
      <c r="G10" s="1321"/>
      <c r="H10" s="1321"/>
      <c r="I10" s="1321"/>
      <c r="J10" s="1321"/>
      <c r="K10" s="1321"/>
      <c r="L10" s="1321"/>
      <c r="M10" s="1321"/>
      <c r="N10" s="1321"/>
      <c r="O10" s="1321"/>
      <c r="P10" s="1321"/>
      <c r="Q10" s="1321"/>
      <c r="R10" s="1321"/>
      <c r="S10" s="1321"/>
      <c r="T10" s="1321"/>
      <c r="U10" s="1321"/>
      <c r="V10" s="1321"/>
      <c r="W10" s="1321"/>
      <c r="X10" s="1321"/>
      <c r="Y10" s="1321"/>
      <c r="Z10" s="1321"/>
      <c r="AA10" s="1321"/>
      <c r="AB10" s="1321"/>
      <c r="AC10" s="1321"/>
      <c r="AD10" s="1321"/>
      <c r="AE10" s="1321"/>
      <c r="AF10" s="1321"/>
      <c r="AG10" s="1321"/>
      <c r="AH10" s="1321"/>
      <c r="AI10" s="1321"/>
      <c r="AJ10" s="1321"/>
      <c r="AK10" s="1321"/>
      <c r="AL10" s="1321"/>
      <c r="AM10" s="1321"/>
      <c r="AN10" s="1321"/>
      <c r="AO10" s="1321"/>
      <c r="AP10" s="1321"/>
      <c r="AQ10" s="1321"/>
      <c r="AR10" s="1321"/>
      <c r="AS10" s="1321"/>
      <c r="AT10" s="1321"/>
      <c r="AU10" s="1321"/>
      <c r="AV10" s="1321"/>
      <c r="AW10" s="1321"/>
      <c r="AX10" s="1321"/>
      <c r="AY10" s="1321"/>
      <c r="AZ10" s="1321"/>
      <c r="BA10" s="1610" t="s">
        <v>0</v>
      </c>
      <c r="BB10" s="1611"/>
      <c r="BC10" s="1611"/>
      <c r="BD10" s="2673"/>
      <c r="BE10" s="2673"/>
      <c r="BF10" s="2673"/>
      <c r="BG10" s="2673"/>
      <c r="BH10" s="2673"/>
      <c r="BI10" s="1611" t="s">
        <v>45</v>
      </c>
      <c r="BJ10" s="1611"/>
      <c r="BK10" s="1611"/>
      <c r="BL10" s="2673" t="s">
        <v>46</v>
      </c>
      <c r="BM10" s="2673"/>
      <c r="BN10" s="2673"/>
      <c r="BO10" s="2673"/>
      <c r="BP10" s="2674"/>
      <c r="BR10" s="1570"/>
      <c r="BS10" s="1571"/>
      <c r="BT10" s="2696" t="str">
        <f>IF(STR="","未填写",AT12)</f>
        <v>未填写</v>
      </c>
      <c r="BU10" s="2697"/>
      <c r="BV10" s="1611">
        <f>IFERROR(INT(STRA/5),0)</f>
        <v>0</v>
      </c>
      <c r="BW10" s="1611"/>
      <c r="BX10" s="1432"/>
      <c r="BY10" s="1432"/>
      <c r="BZ10" s="2698" t="str">
        <f>IF(DEX="","未填写",AT15)</f>
        <v>未填写</v>
      </c>
      <c r="CA10" s="2699"/>
      <c r="CB10" s="1430">
        <f>IFERROR(INT(DEXA/5),0)</f>
        <v>0</v>
      </c>
      <c r="CC10" s="1430"/>
      <c r="CD10" s="1571"/>
      <c r="CE10" s="1571"/>
      <c r="CF10" s="2696" t="str">
        <f>IF(POW="","未填写",AT18)</f>
        <v>未填写</v>
      </c>
      <c r="CG10" s="2697"/>
      <c r="CH10" s="1611">
        <f>IFERROR(INT(POWA/5),0)</f>
        <v>0</v>
      </c>
      <c r="CI10" s="2700"/>
      <c r="CK10" s="1587"/>
      <c r="CL10" s="1588"/>
      <c r="CM10" s="1588"/>
      <c r="CN10" s="1588"/>
      <c r="CO10" s="1588"/>
      <c r="CP10" s="1588"/>
      <c r="CQ10" s="1588"/>
      <c r="CR10" s="1589"/>
      <c r="CS10" s="1132"/>
      <c r="CT10" s="1541" t="str">
        <f>IF(OR(SIZ=0,STR=0,DEX=0),"","BMI:"&amp;BMI&amp;"  "&amp;附表!I64)</f>
        <v/>
      </c>
      <c r="CU10" s="1542"/>
      <c r="CV10" s="1542"/>
      <c r="CW10" s="1542"/>
      <c r="CX10" s="1542"/>
      <c r="CY10" s="1542"/>
      <c r="CZ10" s="1542"/>
      <c r="DA10" s="1542"/>
      <c r="DB10" s="1543" t="str">
        <f>IF(OR(SIZ=0,STR=0,DEX=0),"","身高："&amp;附表!L63&amp;"米")</f>
        <v/>
      </c>
      <c r="DC10" s="1543"/>
      <c r="DD10" s="1543"/>
      <c r="DE10" s="1543"/>
      <c r="DF10" s="1543"/>
      <c r="DG10" s="1543"/>
      <c r="DH10" s="1543"/>
      <c r="DI10" s="1543"/>
      <c r="DJ10" s="1542" t="str">
        <f>IF(OR(SIZ=0,STR=0,DEX=0),"","体重："&amp;附表!K63&amp;"千克")</f>
        <v/>
      </c>
      <c r="DK10" s="1542"/>
      <c r="DL10" s="1542"/>
      <c r="DM10" s="1542"/>
      <c r="DN10" s="1542"/>
      <c r="DO10" s="1542"/>
      <c r="DP10" s="1542"/>
      <c r="DQ10" s="1545"/>
    </row>
    <row r="11" spans="1:121" ht="18" customHeight="1">
      <c r="B11" s="2509" t="s">
        <v>47</v>
      </c>
      <c r="C11" s="2509"/>
      <c r="D11" s="2510"/>
      <c r="E11" s="2509" t="s">
        <v>47</v>
      </c>
      <c r="F11" s="2509"/>
      <c r="G11" s="2510"/>
      <c r="H11" s="2509" t="s">
        <v>47</v>
      </c>
      <c r="I11" s="2509"/>
      <c r="J11" s="2510"/>
      <c r="K11" s="2509" t="s">
        <v>47</v>
      </c>
      <c r="L11" s="2509"/>
      <c r="M11" s="2510"/>
      <c r="N11" s="2509" t="s">
        <v>47</v>
      </c>
      <c r="O11" s="2509"/>
      <c r="P11" s="2510"/>
      <c r="Q11" s="2509" t="s">
        <v>47</v>
      </c>
      <c r="R11" s="2509"/>
      <c r="S11" s="2510"/>
      <c r="T11" s="2509" t="s">
        <v>47</v>
      </c>
      <c r="U11" s="2509"/>
      <c r="V11" s="2510"/>
      <c r="W11" s="2509" t="s">
        <v>47</v>
      </c>
      <c r="X11" s="2509"/>
      <c r="Y11" s="2510"/>
      <c r="Z11" s="2509" t="s">
        <v>47</v>
      </c>
      <c r="AA11" s="2509"/>
      <c r="AB11" s="2510"/>
      <c r="AC11" s="2509" t="s">
        <v>47</v>
      </c>
      <c r="AD11" s="2509"/>
      <c r="AE11" s="2510"/>
      <c r="AF11" s="2509" t="s">
        <v>47</v>
      </c>
      <c r="AG11" s="2509"/>
      <c r="AH11" s="2510"/>
      <c r="AI11" s="2509" t="s">
        <v>47</v>
      </c>
      <c r="AJ11" s="2509"/>
      <c r="AK11" s="2510"/>
      <c r="AL11" s="2509" t="s">
        <v>47</v>
      </c>
      <c r="AM11" s="2509"/>
      <c r="AN11" s="2510"/>
      <c r="AO11" s="2509" t="s">
        <v>47</v>
      </c>
      <c r="AP11" s="2509"/>
      <c r="AQ11" s="2510"/>
      <c r="AR11" s="2683" t="s">
        <v>48</v>
      </c>
      <c r="AS11" s="2684"/>
      <c r="AT11" s="2683" t="s">
        <v>49</v>
      </c>
      <c r="AU11" s="2684"/>
      <c r="AV11" s="2513" t="s">
        <v>37</v>
      </c>
      <c r="AW11" s="2512"/>
      <c r="AX11" s="2512"/>
      <c r="AY11" s="2663" t="s">
        <v>50</v>
      </c>
      <c r="AZ11" s="2664"/>
      <c r="BA11" s="1437" t="s">
        <v>51</v>
      </c>
      <c r="BB11" s="1430"/>
      <c r="BC11" s="1430"/>
      <c r="BD11" s="2635"/>
      <c r="BE11" s="2635"/>
      <c r="BF11" s="2635"/>
      <c r="BG11" s="2635"/>
      <c r="BH11" s="2635"/>
      <c r="BI11" s="1430" t="s">
        <v>52</v>
      </c>
      <c r="BJ11" s="1430"/>
      <c r="BK11" s="1430"/>
      <c r="BL11" s="2635"/>
      <c r="BM11" s="2635"/>
      <c r="BN11" s="2635"/>
      <c r="BO11" s="2635"/>
      <c r="BP11" s="2636"/>
      <c r="BR11" s="1436" t="s">
        <v>53</v>
      </c>
      <c r="BS11" s="1432"/>
      <c r="BT11" s="2665"/>
      <c r="BU11" s="2666"/>
      <c r="BV11" s="2667">
        <f>IFERROR(INT(CONA/2),0)</f>
        <v>0</v>
      </c>
      <c r="BW11" s="2667"/>
      <c r="BX11" s="1571" t="s">
        <v>54</v>
      </c>
      <c r="BY11" s="1571"/>
      <c r="BZ11" s="2668"/>
      <c r="CA11" s="2669"/>
      <c r="CB11" s="1611">
        <f>IFERROR(INT(APPA/2),0)</f>
        <v>0</v>
      </c>
      <c r="CC11" s="1611"/>
      <c r="CD11" s="1432" t="s">
        <v>55</v>
      </c>
      <c r="CE11" s="1432"/>
      <c r="CF11" s="2665"/>
      <c r="CG11" s="2666"/>
      <c r="CH11" s="1430">
        <f>IFERROR(INT(EDUA/2),0)</f>
        <v>0</v>
      </c>
      <c r="CI11" s="1431"/>
      <c r="CK11" s="1587"/>
      <c r="CL11" s="1588"/>
      <c r="CM11" s="1588"/>
      <c r="CN11" s="1588"/>
      <c r="CO11" s="1588"/>
      <c r="CP11" s="1588"/>
      <c r="CQ11" s="1588"/>
      <c r="CR11" s="1589"/>
      <c r="CT11" s="1541"/>
      <c r="CU11" s="1542"/>
      <c r="CV11" s="1542"/>
      <c r="CW11" s="1542"/>
      <c r="CX11" s="1542"/>
      <c r="CY11" s="1542"/>
      <c r="CZ11" s="1542"/>
      <c r="DA11" s="1542"/>
      <c r="DB11" s="1544"/>
      <c r="DC11" s="1544"/>
      <c r="DD11" s="1544"/>
      <c r="DE11" s="1544"/>
      <c r="DF11" s="1544"/>
      <c r="DG11" s="1544"/>
      <c r="DH11" s="1544"/>
      <c r="DI11" s="1544"/>
      <c r="DJ11" s="1542"/>
      <c r="DK11" s="1542"/>
      <c r="DL11" s="1542"/>
      <c r="DM11" s="1542"/>
      <c r="DN11" s="1542"/>
      <c r="DO11" s="1542"/>
      <c r="DP11" s="1542"/>
      <c r="DQ11" s="1545"/>
    </row>
    <row r="12" spans="1:121" ht="18" customHeight="1">
      <c r="B12" s="1133"/>
      <c r="C12" s="1134" t="s">
        <v>56</v>
      </c>
      <c r="D12" s="1135"/>
      <c r="E12" s="1133"/>
      <c r="F12" s="1136" t="s">
        <v>56</v>
      </c>
      <c r="G12" s="1135"/>
      <c r="H12" s="1133"/>
      <c r="I12" s="1134" t="s">
        <v>56</v>
      </c>
      <c r="J12" s="1135"/>
      <c r="K12" s="1133"/>
      <c r="L12" s="1136" t="s">
        <v>56</v>
      </c>
      <c r="M12" s="1135"/>
      <c r="N12" s="1133"/>
      <c r="O12" s="1134" t="s">
        <v>56</v>
      </c>
      <c r="P12" s="1135"/>
      <c r="Q12" s="1133"/>
      <c r="R12" s="1136" t="s">
        <v>56</v>
      </c>
      <c r="S12" s="1135"/>
      <c r="T12" s="1133"/>
      <c r="U12" s="1134" t="s">
        <v>56</v>
      </c>
      <c r="V12" s="1135"/>
      <c r="W12" s="1133"/>
      <c r="X12" s="1136" t="s">
        <v>56</v>
      </c>
      <c r="Y12" s="1135"/>
      <c r="Z12" s="1133"/>
      <c r="AA12" s="1134" t="s">
        <v>56</v>
      </c>
      <c r="AB12" s="1135"/>
      <c r="AC12" s="1133"/>
      <c r="AD12" s="1136" t="s">
        <v>56</v>
      </c>
      <c r="AE12" s="1135"/>
      <c r="AF12" s="1133"/>
      <c r="AG12" s="1134" t="s">
        <v>56</v>
      </c>
      <c r="AH12" s="1135"/>
      <c r="AI12" s="1133"/>
      <c r="AJ12" s="1136" t="s">
        <v>56</v>
      </c>
      <c r="AK12" s="1135"/>
      <c r="AL12" s="1133"/>
      <c r="AM12" s="1134" t="s">
        <v>56</v>
      </c>
      <c r="AN12" s="1135"/>
      <c r="AO12" s="1133"/>
      <c r="AP12" s="1136" t="s">
        <v>56</v>
      </c>
      <c r="AQ12" s="1137"/>
      <c r="AR12" s="2545">
        <f>SUM(AO12,AL12,AI12,AF12,AC12,Z12,W12,T12,Q12,N12,K12,H12,E12,B12)-SUM(AQ12,AN12,AK12,AH12,AE12,AB12,Y12,V12,S12,P12,M12,J12,G12,D12)</f>
        <v>0</v>
      </c>
      <c r="AS12" s="2521"/>
      <c r="AT12" s="1993">
        <f>AR12+STR</f>
        <v>0</v>
      </c>
      <c r="AU12" s="1994"/>
      <c r="AV12" s="2585" t="s">
        <v>57</v>
      </c>
      <c r="AW12" s="2003"/>
      <c r="AX12" s="2003"/>
      <c r="AY12" s="2670" t="str">
        <f>IF(AR12&gt;0,"强身",IF(AR12&lt;0,"衰弱",""))</f>
        <v/>
      </c>
      <c r="AZ12" s="2671"/>
      <c r="BA12" s="1610" t="s">
        <v>58</v>
      </c>
      <c r="BB12" s="1611"/>
      <c r="BC12" s="1611"/>
      <c r="BD12" s="2672" t="str">
        <f>CQ92</f>
        <v>时间未填</v>
      </c>
      <c r="BE12" s="2672"/>
      <c r="BF12" s="2672"/>
      <c r="BG12" s="2672"/>
      <c r="BH12" s="2672"/>
      <c r="BI12" s="1611" t="s">
        <v>59</v>
      </c>
      <c r="BJ12" s="1611"/>
      <c r="BK12" s="1611"/>
      <c r="BL12" s="2673"/>
      <c r="BM12" s="2673"/>
      <c r="BN12" s="2673"/>
      <c r="BO12" s="2673"/>
      <c r="BP12" s="2674"/>
      <c r="BR12" s="1436"/>
      <c r="BS12" s="1432"/>
      <c r="BT12" s="2675" t="str">
        <f>IF(CON="","未填写",AT13)</f>
        <v>未填写</v>
      </c>
      <c r="BU12" s="2676"/>
      <c r="BV12" s="1430">
        <f>IFERROR(INT(CONA/5),0)</f>
        <v>0</v>
      </c>
      <c r="BW12" s="1430"/>
      <c r="BX12" s="1571"/>
      <c r="BY12" s="1571"/>
      <c r="BZ12" s="2677" t="str">
        <f>IF(APP="","未填写",AT16)</f>
        <v>未填写</v>
      </c>
      <c r="CA12" s="2678"/>
      <c r="CB12" s="1611">
        <f>IFERROR(INT(APPA/5),0)</f>
        <v>0</v>
      </c>
      <c r="CC12" s="1611"/>
      <c r="CD12" s="1582"/>
      <c r="CE12" s="1583"/>
      <c r="CF12" s="2679" t="str">
        <f>IF(EDU="","未填写",AT19)</f>
        <v>未填写</v>
      </c>
      <c r="CG12" s="2680"/>
      <c r="CH12" s="2681">
        <f>IFERROR(INT(EDUA/5),0)</f>
        <v>0</v>
      </c>
      <c r="CI12" s="2682"/>
      <c r="CK12" s="1587"/>
      <c r="CL12" s="1588"/>
      <c r="CM12" s="1588"/>
      <c r="CN12" s="1588"/>
      <c r="CO12" s="1588"/>
      <c r="CP12" s="1588"/>
      <c r="CQ12" s="1588"/>
      <c r="CR12" s="1589"/>
      <c r="CT12" s="1540" t="str">
        <f>IF(STRA="未填写","",IF(STRA=0,"",IF(STRA&lt;=15,"虚弱，孱弱",IF(STRA&lt;=40,"力量弱小",IF(STRA&lt;=60,"有正常人的力量",IF(STRA&lt;=80,"超乎常人的力量",IF(STRA&lt;100,"超乎超乎常人的力量","奥运举重冠军，人类极限！")))))))</f>
        <v/>
      </c>
      <c r="CU12" s="1533"/>
      <c r="CV12" s="1533"/>
      <c r="CW12" s="1533"/>
      <c r="CX12" s="1533"/>
      <c r="CY12" s="1533"/>
      <c r="CZ12" s="1533"/>
      <c r="DA12" s="1533"/>
      <c r="DB12" s="1538" t="str">
        <f>IF(DEXA="未填写","",IF(DEXA=0,"",IF(DEXA&lt;=20,"很不灵活",IF(DEXA&lt;=40,"不是很灵活",IF(DEXA&lt;=60,"普通人水平",IF(DEXA&lt;=80,"是一位运动健将",IF(DEXA&lt;100,"高速而灵活,可以达成超凡的技艺","超越人类极限的反应力！")))))))</f>
        <v/>
      </c>
      <c r="DC12" s="1538"/>
      <c r="DD12" s="1538"/>
      <c r="DE12" s="1538"/>
      <c r="DF12" s="1538"/>
      <c r="DG12" s="1538"/>
      <c r="DH12" s="1538"/>
      <c r="DI12" s="1538"/>
      <c r="DJ12" s="1533" t="str">
        <f>IF(POWA="未填写","",IF(POWA=0,"",IF(POWA&lt;=20,"尔不过玩物",IF(POWA&lt;=40,"痴愚盲目",IF(POWA&lt;=60,"如常人一般会有一定自制力",IF(POWA&lt;=80,"我心如铁，心坚石穿",IF(POWA&lt;100,"泰山崩于面而色不变",IF(POWA&lt;140,"钢铁之心，还能看见鬼","基本是异界生物"))))))))</f>
        <v/>
      </c>
      <c r="DK12" s="1533"/>
      <c r="DL12" s="1533"/>
      <c r="DM12" s="1533"/>
      <c r="DN12" s="1533"/>
      <c r="DO12" s="1533"/>
      <c r="DP12" s="1533"/>
      <c r="DQ12" s="1534"/>
    </row>
    <row r="13" spans="1:121" ht="18" customHeight="1">
      <c r="B13" s="1138"/>
      <c r="C13" s="1139" t="s">
        <v>56</v>
      </c>
      <c r="D13" s="1140"/>
      <c r="E13" s="1138"/>
      <c r="F13" s="1141" t="s">
        <v>56</v>
      </c>
      <c r="G13" s="1140"/>
      <c r="H13" s="1138"/>
      <c r="I13" s="1139" t="s">
        <v>56</v>
      </c>
      <c r="J13" s="1140"/>
      <c r="K13" s="1138"/>
      <c r="L13" s="1141" t="s">
        <v>56</v>
      </c>
      <c r="M13" s="1140"/>
      <c r="N13" s="1138"/>
      <c r="O13" s="1139" t="s">
        <v>56</v>
      </c>
      <c r="P13" s="1140"/>
      <c r="Q13" s="1138"/>
      <c r="R13" s="1141" t="s">
        <v>56</v>
      </c>
      <c r="S13" s="1140"/>
      <c r="T13" s="1138"/>
      <c r="U13" s="1139" t="s">
        <v>56</v>
      </c>
      <c r="V13" s="1140"/>
      <c r="W13" s="1138"/>
      <c r="X13" s="1141" t="s">
        <v>56</v>
      </c>
      <c r="Y13" s="1140"/>
      <c r="Z13" s="1138"/>
      <c r="AA13" s="1139" t="s">
        <v>56</v>
      </c>
      <c r="AB13" s="1140"/>
      <c r="AC13" s="1138"/>
      <c r="AD13" s="1141" t="s">
        <v>56</v>
      </c>
      <c r="AE13" s="1140"/>
      <c r="AF13" s="1138"/>
      <c r="AG13" s="1139" t="s">
        <v>56</v>
      </c>
      <c r="AH13" s="1140"/>
      <c r="AI13" s="1138"/>
      <c r="AJ13" s="1141" t="s">
        <v>56</v>
      </c>
      <c r="AK13" s="1140"/>
      <c r="AL13" s="1138"/>
      <c r="AM13" s="1139" t="s">
        <v>56</v>
      </c>
      <c r="AN13" s="1140"/>
      <c r="AO13" s="1138"/>
      <c r="AP13" s="1141" t="s">
        <v>56</v>
      </c>
      <c r="AQ13" s="1142"/>
      <c r="AR13" s="2545">
        <f t="shared" ref="AR13:AR21" si="0">SUM(AO13,AL13,AI13,AF13,AC13,Z13,W13,T13,Q13,N13,K13,H13,E13,B13)-SUM(AQ13,AN13,AK13,AH13,AE13,AB13,Y13,V13,S13,P13,M13,J13,G13,D13)</f>
        <v>0</v>
      </c>
      <c r="AS13" s="2521"/>
      <c r="AT13" s="2002">
        <f>AR13+CON</f>
        <v>0</v>
      </c>
      <c r="AU13" s="2003"/>
      <c r="AV13" s="2585" t="s">
        <v>60</v>
      </c>
      <c r="AW13" s="2003"/>
      <c r="AX13" s="2003"/>
      <c r="AY13" s="2550" t="str">
        <f>IF(AR13&gt;0,"健体",IF(AR13&lt;0,"衰弱",""))</f>
        <v/>
      </c>
      <c r="AZ13" s="2612"/>
      <c r="BA13" s="1437" t="s">
        <v>61</v>
      </c>
      <c r="BB13" s="1430"/>
      <c r="BC13" s="1430"/>
      <c r="BD13" s="2635"/>
      <c r="BE13" s="2635"/>
      <c r="BF13" s="2635"/>
      <c r="BG13" s="2635"/>
      <c r="BH13" s="2635"/>
      <c r="BI13" s="1430" t="s">
        <v>62</v>
      </c>
      <c r="BJ13" s="1430"/>
      <c r="BK13" s="1430"/>
      <c r="BL13" s="2635" t="s">
        <v>63</v>
      </c>
      <c r="BM13" s="2635"/>
      <c r="BN13" s="2635"/>
      <c r="BO13" s="2635"/>
      <c r="BP13" s="2636"/>
      <c r="BR13" s="1570" t="s">
        <v>64</v>
      </c>
      <c r="BS13" s="1571"/>
      <c r="BT13" s="2637"/>
      <c r="BU13" s="2638"/>
      <c r="BV13" s="2639">
        <f>IFERROR(INT(SIZA/2),0)</f>
        <v>0</v>
      </c>
      <c r="BW13" s="2639"/>
      <c r="BX13" s="1432" t="s">
        <v>65</v>
      </c>
      <c r="BY13" s="1432"/>
      <c r="BZ13" s="2640"/>
      <c r="CA13" s="2641"/>
      <c r="CB13" s="1430">
        <f>IFERROR(INT(INTA/2),0)</f>
        <v>0</v>
      </c>
      <c r="CC13" s="2642"/>
      <c r="CD13" s="1575" t="s">
        <v>66</v>
      </c>
      <c r="CE13" s="1576"/>
      <c r="CF13" s="2643"/>
      <c r="CG13" s="2644"/>
      <c r="CH13" s="2645">
        <f>IFERROR(INT(LuckA/2),0)</f>
        <v>0</v>
      </c>
      <c r="CI13" s="2646"/>
      <c r="CK13" s="1587"/>
      <c r="CL13" s="1588"/>
      <c r="CM13" s="1588"/>
      <c r="CN13" s="1588"/>
      <c r="CO13" s="1588"/>
      <c r="CP13" s="1588"/>
      <c r="CQ13" s="1588"/>
      <c r="CR13" s="1589"/>
      <c r="CT13" s="1540"/>
      <c r="CU13" s="1533"/>
      <c r="CV13" s="1533"/>
      <c r="CW13" s="1533"/>
      <c r="CX13" s="1533"/>
      <c r="CY13" s="1533"/>
      <c r="CZ13" s="1533"/>
      <c r="DA13" s="1533"/>
      <c r="DB13" s="1538"/>
      <c r="DC13" s="1538"/>
      <c r="DD13" s="1538"/>
      <c r="DE13" s="1538"/>
      <c r="DF13" s="1538"/>
      <c r="DG13" s="1538"/>
      <c r="DH13" s="1538"/>
      <c r="DI13" s="1538"/>
      <c r="DJ13" s="1533"/>
      <c r="DK13" s="1533"/>
      <c r="DL13" s="1533"/>
      <c r="DM13" s="1533"/>
      <c r="DN13" s="1533"/>
      <c r="DO13" s="1533"/>
      <c r="DP13" s="1533"/>
      <c r="DQ13" s="1534"/>
    </row>
    <row r="14" spans="1:121" ht="18" customHeight="1">
      <c r="B14" s="1133"/>
      <c r="C14" s="1134" t="s">
        <v>56</v>
      </c>
      <c r="D14" s="1135"/>
      <c r="E14" s="1133"/>
      <c r="F14" s="1136" t="s">
        <v>56</v>
      </c>
      <c r="G14" s="1135"/>
      <c r="H14" s="1133"/>
      <c r="I14" s="1134" t="s">
        <v>56</v>
      </c>
      <c r="J14" s="1135"/>
      <c r="K14" s="1133"/>
      <c r="L14" s="1136" t="s">
        <v>56</v>
      </c>
      <c r="M14" s="1135"/>
      <c r="N14" s="1133"/>
      <c r="O14" s="1134" t="s">
        <v>56</v>
      </c>
      <c r="P14" s="1135"/>
      <c r="Q14" s="1133"/>
      <c r="R14" s="1136" t="s">
        <v>56</v>
      </c>
      <c r="S14" s="1135"/>
      <c r="T14" s="1133"/>
      <c r="U14" s="1134" t="s">
        <v>56</v>
      </c>
      <c r="V14" s="1135"/>
      <c r="W14" s="1133"/>
      <c r="X14" s="1136" t="s">
        <v>56</v>
      </c>
      <c r="Y14" s="1135"/>
      <c r="Z14" s="1133"/>
      <c r="AA14" s="1134" t="s">
        <v>56</v>
      </c>
      <c r="AB14" s="1135"/>
      <c r="AC14" s="1133"/>
      <c r="AD14" s="1136" t="s">
        <v>56</v>
      </c>
      <c r="AE14" s="1135"/>
      <c r="AF14" s="1133"/>
      <c r="AG14" s="1134" t="s">
        <v>56</v>
      </c>
      <c r="AH14" s="1135"/>
      <c r="AI14" s="1133"/>
      <c r="AJ14" s="1136" t="s">
        <v>56</v>
      </c>
      <c r="AK14" s="1135"/>
      <c r="AL14" s="1133"/>
      <c r="AM14" s="1134" t="s">
        <v>56</v>
      </c>
      <c r="AN14" s="1135"/>
      <c r="AO14" s="1133"/>
      <c r="AP14" s="1136" t="s">
        <v>56</v>
      </c>
      <c r="AQ14" s="1137"/>
      <c r="AR14" s="2545">
        <f t="shared" si="0"/>
        <v>0</v>
      </c>
      <c r="AS14" s="2521"/>
      <c r="AT14" s="1993">
        <f>AR14+SIZ</f>
        <v>0</v>
      </c>
      <c r="AU14" s="1994"/>
      <c r="AV14" s="2585" t="s">
        <v>67</v>
      </c>
      <c r="AW14" s="2003"/>
      <c r="AX14" s="2003"/>
      <c r="AY14" s="2550" t="str">
        <f>IF(AR14&gt;0,"壮硕",IF(AR14&lt;0,"苗条",""))</f>
        <v/>
      </c>
      <c r="AZ14" s="2612"/>
      <c r="BA14" s="1610" t="s">
        <v>68</v>
      </c>
      <c r="BB14" s="1611"/>
      <c r="BC14" s="2647"/>
      <c r="BD14" s="2648"/>
      <c r="BE14" s="2648"/>
      <c r="BF14" s="2649"/>
      <c r="BG14" s="2649"/>
      <c r="BH14" s="2650"/>
      <c r="BI14" s="1611" t="s">
        <v>69</v>
      </c>
      <c r="BJ14" s="1611"/>
      <c r="BK14" s="2647"/>
      <c r="BL14" s="2648"/>
      <c r="BM14" s="2648"/>
      <c r="BN14" s="2651"/>
      <c r="BO14" s="2651"/>
      <c r="BP14" s="2652"/>
      <c r="BR14" s="1572"/>
      <c r="BS14" s="1573"/>
      <c r="BT14" s="2653" t="str">
        <f>IF(SIZ="","未填写",AT14)</f>
        <v>未填写</v>
      </c>
      <c r="BU14" s="2654"/>
      <c r="BV14" s="2655">
        <f>IFERROR(INT(SIZA/5),0)</f>
        <v>0</v>
      </c>
      <c r="BW14" s="2655"/>
      <c r="BX14" s="1574"/>
      <c r="BY14" s="1574"/>
      <c r="BZ14" s="2656" t="str">
        <f>IF(INT="","未填写",AT17)</f>
        <v>未填写</v>
      </c>
      <c r="CA14" s="2657"/>
      <c r="CB14" s="1754">
        <f>IFERROR(INT(INTA/5),0)</f>
        <v>0</v>
      </c>
      <c r="CC14" s="2658"/>
      <c r="CD14" s="1577"/>
      <c r="CE14" s="1578"/>
      <c r="CF14" s="2659" t="str">
        <f>IF(Luck="","未改运",AT20)</f>
        <v>未改运</v>
      </c>
      <c r="CG14" s="2660"/>
      <c r="CH14" s="2661">
        <f>IFERROR(INT(LuckA/5),0)</f>
        <v>0</v>
      </c>
      <c r="CI14" s="2662"/>
      <c r="CK14" s="1590"/>
      <c r="CL14" s="1591"/>
      <c r="CM14" s="1591"/>
      <c r="CN14" s="1591"/>
      <c r="CO14" s="1591"/>
      <c r="CP14" s="1591"/>
      <c r="CQ14" s="1591"/>
      <c r="CR14" s="1592"/>
      <c r="CT14" s="1537" t="str">
        <f>IF(CONA="未填写","",IF(CONA=0,"",IF(CONA&lt;=20,"常年患病在身",IF(CONA&lt;=40,"体弱多病",IF(CONA&lt;=60,"不会生什么大毛病",IF(CONA&lt;=80,"健硕，浑身湿透也不会感冒",IF(CONA&lt;100,"身体素质极好，精神抖擞","钢铁之躯，人类极限！")))))))</f>
        <v/>
      </c>
      <c r="CU14" s="1538"/>
      <c r="CV14" s="1538"/>
      <c r="CW14" s="1538"/>
      <c r="CX14" s="1538"/>
      <c r="CY14" s="1538"/>
      <c r="CZ14" s="1538"/>
      <c r="DA14" s="1538"/>
      <c r="DB14" s="1533" t="str">
        <f>IF(APPA="未填写","",IF(APPA=0,"",IF(APPA&lt;=20,"用脸就能恐惧敌人。。或队友",IF(APPA&lt;=40,"有些难看",IF(APPA&lt;=60,"人群之中谁也不会看你一眼之后就忘不掉你容颜",IF(APPA&lt;=80,"五官端正，仪表堂堂",IF(APPA&lt;100,"沉鱼落雁，闭月羞花","古神之容貌")))))))</f>
        <v/>
      </c>
      <c r="DC14" s="1533"/>
      <c r="DD14" s="1533"/>
      <c r="DE14" s="1533"/>
      <c r="DF14" s="1533"/>
      <c r="DG14" s="1533"/>
      <c r="DH14" s="1533"/>
      <c r="DI14" s="1533"/>
      <c r="DJ14" s="1538" t="str">
        <f>IF(EDUA="未填写","",IF(EDUA=0,"",IF(EDUA&lt;=20,"目不识丁",IF(EDUA&lt;=40,"小学毕业",IF(EDUA&lt;=50,"高中毕业",IF(EDUA&lt;=60,"普通大学生",IF(EDUA&lt;70,"重点大学的普通学生，或是普通大学的研究生",IF(EDUA&lt;80,"重点大学的高材生",IF(EDUA&lt;96,"经验丰富的研究生",IF(EDUA&lt;100,"教授，博士","世界级权威!"))))))))))</f>
        <v/>
      </c>
      <c r="DK14" s="1538"/>
      <c r="DL14" s="1538"/>
      <c r="DM14" s="1538"/>
      <c r="DN14" s="1538"/>
      <c r="DO14" s="1538"/>
      <c r="DP14" s="1538"/>
      <c r="DQ14" s="1539"/>
    </row>
    <row r="15" spans="1:121" ht="18" customHeight="1">
      <c r="B15" s="1138"/>
      <c r="C15" s="1139" t="s">
        <v>56</v>
      </c>
      <c r="D15" s="1140"/>
      <c r="E15" s="1138"/>
      <c r="F15" s="1141" t="s">
        <v>56</v>
      </c>
      <c r="G15" s="1140"/>
      <c r="H15" s="1138"/>
      <c r="I15" s="1139" t="s">
        <v>56</v>
      </c>
      <c r="J15" s="1140"/>
      <c r="K15" s="1138"/>
      <c r="L15" s="1141" t="s">
        <v>56</v>
      </c>
      <c r="M15" s="1140"/>
      <c r="N15" s="1138"/>
      <c r="O15" s="1139" t="s">
        <v>56</v>
      </c>
      <c r="P15" s="1140"/>
      <c r="Q15" s="1138"/>
      <c r="R15" s="1141" t="s">
        <v>56</v>
      </c>
      <c r="S15" s="1140"/>
      <c r="T15" s="1138"/>
      <c r="U15" s="1139" t="s">
        <v>56</v>
      </c>
      <c r="V15" s="1140"/>
      <c r="W15" s="1138"/>
      <c r="X15" s="1141" t="s">
        <v>56</v>
      </c>
      <c r="Y15" s="1140"/>
      <c r="Z15" s="1138"/>
      <c r="AA15" s="1139" t="s">
        <v>56</v>
      </c>
      <c r="AB15" s="1140"/>
      <c r="AC15" s="1138"/>
      <c r="AD15" s="1141" t="s">
        <v>56</v>
      </c>
      <c r="AE15" s="1140"/>
      <c r="AF15" s="1138"/>
      <c r="AG15" s="1139" t="s">
        <v>56</v>
      </c>
      <c r="AH15" s="1140"/>
      <c r="AI15" s="1138"/>
      <c r="AJ15" s="1141" t="s">
        <v>56</v>
      </c>
      <c r="AK15" s="1140"/>
      <c r="AL15" s="1138"/>
      <c r="AM15" s="1139" t="s">
        <v>56</v>
      </c>
      <c r="AN15" s="1140"/>
      <c r="AO15" s="1138"/>
      <c r="AP15" s="1141" t="s">
        <v>56</v>
      </c>
      <c r="AQ15" s="1142"/>
      <c r="AR15" s="2545">
        <f t="shared" si="0"/>
        <v>0</v>
      </c>
      <c r="AS15" s="2521"/>
      <c r="AT15" s="2002">
        <f>AR15+DEX</f>
        <v>0</v>
      </c>
      <c r="AU15" s="2003"/>
      <c r="AV15" s="2585" t="s">
        <v>70</v>
      </c>
      <c r="AW15" s="2003"/>
      <c r="AX15" s="2003"/>
      <c r="AY15" s="2550" t="str">
        <f>IF(AR15&gt;0,"加速",IF(AR15&lt;0,"减速",""))</f>
        <v/>
      </c>
      <c r="AZ15" s="2612"/>
      <c r="BA15" s="1612"/>
      <c r="BB15" s="1613"/>
      <c r="BC15" s="2627"/>
      <c r="BD15" s="2628"/>
      <c r="BE15" s="2628"/>
      <c r="BF15" s="2628"/>
      <c r="BG15" s="2628"/>
      <c r="BH15" s="2629"/>
      <c r="BI15" s="1613"/>
      <c r="BJ15" s="1613"/>
      <c r="BK15" s="2627"/>
      <c r="BL15" s="2628"/>
      <c r="BM15" s="2628"/>
      <c r="BN15" s="2630"/>
      <c r="BO15" s="2630"/>
      <c r="BP15" s="2631"/>
      <c r="BR15" s="1626" t="s">
        <v>71</v>
      </c>
      <c r="BS15" s="1626"/>
      <c r="BT15" s="1626"/>
      <c r="BU15" s="1626"/>
      <c r="BV15" s="1626"/>
      <c r="BW15" s="1626"/>
      <c r="BX15" s="1626"/>
      <c r="BY15" s="1626"/>
      <c r="BZ15" s="1626"/>
      <c r="CA15" s="1626"/>
      <c r="CB15" s="1626"/>
      <c r="CC15" s="1626"/>
      <c r="CD15" s="1626"/>
      <c r="CE15" s="1626"/>
      <c r="CF15" s="1626"/>
      <c r="CG15" s="1626"/>
      <c r="CH15" s="1626"/>
      <c r="CI15" s="1626"/>
      <c r="CT15" s="1537"/>
      <c r="CU15" s="1538"/>
      <c r="CV15" s="1538"/>
      <c r="CW15" s="1538"/>
      <c r="CX15" s="1538"/>
      <c r="CY15" s="1538"/>
      <c r="CZ15" s="1538"/>
      <c r="DA15" s="1538"/>
      <c r="DB15" s="1533"/>
      <c r="DC15" s="1533"/>
      <c r="DD15" s="1533"/>
      <c r="DE15" s="1533"/>
      <c r="DF15" s="1533"/>
      <c r="DG15" s="1533"/>
      <c r="DH15" s="1533"/>
      <c r="DI15" s="1533"/>
      <c r="DJ15" s="1538"/>
      <c r="DK15" s="1538"/>
      <c r="DL15" s="1538"/>
      <c r="DM15" s="1538"/>
      <c r="DN15" s="1538"/>
      <c r="DO15" s="1538"/>
      <c r="DP15" s="1538"/>
      <c r="DQ15" s="1539"/>
    </row>
    <row r="16" spans="1:121" ht="18" customHeight="1">
      <c r="B16" s="1133"/>
      <c r="C16" s="1134" t="s">
        <v>56</v>
      </c>
      <c r="D16" s="1135"/>
      <c r="E16" s="1133"/>
      <c r="F16" s="1136" t="s">
        <v>56</v>
      </c>
      <c r="G16" s="1135"/>
      <c r="H16" s="1133"/>
      <c r="I16" s="1134" t="s">
        <v>56</v>
      </c>
      <c r="J16" s="1135"/>
      <c r="K16" s="1133"/>
      <c r="L16" s="1136" t="s">
        <v>56</v>
      </c>
      <c r="M16" s="1135"/>
      <c r="N16" s="1133"/>
      <c r="O16" s="1134" t="s">
        <v>56</v>
      </c>
      <c r="P16" s="1135"/>
      <c r="Q16" s="1133"/>
      <c r="R16" s="1136" t="s">
        <v>56</v>
      </c>
      <c r="S16" s="1135"/>
      <c r="T16" s="1133"/>
      <c r="U16" s="1134" t="s">
        <v>56</v>
      </c>
      <c r="V16" s="1135"/>
      <c r="W16" s="1133"/>
      <c r="X16" s="1136" t="s">
        <v>56</v>
      </c>
      <c r="Y16" s="1135"/>
      <c r="Z16" s="1133"/>
      <c r="AA16" s="1134" t="s">
        <v>56</v>
      </c>
      <c r="AB16" s="1135"/>
      <c r="AC16" s="1133"/>
      <c r="AD16" s="1136" t="s">
        <v>56</v>
      </c>
      <c r="AE16" s="1135"/>
      <c r="AF16" s="1133"/>
      <c r="AG16" s="1134" t="s">
        <v>56</v>
      </c>
      <c r="AH16" s="1135"/>
      <c r="AI16" s="1133"/>
      <c r="AJ16" s="1136" t="s">
        <v>56</v>
      </c>
      <c r="AK16" s="1135"/>
      <c r="AL16" s="1133"/>
      <c r="AM16" s="1134" t="s">
        <v>56</v>
      </c>
      <c r="AN16" s="1135"/>
      <c r="AO16" s="1133"/>
      <c r="AP16" s="1136" t="s">
        <v>56</v>
      </c>
      <c r="AQ16" s="1137"/>
      <c r="AR16" s="2545">
        <f t="shared" si="0"/>
        <v>0</v>
      </c>
      <c r="AS16" s="2521"/>
      <c r="AT16" s="1993">
        <f>AR16+APP</f>
        <v>0</v>
      </c>
      <c r="AU16" s="1994"/>
      <c r="AV16" s="2585" t="s">
        <v>72</v>
      </c>
      <c r="AW16" s="2003"/>
      <c r="AX16" s="2003"/>
      <c r="AY16" s="2550" t="str">
        <f>IF(AR16&gt;0,"进化",IF(AR16&lt;0,"退化",""))</f>
        <v/>
      </c>
      <c r="AZ16" s="2612"/>
      <c r="BA16" s="2632" t="s">
        <v>73</v>
      </c>
      <c r="BB16" s="2633"/>
      <c r="BC16" s="2633" t="str">
        <f>IF(BV157="","暂无组织",BV157)</f>
        <v>暂无组织</v>
      </c>
      <c r="BD16" s="2633"/>
      <c r="BE16" s="2633"/>
      <c r="BF16" s="2633"/>
      <c r="BG16" s="2633"/>
      <c r="BH16" s="2633"/>
      <c r="BI16" s="2633" t="s">
        <v>74</v>
      </c>
      <c r="BJ16" s="2633"/>
      <c r="BK16" s="2175" t="str">
        <f>IF(BX159="","无职位",BX159)</f>
        <v>无职位</v>
      </c>
      <c r="BL16" s="2634"/>
      <c r="BM16" s="2633" t="s">
        <v>75</v>
      </c>
      <c r="BN16" s="2633"/>
      <c r="BO16" s="1143" t="str">
        <f>IF(BX160=0,"无",BX160)</f>
        <v>无</v>
      </c>
      <c r="BP16" s="1144" t="s">
        <v>76</v>
      </c>
      <c r="BR16" s="1626"/>
      <c r="BS16" s="1626"/>
      <c r="BT16" s="1626"/>
      <c r="BU16" s="1626"/>
      <c r="BV16" s="1626"/>
      <c r="BW16" s="1626"/>
      <c r="BX16" s="1626"/>
      <c r="BY16" s="1626"/>
      <c r="BZ16" s="1626"/>
      <c r="CA16" s="1626"/>
      <c r="CB16" s="1626"/>
      <c r="CC16" s="1626"/>
      <c r="CD16" s="1626"/>
      <c r="CE16" s="1626"/>
      <c r="CF16" s="1626"/>
      <c r="CG16" s="1626"/>
      <c r="CH16" s="1626"/>
      <c r="CI16" s="1626"/>
      <c r="CT16" s="1540" t="str">
        <f>IF(SIZA="未填写","",IF(SIZA=0,"",IF(SIZA&lt;=20,"孩童，身短体瘦",IF(SIZA&lt;=40,"乙女身材",IF(SIZA&lt;=60,"普遍身高155-175",IF(SIZA&lt;=80,"不是高就是胖",IF(SIZA&lt;=100,"大号的人",IF(SIZA&lt;150,"听说你正在申请身高世界记录？",IF(SIZA&lt;180,"你可能是一头牛",IF(SIZA&lt;200,"你已经是历史上最重的人类了","过分了喂！"))))))))))</f>
        <v/>
      </c>
      <c r="CU16" s="1533"/>
      <c r="CV16" s="1533"/>
      <c r="CW16" s="1533"/>
      <c r="CX16" s="1533"/>
      <c r="CY16" s="1533"/>
      <c r="CZ16" s="1533"/>
      <c r="DA16" s="1533"/>
      <c r="DB16" s="1538" t="str">
        <f>IF(INTA="未填写","",IF(INTA=0,"",IF(INTA&lt;=20,"脑子是个好东西，可惜。。。",IF(INTA&lt;=40,"理解知识要耗费比普通人更多的时间",IF(INTA&lt;=60,"有着普通人的灵光一现",IF(INTA&lt;=80,"可以自主进行发明创造",IF(INTA&lt;90,"天才级水准",IF(INTA&lt;99,"超凡之脑，能够理解多门语言与法则","超越人类之智，能够产生跨时代的想法！"))))))))</f>
        <v/>
      </c>
      <c r="DC16" s="1538"/>
      <c r="DD16" s="1538"/>
      <c r="DE16" s="1538"/>
      <c r="DF16" s="1538"/>
      <c r="DG16" s="1538"/>
      <c r="DH16" s="1538"/>
      <c r="DI16" s="1538"/>
      <c r="DJ16" s="1533" t="str">
        <f>IF(LuckA="未改运","",IF(LuckA=0,"",IF(LuckA&lt;=20,"克夫克妻",IF(LuckA&lt;=40,"霉运连连",IF(LuckA&lt;=60,"命格平庸",IF(LuckA&lt;=80,"在马路边捡到100块",IF(LuckA&lt;100,"被幸运女神所眷顾","凌驾于幸运女神之上")))))))</f>
        <v/>
      </c>
      <c r="DK16" s="1533"/>
      <c r="DL16" s="1533"/>
      <c r="DM16" s="1533"/>
      <c r="DN16" s="1533"/>
      <c r="DO16" s="1533"/>
      <c r="DP16" s="1533"/>
      <c r="DQ16" s="1534"/>
    </row>
    <row r="17" spans="2:257" ht="18" customHeight="1">
      <c r="B17" s="1138"/>
      <c r="C17" s="1139" t="s">
        <v>56</v>
      </c>
      <c r="D17" s="1140"/>
      <c r="E17" s="1138"/>
      <c r="F17" s="1141" t="s">
        <v>56</v>
      </c>
      <c r="G17" s="1140"/>
      <c r="H17" s="1138"/>
      <c r="I17" s="1139" t="s">
        <v>56</v>
      </c>
      <c r="J17" s="1140"/>
      <c r="K17" s="1138"/>
      <c r="L17" s="1141" t="s">
        <v>56</v>
      </c>
      <c r="M17" s="1140"/>
      <c r="N17" s="1138"/>
      <c r="O17" s="1139" t="s">
        <v>56</v>
      </c>
      <c r="P17" s="1140"/>
      <c r="Q17" s="1138"/>
      <c r="R17" s="1141" t="s">
        <v>56</v>
      </c>
      <c r="S17" s="1140"/>
      <c r="T17" s="1138"/>
      <c r="U17" s="1139" t="s">
        <v>56</v>
      </c>
      <c r="V17" s="1140"/>
      <c r="W17" s="1138"/>
      <c r="X17" s="1141" t="s">
        <v>56</v>
      </c>
      <c r="Y17" s="1140"/>
      <c r="Z17" s="1138"/>
      <c r="AA17" s="1139" t="s">
        <v>56</v>
      </c>
      <c r="AB17" s="1140"/>
      <c r="AC17" s="1138"/>
      <c r="AD17" s="1141" t="s">
        <v>56</v>
      </c>
      <c r="AE17" s="1140"/>
      <c r="AF17" s="1138"/>
      <c r="AG17" s="1139" t="s">
        <v>56</v>
      </c>
      <c r="AH17" s="1140"/>
      <c r="AI17" s="1138"/>
      <c r="AJ17" s="1141" t="s">
        <v>56</v>
      </c>
      <c r="AK17" s="1140"/>
      <c r="AL17" s="1138"/>
      <c r="AM17" s="1139" t="s">
        <v>56</v>
      </c>
      <c r="AN17" s="1140"/>
      <c r="AO17" s="1138"/>
      <c r="AP17" s="1141" t="s">
        <v>56</v>
      </c>
      <c r="AQ17" s="1142"/>
      <c r="AR17" s="2545">
        <f t="shared" si="0"/>
        <v>0</v>
      </c>
      <c r="AS17" s="2521"/>
      <c r="AT17" s="2002">
        <f>AR17+INT</f>
        <v>0</v>
      </c>
      <c r="AU17" s="2003"/>
      <c r="AV17" s="2585" t="s">
        <v>77</v>
      </c>
      <c r="AW17" s="2003"/>
      <c r="AX17" s="2003"/>
      <c r="AY17" s="2550" t="str">
        <f>IF(AR17&gt;0,"汲取",IF(AR17&lt;0,"散失",""))</f>
        <v/>
      </c>
      <c r="AZ17" s="2612"/>
      <c r="BA17" s="2613" t="s">
        <v>78</v>
      </c>
      <c r="BB17" s="2614"/>
      <c r="BC17" s="2614"/>
      <c r="BD17" s="2615" t="s">
        <v>79</v>
      </c>
      <c r="BE17" s="1319"/>
      <c r="BF17" s="2616"/>
      <c r="BG17" s="2616"/>
      <c r="BH17" s="2617"/>
      <c r="BI17" s="1145"/>
      <c r="BJ17" s="1146" t="s">
        <v>80</v>
      </c>
      <c r="BK17" s="1147"/>
      <c r="BL17" s="1148" t="s">
        <v>81</v>
      </c>
      <c r="BM17" s="2618">
        <v>0</v>
      </c>
      <c r="BN17" s="2619"/>
      <c r="BO17" s="2619"/>
      <c r="BP17" s="2620"/>
      <c r="BR17" s="1626"/>
      <c r="BS17" s="1626"/>
      <c r="BT17" s="1626"/>
      <c r="BU17" s="1626"/>
      <c r="BV17" s="1626"/>
      <c r="BW17" s="1626"/>
      <c r="BX17" s="1626"/>
      <c r="BY17" s="1626"/>
      <c r="BZ17" s="1626"/>
      <c r="CA17" s="1626"/>
      <c r="CB17" s="1626"/>
      <c r="CC17" s="1626"/>
      <c r="CD17" s="1626"/>
      <c r="CE17" s="1626"/>
      <c r="CF17" s="1626"/>
      <c r="CG17" s="1626"/>
      <c r="CH17" s="1626"/>
      <c r="CI17" s="1626"/>
      <c r="CT17" s="1614"/>
      <c r="CU17" s="1535"/>
      <c r="CV17" s="1535"/>
      <c r="CW17" s="1535"/>
      <c r="CX17" s="1535"/>
      <c r="CY17" s="1535"/>
      <c r="CZ17" s="1535"/>
      <c r="DA17" s="1535"/>
      <c r="DB17" s="1615"/>
      <c r="DC17" s="1615"/>
      <c r="DD17" s="1615"/>
      <c r="DE17" s="1615"/>
      <c r="DF17" s="1615"/>
      <c r="DG17" s="1615"/>
      <c r="DH17" s="1615"/>
      <c r="DI17" s="1615"/>
      <c r="DJ17" s="1535"/>
      <c r="DK17" s="1535"/>
      <c r="DL17" s="1535"/>
      <c r="DM17" s="1535"/>
      <c r="DN17" s="1535"/>
      <c r="DO17" s="1535"/>
      <c r="DP17" s="1535"/>
      <c r="DQ17" s="1536"/>
      <c r="DR17"/>
    </row>
    <row r="18" spans="2:257" ht="18" customHeight="1">
      <c r="B18" s="1133"/>
      <c r="C18" s="1134" t="s">
        <v>56</v>
      </c>
      <c r="D18" s="1135"/>
      <c r="E18" s="1133"/>
      <c r="F18" s="1136" t="s">
        <v>56</v>
      </c>
      <c r="G18" s="1135"/>
      <c r="H18" s="1133"/>
      <c r="I18" s="1134" t="s">
        <v>56</v>
      </c>
      <c r="J18" s="1135"/>
      <c r="K18" s="1133"/>
      <c r="L18" s="1136" t="s">
        <v>56</v>
      </c>
      <c r="M18" s="1135"/>
      <c r="N18" s="1133"/>
      <c r="O18" s="1134" t="s">
        <v>56</v>
      </c>
      <c r="P18" s="1135"/>
      <c r="Q18" s="1133"/>
      <c r="R18" s="1136" t="s">
        <v>56</v>
      </c>
      <c r="S18" s="1135"/>
      <c r="T18" s="1133"/>
      <c r="U18" s="1134" t="s">
        <v>56</v>
      </c>
      <c r="V18" s="1135"/>
      <c r="W18" s="1133"/>
      <c r="X18" s="1136" t="s">
        <v>56</v>
      </c>
      <c r="Y18" s="1135"/>
      <c r="Z18" s="1133"/>
      <c r="AA18" s="1134" t="s">
        <v>56</v>
      </c>
      <c r="AB18" s="1135"/>
      <c r="AC18" s="1133"/>
      <c r="AD18" s="1136" t="s">
        <v>56</v>
      </c>
      <c r="AE18" s="1135"/>
      <c r="AF18" s="1133"/>
      <c r="AG18" s="1134" t="s">
        <v>56</v>
      </c>
      <c r="AH18" s="1135"/>
      <c r="AI18" s="1133"/>
      <c r="AJ18" s="1136" t="s">
        <v>56</v>
      </c>
      <c r="AK18" s="1135"/>
      <c r="AL18" s="1133"/>
      <c r="AM18" s="1134" t="s">
        <v>56</v>
      </c>
      <c r="AN18" s="1135"/>
      <c r="AO18" s="1133"/>
      <c r="AP18" s="1136" t="s">
        <v>56</v>
      </c>
      <c r="AQ18" s="1137"/>
      <c r="AR18" s="2545">
        <f t="shared" si="0"/>
        <v>0</v>
      </c>
      <c r="AS18" s="2521"/>
      <c r="AT18" s="1993">
        <f>AR18+POW</f>
        <v>0</v>
      </c>
      <c r="AU18" s="1994"/>
      <c r="AV18" s="2585" t="s">
        <v>82</v>
      </c>
      <c r="AW18" s="2003"/>
      <c r="AX18" s="2003"/>
      <c r="AY18" s="2550" t="str">
        <f>IF(AR18&gt;0,"强魂",IF(AR18&lt;0,"衰志",""))</f>
        <v/>
      </c>
      <c r="AZ18" s="2551"/>
      <c r="BA18" s="2621" t="str">
        <f>IF(BE18=0,"","任意特长数：")</f>
        <v/>
      </c>
      <c r="BB18" s="2621"/>
      <c r="BC18" s="2621"/>
      <c r="BD18" s="2621"/>
      <c r="BE18" s="2622">
        <f>INDEX(本职技能!$A$2:$IC$82,MATCH("任意特长",本职技能!$A$2:$A$87,0),MATCH($BL$11,本职技能!$A$1:$IC$1,0))</f>
        <v>0</v>
      </c>
      <c r="BF18" s="2622"/>
      <c r="BG18" s="2622"/>
      <c r="BH18" s="2622"/>
      <c r="BJ18" s="2623">
        <f>INDEX(本职技能!$A$2:$IC$82,MATCH("☆",本职技能!$A$2:$A$87,0),MATCH($BL$11,本职技能!$A$1:$IC$1,0))</f>
        <v>0</v>
      </c>
      <c r="BK18" s="2623"/>
      <c r="BL18" s="2623"/>
      <c r="BM18" s="2623"/>
      <c r="BN18" s="2623"/>
      <c r="BO18" s="2623"/>
      <c r="BP18" s="2623"/>
      <c r="BQ18" s="2623"/>
      <c r="BS18" s="2624">
        <f>INDEX(本职技能!$A$2:$IC$82,MATCH("⊙",本职技能!$A$2:$A$87,0),MATCH($BL$11,本职技能!$A$1:$IC$1,0))</f>
        <v>0</v>
      </c>
      <c r="BT18" s="2624"/>
      <c r="BU18" s="2624"/>
      <c r="BV18" s="2624"/>
      <c r="BW18" s="2624"/>
      <c r="BX18" s="2625"/>
      <c r="BY18" s="2625"/>
      <c r="BZ18" s="2625"/>
      <c r="CB18" s="2626">
        <f>INDEX(本职技能!$A$2:$IC$82,MATCH("☯",本职技能!$A$2:$A$87,0),MATCH($BL$11,本职技能!$A$1:$IC$1,0))</f>
        <v>0</v>
      </c>
      <c r="CC18" s="2626"/>
      <c r="CD18" s="2626"/>
      <c r="CE18" s="2626"/>
      <c r="CF18" s="2626"/>
      <c r="CG18" s="2626"/>
      <c r="CH18" s="2626"/>
      <c r="CI18" s="2626"/>
      <c r="CJ18" s="1149"/>
      <c r="CK18" s="2580">
        <f>INDEX(本职技能!$A$2:$IC$82,MATCH("※",本职技能!$A$2:$A$87,0),MATCH($BL$11,本职技能!$A$1:$IC$1,0))</f>
        <v>0</v>
      </c>
      <c r="CL18" s="2580"/>
      <c r="CM18" s="2580"/>
      <c r="CN18" s="2580"/>
      <c r="CO18" s="2580"/>
      <c r="CP18" s="2580"/>
      <c r="CQ18" s="2580"/>
      <c r="CR18" s="2580"/>
      <c r="CS18" s="391"/>
      <c r="CT18" s="2579" t="s">
        <v>83</v>
      </c>
      <c r="CU18" s="2581" t="s">
        <v>84</v>
      </c>
      <c r="CV18" s="2581"/>
      <c r="CW18" s="2582" t="str">
        <f>_xlfn.XLOOKUP(DA18,$AT$12:$AT$22,$AV$12:$AV$22,,,1)</f>
        <v>理智上限</v>
      </c>
      <c r="CX18" s="2583"/>
      <c r="CY18" s="2583"/>
      <c r="CZ18" s="2584"/>
      <c r="DA18" s="2581">
        <f>LARGE($AT$12:$AU$22,1)</f>
        <v>99</v>
      </c>
      <c r="DB18" s="2581"/>
      <c r="DC18" s="1606" t="s">
        <v>85</v>
      </c>
      <c r="DD18" s="1607"/>
      <c r="DE18" s="1607"/>
      <c r="DF18" s="1546">
        <f>IF(DH20="☑",0.5,1)</f>
        <v>1</v>
      </c>
      <c r="DG18" s="1546"/>
      <c r="DH18" s="1546"/>
      <c r="DI18" s="1546"/>
      <c r="DJ18" s="1546"/>
      <c r="DK18" s="1546"/>
      <c r="DL18" s="1546"/>
      <c r="DM18" s="1546"/>
      <c r="DN18" s="1546"/>
      <c r="DO18" s="1546"/>
      <c r="DP18" s="1546"/>
      <c r="DQ18" s="1547"/>
      <c r="DR18"/>
    </row>
    <row r="19" spans="2:257" ht="18" customHeight="1">
      <c r="B19" s="1150"/>
      <c r="C19" s="1139" t="s">
        <v>56</v>
      </c>
      <c r="D19" s="1151"/>
      <c r="E19" s="1150"/>
      <c r="F19" s="1152" t="s">
        <v>56</v>
      </c>
      <c r="G19" s="1151"/>
      <c r="H19" s="1150"/>
      <c r="I19" s="1139" t="s">
        <v>56</v>
      </c>
      <c r="J19" s="1151"/>
      <c r="K19" s="1150"/>
      <c r="L19" s="1152" t="s">
        <v>56</v>
      </c>
      <c r="M19" s="1151"/>
      <c r="N19" s="1150"/>
      <c r="O19" s="1139" t="s">
        <v>56</v>
      </c>
      <c r="P19" s="1151"/>
      <c r="Q19" s="1150"/>
      <c r="R19" s="1152" t="s">
        <v>56</v>
      </c>
      <c r="S19" s="1151"/>
      <c r="T19" s="1150"/>
      <c r="U19" s="1139" t="s">
        <v>56</v>
      </c>
      <c r="V19" s="1151"/>
      <c r="W19" s="1150"/>
      <c r="X19" s="1152" t="s">
        <v>56</v>
      </c>
      <c r="Y19" s="1151"/>
      <c r="Z19" s="1150"/>
      <c r="AA19" s="1139" t="s">
        <v>56</v>
      </c>
      <c r="AB19" s="1151"/>
      <c r="AC19" s="1150"/>
      <c r="AD19" s="1152" t="s">
        <v>56</v>
      </c>
      <c r="AE19" s="1151"/>
      <c r="AF19" s="1150"/>
      <c r="AG19" s="1139" t="s">
        <v>56</v>
      </c>
      <c r="AH19" s="1151"/>
      <c r="AI19" s="1150"/>
      <c r="AJ19" s="1152" t="s">
        <v>56</v>
      </c>
      <c r="AK19" s="1151"/>
      <c r="AL19" s="1150"/>
      <c r="AM19" s="1139" t="s">
        <v>56</v>
      </c>
      <c r="AN19" s="1151"/>
      <c r="AO19" s="1150"/>
      <c r="AP19" s="1152" t="s">
        <v>56</v>
      </c>
      <c r="AQ19" s="1153"/>
      <c r="AR19" s="2545">
        <f t="shared" si="0"/>
        <v>0</v>
      </c>
      <c r="AS19" s="2521"/>
      <c r="AT19" s="2002">
        <f>AR19+EDU</f>
        <v>0</v>
      </c>
      <c r="AU19" s="2003"/>
      <c r="AV19" s="2585" t="s">
        <v>86</v>
      </c>
      <c r="AW19" s="2003"/>
      <c r="AX19" s="2003"/>
      <c r="AY19" s="2550" t="str">
        <f>IF(AR19&gt;0,"汲取",IF(AR19&lt;0,"散失",""))</f>
        <v/>
      </c>
      <c r="AZ19" s="2551"/>
      <c r="BA19" s="1497" t="s">
        <v>87</v>
      </c>
      <c r="BB19" s="1497"/>
      <c r="BC19" s="1497"/>
      <c r="BD19" s="1616">
        <f>IFERROR(BF19,"")</f>
        <v>0</v>
      </c>
      <c r="BE19" s="1616"/>
      <c r="BF19" s="1618">
        <f>IFERROR(INT((CONA+SIZA)/10),0)</f>
        <v>0</v>
      </c>
      <c r="BG19" s="1618"/>
      <c r="BH19" s="2586" t="s">
        <v>88</v>
      </c>
      <c r="BI19" s="2587"/>
      <c r="BJ19" s="1499" t="s">
        <v>89</v>
      </c>
      <c r="BK19" s="1500"/>
      <c r="BL19" s="1500"/>
      <c r="BM19" s="1489">
        <f>IFERROR(AT21,"")</f>
        <v>0</v>
      </c>
      <c r="BN19" s="1489"/>
      <c r="BO19" s="1491">
        <f>AT22</f>
        <v>99</v>
      </c>
      <c r="BP19" s="1491"/>
      <c r="BQ19" s="2588" t="s">
        <v>88</v>
      </c>
      <c r="BR19" s="2589"/>
      <c r="BS19" s="1503" t="s">
        <v>90</v>
      </c>
      <c r="BT19" s="1504"/>
      <c r="BU19" s="1504"/>
      <c r="BV19" s="1620">
        <f>IFERROR(BX19,"")</f>
        <v>0</v>
      </c>
      <c r="BW19" s="1620"/>
      <c r="BX19" s="1622">
        <f>IFERROR(INT(POWA/5),0)</f>
        <v>0</v>
      </c>
      <c r="BY19" s="1623"/>
      <c r="BZ19" s="2590" t="s">
        <v>91</v>
      </c>
      <c r="CA19" s="2591"/>
      <c r="CB19" s="1507" t="s">
        <v>92</v>
      </c>
      <c r="CC19" s="1507"/>
      <c r="CD19" s="1507"/>
      <c r="CE19" s="1509">
        <f>CH20+8</f>
        <v>8</v>
      </c>
      <c r="CF19" s="1509"/>
      <c r="CG19" s="1509"/>
      <c r="CH19" s="2592" t="s">
        <v>93</v>
      </c>
      <c r="CI19" s="2593"/>
      <c r="CJ19" s="1511" t="s">
        <v>94</v>
      </c>
      <c r="CK19" s="1493"/>
      <c r="CL19" s="1493"/>
      <c r="CM19" s="1493" t="str">
        <f>IF($CM21=0,"0",VLOOKUP($CM21,'防具表 载具表'!B2:J82,2,FALSE))</f>
        <v>无</v>
      </c>
      <c r="CN19" s="1494"/>
      <c r="CO19" s="2594" t="s">
        <v>95</v>
      </c>
      <c r="CP19" s="2594"/>
      <c r="CQ19" s="2594"/>
      <c r="CR19" s="2595"/>
      <c r="CS19" s="391"/>
      <c r="CT19" s="2537"/>
      <c r="CU19" s="2530" t="s">
        <v>96</v>
      </c>
      <c r="CV19" s="2530"/>
      <c r="CW19" s="2531" t="str">
        <f>_xlfn.XLOOKUP(DA19,$AT$12:$AT$22,$AV$12:$AV$22,,,-1)</f>
        <v>理智</v>
      </c>
      <c r="CX19" s="2532"/>
      <c r="CY19" s="2532"/>
      <c r="CZ19" s="2533"/>
      <c r="DA19" s="2531">
        <f>LARGE($AT$12:$AU$22,2)</f>
        <v>0</v>
      </c>
      <c r="DB19" s="2533"/>
      <c r="DC19" s="1608"/>
      <c r="DD19" s="1609"/>
      <c r="DE19" s="1609"/>
      <c r="DF19" s="1548"/>
      <c r="DG19" s="1548"/>
      <c r="DH19" s="1548"/>
      <c r="DI19" s="1548"/>
      <c r="DJ19" s="1548"/>
      <c r="DK19" s="1548"/>
      <c r="DL19" s="1548"/>
      <c r="DM19" s="1548"/>
      <c r="DN19" s="1548"/>
      <c r="DO19" s="1548"/>
      <c r="DP19" s="1548"/>
      <c r="DQ19" s="1549"/>
      <c r="DR19"/>
    </row>
    <row r="20" spans="2:257" ht="18" customHeight="1">
      <c r="B20" s="1133"/>
      <c r="C20" s="1134" t="s">
        <v>56</v>
      </c>
      <c r="D20" s="1135"/>
      <c r="E20" s="1133"/>
      <c r="F20" s="1154" t="s">
        <v>56</v>
      </c>
      <c r="G20" s="1135"/>
      <c r="H20" s="1133"/>
      <c r="I20" s="1134" t="s">
        <v>56</v>
      </c>
      <c r="J20" s="1135"/>
      <c r="K20" s="1133"/>
      <c r="L20" s="1154" t="s">
        <v>56</v>
      </c>
      <c r="M20" s="1135"/>
      <c r="N20" s="1133"/>
      <c r="O20" s="1134" t="s">
        <v>56</v>
      </c>
      <c r="P20" s="1135"/>
      <c r="Q20" s="1133"/>
      <c r="R20" s="1154" t="s">
        <v>56</v>
      </c>
      <c r="S20" s="1135"/>
      <c r="T20" s="1133"/>
      <c r="U20" s="1134" t="s">
        <v>56</v>
      </c>
      <c r="V20" s="1135"/>
      <c r="W20" s="1133"/>
      <c r="X20" s="1154" t="s">
        <v>56</v>
      </c>
      <c r="Y20" s="1135"/>
      <c r="Z20" s="1133"/>
      <c r="AA20" s="1134" t="s">
        <v>56</v>
      </c>
      <c r="AB20" s="1135"/>
      <c r="AC20" s="1133"/>
      <c r="AD20" s="1154" t="s">
        <v>56</v>
      </c>
      <c r="AE20" s="1135"/>
      <c r="AF20" s="1133"/>
      <c r="AG20" s="1134" t="s">
        <v>56</v>
      </c>
      <c r="AH20" s="1135"/>
      <c r="AI20" s="1133"/>
      <c r="AJ20" s="1154" t="s">
        <v>56</v>
      </c>
      <c r="AK20" s="1135"/>
      <c r="AL20" s="1133"/>
      <c r="AM20" s="1134" t="s">
        <v>56</v>
      </c>
      <c r="AN20" s="1135"/>
      <c r="AO20" s="1155"/>
      <c r="AP20" s="1154" t="s">
        <v>56</v>
      </c>
      <c r="AQ20" s="1156"/>
      <c r="AR20" s="2545">
        <f t="shared" si="0"/>
        <v>0</v>
      </c>
      <c r="AS20" s="2521"/>
      <c r="AT20" s="2596">
        <f>AR20+Luck</f>
        <v>0</v>
      </c>
      <c r="AU20" s="2597"/>
      <c r="AV20" s="2598" t="s">
        <v>97</v>
      </c>
      <c r="AW20" s="2599"/>
      <c r="AX20" s="2599"/>
      <c r="AY20" s="2550" t="str">
        <f>IF(AR20&gt;0,"强运",IF(AR20&lt;0,"弱运",""))</f>
        <v/>
      </c>
      <c r="AZ20" s="2551"/>
      <c r="BA20" s="1498"/>
      <c r="BB20" s="1498"/>
      <c r="BC20" s="1498"/>
      <c r="BD20" s="1617"/>
      <c r="BE20" s="1617"/>
      <c r="BF20" s="1619"/>
      <c r="BG20" s="1619"/>
      <c r="BH20" s="2600" t="s">
        <v>98</v>
      </c>
      <c r="BI20" s="2601"/>
      <c r="BJ20" s="1501"/>
      <c r="BK20" s="1502"/>
      <c r="BL20" s="1502"/>
      <c r="BM20" s="1490"/>
      <c r="BN20" s="1490"/>
      <c r="BO20" s="1492"/>
      <c r="BP20" s="1492"/>
      <c r="BQ20" s="2602" t="s">
        <v>99</v>
      </c>
      <c r="BR20" s="2603"/>
      <c r="BS20" s="1505"/>
      <c r="BT20" s="1506"/>
      <c r="BU20" s="1506"/>
      <c r="BV20" s="1621"/>
      <c r="BW20" s="1621"/>
      <c r="BX20" s="1624"/>
      <c r="BY20" s="1625"/>
      <c r="BZ20" s="2604" t="str">
        <f>IFERROR(IF(POWA="","",INT(POWA/100+1)),"")</f>
        <v/>
      </c>
      <c r="CA20" s="2605"/>
      <c r="CB20" s="1508"/>
      <c r="CC20" s="1508"/>
      <c r="CD20" s="1508"/>
      <c r="CE20" s="1510"/>
      <c r="CF20" s="1510"/>
      <c r="CG20" s="1510"/>
      <c r="CH20" s="2606">
        <f>附表!C9</f>
        <v>0</v>
      </c>
      <c r="CI20" s="2607"/>
      <c r="CJ20" s="1512"/>
      <c r="CK20" s="1513"/>
      <c r="CL20" s="1513"/>
      <c r="CM20" s="1495"/>
      <c r="CN20" s="1496"/>
      <c r="CO20" s="1495" t="str">
        <f>IF($CM21=0,"",VLOOKUP($CM21,'防具表 载具表'!B2:I101,4,FALSE))</f>
        <v>——</v>
      </c>
      <c r="CP20" s="1495"/>
      <c r="CQ20" s="1495"/>
      <c r="CR20" s="2608"/>
      <c r="CT20" s="2538"/>
      <c r="CU20" s="2499" t="s">
        <v>100</v>
      </c>
      <c r="CV20" s="2499"/>
      <c r="CW20" s="2500" t="str">
        <f>VLOOKUP(DA20,$AT$12:$AX$22,3,FALSE)</f>
        <v>力量</v>
      </c>
      <c r="CX20" s="2609"/>
      <c r="CY20" s="2609"/>
      <c r="CZ20" s="2610"/>
      <c r="DA20" s="2611">
        <f>LARGE($AT$12:$AU$22,3)</f>
        <v>0</v>
      </c>
      <c r="DB20" s="2610"/>
      <c r="DC20" s="2539" t="s">
        <v>101</v>
      </c>
      <c r="DD20" s="2540"/>
      <c r="DE20" s="2540"/>
      <c r="DF20" s="2540"/>
      <c r="DG20" s="2540"/>
      <c r="DH20" s="2541" t="s">
        <v>102</v>
      </c>
      <c r="DI20" s="2541"/>
      <c r="DJ20" s="2542" t="s">
        <v>103</v>
      </c>
      <c r="DK20" s="2542"/>
      <c r="DL20" s="2542"/>
      <c r="DM20" s="2542"/>
      <c r="DN20" s="2542"/>
      <c r="DO20" s="2542"/>
      <c r="DP20" s="2543" t="s">
        <v>102</v>
      </c>
      <c r="DQ20" s="2544"/>
    </row>
    <row r="21" spans="2:257" ht="18" customHeight="1">
      <c r="B21" s="1138"/>
      <c r="C21" s="1139" t="s">
        <v>56</v>
      </c>
      <c r="D21" s="1140"/>
      <c r="E21" s="1138"/>
      <c r="F21" s="1157" t="s">
        <v>56</v>
      </c>
      <c r="G21" s="1140"/>
      <c r="H21" s="1138"/>
      <c r="I21" s="1139" t="s">
        <v>56</v>
      </c>
      <c r="J21" s="1140"/>
      <c r="K21" s="1138"/>
      <c r="L21" s="1157" t="s">
        <v>56</v>
      </c>
      <c r="M21" s="1140"/>
      <c r="N21" s="1138"/>
      <c r="O21" s="1139" t="s">
        <v>56</v>
      </c>
      <c r="P21" s="1140"/>
      <c r="Q21" s="1138"/>
      <c r="R21" s="1157" t="s">
        <v>56</v>
      </c>
      <c r="S21" s="1140"/>
      <c r="T21" s="1138"/>
      <c r="U21" s="1139" t="s">
        <v>56</v>
      </c>
      <c r="V21" s="1140"/>
      <c r="W21" s="1138"/>
      <c r="X21" s="1157" t="s">
        <v>56</v>
      </c>
      <c r="Y21" s="1140"/>
      <c r="Z21" s="1138"/>
      <c r="AA21" s="1139" t="s">
        <v>56</v>
      </c>
      <c r="AB21" s="1140"/>
      <c r="AC21" s="1138"/>
      <c r="AD21" s="1157" t="s">
        <v>56</v>
      </c>
      <c r="AE21" s="1140"/>
      <c r="AF21" s="1138"/>
      <c r="AG21" s="1139" t="s">
        <v>56</v>
      </c>
      <c r="AH21" s="1140"/>
      <c r="AI21" s="1138"/>
      <c r="AJ21" s="1157" t="s">
        <v>56</v>
      </c>
      <c r="AK21" s="1140"/>
      <c r="AL21" s="1138"/>
      <c r="AM21" s="1139" t="s">
        <v>56</v>
      </c>
      <c r="AN21" s="1140"/>
      <c r="AO21" s="1138"/>
      <c r="AP21" s="1157" t="s">
        <v>56</v>
      </c>
      <c r="AQ21" s="1142"/>
      <c r="AR21" s="2545">
        <f t="shared" si="0"/>
        <v>0</v>
      </c>
      <c r="AS21" s="2521"/>
      <c r="AT21" s="2546">
        <f>IFERROR(AR21+POWA,0)</f>
        <v>0</v>
      </c>
      <c r="AU21" s="2547"/>
      <c r="AV21" s="2548" t="s">
        <v>104</v>
      </c>
      <c r="AW21" s="2549"/>
      <c r="AX21" s="2549"/>
      <c r="AY21" s="2550" t="str">
        <f>IF(AR21&gt;0,"坚毅",IF(AR21&lt;0,"衰退",""))</f>
        <v/>
      </c>
      <c r="AZ21" s="2551"/>
      <c r="BA21" s="2552" t="s">
        <v>105</v>
      </c>
      <c r="BB21" s="2552"/>
      <c r="BC21" s="2553">
        <f>IFERROR(CEILING(BF19/2,1),"")</f>
        <v>0</v>
      </c>
      <c r="BD21" s="2554"/>
      <c r="BE21" s="2552" t="s">
        <v>106</v>
      </c>
      <c r="BF21" s="2552"/>
      <c r="BG21" s="2552"/>
      <c r="BH21" s="2555">
        <v>0</v>
      </c>
      <c r="BI21" s="2555"/>
      <c r="BJ21" s="2556" t="s">
        <v>107</v>
      </c>
      <c r="BK21" s="2557"/>
      <c r="BL21" s="2557"/>
      <c r="BM21" s="2558">
        <v>0</v>
      </c>
      <c r="BN21" s="2558"/>
      <c r="BO21" s="2559" t="s">
        <v>108</v>
      </c>
      <c r="BP21" s="2560"/>
      <c r="BQ21" s="2561">
        <f>IFERROR(BM19-BM21,0)</f>
        <v>0</v>
      </c>
      <c r="BR21" s="2562"/>
      <c r="BS21" s="2563" t="s">
        <v>109</v>
      </c>
      <c r="BT21" s="2564"/>
      <c r="BU21" s="2564"/>
      <c r="BV21" s="2564"/>
      <c r="BW21" s="2565"/>
      <c r="BX21" s="2566"/>
      <c r="BY21" s="2566"/>
      <c r="BZ21" s="2566"/>
      <c r="CA21" s="2567"/>
      <c r="CB21" s="2568" t="s">
        <v>110</v>
      </c>
      <c r="CC21" s="2568"/>
      <c r="CD21" s="2569" t="s">
        <v>111</v>
      </c>
      <c r="CE21" s="2570"/>
      <c r="CF21" s="2569" t="s">
        <v>112</v>
      </c>
      <c r="CG21" s="2569"/>
      <c r="CH21" s="2569" t="s">
        <v>113</v>
      </c>
      <c r="CI21" s="2569"/>
      <c r="CJ21" s="2571" t="s">
        <v>114</v>
      </c>
      <c r="CK21" s="2572"/>
      <c r="CL21" s="2572"/>
      <c r="CM21" s="2573" t="s">
        <v>115</v>
      </c>
      <c r="CN21" s="2573"/>
      <c r="CO21" s="2573"/>
      <c r="CP21" s="2573"/>
      <c r="CQ21" s="2573"/>
      <c r="CR21" s="2574"/>
      <c r="CS21" s="391"/>
      <c r="CT21" s="2537" t="s">
        <v>116</v>
      </c>
      <c r="CU21" s="2575" t="s">
        <v>84</v>
      </c>
      <c r="CV21" s="2575"/>
      <c r="CW21" s="2576" t="str">
        <f>IFERROR(_xlfn.XLOOKUP(DA21,$AT$25:$AT$104,$AV$25:$AV$104,,,1),"")</f>
        <v>急救</v>
      </c>
      <c r="CX21" s="2577"/>
      <c r="CY21" s="2577"/>
      <c r="CZ21" s="2578"/>
      <c r="DA21" s="2575">
        <f>IFERROR(MAX(AT25:AU104),"")</f>
        <v>30</v>
      </c>
      <c r="DB21" s="2576"/>
      <c r="DC21" s="1363" t="str">
        <f>IF(LEN(BV94)=0,"你的背景故事还没动笔哦","你共写了"&amp;LEN(BV94)&amp;"字的背景故事！")</f>
        <v>你的背景故事还没动笔哦</v>
      </c>
      <c r="DD21" s="1364"/>
      <c r="DE21" s="1364"/>
      <c r="DF21" s="1364"/>
      <c r="DG21" s="1364"/>
      <c r="DH21" s="1364"/>
      <c r="DI21" s="1364"/>
      <c r="DJ21" s="1364"/>
      <c r="DK21" s="1364"/>
      <c r="DL21" s="1364"/>
      <c r="DM21" s="1364"/>
      <c r="DN21" s="1364"/>
      <c r="DO21" s="1364"/>
      <c r="DP21" s="1364"/>
      <c r="DQ21" s="1365"/>
      <c r="DT21" s="2515" t="str">
        <f>成长经历!B115</f>
        <v>书籍是人类进步的阶梯，快去找本书看吧</v>
      </c>
      <c r="DU21" s="2516"/>
      <c r="DV21" s="2516"/>
      <c r="DW21" s="2516"/>
      <c r="DX21" s="2516"/>
      <c r="DY21" s="2516"/>
      <c r="DZ21" s="2516"/>
      <c r="EA21" s="2516"/>
      <c r="EB21" s="2516"/>
      <c r="EC21" s="2516"/>
      <c r="ED21" s="2516"/>
      <c r="EE21" s="2516"/>
      <c r="EF21" s="2517" t="str">
        <f>成长经历!U115</f>
        <v>韦编三而绝，书读百遍，其义才能自现</v>
      </c>
      <c r="EG21" s="2516"/>
      <c r="EH21" s="2516"/>
      <c r="EI21" s="2516"/>
      <c r="EJ21" s="2516"/>
      <c r="EK21" s="2516"/>
      <c r="EL21" s="2516"/>
      <c r="EM21" s="2516"/>
      <c r="EN21" s="2516"/>
      <c r="EO21" s="2516"/>
      <c r="EP21" s="2516"/>
      <c r="EQ21" s="2518"/>
    </row>
    <row r="22" spans="2:257" ht="18" customHeight="1">
      <c r="B22" s="2519"/>
      <c r="C22" s="2519"/>
      <c r="D22" s="2519"/>
      <c r="E22" s="2519"/>
      <c r="F22" s="2519"/>
      <c r="G22" s="2519"/>
      <c r="H22" s="2519"/>
      <c r="I22" s="2519"/>
      <c r="J22" s="2519"/>
      <c r="K22" s="2519"/>
      <c r="L22" s="2519"/>
      <c r="M22" s="2519"/>
      <c r="N22" s="2519"/>
      <c r="O22" s="2519"/>
      <c r="P22" s="2519"/>
      <c r="Q22" s="2519"/>
      <c r="R22" s="2519"/>
      <c r="S22" s="2519"/>
      <c r="T22" s="2519"/>
      <c r="U22" s="2519"/>
      <c r="V22" s="2519"/>
      <c r="W22" s="2519"/>
      <c r="X22" s="2519"/>
      <c r="Y22" s="2519"/>
      <c r="Z22" s="2519"/>
      <c r="AA22" s="2519"/>
      <c r="AB22" s="2519"/>
      <c r="AC22" s="2519"/>
      <c r="AD22" s="2519"/>
      <c r="AE22" s="2519"/>
      <c r="AF22" s="2519"/>
      <c r="AG22" s="2519"/>
      <c r="AH22" s="2519"/>
      <c r="AI22" s="2519"/>
      <c r="AJ22" s="2519"/>
      <c r="AK22" s="2519"/>
      <c r="AL22" s="2519"/>
      <c r="AM22" s="2519"/>
      <c r="AN22" s="2519"/>
      <c r="AO22" s="2519"/>
      <c r="AP22" s="2519"/>
      <c r="AQ22" s="2519"/>
      <c r="AR22" s="2520">
        <f>SUM(B22:AQ22)</f>
        <v>0</v>
      </c>
      <c r="AS22" s="2521"/>
      <c r="AT22" s="2522">
        <f>99-BQ34+AR22</f>
        <v>99</v>
      </c>
      <c r="AU22" s="2523"/>
      <c r="AV22" s="2524" t="s">
        <v>117</v>
      </c>
      <c r="AW22" s="2525"/>
      <c r="AX22" s="2525"/>
      <c r="AY22" s="2526" t="str">
        <f>IF(AT22&gt;99,"坚毅",IF(AT22&lt;99,"衰退",""))</f>
        <v/>
      </c>
      <c r="AZ22" s="2527"/>
      <c r="BA22" s="2528" t="str">
        <f>IF(BL11=0," ","["&amp;LOOKUP(BL11,职业列表!A2:A237,职业列表!B2:B237)&amp;"]的本职技能："&amp;LOOKUP(BL11,职业列表!A2:A237,职业列表!G2:G237))</f>
        <v xml:space="preserve"> </v>
      </c>
      <c r="BB22" s="2528"/>
      <c r="BC22" s="2528"/>
      <c r="BD22" s="2528"/>
      <c r="BE22" s="2528"/>
      <c r="BF22" s="2528"/>
      <c r="BG22" s="2528"/>
      <c r="BH22" s="2528"/>
      <c r="BI22" s="2528"/>
      <c r="BJ22" s="2528"/>
      <c r="BK22" s="2528"/>
      <c r="BL22" s="2528"/>
      <c r="BM22" s="2528"/>
      <c r="BN22" s="2528"/>
      <c r="BO22" s="2528"/>
      <c r="BP22" s="2528"/>
      <c r="BQ22" s="2528"/>
      <c r="BR22" s="2528"/>
      <c r="BS22" s="2528"/>
      <c r="BT22" s="2528"/>
      <c r="BU22" s="2528"/>
      <c r="BV22" s="2528"/>
      <c r="BW22" s="2528"/>
      <c r="BX22" s="2529"/>
      <c r="BY22" s="2529"/>
      <c r="BZ22" s="2529"/>
      <c r="CA22" s="2529"/>
      <c r="CB22" s="2528"/>
      <c r="CC22" s="2528"/>
      <c r="CD22" s="2528"/>
      <c r="CE22" s="2528"/>
      <c r="CF22" s="2528"/>
      <c r="CG22" s="2528"/>
      <c r="CH22" s="2528"/>
      <c r="CI22" s="2528"/>
      <c r="CJ22" s="2528"/>
      <c r="CK22" s="2528"/>
      <c r="CL22" s="2528"/>
      <c r="CM22" s="2528"/>
      <c r="CN22" s="2528"/>
      <c r="CO22" s="2528"/>
      <c r="CP22" s="2528"/>
      <c r="CQ22" s="2528"/>
      <c r="CR22" s="2528"/>
      <c r="CS22" s="10"/>
      <c r="CT22" s="2537"/>
      <c r="CU22" s="2530" t="s">
        <v>96</v>
      </c>
      <c r="CV22" s="2530"/>
      <c r="CW22" s="2531" t="str">
        <f>IFERROR(_xlfn.XLOOKUP(DA22,$AT$25:$AT$104,$AV$25:$AV$104,,,-1),"")</f>
        <v>侦查</v>
      </c>
      <c r="CX22" s="2532"/>
      <c r="CY22" s="2532"/>
      <c r="CZ22" s="2533"/>
      <c r="DA22" s="2531">
        <f>IFERROR(LARGE($AT$25:$AU$104,2),"")</f>
        <v>25</v>
      </c>
      <c r="DB22" s="2532"/>
      <c r="DC22" s="1366"/>
      <c r="DD22" s="1367"/>
      <c r="DE22" s="1367"/>
      <c r="DF22" s="1367"/>
      <c r="DG22" s="1367"/>
      <c r="DH22" s="1367"/>
      <c r="DI22" s="1367"/>
      <c r="DJ22" s="1367"/>
      <c r="DK22" s="1367"/>
      <c r="DL22" s="1367"/>
      <c r="DM22" s="1367"/>
      <c r="DN22" s="1367"/>
      <c r="DO22" s="1367"/>
      <c r="DP22" s="1367"/>
      <c r="DQ22" s="1368"/>
      <c r="DT22" s="2534" t="str">
        <f>成长经历!K31</f>
        <v>你还未踏上旅途···</v>
      </c>
      <c r="DU22" s="2535"/>
      <c r="DV22" s="2535"/>
      <c r="DW22" s="2535"/>
      <c r="DX22" s="2535"/>
      <c r="DY22" s="2535"/>
      <c r="DZ22" s="2535"/>
      <c r="EA22" s="2535"/>
      <c r="EB22" s="2535"/>
      <c r="EC22" s="2535"/>
      <c r="ED22" s="2535"/>
      <c r="EE22" s="2535"/>
      <c r="EF22" s="2535"/>
      <c r="EG22" s="2535"/>
      <c r="EH22" s="2535"/>
      <c r="EI22" s="2535"/>
      <c r="EJ22" s="2535"/>
      <c r="EK22" s="2535"/>
      <c r="EL22" s="2535"/>
      <c r="EM22" s="2535"/>
      <c r="EN22" s="2535"/>
      <c r="EO22" s="2535"/>
      <c r="EP22" s="2535"/>
      <c r="EQ22" s="2536"/>
    </row>
    <row r="23" spans="2:257" ht="18" customHeight="1">
      <c r="B23" s="2493" t="s">
        <v>118</v>
      </c>
      <c r="C23" s="2493"/>
      <c r="D23" s="2493"/>
      <c r="E23" s="2493"/>
      <c r="F23" s="2493"/>
      <c r="G23" s="2493"/>
      <c r="H23" s="2493"/>
      <c r="I23" s="2493"/>
      <c r="J23" s="2493"/>
      <c r="K23" s="2493"/>
      <c r="L23" s="2493"/>
      <c r="M23" s="2493"/>
      <c r="N23" s="2493"/>
      <c r="O23" s="2493"/>
      <c r="P23" s="2493"/>
      <c r="Q23" s="2493"/>
      <c r="R23" s="2493"/>
      <c r="S23" s="2493"/>
      <c r="T23" s="2493"/>
      <c r="U23" s="2493"/>
      <c r="V23" s="2493"/>
      <c r="W23" s="2493"/>
      <c r="X23" s="2493"/>
      <c r="Y23" s="2493"/>
      <c r="Z23" s="2493"/>
      <c r="AA23" s="2493"/>
      <c r="AB23" s="2493"/>
      <c r="AC23" s="2493"/>
      <c r="AD23" s="2493"/>
      <c r="AE23" s="2493"/>
      <c r="AF23" s="2493"/>
      <c r="AG23" s="2493"/>
      <c r="AH23" s="2493"/>
      <c r="AI23" s="2493"/>
      <c r="AJ23" s="2493"/>
      <c r="AK23" s="2493"/>
      <c r="AL23" s="2493"/>
      <c r="AM23" s="2493"/>
      <c r="AN23" s="2493"/>
      <c r="AO23" s="2493"/>
      <c r="AP23" s="2493"/>
      <c r="AQ23" s="2493"/>
      <c r="AR23" s="2493"/>
      <c r="AS23" s="2493"/>
      <c r="AT23" s="2493"/>
      <c r="AU23" s="2493"/>
      <c r="AV23" s="2493"/>
      <c r="AW23" s="2493"/>
      <c r="AX23" s="2493"/>
      <c r="AY23" s="2493"/>
      <c r="AZ23" s="2494"/>
      <c r="BA23" s="2495" t="s">
        <v>119</v>
      </c>
      <c r="BB23" s="2495"/>
      <c r="BC23" s="2495"/>
      <c r="BD23" s="2495"/>
      <c r="BE23" s="2495"/>
      <c r="BF23" s="2495"/>
      <c r="BG23" s="2495"/>
      <c r="BH23" s="2495"/>
      <c r="BI23" s="2495"/>
      <c r="BJ23" s="2495"/>
      <c r="BK23" s="2495"/>
      <c r="BL23" s="2495"/>
      <c r="BM23" s="2495"/>
      <c r="BN23" s="2495"/>
      <c r="BO23" s="2495"/>
      <c r="BP23" s="2495"/>
      <c r="BQ23" s="2495"/>
      <c r="BR23" s="2495"/>
      <c r="BS23" s="2495"/>
      <c r="BT23" s="2495"/>
      <c r="BU23" s="2495"/>
      <c r="BV23" s="2495"/>
      <c r="BW23" s="2495"/>
      <c r="BX23" s="2495"/>
      <c r="BY23" s="2495"/>
      <c r="BZ23" s="2495"/>
      <c r="CA23" s="2495"/>
      <c r="CB23" s="2495"/>
      <c r="CC23" s="2495"/>
      <c r="CD23" s="2495"/>
      <c r="CE23" s="2495"/>
      <c r="CF23" s="2495"/>
      <c r="CG23" s="2495"/>
      <c r="CH23" s="2496"/>
      <c r="CI23" s="2497" t="str">
        <f>附表!M58</f>
        <v>母语未填写！</v>
      </c>
      <c r="CJ23" s="2495"/>
      <c r="CK23" s="2495"/>
      <c r="CL23" s="2495"/>
      <c r="CM23" s="2495"/>
      <c r="CN23" s="2495"/>
      <c r="CO23" s="2495"/>
      <c r="CP23" s="2495"/>
      <c r="CQ23" s="2495"/>
      <c r="CR23" s="2498"/>
      <c r="CS23" s="10"/>
      <c r="CT23" s="2538"/>
      <c r="CU23" s="2499" t="s">
        <v>100</v>
      </c>
      <c r="CV23" s="2499"/>
      <c r="CW23" s="2500" t="str">
        <f>IFERROR(VLOOKUP(DA23,$AT$25:$AX$104,3,FALSE),"")</f>
        <v>格斗:斗殴</v>
      </c>
      <c r="CX23" s="2501"/>
      <c r="CY23" s="2501"/>
      <c r="CZ23" s="2502"/>
      <c r="DA23" s="2500">
        <f>IFERROR(LARGE($AT$25:$AU$104,3),"")</f>
        <v>25</v>
      </c>
      <c r="DB23" s="2501"/>
      <c r="DC23" s="1369"/>
      <c r="DD23" s="1370"/>
      <c r="DE23" s="1370"/>
      <c r="DF23" s="1370"/>
      <c r="DG23" s="1370"/>
      <c r="DH23" s="1370"/>
      <c r="DI23" s="1370"/>
      <c r="DJ23" s="1370"/>
      <c r="DK23" s="1370"/>
      <c r="DL23" s="1370"/>
      <c r="DM23" s="1370"/>
      <c r="DN23" s="1370"/>
      <c r="DO23" s="1370"/>
      <c r="DP23" s="1370"/>
      <c r="DQ23" s="1371"/>
      <c r="DT23" s="2503" t="str">
        <f>成长经历!B73</f>
        <v>你对世界的真相一无所知···</v>
      </c>
      <c r="DU23" s="2504"/>
      <c r="DV23" s="2504"/>
      <c r="DW23" s="2504"/>
      <c r="DX23" s="2504"/>
      <c r="DY23" s="2504"/>
      <c r="DZ23" s="2504"/>
      <c r="EA23" s="2504"/>
      <c r="EB23" s="2504"/>
      <c r="EC23" s="2504"/>
      <c r="ED23" s="2504"/>
      <c r="EE23" s="2504"/>
      <c r="EF23" s="2504"/>
      <c r="EG23" s="2504"/>
      <c r="EH23" s="2504"/>
      <c r="EI23" s="2504"/>
      <c r="EJ23" s="2504"/>
      <c r="EK23" s="2504"/>
      <c r="EL23" s="2504"/>
      <c r="EM23" s="2504"/>
      <c r="EN23" s="2504"/>
      <c r="EO23" s="2504"/>
      <c r="EP23" s="2504"/>
      <c r="EQ23" s="2505"/>
    </row>
    <row r="24" spans="2:257" ht="18" customHeight="1">
      <c r="B24" s="2506" t="s">
        <v>47</v>
      </c>
      <c r="C24" s="2507"/>
      <c r="D24" s="2508"/>
      <c r="E24" s="2507" t="s">
        <v>47</v>
      </c>
      <c r="F24" s="2507"/>
      <c r="G24" s="2508"/>
      <c r="H24" s="2507" t="s">
        <v>47</v>
      </c>
      <c r="I24" s="2507"/>
      <c r="J24" s="2508"/>
      <c r="K24" s="2507" t="s">
        <v>47</v>
      </c>
      <c r="L24" s="2507"/>
      <c r="M24" s="2508"/>
      <c r="N24" s="2507" t="s">
        <v>47</v>
      </c>
      <c r="O24" s="2507"/>
      <c r="P24" s="2508"/>
      <c r="Q24" s="2507" t="s">
        <v>47</v>
      </c>
      <c r="R24" s="2507"/>
      <c r="S24" s="2508"/>
      <c r="T24" s="2507" t="s">
        <v>47</v>
      </c>
      <c r="U24" s="2507"/>
      <c r="V24" s="2508"/>
      <c r="W24" s="2507" t="s">
        <v>47</v>
      </c>
      <c r="X24" s="2507"/>
      <c r="Y24" s="2508"/>
      <c r="Z24" s="2507" t="s">
        <v>47</v>
      </c>
      <c r="AA24" s="2507"/>
      <c r="AB24" s="2508"/>
      <c r="AC24" s="2507" t="s">
        <v>47</v>
      </c>
      <c r="AD24" s="2507"/>
      <c r="AE24" s="2508"/>
      <c r="AF24" s="2507" t="s">
        <v>47</v>
      </c>
      <c r="AG24" s="2507"/>
      <c r="AH24" s="2508"/>
      <c r="AI24" s="2507" t="s">
        <v>47</v>
      </c>
      <c r="AJ24" s="2507"/>
      <c r="AK24" s="2508"/>
      <c r="AL24" s="2509" t="s">
        <v>47</v>
      </c>
      <c r="AM24" s="2509"/>
      <c r="AN24" s="2510"/>
      <c r="AO24" s="2509" t="s">
        <v>47</v>
      </c>
      <c r="AP24" s="2509"/>
      <c r="AQ24" s="2510"/>
      <c r="AR24" s="2511" t="s">
        <v>48</v>
      </c>
      <c r="AS24" s="2512"/>
      <c r="AT24" s="2511" t="s">
        <v>49</v>
      </c>
      <c r="AU24" s="2512"/>
      <c r="AV24" s="2513" t="s">
        <v>21</v>
      </c>
      <c r="AW24" s="2512"/>
      <c r="AX24" s="2514"/>
      <c r="AY24" s="2512" t="s">
        <v>120</v>
      </c>
      <c r="AZ24" s="2514"/>
      <c r="BA24" s="2052" t="s">
        <v>121</v>
      </c>
      <c r="BB24" s="2052"/>
      <c r="BC24" s="2484" t="s">
        <v>120</v>
      </c>
      <c r="BD24" s="2484"/>
      <c r="BE24" s="2484" t="s">
        <v>122</v>
      </c>
      <c r="BF24" s="2484"/>
      <c r="BG24" s="2484"/>
      <c r="BH24" s="2484"/>
      <c r="BI24" s="2484" t="s">
        <v>123</v>
      </c>
      <c r="BJ24" s="2484"/>
      <c r="BK24" s="2484" t="s">
        <v>48</v>
      </c>
      <c r="BL24" s="2484"/>
      <c r="BM24" s="2484" t="s">
        <v>51</v>
      </c>
      <c r="BN24" s="2484"/>
      <c r="BO24" s="2484" t="s">
        <v>124</v>
      </c>
      <c r="BP24" s="2484"/>
      <c r="BQ24" s="2484" t="s">
        <v>125</v>
      </c>
      <c r="BR24" s="2484"/>
      <c r="BS24" s="2484"/>
      <c r="BT24" s="2484"/>
      <c r="BU24" s="2484"/>
      <c r="BV24" s="2484"/>
      <c r="BW24" s="2052" t="s">
        <v>121</v>
      </c>
      <c r="BX24" s="2485"/>
      <c r="BY24" s="2484" t="s">
        <v>120</v>
      </c>
      <c r="BZ24" s="2484"/>
      <c r="CA24" s="2484" t="s">
        <v>122</v>
      </c>
      <c r="CB24" s="2484"/>
      <c r="CC24" s="2484"/>
      <c r="CD24" s="2484"/>
      <c r="CE24" s="2484" t="s">
        <v>123</v>
      </c>
      <c r="CF24" s="2484"/>
      <c r="CG24" s="2484" t="s">
        <v>48</v>
      </c>
      <c r="CH24" s="2484"/>
      <c r="CI24" s="2484" t="s">
        <v>51</v>
      </c>
      <c r="CJ24" s="2484"/>
      <c r="CK24" s="2484" t="s">
        <v>124</v>
      </c>
      <c r="CL24" s="2484"/>
      <c r="CM24" s="2484" t="s">
        <v>125</v>
      </c>
      <c r="CN24" s="2484"/>
      <c r="CO24" s="2484"/>
      <c r="CP24" s="2484"/>
      <c r="CQ24" s="2484"/>
      <c r="CR24" s="2486"/>
      <c r="CS24" s="10"/>
      <c r="CT24" s="2487" t="s">
        <v>126</v>
      </c>
      <c r="CU24" s="2488"/>
      <c r="CV24" s="2488"/>
      <c r="CW24" s="2488"/>
      <c r="CX24" s="2488"/>
      <c r="CY24" s="2488"/>
      <c r="CZ24" s="2488" t="s">
        <v>127</v>
      </c>
      <c r="DA24" s="2488"/>
      <c r="DB24" s="2488"/>
      <c r="DC24" s="2488"/>
      <c r="DD24" s="2488"/>
      <c r="DE24" s="2488"/>
      <c r="DF24" s="2488"/>
      <c r="DG24" s="2488"/>
      <c r="DH24" s="2488"/>
      <c r="DI24" s="2488"/>
      <c r="DJ24" s="2488"/>
      <c r="DK24" s="2488"/>
      <c r="DL24" s="2488"/>
      <c r="DM24" s="2488"/>
      <c r="DN24" s="2488"/>
      <c r="DO24" s="2488"/>
      <c r="DP24" s="2488"/>
      <c r="DQ24" s="2489"/>
      <c r="DT24" s="2490" t="str">
        <f>成长经历!AI73</f>
        <v>你从未见过何为真正之绝望···</v>
      </c>
      <c r="DU24" s="2491"/>
      <c r="DV24" s="2491"/>
      <c r="DW24" s="2491"/>
      <c r="DX24" s="2491"/>
      <c r="DY24" s="2491"/>
      <c r="DZ24" s="2491"/>
      <c r="EA24" s="2491"/>
      <c r="EB24" s="2491"/>
      <c r="EC24" s="2491"/>
      <c r="ED24" s="2491"/>
      <c r="EE24" s="2491"/>
      <c r="EF24" s="2491"/>
      <c r="EG24" s="2491"/>
      <c r="EH24" s="2491"/>
      <c r="EI24" s="2491"/>
      <c r="EJ24" s="2491"/>
      <c r="EK24" s="2491"/>
      <c r="EL24" s="2491"/>
      <c r="EM24" s="2491"/>
      <c r="EN24" s="2491"/>
      <c r="EO24" s="2491"/>
      <c r="EP24" s="2491"/>
      <c r="EQ24" s="2492"/>
      <c r="ID24" s="395"/>
      <c r="IE24" s="395"/>
      <c r="IF24" s="395"/>
      <c r="IG24" s="395"/>
      <c r="IH24" s="395"/>
      <c r="II24" s="395"/>
      <c r="IJ24" s="395"/>
      <c r="IK24" s="395"/>
      <c r="IL24" s="395"/>
      <c r="IM24" s="395"/>
      <c r="IN24" s="395"/>
      <c r="IO24" s="395"/>
      <c r="IP24" s="395"/>
      <c r="IQ24" s="395"/>
      <c r="IR24" s="395"/>
      <c r="IS24" s="395"/>
      <c r="IT24" s="395"/>
      <c r="IU24" s="395"/>
      <c r="IV24" s="395"/>
      <c r="IW24" s="395"/>
    </row>
    <row r="25" spans="2:257" ht="18" customHeight="1">
      <c r="B25" s="1133"/>
      <c r="C25" s="1134" t="s">
        <v>56</v>
      </c>
      <c r="D25" s="1135"/>
      <c r="E25" s="1133"/>
      <c r="F25" s="1136" t="s">
        <v>56</v>
      </c>
      <c r="G25" s="1135"/>
      <c r="H25" s="1133"/>
      <c r="I25" s="1134" t="s">
        <v>56</v>
      </c>
      <c r="J25" s="1135"/>
      <c r="K25" s="1133"/>
      <c r="L25" s="1136" t="s">
        <v>56</v>
      </c>
      <c r="M25" s="1135"/>
      <c r="N25" s="1133"/>
      <c r="O25" s="1134" t="s">
        <v>56</v>
      </c>
      <c r="P25" s="1135"/>
      <c r="Q25" s="1133"/>
      <c r="R25" s="1136" t="s">
        <v>56</v>
      </c>
      <c r="S25" s="1135"/>
      <c r="T25" s="1133"/>
      <c r="U25" s="1134" t="s">
        <v>56</v>
      </c>
      <c r="V25" s="1135"/>
      <c r="W25" s="1133"/>
      <c r="X25" s="1136" t="s">
        <v>56</v>
      </c>
      <c r="Y25" s="1135"/>
      <c r="Z25" s="1133"/>
      <c r="AA25" s="1134" t="s">
        <v>56</v>
      </c>
      <c r="AB25" s="1135"/>
      <c r="AC25" s="1133"/>
      <c r="AD25" s="1136" t="s">
        <v>56</v>
      </c>
      <c r="AE25" s="1135"/>
      <c r="AF25" s="1133"/>
      <c r="AG25" s="1134" t="s">
        <v>56</v>
      </c>
      <c r="AH25" s="1135"/>
      <c r="AI25" s="1133"/>
      <c r="AJ25" s="1136" t="s">
        <v>56</v>
      </c>
      <c r="AK25" s="1135"/>
      <c r="AL25" s="1133"/>
      <c r="AM25" s="1134" t="s">
        <v>56</v>
      </c>
      <c r="AN25" s="1135"/>
      <c r="AO25" s="1133"/>
      <c r="AP25" s="1136" t="s">
        <v>56</v>
      </c>
      <c r="AQ25" s="1137"/>
      <c r="AR25" s="1991">
        <f>SUM(AO25,AL25,AI25,AF25,AC25,Z25,W25,T25,Q25,N25,K25,H25,E25,B25)-SUM(AQ25,AN25,AK25,AH25,AE25,AB25,Y25,V25,S25,P25,M25,J25,G25,D25)</f>
        <v>0</v>
      </c>
      <c r="AS25" s="1992"/>
      <c r="AT25" s="1993">
        <f>AR25+BI25+BM26+BO25</f>
        <v>5</v>
      </c>
      <c r="AU25" s="1994"/>
      <c r="AV25" s="1995" t="str">
        <f t="shared" ref="AV25:AV40" si="1">BE25</f>
        <v>会计</v>
      </c>
      <c r="AW25" s="1996"/>
      <c r="AX25" s="1997"/>
      <c r="AY25" s="1998">
        <f>BC25</f>
        <v>0</v>
      </c>
      <c r="AZ25" s="2029"/>
      <c r="BA25" s="2301" t="s">
        <v>102</v>
      </c>
      <c r="BB25" s="2301"/>
      <c r="BC25" s="2405">
        <f>IF(ISTEXT(IFERROR(VLOOKUP(人物卡!BE25,人物卡!$DI$25:$DQ$29,1,FALSE),IFERROR(VLOOKUP(人物卡!BE25,人物卡!$CZ$25:$DB$29,1,FALSE),0))),"★",INDEX(本职技能!$A$2:$IC$87,MATCH(人物卡!BE25,本职技能!$A$2:$A$87,0),MATCH(人物卡!$BL$11,本职技能!$A$1:$IC$1,0)))</f>
        <v>0</v>
      </c>
      <c r="BD25" s="2405"/>
      <c r="BE25" s="1316" t="s">
        <v>128</v>
      </c>
      <c r="BF25" s="1316"/>
      <c r="BG25" s="1316"/>
      <c r="BH25" s="1316"/>
      <c r="BI25" s="2069">
        <v>5</v>
      </c>
      <c r="BJ25" s="2069"/>
      <c r="BK25" s="2069">
        <f>AR25</f>
        <v>0</v>
      </c>
      <c r="BL25" s="2069"/>
      <c r="BM25" s="1542"/>
      <c r="BN25" s="1542"/>
      <c r="BO25" s="2078"/>
      <c r="BP25" s="2078"/>
      <c r="BQ25" s="2284">
        <f t="shared" ref="BQ25:BQ40" si="2">SUM(BI25:BO25)</f>
        <v>5</v>
      </c>
      <c r="BR25" s="2284"/>
      <c r="BS25" s="1542">
        <f t="shared" ref="BS25:BS64" si="3">INT(BQ25/2)</f>
        <v>2</v>
      </c>
      <c r="BT25" s="1542"/>
      <c r="BU25" s="1542">
        <f t="shared" ref="BU25:BU64" si="4">INT(BQ25/5)</f>
        <v>1</v>
      </c>
      <c r="BV25" s="1542"/>
      <c r="BW25" s="2301" t="s">
        <v>102</v>
      </c>
      <c r="BX25" s="2302"/>
      <c r="BY25" s="2303">
        <f>IF(ISTEXT(IFERROR(VLOOKUP(人物卡!CA25,人物卡!$DI$25:$DQ$29,1,FALSE),IFERROR(VLOOKUP(人物卡!CA25,人物卡!$CZ$25:$DB$29,1,FALSE),0))),"★",INDEX(本职技能!$A$2:$IC$87,MATCH(人物卡!CA25,本职技能!$A$2:$A$87,0),MATCH(人物卡!$BL$11,本职技能!$A$1:$IC$1,0)))</f>
        <v>0</v>
      </c>
      <c r="BZ25" s="2303"/>
      <c r="CA25" s="1316" t="s">
        <v>129</v>
      </c>
      <c r="CB25" s="1316"/>
      <c r="CC25" s="1316"/>
      <c r="CD25" s="1316"/>
      <c r="CE25" s="2282">
        <v>1</v>
      </c>
      <c r="CF25" s="2282"/>
      <c r="CG25" s="2282">
        <f>AR65</f>
        <v>0</v>
      </c>
      <c r="CH25" s="2282"/>
      <c r="CI25" s="2283"/>
      <c r="CJ25" s="2283"/>
      <c r="CK25" s="2283"/>
      <c r="CL25" s="2283"/>
      <c r="CM25" s="2284">
        <f t="shared" ref="CM25:CM59" si="5">SUM(CE25:CK25)</f>
        <v>1</v>
      </c>
      <c r="CN25" s="2284"/>
      <c r="CO25" s="1542">
        <f t="shared" ref="CO25:CO64" si="6">INT(CM25/2)</f>
        <v>0</v>
      </c>
      <c r="CP25" s="1542"/>
      <c r="CQ25" s="1542">
        <f t="shared" ref="CQ25:CQ64" si="7">INT(CM25/5)</f>
        <v>0</v>
      </c>
      <c r="CR25" s="1545"/>
      <c r="CS25" s="10"/>
      <c r="CT25" s="2479" t="s">
        <v>130</v>
      </c>
      <c r="CU25" s="2480"/>
      <c r="CV25" s="2480"/>
      <c r="CW25" s="2480"/>
      <c r="CX25" s="2480"/>
      <c r="CY25" s="2480"/>
      <c r="CZ25" s="2446"/>
      <c r="DA25" s="2447"/>
      <c r="DB25" s="2447"/>
      <c r="DC25" s="2447"/>
      <c r="DD25" s="2447"/>
      <c r="DE25" s="2447"/>
      <c r="DF25" s="2447"/>
      <c r="DG25" s="2447"/>
      <c r="DH25" s="2447"/>
      <c r="DI25" s="2446"/>
      <c r="DJ25" s="2447"/>
      <c r="DK25" s="2447"/>
      <c r="DL25" s="2447"/>
      <c r="DM25" s="2447"/>
      <c r="DN25" s="2447"/>
      <c r="DO25" s="2447"/>
      <c r="DP25" s="2447"/>
      <c r="DQ25" s="2448"/>
      <c r="DT25" s="2481" t="str">
        <f>成长经历!R73</f>
        <v>你的理智防线还坚挺着···</v>
      </c>
      <c r="DU25" s="2482"/>
      <c r="DV25" s="2482"/>
      <c r="DW25" s="2482"/>
      <c r="DX25" s="2482"/>
      <c r="DY25" s="2482"/>
      <c r="DZ25" s="2482"/>
      <c r="EA25" s="2482"/>
      <c r="EB25" s="2482"/>
      <c r="EC25" s="2482"/>
      <c r="ED25" s="2482"/>
      <c r="EE25" s="2482"/>
      <c r="EF25" s="2482"/>
      <c r="EG25" s="2482"/>
      <c r="EH25" s="2482"/>
      <c r="EI25" s="2482"/>
      <c r="EJ25" s="2482"/>
      <c r="EK25" s="2482"/>
      <c r="EL25" s="2482"/>
      <c r="EM25" s="2482"/>
      <c r="EN25" s="2482"/>
      <c r="EO25" s="2482"/>
      <c r="EP25" s="2482"/>
      <c r="EQ25" s="2483"/>
    </row>
    <row r="26" spans="2:257" ht="18" customHeight="1">
      <c r="B26" s="1138"/>
      <c r="C26" s="1139" t="s">
        <v>56</v>
      </c>
      <c r="D26" s="1140"/>
      <c r="E26" s="1138"/>
      <c r="F26" s="1141" t="s">
        <v>56</v>
      </c>
      <c r="G26" s="1140"/>
      <c r="H26" s="1138"/>
      <c r="I26" s="1139" t="s">
        <v>56</v>
      </c>
      <c r="J26" s="1140"/>
      <c r="K26" s="1138"/>
      <c r="L26" s="1141" t="s">
        <v>56</v>
      </c>
      <c r="M26" s="1140"/>
      <c r="N26" s="1138"/>
      <c r="O26" s="1139" t="s">
        <v>56</v>
      </c>
      <c r="P26" s="1140"/>
      <c r="Q26" s="1138"/>
      <c r="R26" s="1141" t="s">
        <v>56</v>
      </c>
      <c r="S26" s="1140"/>
      <c r="T26" s="1138"/>
      <c r="U26" s="1139" t="s">
        <v>56</v>
      </c>
      <c r="V26" s="1140"/>
      <c r="W26" s="1138"/>
      <c r="X26" s="1141" t="s">
        <v>56</v>
      </c>
      <c r="Y26" s="1140"/>
      <c r="Z26" s="1138"/>
      <c r="AA26" s="1139" t="s">
        <v>56</v>
      </c>
      <c r="AB26" s="1140"/>
      <c r="AC26" s="1138"/>
      <c r="AD26" s="1141" t="s">
        <v>56</v>
      </c>
      <c r="AE26" s="1140"/>
      <c r="AF26" s="1138"/>
      <c r="AG26" s="1139" t="s">
        <v>56</v>
      </c>
      <c r="AH26" s="1140"/>
      <c r="AI26" s="1138"/>
      <c r="AJ26" s="1141" t="s">
        <v>56</v>
      </c>
      <c r="AK26" s="1140"/>
      <c r="AL26" s="1138"/>
      <c r="AM26" s="1139" t="s">
        <v>56</v>
      </c>
      <c r="AN26" s="1140"/>
      <c r="AO26" s="1138"/>
      <c r="AP26" s="1141" t="s">
        <v>56</v>
      </c>
      <c r="AQ26" s="1142"/>
      <c r="AR26" s="1991">
        <f t="shared" ref="AR26:AR40" si="8">SUM(AO26,AL26,AI26,AF26,AC26,Z26,W26,T26,Q26,N26,K26,H26,E26,B26)-SUM(AQ26,AN26,AK26,AH26,AE26,AB26,Y26,V26,S26,P26,M26,J26,G26,D26)</f>
        <v>0</v>
      </c>
      <c r="AS26" s="1992"/>
      <c r="AT26" s="2002">
        <f>AR26+BI26+BM26+BO26</f>
        <v>5</v>
      </c>
      <c r="AU26" s="2003"/>
      <c r="AV26" s="1995" t="str">
        <f t="shared" si="1"/>
        <v>法律</v>
      </c>
      <c r="AW26" s="1996"/>
      <c r="AX26" s="1997"/>
      <c r="AY26" s="1998">
        <f t="shared" ref="AY26:AY64" si="9">BC26</f>
        <v>0</v>
      </c>
      <c r="AZ26" s="2029"/>
      <c r="BA26" s="2321" t="s">
        <v>102</v>
      </c>
      <c r="BB26" s="2321"/>
      <c r="BC26" s="2396">
        <f>IF(ISTEXT(IFERROR(VLOOKUP(人物卡!BE26,人物卡!$DI$25:$DQ$29,1,FALSE),IFERROR(VLOOKUP(人物卡!BE26,人物卡!$CZ$25:$DB$29,1,FALSE),0))),"★",INDEX(本职技能!$A$2:$IC$87,MATCH(人物卡!BE26,本职技能!$A$2:$A$87,0),MATCH(人物卡!$BL$11,本职技能!$A$1:$IC$1,0)))</f>
        <v>0</v>
      </c>
      <c r="BD26" s="2396"/>
      <c r="BE26" s="2324" t="s">
        <v>131</v>
      </c>
      <c r="BF26" s="2324"/>
      <c r="BG26" s="2324"/>
      <c r="BH26" s="2324"/>
      <c r="BI26" s="2397">
        <v>5</v>
      </c>
      <c r="BJ26" s="2397"/>
      <c r="BK26" s="2397">
        <f>AR26</f>
        <v>0</v>
      </c>
      <c r="BL26" s="2397"/>
      <c r="BM26" s="2399"/>
      <c r="BN26" s="2399"/>
      <c r="BO26" s="2399"/>
      <c r="BP26" s="2399"/>
      <c r="BQ26" s="2328">
        <f t="shared" si="2"/>
        <v>5</v>
      </c>
      <c r="BR26" s="2328"/>
      <c r="BS26" s="2329">
        <f t="shared" si="3"/>
        <v>2</v>
      </c>
      <c r="BT26" s="2329"/>
      <c r="BU26" s="2329">
        <f t="shared" si="4"/>
        <v>1</v>
      </c>
      <c r="BV26" s="2329"/>
      <c r="BW26" s="2321" t="s">
        <v>102</v>
      </c>
      <c r="BX26" s="2322"/>
      <c r="BY26" s="2323">
        <f>IF(ISTEXT(IFERROR(VLOOKUP(人物卡!CA26,人物卡!$DI$25:$DQ$29,1,FALSE),IFERROR(VLOOKUP(人物卡!CA26,人物卡!$CZ$25:$DB$29,1,FALSE),0))),"★",INDEX(本职技能!$A$2:$IC$87,MATCH(人物卡!CA26,本职技能!$A$2:$A$87,0),MATCH(人物卡!$BL$11,本职技能!$A$1:$IC$1,0)))</f>
        <v>0</v>
      </c>
      <c r="BZ26" s="2323"/>
      <c r="CA26" s="2324" t="s">
        <v>132</v>
      </c>
      <c r="CB26" s="2324"/>
      <c r="CC26" s="2324"/>
      <c r="CD26" s="2324"/>
      <c r="CE26" s="2325">
        <v>5</v>
      </c>
      <c r="CF26" s="2325"/>
      <c r="CG26" s="2325">
        <f>AR66</f>
        <v>0</v>
      </c>
      <c r="CH26" s="2325"/>
      <c r="CI26" s="2326"/>
      <c r="CJ26" s="2326"/>
      <c r="CK26" s="2327"/>
      <c r="CL26" s="2327"/>
      <c r="CM26" s="2328">
        <f t="shared" si="5"/>
        <v>5</v>
      </c>
      <c r="CN26" s="2328"/>
      <c r="CO26" s="2329">
        <f t="shared" si="6"/>
        <v>2</v>
      </c>
      <c r="CP26" s="2329"/>
      <c r="CQ26" s="2329">
        <f t="shared" si="7"/>
        <v>1</v>
      </c>
      <c r="CR26" s="2330"/>
      <c r="CS26" s="1158"/>
      <c r="CT26" s="1560" t="str">
        <f>附表!AD25</f>
        <v>无</v>
      </c>
      <c r="CU26" s="1561"/>
      <c r="CV26" s="1561"/>
      <c r="CW26" s="1561"/>
      <c r="CX26" s="1561"/>
      <c r="CY26" s="1562"/>
      <c r="CZ26" s="2464"/>
      <c r="DA26" s="2465"/>
      <c r="DB26" s="2465"/>
      <c r="DC26" s="2465"/>
      <c r="DD26" s="2465"/>
      <c r="DE26" s="2465"/>
      <c r="DF26" s="2465"/>
      <c r="DG26" s="2465"/>
      <c r="DH26" s="2465"/>
      <c r="DI26" s="2464"/>
      <c r="DJ26" s="2465"/>
      <c r="DK26" s="2465"/>
      <c r="DL26" s="2465"/>
      <c r="DM26" s="2465"/>
      <c r="DN26" s="2465"/>
      <c r="DO26" s="2465"/>
      <c r="DP26" s="2465"/>
      <c r="DQ26" s="2466"/>
      <c r="DT26" s="2473" t="str">
        <f>成长经历!BA31</f>
        <v>超乎想象的能力，等待你窥探···</v>
      </c>
      <c r="DU26" s="2474"/>
      <c r="DV26" s="2474"/>
      <c r="DW26" s="2474"/>
      <c r="DX26" s="2474"/>
      <c r="DY26" s="2474"/>
      <c r="DZ26" s="2474"/>
      <c r="EA26" s="2474"/>
      <c r="EB26" s="2474"/>
      <c r="EC26" s="2474"/>
      <c r="ED26" s="2474"/>
      <c r="EE26" s="2474"/>
      <c r="EF26" s="2474"/>
      <c r="EG26" s="2474"/>
      <c r="EH26" s="2474"/>
      <c r="EI26" s="2474"/>
      <c r="EJ26" s="2474"/>
      <c r="EK26" s="2474"/>
      <c r="EL26" s="2474"/>
      <c r="EM26" s="2474"/>
      <c r="EN26" s="2474"/>
      <c r="EO26" s="2474"/>
      <c r="EP26" s="2474"/>
      <c r="EQ26" s="2475"/>
    </row>
    <row r="27" spans="2:257" ht="18" customHeight="1">
      <c r="B27" s="1133"/>
      <c r="C27" s="1134" t="s">
        <v>56</v>
      </c>
      <c r="D27" s="1135"/>
      <c r="E27" s="1133"/>
      <c r="F27" s="1136" t="s">
        <v>56</v>
      </c>
      <c r="G27" s="1135"/>
      <c r="H27" s="1133"/>
      <c r="I27" s="1134" t="s">
        <v>56</v>
      </c>
      <c r="J27" s="1135"/>
      <c r="K27" s="1133"/>
      <c r="L27" s="1136" t="s">
        <v>56</v>
      </c>
      <c r="M27" s="1135"/>
      <c r="N27" s="1133"/>
      <c r="O27" s="1134" t="s">
        <v>56</v>
      </c>
      <c r="P27" s="1135"/>
      <c r="Q27" s="1133"/>
      <c r="R27" s="1136" t="s">
        <v>56</v>
      </c>
      <c r="S27" s="1135"/>
      <c r="T27" s="1133"/>
      <c r="U27" s="1134" t="s">
        <v>56</v>
      </c>
      <c r="V27" s="1135"/>
      <c r="W27" s="1133"/>
      <c r="X27" s="1136" t="s">
        <v>56</v>
      </c>
      <c r="Y27" s="1135"/>
      <c r="Z27" s="1133"/>
      <c r="AA27" s="1134" t="s">
        <v>56</v>
      </c>
      <c r="AB27" s="1135"/>
      <c r="AC27" s="1133"/>
      <c r="AD27" s="1136" t="s">
        <v>56</v>
      </c>
      <c r="AE27" s="1135"/>
      <c r="AF27" s="1133"/>
      <c r="AG27" s="1134" t="s">
        <v>56</v>
      </c>
      <c r="AH27" s="1135"/>
      <c r="AI27" s="1133"/>
      <c r="AJ27" s="1136" t="s">
        <v>56</v>
      </c>
      <c r="AK27" s="1135"/>
      <c r="AL27" s="1133"/>
      <c r="AM27" s="1134" t="s">
        <v>56</v>
      </c>
      <c r="AN27" s="1135"/>
      <c r="AO27" s="1133"/>
      <c r="AP27" s="1136" t="s">
        <v>56</v>
      </c>
      <c r="AQ27" s="1137"/>
      <c r="AR27" s="1991">
        <f t="shared" si="8"/>
        <v>0</v>
      </c>
      <c r="AS27" s="1992"/>
      <c r="AT27" s="1993">
        <f t="shared" ref="AT27:AT64" si="10">AR27+BI27+BM27+BO27</f>
        <v>5</v>
      </c>
      <c r="AU27" s="1994"/>
      <c r="AV27" s="1995" t="str">
        <f t="shared" si="1"/>
        <v>历史</v>
      </c>
      <c r="AW27" s="1996"/>
      <c r="AX27" s="1997"/>
      <c r="AY27" s="1998">
        <f t="shared" si="9"/>
        <v>0</v>
      </c>
      <c r="AZ27" s="2029"/>
      <c r="BA27" s="2301" t="s">
        <v>102</v>
      </c>
      <c r="BB27" s="2301"/>
      <c r="BC27" s="2405">
        <f>IF(ISTEXT(IFERROR(VLOOKUP(人物卡!BE27,人物卡!$DI$25:$DQ$29,1,FALSE),IFERROR(VLOOKUP(人物卡!BE27,人物卡!$CZ$25:$DB$29,1,FALSE),0))),"★",INDEX(本职技能!$A$2:$IC$87,MATCH(人物卡!BE27,本职技能!$A$2:$A$87,0),MATCH(人物卡!$BL$11,本职技能!$A$1:$IC$1,0)))</f>
        <v>0</v>
      </c>
      <c r="BD27" s="2405"/>
      <c r="BE27" s="1316" t="s">
        <v>133</v>
      </c>
      <c r="BF27" s="1316"/>
      <c r="BG27" s="1316"/>
      <c r="BH27" s="1316"/>
      <c r="BI27" s="2069">
        <v>5</v>
      </c>
      <c r="BJ27" s="2069"/>
      <c r="BK27" s="2069">
        <f t="shared" ref="BK27:BK64" si="11">AR27</f>
        <v>0</v>
      </c>
      <c r="BL27" s="2069"/>
      <c r="BM27" s="2078"/>
      <c r="BN27" s="2078"/>
      <c r="BO27" s="2078"/>
      <c r="BP27" s="2078"/>
      <c r="BQ27" s="2284">
        <f t="shared" si="2"/>
        <v>5</v>
      </c>
      <c r="BR27" s="2284"/>
      <c r="BS27" s="1542">
        <f t="shared" si="3"/>
        <v>2</v>
      </c>
      <c r="BT27" s="1542"/>
      <c r="BU27" s="1542">
        <f t="shared" si="4"/>
        <v>1</v>
      </c>
      <c r="BV27" s="1542"/>
      <c r="BW27" s="2301" t="s">
        <v>102</v>
      </c>
      <c r="BX27" s="2302"/>
      <c r="BY27" s="2303">
        <f>IF(ISTEXT(IFERROR(VLOOKUP(人物卡!CA27,人物卡!$DI$25:$DQ$29,1,FALSE),IFERROR(VLOOKUP(人物卡!CA27,人物卡!$CZ$25:$DB$29,1,FALSE),0))),"★",INDEX(本职技能!$A$2:$IC$87,MATCH(人物卡!CA27,本职技能!$A$2:$A$87,0),MATCH(人物卡!$BL$11,本职技能!$A$1:$IC$1,0)))</f>
        <v>0</v>
      </c>
      <c r="BZ27" s="2303"/>
      <c r="CA27" s="1316" t="s">
        <v>134</v>
      </c>
      <c r="CB27" s="1316"/>
      <c r="CC27" s="1316"/>
      <c r="CD27" s="1316"/>
      <c r="CE27" s="2282">
        <v>10</v>
      </c>
      <c r="CF27" s="2282"/>
      <c r="CG27" s="2282">
        <f t="shared" ref="CG27:CG64" si="12">AR67</f>
        <v>0</v>
      </c>
      <c r="CH27" s="2282"/>
      <c r="CI27" s="2283"/>
      <c r="CJ27" s="2283"/>
      <c r="CK27" s="2283"/>
      <c r="CL27" s="2283"/>
      <c r="CM27" s="2284">
        <f t="shared" si="5"/>
        <v>10</v>
      </c>
      <c r="CN27" s="2284"/>
      <c r="CO27" s="1542">
        <f t="shared" si="6"/>
        <v>5</v>
      </c>
      <c r="CP27" s="1542"/>
      <c r="CQ27" s="1542">
        <f t="shared" si="7"/>
        <v>2</v>
      </c>
      <c r="CR27" s="1545"/>
      <c r="CS27" s="1158"/>
      <c r="CT27" s="1560"/>
      <c r="CU27" s="1561"/>
      <c r="CV27" s="1561"/>
      <c r="CW27" s="1561"/>
      <c r="CX27" s="1561"/>
      <c r="CY27" s="1562"/>
      <c r="CZ27" s="2446"/>
      <c r="DA27" s="2447"/>
      <c r="DB27" s="2447"/>
      <c r="DC27" s="2447"/>
      <c r="DD27" s="2447"/>
      <c r="DE27" s="2447"/>
      <c r="DF27" s="2447"/>
      <c r="DG27" s="2447"/>
      <c r="DH27" s="2447"/>
      <c r="DI27" s="2446"/>
      <c r="DJ27" s="2447"/>
      <c r="DK27" s="2447"/>
      <c r="DL27" s="2447"/>
      <c r="DM27" s="2447"/>
      <c r="DN27" s="2447"/>
      <c r="DO27" s="2447"/>
      <c r="DP27" s="2447"/>
      <c r="DQ27" s="2448"/>
      <c r="DT27" s="2476" t="str">
        <f>成长经历!BA73</f>
        <v>你接触到的还只是凡尘之物···</v>
      </c>
      <c r="DU27" s="2477"/>
      <c r="DV27" s="2477"/>
      <c r="DW27" s="2477"/>
      <c r="DX27" s="2477"/>
      <c r="DY27" s="2477"/>
      <c r="DZ27" s="2477"/>
      <c r="EA27" s="2477"/>
      <c r="EB27" s="2477"/>
      <c r="EC27" s="2477"/>
      <c r="ED27" s="2477"/>
      <c r="EE27" s="2477"/>
      <c r="EF27" s="2477"/>
      <c r="EG27" s="2477"/>
      <c r="EH27" s="2477"/>
      <c r="EI27" s="2477"/>
      <c r="EJ27" s="2477"/>
      <c r="EK27" s="2477"/>
      <c r="EL27" s="2477"/>
      <c r="EM27" s="2477"/>
      <c r="EN27" s="2477"/>
      <c r="EO27" s="2477"/>
      <c r="EP27" s="2477"/>
      <c r="EQ27" s="2478"/>
    </row>
    <row r="28" spans="2:257" ht="18" customHeight="1">
      <c r="B28" s="1138"/>
      <c r="C28" s="1139" t="s">
        <v>56</v>
      </c>
      <c r="D28" s="1140"/>
      <c r="E28" s="1138"/>
      <c r="F28" s="1141" t="s">
        <v>56</v>
      </c>
      <c r="G28" s="1140"/>
      <c r="H28" s="1138"/>
      <c r="I28" s="1139" t="s">
        <v>56</v>
      </c>
      <c r="J28" s="1140"/>
      <c r="K28" s="1138"/>
      <c r="L28" s="1141" t="s">
        <v>56</v>
      </c>
      <c r="M28" s="1140"/>
      <c r="N28" s="1138"/>
      <c r="O28" s="1139" t="s">
        <v>56</v>
      </c>
      <c r="P28" s="1140"/>
      <c r="Q28" s="1138"/>
      <c r="R28" s="1141" t="s">
        <v>56</v>
      </c>
      <c r="S28" s="1140"/>
      <c r="T28" s="1138"/>
      <c r="U28" s="1139" t="s">
        <v>56</v>
      </c>
      <c r="V28" s="1140"/>
      <c r="W28" s="1138"/>
      <c r="X28" s="1141" t="s">
        <v>56</v>
      </c>
      <c r="Y28" s="1140"/>
      <c r="Z28" s="1138"/>
      <c r="AA28" s="1139" t="s">
        <v>56</v>
      </c>
      <c r="AB28" s="1140"/>
      <c r="AC28" s="1138"/>
      <c r="AD28" s="1141" t="s">
        <v>56</v>
      </c>
      <c r="AE28" s="1140"/>
      <c r="AF28" s="1138"/>
      <c r="AG28" s="1139" t="s">
        <v>56</v>
      </c>
      <c r="AH28" s="1140"/>
      <c r="AI28" s="1138"/>
      <c r="AJ28" s="1141" t="s">
        <v>56</v>
      </c>
      <c r="AK28" s="1140"/>
      <c r="AL28" s="1138"/>
      <c r="AM28" s="1139" t="s">
        <v>56</v>
      </c>
      <c r="AN28" s="1140"/>
      <c r="AO28" s="1138"/>
      <c r="AP28" s="1141" t="s">
        <v>56</v>
      </c>
      <c r="AQ28" s="1142"/>
      <c r="AR28" s="1991">
        <f t="shared" si="8"/>
        <v>0</v>
      </c>
      <c r="AS28" s="1992"/>
      <c r="AT28" s="2002">
        <f t="shared" si="10"/>
        <v>1</v>
      </c>
      <c r="AU28" s="2003"/>
      <c r="AV28" s="1995" t="str">
        <f t="shared" si="1"/>
        <v>人类学</v>
      </c>
      <c r="AW28" s="1996"/>
      <c r="AX28" s="1997"/>
      <c r="AY28" s="1998">
        <f t="shared" si="9"/>
        <v>0</v>
      </c>
      <c r="AZ28" s="2029"/>
      <c r="BA28" s="2321" t="s">
        <v>102</v>
      </c>
      <c r="BB28" s="2321"/>
      <c r="BC28" s="2396">
        <f>IF(ISTEXT(IFERROR(VLOOKUP(人物卡!BE28,人物卡!$DI$25:$DQ$29,1,FALSE),IFERROR(VLOOKUP(人物卡!BE28,人物卡!$CZ$25:$DB$29,1,FALSE),0))),"★",INDEX(本职技能!$A$2:$IC$87,MATCH(人物卡!BE28,本职技能!$A$2:$A$87,0),MATCH(人物卡!$BL$11,本职技能!$A$1:$IC$1,0)))</f>
        <v>0</v>
      </c>
      <c r="BD28" s="2396"/>
      <c r="BE28" s="2324" t="s">
        <v>135</v>
      </c>
      <c r="BF28" s="2324"/>
      <c r="BG28" s="2324"/>
      <c r="BH28" s="2324"/>
      <c r="BI28" s="2397">
        <v>1</v>
      </c>
      <c r="BJ28" s="2397"/>
      <c r="BK28" s="2397">
        <f t="shared" si="11"/>
        <v>0</v>
      </c>
      <c r="BL28" s="2397"/>
      <c r="BM28" s="2398"/>
      <c r="BN28" s="2398"/>
      <c r="BO28" s="2399"/>
      <c r="BP28" s="2399"/>
      <c r="BQ28" s="2328">
        <f t="shared" si="2"/>
        <v>1</v>
      </c>
      <c r="BR28" s="2328"/>
      <c r="BS28" s="2329">
        <f t="shared" si="3"/>
        <v>0</v>
      </c>
      <c r="BT28" s="2329"/>
      <c r="BU28" s="2329">
        <f t="shared" si="4"/>
        <v>0</v>
      </c>
      <c r="BV28" s="2329"/>
      <c r="BW28" s="2321" t="s">
        <v>102</v>
      </c>
      <c r="BX28" s="2322"/>
      <c r="BY28" s="2323">
        <f>IF(ISTEXT(IFERROR(VLOOKUP(人物卡!CA28,人物卡!$DI$25:$DQ$29,1,FALSE),IFERROR(VLOOKUP(人物卡!CA28,人物卡!$CZ$25:$DB$29,1,FALSE),0))),"★",INDEX(本职技能!$A$2:$IC$87,MATCH(人物卡!CA28,本职技能!$A$2:$A$87,0),MATCH(人物卡!$BL$11,本职技能!$A$1:$IC$1,0)))</f>
        <v>0</v>
      </c>
      <c r="BZ28" s="2323"/>
      <c r="CA28" s="2324" t="s">
        <v>136</v>
      </c>
      <c r="CB28" s="2324"/>
      <c r="CC28" s="2324"/>
      <c r="CD28" s="2324"/>
      <c r="CE28" s="2325">
        <v>20</v>
      </c>
      <c r="CF28" s="2325"/>
      <c r="CG28" s="2325">
        <f t="shared" si="12"/>
        <v>0</v>
      </c>
      <c r="CH28" s="2325"/>
      <c r="CI28" s="2326"/>
      <c r="CJ28" s="2326"/>
      <c r="CK28" s="2327"/>
      <c r="CL28" s="2327"/>
      <c r="CM28" s="2328">
        <f t="shared" si="5"/>
        <v>20</v>
      </c>
      <c r="CN28" s="2328"/>
      <c r="CO28" s="2329">
        <f t="shared" si="6"/>
        <v>10</v>
      </c>
      <c r="CP28" s="2329"/>
      <c r="CQ28" s="2329">
        <f t="shared" si="7"/>
        <v>4</v>
      </c>
      <c r="CR28" s="2330"/>
      <c r="CS28" s="1158"/>
      <c r="CT28" s="1560"/>
      <c r="CU28" s="1561"/>
      <c r="CV28" s="1561"/>
      <c r="CW28" s="1561"/>
      <c r="CX28" s="1561"/>
      <c r="CY28" s="1562"/>
      <c r="CZ28" s="2464"/>
      <c r="DA28" s="2465"/>
      <c r="DB28" s="2465"/>
      <c r="DC28" s="2465"/>
      <c r="DD28" s="2465"/>
      <c r="DE28" s="2465"/>
      <c r="DF28" s="2465"/>
      <c r="DG28" s="2465"/>
      <c r="DH28" s="2465"/>
      <c r="DI28" s="2464"/>
      <c r="DJ28" s="2465"/>
      <c r="DK28" s="2465"/>
      <c r="DL28" s="2465"/>
      <c r="DM28" s="2465"/>
      <c r="DN28" s="2465"/>
      <c r="DO28" s="2465"/>
      <c r="DP28" s="2465"/>
      <c r="DQ28" s="2466"/>
      <c r="DT28" s="2467" t="str">
        <f>IF(COUNTA(BF69:BJ73)=0,"你目前手无寸铁","你共携带了"&amp;COUNTA(BF69:BJ73)&amp;"种武器！")</f>
        <v>你目前手无寸铁</v>
      </c>
      <c r="DU28" s="2468"/>
      <c r="DV28" s="2468"/>
      <c r="DW28" s="2468"/>
      <c r="DX28" s="2468"/>
      <c r="DY28" s="2468"/>
      <c r="DZ28" s="2469"/>
      <c r="EA28" s="2470" t="str">
        <f>IF(COUNTA(BE99:BT113)=0,"你还没携带任何物品","你共携带了"&amp;COUNTA(BE99:BJ107,BM99:BR107,BE85:BJ89,BM85:BR89)&amp;"种物品！")</f>
        <v>你还没携带任何物品</v>
      </c>
      <c r="EB28" s="2471"/>
      <c r="EC28" s="2471"/>
      <c r="ED28" s="2471"/>
      <c r="EE28" s="2471"/>
      <c r="EF28" s="2471"/>
      <c r="EG28" s="2471"/>
      <c r="EH28" s="2472"/>
    </row>
    <row r="29" spans="2:257" ht="18" customHeight="1">
      <c r="B29" s="1133"/>
      <c r="C29" s="1134" t="s">
        <v>56</v>
      </c>
      <c r="D29" s="1135"/>
      <c r="E29" s="1133"/>
      <c r="F29" s="1136" t="s">
        <v>56</v>
      </c>
      <c r="G29" s="1135"/>
      <c r="H29" s="1133"/>
      <c r="I29" s="1134" t="s">
        <v>56</v>
      </c>
      <c r="J29" s="1135"/>
      <c r="K29" s="1133"/>
      <c r="L29" s="1136" t="s">
        <v>56</v>
      </c>
      <c r="M29" s="1135"/>
      <c r="N29" s="1133"/>
      <c r="O29" s="1134" t="s">
        <v>56</v>
      </c>
      <c r="P29" s="1135"/>
      <c r="Q29" s="1133"/>
      <c r="R29" s="1136" t="s">
        <v>56</v>
      </c>
      <c r="S29" s="1135"/>
      <c r="T29" s="1133"/>
      <c r="U29" s="1134" t="s">
        <v>56</v>
      </c>
      <c r="V29" s="1135"/>
      <c r="W29" s="1133"/>
      <c r="X29" s="1136" t="s">
        <v>56</v>
      </c>
      <c r="Y29" s="1135"/>
      <c r="Z29" s="1133"/>
      <c r="AA29" s="1134" t="s">
        <v>56</v>
      </c>
      <c r="AB29" s="1135"/>
      <c r="AC29" s="1133"/>
      <c r="AD29" s="1136" t="s">
        <v>56</v>
      </c>
      <c r="AE29" s="1135"/>
      <c r="AF29" s="1133"/>
      <c r="AG29" s="1134" t="s">
        <v>56</v>
      </c>
      <c r="AH29" s="1135"/>
      <c r="AI29" s="1133"/>
      <c r="AJ29" s="1136" t="s">
        <v>56</v>
      </c>
      <c r="AK29" s="1135"/>
      <c r="AL29" s="1133"/>
      <c r="AM29" s="1134" t="s">
        <v>56</v>
      </c>
      <c r="AN29" s="1135"/>
      <c r="AO29" s="1133"/>
      <c r="AP29" s="1136" t="s">
        <v>56</v>
      </c>
      <c r="AQ29" s="1137"/>
      <c r="AR29" s="1991">
        <f t="shared" si="8"/>
        <v>0</v>
      </c>
      <c r="AS29" s="1992"/>
      <c r="AT29" s="1993">
        <f t="shared" si="10"/>
        <v>5</v>
      </c>
      <c r="AU29" s="1994"/>
      <c r="AV29" s="1995" t="str">
        <f t="shared" si="1"/>
        <v>估价</v>
      </c>
      <c r="AW29" s="1996"/>
      <c r="AX29" s="1997"/>
      <c r="AY29" s="1998">
        <f t="shared" si="9"/>
        <v>0</v>
      </c>
      <c r="AZ29" s="2029"/>
      <c r="BA29" s="2301" t="s">
        <v>102</v>
      </c>
      <c r="BB29" s="2301"/>
      <c r="BC29" s="2405">
        <f>IF(ISTEXT(IFERROR(VLOOKUP(人物卡!BE29,人物卡!$DI$25:$DQ$29,1,FALSE),IFERROR(VLOOKUP(人物卡!BE29,人物卡!$CZ$25:$DB$29,1,FALSE),0))),"★",INDEX(本职技能!$A$2:$IC$87,MATCH(人物卡!BE29,本职技能!$A$2:$A$87,0),MATCH(人物卡!$BL$11,本职技能!$A$1:$IC$1,0)))</f>
        <v>0</v>
      </c>
      <c r="BD29" s="2405"/>
      <c r="BE29" s="1316" t="s">
        <v>137</v>
      </c>
      <c r="BF29" s="1316"/>
      <c r="BG29" s="1316"/>
      <c r="BH29" s="1316"/>
      <c r="BI29" s="2069">
        <v>5</v>
      </c>
      <c r="BJ29" s="2069"/>
      <c r="BK29" s="2069">
        <f t="shared" si="11"/>
        <v>0</v>
      </c>
      <c r="BL29" s="2069"/>
      <c r="BM29" s="2078"/>
      <c r="BN29" s="2078"/>
      <c r="BO29" s="2078"/>
      <c r="BP29" s="2078"/>
      <c r="BQ29" s="2284">
        <f t="shared" si="2"/>
        <v>5</v>
      </c>
      <c r="BR29" s="2284"/>
      <c r="BS29" s="1542">
        <f t="shared" si="3"/>
        <v>2</v>
      </c>
      <c r="BT29" s="1542"/>
      <c r="BU29" s="1542">
        <f t="shared" si="4"/>
        <v>1</v>
      </c>
      <c r="BV29" s="1542"/>
      <c r="BW29" s="2431" t="s">
        <v>102</v>
      </c>
      <c r="BX29" s="2432"/>
      <c r="BY29" s="2433">
        <f>IF(ISTEXT(IFERROR(VLOOKUP(人物卡!CA29,人物卡!$DI$25:$DQ$29,1,FALSE),IFERROR(VLOOKUP(人物卡!CA29,人物卡!$CZ$25:$DB$29,1,FALSE),0))),"★",INDEX(本职技能!$A$2:$IC$87,MATCH(人物卡!CA29,本职技能!$A$2:$A$87,0),MATCH(人物卡!$BL$11,本职技能!$A$1:$IC$1,0)))</f>
        <v>0</v>
      </c>
      <c r="BZ29" s="2433"/>
      <c r="CA29" s="2434" t="s">
        <v>138</v>
      </c>
      <c r="CB29" s="2434"/>
      <c r="CC29" s="2434"/>
      <c r="CD29" s="2434"/>
      <c r="CE29" s="2435">
        <v>20</v>
      </c>
      <c r="CF29" s="2435"/>
      <c r="CG29" s="2435">
        <f t="shared" si="12"/>
        <v>0</v>
      </c>
      <c r="CH29" s="2435"/>
      <c r="CI29" s="2436"/>
      <c r="CJ29" s="2436"/>
      <c r="CK29" s="2436"/>
      <c r="CL29" s="2436"/>
      <c r="CM29" s="2437">
        <f t="shared" si="5"/>
        <v>20</v>
      </c>
      <c r="CN29" s="2437"/>
      <c r="CO29" s="2438">
        <f t="shared" si="6"/>
        <v>10</v>
      </c>
      <c r="CP29" s="2438"/>
      <c r="CQ29" s="2438">
        <f t="shared" si="7"/>
        <v>4</v>
      </c>
      <c r="CR29" s="2439"/>
      <c r="CS29" s="1158"/>
      <c r="CT29" s="2443" t="s">
        <v>139</v>
      </c>
      <c r="CU29" s="2444"/>
      <c r="CV29" s="2444"/>
      <c r="CW29" s="2444"/>
      <c r="CX29" s="2444"/>
      <c r="CY29" s="2445"/>
      <c r="CZ29" s="2446"/>
      <c r="DA29" s="2447"/>
      <c r="DB29" s="2447"/>
      <c r="DC29" s="2447"/>
      <c r="DD29" s="2447"/>
      <c r="DE29" s="2447"/>
      <c r="DF29" s="2447"/>
      <c r="DG29" s="2447"/>
      <c r="DH29" s="2447"/>
      <c r="DI29" s="2446"/>
      <c r="DJ29" s="2447"/>
      <c r="DK29" s="2447"/>
      <c r="DL29" s="2447"/>
      <c r="DM29" s="2447"/>
      <c r="DN29" s="2447"/>
      <c r="DO29" s="2447"/>
      <c r="DP29" s="2447"/>
      <c r="DQ29" s="2448"/>
      <c r="DT29" s="2449" t="str">
        <f>"你共点了"&amp;COUNTA(BM26:BN33,BM35:BN64,CI25:CJ64)&amp;"种职业技能！"</f>
        <v>你共点了0种职业技能！</v>
      </c>
      <c r="DU29" s="2450"/>
      <c r="DV29" s="2450"/>
      <c r="DW29" s="2450"/>
      <c r="DX29" s="2450"/>
      <c r="DY29" s="2450"/>
      <c r="DZ29" s="2451"/>
      <c r="EA29" s="2452" t="str">
        <f>"你共点了"&amp;COUNTA(CK25:CL64,BO35:BP64,BO25:BP33)&amp;"种兴趣技能！"</f>
        <v>你共点了0种兴趣技能！</v>
      </c>
      <c r="EB29" s="2453"/>
      <c r="EC29" s="2453"/>
      <c r="ED29" s="2453"/>
      <c r="EE29" s="2453"/>
      <c r="EF29" s="2453"/>
      <c r="EG29" s="2453"/>
      <c r="EH29" s="2454"/>
    </row>
    <row r="30" spans="2:257" ht="18" customHeight="1">
      <c r="B30" s="1138"/>
      <c r="C30" s="1139" t="s">
        <v>56</v>
      </c>
      <c r="D30" s="1140"/>
      <c r="E30" s="1138"/>
      <c r="F30" s="1141" t="s">
        <v>56</v>
      </c>
      <c r="G30" s="1140"/>
      <c r="H30" s="1138"/>
      <c r="I30" s="1139" t="s">
        <v>56</v>
      </c>
      <c r="J30" s="1140"/>
      <c r="K30" s="1138"/>
      <c r="L30" s="1141" t="s">
        <v>56</v>
      </c>
      <c r="M30" s="1140"/>
      <c r="N30" s="1138"/>
      <c r="O30" s="1139" t="s">
        <v>56</v>
      </c>
      <c r="P30" s="1140"/>
      <c r="Q30" s="1138"/>
      <c r="R30" s="1141" t="s">
        <v>56</v>
      </c>
      <c r="S30" s="1140"/>
      <c r="T30" s="1138"/>
      <c r="U30" s="1139" t="s">
        <v>56</v>
      </c>
      <c r="V30" s="1140"/>
      <c r="W30" s="1138"/>
      <c r="X30" s="1141" t="s">
        <v>56</v>
      </c>
      <c r="Y30" s="1140"/>
      <c r="Z30" s="1138"/>
      <c r="AA30" s="1139" t="s">
        <v>56</v>
      </c>
      <c r="AB30" s="1140"/>
      <c r="AC30" s="1138"/>
      <c r="AD30" s="1141" t="s">
        <v>56</v>
      </c>
      <c r="AE30" s="1140"/>
      <c r="AF30" s="1138"/>
      <c r="AG30" s="1139" t="s">
        <v>56</v>
      </c>
      <c r="AH30" s="1140"/>
      <c r="AI30" s="1138"/>
      <c r="AJ30" s="1141" t="s">
        <v>56</v>
      </c>
      <c r="AK30" s="1140"/>
      <c r="AL30" s="1138"/>
      <c r="AM30" s="1139" t="s">
        <v>56</v>
      </c>
      <c r="AN30" s="1140"/>
      <c r="AO30" s="1138"/>
      <c r="AP30" s="1141" t="s">
        <v>56</v>
      </c>
      <c r="AQ30" s="1142"/>
      <c r="AR30" s="1991">
        <f t="shared" si="8"/>
        <v>0</v>
      </c>
      <c r="AS30" s="1992"/>
      <c r="AT30" s="2002">
        <f t="shared" si="10"/>
        <v>1</v>
      </c>
      <c r="AU30" s="2003"/>
      <c r="AV30" s="1995" t="str">
        <f t="shared" si="1"/>
        <v>考古学</v>
      </c>
      <c r="AW30" s="1996"/>
      <c r="AX30" s="1997"/>
      <c r="AY30" s="1998">
        <f t="shared" si="9"/>
        <v>0</v>
      </c>
      <c r="AZ30" s="2029"/>
      <c r="BA30" s="2321" t="s">
        <v>102</v>
      </c>
      <c r="BB30" s="2321"/>
      <c r="BC30" s="2396">
        <f>IF(ISTEXT(IFERROR(VLOOKUP(人物卡!BE30,人物卡!$DI$25:$DQ$29,1,FALSE),IFERROR(VLOOKUP(人物卡!BE30,人物卡!$CZ$25:$DB$29,1,FALSE),0))),"★",INDEX(本职技能!$A$2:$IC$87,MATCH(人物卡!BE30,本职技能!$A$2:$A$87,0),MATCH(人物卡!$BL$11,本职技能!$A$1:$IC$1,0)))</f>
        <v>0</v>
      </c>
      <c r="BD30" s="2396"/>
      <c r="BE30" s="2324" t="s">
        <v>140</v>
      </c>
      <c r="BF30" s="2324"/>
      <c r="BG30" s="2324"/>
      <c r="BH30" s="2324"/>
      <c r="BI30" s="2397">
        <v>1</v>
      </c>
      <c r="BJ30" s="2397"/>
      <c r="BK30" s="2397">
        <f t="shared" si="11"/>
        <v>0</v>
      </c>
      <c r="BL30" s="2397"/>
      <c r="BM30" s="2398"/>
      <c r="BN30" s="2398"/>
      <c r="BO30" s="2399"/>
      <c r="BP30" s="2399"/>
      <c r="BQ30" s="2328">
        <f t="shared" si="2"/>
        <v>1</v>
      </c>
      <c r="BR30" s="2328"/>
      <c r="BS30" s="2329">
        <f t="shared" si="3"/>
        <v>0</v>
      </c>
      <c r="BT30" s="2329"/>
      <c r="BU30" s="2329">
        <f t="shared" si="4"/>
        <v>0</v>
      </c>
      <c r="BV30" s="2329"/>
      <c r="BW30" s="2455" t="s">
        <v>102</v>
      </c>
      <c r="BX30" s="2456"/>
      <c r="BY30" s="2457">
        <f>IF(ISTEXT(IFERROR(VLOOKUP(人物卡!CA30,人物卡!$DI$25:$DQ$29,1,FALSE),IFERROR(VLOOKUP(人物卡!CA30,人物卡!$CZ$25:$DB$29,1,FALSE),0))),"★",INDEX(本职技能!$A$2:$IC$87,MATCH(人物卡!CA30,本职技能!$A$2:$A$87,0),MATCH(人物卡!$BL$11,本职技能!$A$1:$IC$1,0)))</f>
        <v>0</v>
      </c>
      <c r="BZ30" s="2457"/>
      <c r="CA30" s="2458" t="s">
        <v>141</v>
      </c>
      <c r="CB30" s="2458"/>
      <c r="CC30" s="2458"/>
      <c r="CD30" s="2458"/>
      <c r="CE30" s="2459">
        <v>20</v>
      </c>
      <c r="CF30" s="2459"/>
      <c r="CG30" s="2459">
        <f t="shared" si="12"/>
        <v>0</v>
      </c>
      <c r="CH30" s="2459"/>
      <c r="CI30" s="2460"/>
      <c r="CJ30" s="2460"/>
      <c r="CK30" s="2460"/>
      <c r="CL30" s="2460"/>
      <c r="CM30" s="2461">
        <f t="shared" si="5"/>
        <v>20</v>
      </c>
      <c r="CN30" s="2461"/>
      <c r="CO30" s="2462">
        <f t="shared" si="6"/>
        <v>10</v>
      </c>
      <c r="CP30" s="2462"/>
      <c r="CQ30" s="2462">
        <f t="shared" si="7"/>
        <v>4</v>
      </c>
      <c r="CR30" s="2463"/>
      <c r="CS30" s="1158"/>
      <c r="CT30" s="2425" t="s">
        <v>142</v>
      </c>
      <c r="CU30" s="2426"/>
      <c r="CV30" s="2426"/>
      <c r="CW30" s="2426"/>
      <c r="CX30" s="2426"/>
      <c r="CY30" s="2426"/>
      <c r="CZ30" s="2426"/>
      <c r="DA30" s="2426"/>
      <c r="DB30" s="2426"/>
      <c r="DC30" s="2426"/>
      <c r="DD30" s="2426"/>
      <c r="DE30" s="2426"/>
      <c r="DF30" s="2426"/>
      <c r="DG30" s="2426"/>
      <c r="DH30" s="2426"/>
      <c r="DI30" s="2426"/>
      <c r="DJ30" s="2426"/>
      <c r="DK30" s="2426"/>
      <c r="DL30" s="2426"/>
      <c r="DM30" s="2426"/>
      <c r="DN30" s="2426"/>
      <c r="DO30" s="2426"/>
      <c r="DP30" s="2426"/>
      <c r="DQ30" s="2427"/>
      <c r="DT30" s="2428" t="str">
        <f>附表!D75</f>
        <v>本次任务携带0.6美元</v>
      </c>
      <c r="DU30" s="2429"/>
      <c r="DV30" s="2429"/>
      <c r="DW30" s="2429"/>
      <c r="DX30" s="2429"/>
      <c r="DY30" s="2429"/>
      <c r="DZ30" s="2430"/>
    </row>
    <row r="31" spans="2:257" ht="18" customHeight="1">
      <c r="B31" s="1133"/>
      <c r="C31" s="1134" t="s">
        <v>56</v>
      </c>
      <c r="D31" s="1135"/>
      <c r="E31" s="1133"/>
      <c r="F31" s="1136" t="s">
        <v>56</v>
      </c>
      <c r="G31" s="1135"/>
      <c r="H31" s="1133"/>
      <c r="I31" s="1134" t="s">
        <v>56</v>
      </c>
      <c r="J31" s="1135"/>
      <c r="K31" s="1133"/>
      <c r="L31" s="1136" t="s">
        <v>56</v>
      </c>
      <c r="M31" s="1135"/>
      <c r="N31" s="1133"/>
      <c r="O31" s="1134" t="s">
        <v>56</v>
      </c>
      <c r="P31" s="1135"/>
      <c r="Q31" s="1133"/>
      <c r="R31" s="1136" t="s">
        <v>56</v>
      </c>
      <c r="S31" s="1135"/>
      <c r="T31" s="1133"/>
      <c r="U31" s="1134" t="s">
        <v>56</v>
      </c>
      <c r="V31" s="1135"/>
      <c r="W31" s="1133"/>
      <c r="X31" s="1136" t="s">
        <v>56</v>
      </c>
      <c r="Y31" s="1135"/>
      <c r="Z31" s="1133"/>
      <c r="AA31" s="1134" t="s">
        <v>56</v>
      </c>
      <c r="AB31" s="1135"/>
      <c r="AC31" s="1133"/>
      <c r="AD31" s="1136" t="s">
        <v>56</v>
      </c>
      <c r="AE31" s="1135"/>
      <c r="AF31" s="1133"/>
      <c r="AG31" s="1134" t="s">
        <v>56</v>
      </c>
      <c r="AH31" s="1135"/>
      <c r="AI31" s="1133"/>
      <c r="AJ31" s="1136" t="s">
        <v>56</v>
      </c>
      <c r="AK31" s="1135"/>
      <c r="AL31" s="1133"/>
      <c r="AM31" s="1134" t="s">
        <v>56</v>
      </c>
      <c r="AN31" s="1135"/>
      <c r="AO31" s="1133"/>
      <c r="AP31" s="1136" t="s">
        <v>56</v>
      </c>
      <c r="AQ31" s="1137"/>
      <c r="AR31" s="1991">
        <f t="shared" si="8"/>
        <v>0</v>
      </c>
      <c r="AS31" s="1992"/>
      <c r="AT31" s="1993">
        <f t="shared" si="10"/>
        <v>10</v>
      </c>
      <c r="AU31" s="1994"/>
      <c r="AV31" s="1995" t="str">
        <f t="shared" si="1"/>
        <v>博物学</v>
      </c>
      <c r="AW31" s="1996"/>
      <c r="AX31" s="1997"/>
      <c r="AY31" s="1998">
        <f t="shared" si="9"/>
        <v>0</v>
      </c>
      <c r="AZ31" s="2029"/>
      <c r="BA31" s="2301" t="s">
        <v>102</v>
      </c>
      <c r="BB31" s="2301"/>
      <c r="BC31" s="2405">
        <f>IF(ISTEXT(IFERROR(VLOOKUP(人物卡!BE31,人物卡!$DI$25:$DQ$29,1,FALSE),IFERROR(VLOOKUP(人物卡!BE31,人物卡!$CZ$25:$DB$29,1,FALSE),0))),"★",INDEX(本职技能!$A$2:$IC$87,MATCH(人物卡!BE31,本职技能!$A$2:$A$87,0),MATCH(人物卡!$BL$11,本职技能!$A$1:$IC$1,0)))</f>
        <v>0</v>
      </c>
      <c r="BD31" s="2405"/>
      <c r="BE31" s="1316" t="s">
        <v>143</v>
      </c>
      <c r="BF31" s="1316"/>
      <c r="BG31" s="1316"/>
      <c r="BH31" s="1316"/>
      <c r="BI31" s="2069">
        <v>10</v>
      </c>
      <c r="BJ31" s="2069"/>
      <c r="BK31" s="2069">
        <f t="shared" si="11"/>
        <v>0</v>
      </c>
      <c r="BL31" s="2069"/>
      <c r="BM31" s="2078"/>
      <c r="BN31" s="2078"/>
      <c r="BO31" s="2078"/>
      <c r="BP31" s="2078"/>
      <c r="BQ31" s="2284">
        <f t="shared" si="2"/>
        <v>10</v>
      </c>
      <c r="BR31" s="2284"/>
      <c r="BS31" s="1542">
        <f t="shared" si="3"/>
        <v>5</v>
      </c>
      <c r="BT31" s="1542"/>
      <c r="BU31" s="1542">
        <f t="shared" si="4"/>
        <v>2</v>
      </c>
      <c r="BV31" s="1542"/>
      <c r="BW31" s="2431" t="s">
        <v>102</v>
      </c>
      <c r="BX31" s="2432"/>
      <c r="BY31" s="2433">
        <f>IF(ISTEXT(IFERROR(VLOOKUP(人物卡!CA31,人物卡!$DI$25:$DQ$29,1,FALSE),IFERROR(VLOOKUP(人物卡!CA31,人物卡!$CZ$25:$DB$29,1,FALSE),0))),"★",INDEX(本职技能!$A$2:$IC$87,MATCH(人物卡!CA31,本职技能!$A$2:$A$87,0),MATCH(人物卡!$BL$11,本职技能!$A$1:$IC$1,0)))</f>
        <v>0</v>
      </c>
      <c r="BZ31" s="2433"/>
      <c r="CA31" s="2434" t="s">
        <v>144</v>
      </c>
      <c r="CB31" s="2434"/>
      <c r="CC31" s="2434"/>
      <c r="CD31" s="2434"/>
      <c r="CE31" s="2435">
        <v>25</v>
      </c>
      <c r="CF31" s="2435"/>
      <c r="CG31" s="2435">
        <f t="shared" si="12"/>
        <v>0</v>
      </c>
      <c r="CH31" s="2435"/>
      <c r="CI31" s="2436"/>
      <c r="CJ31" s="2436"/>
      <c r="CK31" s="2436"/>
      <c r="CL31" s="2436"/>
      <c r="CM31" s="2437">
        <f t="shared" si="5"/>
        <v>25</v>
      </c>
      <c r="CN31" s="2437"/>
      <c r="CO31" s="2438">
        <f t="shared" si="6"/>
        <v>12</v>
      </c>
      <c r="CP31" s="2438"/>
      <c r="CQ31" s="2438">
        <f t="shared" si="7"/>
        <v>5</v>
      </c>
      <c r="CR31" s="2439"/>
      <c r="CS31" s="1158"/>
      <c r="CT31" s="2440" t="s">
        <v>145</v>
      </c>
      <c r="CU31" s="1378" t="str">
        <f>IF(BL11=0," ",""&amp;LOOKUP(BL11,职业列表!A2:A237,职业列表!K2:K237))</f>
        <v xml:space="preserve"> </v>
      </c>
      <c r="CV31" s="1378"/>
      <c r="CW31" s="1378"/>
      <c r="CX31" s="1378"/>
      <c r="CY31" s="1378"/>
      <c r="CZ31" s="1378"/>
      <c r="DA31" s="1378"/>
      <c r="DB31" s="1378"/>
      <c r="DC31" s="1378"/>
      <c r="DD31" s="1378"/>
      <c r="DE31" s="1378"/>
      <c r="DF31" s="1378"/>
      <c r="DG31" s="1378"/>
      <c r="DH31" s="1378"/>
      <c r="DI31" s="1378"/>
      <c r="DJ31" s="1378"/>
      <c r="DK31" s="1378"/>
      <c r="DL31" s="1378"/>
      <c r="DM31" s="1378"/>
      <c r="DN31" s="1378"/>
      <c r="DO31" s="1378"/>
      <c r="DP31" s="1378"/>
      <c r="DQ31" s="1379"/>
    </row>
    <row r="32" spans="2:257" ht="18" customHeight="1">
      <c r="B32" s="1138"/>
      <c r="C32" s="1139" t="s">
        <v>56</v>
      </c>
      <c r="D32" s="1140"/>
      <c r="E32" s="1138"/>
      <c r="F32" s="1141" t="s">
        <v>56</v>
      </c>
      <c r="G32" s="1140"/>
      <c r="H32" s="1138"/>
      <c r="I32" s="1139" t="s">
        <v>56</v>
      </c>
      <c r="J32" s="1140"/>
      <c r="K32" s="1138"/>
      <c r="L32" s="1141" t="s">
        <v>56</v>
      </c>
      <c r="M32" s="1140"/>
      <c r="N32" s="1138"/>
      <c r="O32" s="1139" t="s">
        <v>56</v>
      </c>
      <c r="P32" s="1140"/>
      <c r="Q32" s="1138"/>
      <c r="R32" s="1141" t="s">
        <v>56</v>
      </c>
      <c r="S32" s="1140"/>
      <c r="T32" s="1138"/>
      <c r="U32" s="1139" t="s">
        <v>56</v>
      </c>
      <c r="V32" s="1140"/>
      <c r="W32" s="1138"/>
      <c r="X32" s="1141" t="s">
        <v>56</v>
      </c>
      <c r="Y32" s="1140"/>
      <c r="Z32" s="1138"/>
      <c r="AA32" s="1139" t="s">
        <v>56</v>
      </c>
      <c r="AB32" s="1140"/>
      <c r="AC32" s="1138"/>
      <c r="AD32" s="1141" t="s">
        <v>56</v>
      </c>
      <c r="AE32" s="1140"/>
      <c r="AF32" s="1138"/>
      <c r="AG32" s="1139" t="s">
        <v>56</v>
      </c>
      <c r="AH32" s="1140"/>
      <c r="AI32" s="1138"/>
      <c r="AJ32" s="1141" t="s">
        <v>56</v>
      </c>
      <c r="AK32" s="1140"/>
      <c r="AL32" s="1138"/>
      <c r="AM32" s="1139" t="s">
        <v>56</v>
      </c>
      <c r="AN32" s="1140"/>
      <c r="AO32" s="1138"/>
      <c r="AP32" s="1141" t="s">
        <v>56</v>
      </c>
      <c r="AQ32" s="1142"/>
      <c r="AR32" s="1991">
        <f t="shared" si="8"/>
        <v>0</v>
      </c>
      <c r="AS32" s="1992"/>
      <c r="AT32" s="2002">
        <f t="shared" si="10"/>
        <v>5</v>
      </c>
      <c r="AU32" s="2003"/>
      <c r="AV32" s="1995" t="str">
        <f t="shared" si="1"/>
        <v>神秘学</v>
      </c>
      <c r="AW32" s="1996"/>
      <c r="AX32" s="1997"/>
      <c r="AY32" s="1998">
        <f t="shared" si="9"/>
        <v>0</v>
      </c>
      <c r="AZ32" s="2029"/>
      <c r="BA32" s="2321" t="s">
        <v>102</v>
      </c>
      <c r="BB32" s="2321"/>
      <c r="BC32" s="2396">
        <f>IF(ISTEXT(IFERROR(VLOOKUP(人物卡!BE32,人物卡!$DI$25:$DQ$29,1,FALSE),IFERROR(VLOOKUP(人物卡!BE32,人物卡!$CZ$25:$DB$29,1,FALSE),0))),"★",INDEX(本职技能!$A$2:$IC$87,MATCH(人物卡!BE32,本职技能!$A$2:$A$87,0),MATCH(人物卡!$BL$11,本职技能!$A$1:$IC$1,0)))</f>
        <v>0</v>
      </c>
      <c r="BD32" s="2396"/>
      <c r="BE32" s="2324" t="s">
        <v>146</v>
      </c>
      <c r="BF32" s="2324"/>
      <c r="BG32" s="2324"/>
      <c r="BH32" s="2324"/>
      <c r="BI32" s="2397">
        <v>5</v>
      </c>
      <c r="BJ32" s="2397"/>
      <c r="BK32" s="2397">
        <f t="shared" si="11"/>
        <v>0</v>
      </c>
      <c r="BL32" s="2397"/>
      <c r="BM32" s="2398"/>
      <c r="BN32" s="2398"/>
      <c r="BO32" s="2399"/>
      <c r="BP32" s="2399"/>
      <c r="BQ32" s="2328">
        <f t="shared" si="2"/>
        <v>5</v>
      </c>
      <c r="BR32" s="2328"/>
      <c r="BS32" s="2329">
        <f t="shared" si="3"/>
        <v>2</v>
      </c>
      <c r="BT32" s="2329"/>
      <c r="BU32" s="2329">
        <f t="shared" si="4"/>
        <v>1</v>
      </c>
      <c r="BV32" s="2329"/>
      <c r="BW32" s="2321" t="s">
        <v>102</v>
      </c>
      <c r="BX32" s="2322"/>
      <c r="BY32" s="2323">
        <f>IF(ISTEXT(IFERROR(VLOOKUP(人物卡!CA32,人物卡!$DI$25:$DQ$29,1,FALSE),IFERROR(VLOOKUP(人物卡!CA32,人物卡!$CZ$25:$DB$29,1,FALSE),0))),"★",INDEX(本职技能!$A$2:$IC$87,MATCH(人物卡!CA32,本职技能!$A$2:$A$87,0),MATCH(人物卡!$BL$11,本职技能!$A$1:$IC$1,0)))</f>
        <v>0</v>
      </c>
      <c r="BZ32" s="2323"/>
      <c r="CA32" s="2324" t="s">
        <v>147</v>
      </c>
      <c r="CB32" s="2324"/>
      <c r="CC32" s="2324"/>
      <c r="CD32" s="2324"/>
      <c r="CE32" s="2325">
        <v>10</v>
      </c>
      <c r="CF32" s="2325"/>
      <c r="CG32" s="2325">
        <f t="shared" si="12"/>
        <v>0</v>
      </c>
      <c r="CH32" s="2325"/>
      <c r="CI32" s="2326"/>
      <c r="CJ32" s="2326"/>
      <c r="CK32" s="2327"/>
      <c r="CL32" s="2327"/>
      <c r="CM32" s="2328">
        <f t="shared" si="5"/>
        <v>10</v>
      </c>
      <c r="CN32" s="2328"/>
      <c r="CO32" s="2329">
        <f t="shared" si="6"/>
        <v>5</v>
      </c>
      <c r="CP32" s="2329"/>
      <c r="CQ32" s="2329">
        <f t="shared" si="7"/>
        <v>2</v>
      </c>
      <c r="CR32" s="2330"/>
      <c r="CS32" s="1158"/>
      <c r="CT32" s="2441"/>
      <c r="CU32" s="1380"/>
      <c r="CV32" s="1380"/>
      <c r="CW32" s="1380"/>
      <c r="CX32" s="1380"/>
      <c r="CY32" s="1380"/>
      <c r="CZ32" s="1380"/>
      <c r="DA32" s="1380"/>
      <c r="DB32" s="1380"/>
      <c r="DC32" s="1380"/>
      <c r="DD32" s="1380"/>
      <c r="DE32" s="1380"/>
      <c r="DF32" s="1380"/>
      <c r="DG32" s="1380"/>
      <c r="DH32" s="1380"/>
      <c r="DI32" s="1380"/>
      <c r="DJ32" s="1380"/>
      <c r="DK32" s="1380"/>
      <c r="DL32" s="1380"/>
      <c r="DM32" s="1380"/>
      <c r="DN32" s="1380"/>
      <c r="DO32" s="1380"/>
      <c r="DP32" s="1380"/>
      <c r="DQ32" s="1381"/>
    </row>
    <row r="33" spans="2:121" ht="18" customHeight="1">
      <c r="B33" s="1133"/>
      <c r="C33" s="1134" t="s">
        <v>56</v>
      </c>
      <c r="D33" s="1135"/>
      <c r="E33" s="1133"/>
      <c r="F33" s="1136" t="s">
        <v>56</v>
      </c>
      <c r="G33" s="1135"/>
      <c r="H33" s="1133"/>
      <c r="I33" s="1134" t="s">
        <v>56</v>
      </c>
      <c r="J33" s="1135"/>
      <c r="K33" s="1133"/>
      <c r="L33" s="1136" t="s">
        <v>56</v>
      </c>
      <c r="M33" s="1135"/>
      <c r="N33" s="1133"/>
      <c r="O33" s="1134" t="s">
        <v>56</v>
      </c>
      <c r="P33" s="1135"/>
      <c r="Q33" s="1133"/>
      <c r="R33" s="1136" t="s">
        <v>56</v>
      </c>
      <c r="S33" s="1135"/>
      <c r="T33" s="1133"/>
      <c r="U33" s="1134" t="s">
        <v>56</v>
      </c>
      <c r="V33" s="1135"/>
      <c r="W33" s="1133"/>
      <c r="X33" s="1136" t="s">
        <v>56</v>
      </c>
      <c r="Y33" s="1135"/>
      <c r="Z33" s="1133"/>
      <c r="AA33" s="1134" t="s">
        <v>56</v>
      </c>
      <c r="AB33" s="1135"/>
      <c r="AC33" s="1133"/>
      <c r="AD33" s="1136" t="s">
        <v>56</v>
      </c>
      <c r="AE33" s="1135"/>
      <c r="AF33" s="1133"/>
      <c r="AG33" s="1134" t="s">
        <v>56</v>
      </c>
      <c r="AH33" s="1135"/>
      <c r="AI33" s="1133"/>
      <c r="AJ33" s="1136" t="s">
        <v>56</v>
      </c>
      <c r="AK33" s="1135"/>
      <c r="AL33" s="1133"/>
      <c r="AM33" s="1134" t="s">
        <v>56</v>
      </c>
      <c r="AN33" s="1135"/>
      <c r="AO33" s="1133"/>
      <c r="AP33" s="1136" t="s">
        <v>56</v>
      </c>
      <c r="AQ33" s="1137"/>
      <c r="AR33" s="1991">
        <f t="shared" si="8"/>
        <v>0</v>
      </c>
      <c r="AS33" s="1992"/>
      <c r="AT33" s="1993">
        <f t="shared" si="10"/>
        <v>0</v>
      </c>
      <c r="AU33" s="1994"/>
      <c r="AV33" s="2422" t="str">
        <f t="shared" si="1"/>
        <v>信用评级</v>
      </c>
      <c r="AW33" s="2423"/>
      <c r="AX33" s="2424"/>
      <c r="AY33" s="1998" t="str">
        <f t="shared" si="9"/>
        <v>★</v>
      </c>
      <c r="AZ33" s="2029"/>
      <c r="BA33" s="2301" t="s">
        <v>148</v>
      </c>
      <c r="BB33" s="2301"/>
      <c r="BC33" s="2405" t="s">
        <v>149</v>
      </c>
      <c r="BD33" s="2405"/>
      <c r="BE33" s="1316" t="s">
        <v>150</v>
      </c>
      <c r="BF33" s="1316"/>
      <c r="BG33" s="1316"/>
      <c r="BH33" s="1316"/>
      <c r="BI33" s="2069">
        <v>0</v>
      </c>
      <c r="BJ33" s="2069"/>
      <c r="BK33" s="2069">
        <f t="shared" si="11"/>
        <v>0</v>
      </c>
      <c r="BL33" s="2069"/>
      <c r="BM33" s="2078"/>
      <c r="BN33" s="2078"/>
      <c r="BO33" s="2078"/>
      <c r="BP33" s="2078"/>
      <c r="BQ33" s="2284">
        <f t="shared" si="2"/>
        <v>0</v>
      </c>
      <c r="BR33" s="2284"/>
      <c r="BS33" s="1542">
        <f t="shared" si="3"/>
        <v>0</v>
      </c>
      <c r="BT33" s="1542"/>
      <c r="BU33" s="1542">
        <f t="shared" si="4"/>
        <v>0</v>
      </c>
      <c r="BV33" s="1542"/>
      <c r="BW33" s="2301" t="s">
        <v>102</v>
      </c>
      <c r="BX33" s="2302"/>
      <c r="BY33" s="2303">
        <f>IF(ISTEXT(IFERROR(VLOOKUP(人物卡!CA33,人物卡!$DI$25:$DQ$29,1,FALSE),IFERROR(VLOOKUP(人物卡!CA33,人物卡!$CZ$25:$DB$29,1,FALSE),0))),"★",INDEX(本职技能!$A$2:$IC$87,MATCH(人物卡!CA33,本职技能!$A$2:$A$87,0),MATCH(人物卡!$BL$11,本职技能!$A$1:$IC$1,0)))</f>
        <v>0</v>
      </c>
      <c r="BZ33" s="2303"/>
      <c r="CA33" s="1316" t="s">
        <v>151</v>
      </c>
      <c r="CB33" s="1316"/>
      <c r="CC33" s="1316"/>
      <c r="CD33" s="1316"/>
      <c r="CE33" s="2282">
        <v>10</v>
      </c>
      <c r="CF33" s="2282"/>
      <c r="CG33" s="2282">
        <f t="shared" si="12"/>
        <v>0</v>
      </c>
      <c r="CH33" s="2282"/>
      <c r="CI33" s="2283"/>
      <c r="CJ33" s="2283"/>
      <c r="CK33" s="2283"/>
      <c r="CL33" s="2283"/>
      <c r="CM33" s="2284">
        <f t="shared" si="5"/>
        <v>10</v>
      </c>
      <c r="CN33" s="2284"/>
      <c r="CO33" s="1542">
        <f t="shared" si="6"/>
        <v>5</v>
      </c>
      <c r="CP33" s="1542"/>
      <c r="CQ33" s="1542">
        <f t="shared" si="7"/>
        <v>2</v>
      </c>
      <c r="CR33" s="1545"/>
      <c r="CS33" s="1158"/>
      <c r="CT33" s="2441"/>
      <c r="CU33" s="1380"/>
      <c r="CV33" s="1380"/>
      <c r="CW33" s="1380"/>
      <c r="CX33" s="1380"/>
      <c r="CY33" s="1380"/>
      <c r="CZ33" s="1380"/>
      <c r="DA33" s="1380"/>
      <c r="DB33" s="1380"/>
      <c r="DC33" s="1380"/>
      <c r="DD33" s="1380"/>
      <c r="DE33" s="1380"/>
      <c r="DF33" s="1380"/>
      <c r="DG33" s="1380"/>
      <c r="DH33" s="1380"/>
      <c r="DI33" s="1380"/>
      <c r="DJ33" s="1380"/>
      <c r="DK33" s="1380"/>
      <c r="DL33" s="1380"/>
      <c r="DM33" s="1380"/>
      <c r="DN33" s="1380"/>
      <c r="DO33" s="1380"/>
      <c r="DP33" s="1380"/>
      <c r="DQ33" s="1381"/>
    </row>
    <row r="34" spans="2:121" ht="18" customHeight="1">
      <c r="B34" s="1138"/>
      <c r="C34" s="1139" t="s">
        <v>56</v>
      </c>
      <c r="D34" s="1140"/>
      <c r="E34" s="1138"/>
      <c r="F34" s="1141" t="s">
        <v>56</v>
      </c>
      <c r="G34" s="1140"/>
      <c r="H34" s="1138"/>
      <c r="I34" s="1139" t="s">
        <v>56</v>
      </c>
      <c r="J34" s="1140"/>
      <c r="K34" s="1138"/>
      <c r="L34" s="1141" t="s">
        <v>56</v>
      </c>
      <c r="M34" s="1140"/>
      <c r="N34" s="1138"/>
      <c r="O34" s="1139" t="s">
        <v>56</v>
      </c>
      <c r="P34" s="1140"/>
      <c r="Q34" s="1138"/>
      <c r="R34" s="1141" t="s">
        <v>56</v>
      </c>
      <c r="S34" s="1140"/>
      <c r="T34" s="1138"/>
      <c r="U34" s="1139" t="s">
        <v>56</v>
      </c>
      <c r="V34" s="1140"/>
      <c r="W34" s="1138"/>
      <c r="X34" s="1141" t="s">
        <v>56</v>
      </c>
      <c r="Y34" s="1140"/>
      <c r="Z34" s="1138"/>
      <c r="AA34" s="1139" t="s">
        <v>56</v>
      </c>
      <c r="AB34" s="1140"/>
      <c r="AC34" s="1138"/>
      <c r="AD34" s="1141" t="s">
        <v>56</v>
      </c>
      <c r="AE34" s="1140"/>
      <c r="AF34" s="1138"/>
      <c r="AG34" s="1139" t="s">
        <v>56</v>
      </c>
      <c r="AH34" s="1140"/>
      <c r="AI34" s="1138"/>
      <c r="AJ34" s="1141" t="s">
        <v>56</v>
      </c>
      <c r="AK34" s="1140"/>
      <c r="AL34" s="1138"/>
      <c r="AM34" s="1139" t="s">
        <v>56</v>
      </c>
      <c r="AN34" s="1140"/>
      <c r="AO34" s="1138"/>
      <c r="AP34" s="1141" t="s">
        <v>56</v>
      </c>
      <c r="AQ34" s="1142"/>
      <c r="AR34" s="1991">
        <f t="shared" si="8"/>
        <v>0</v>
      </c>
      <c r="AS34" s="1992"/>
      <c r="AT34" s="2002">
        <f>AR34+BI34</f>
        <v>0</v>
      </c>
      <c r="AU34" s="2003"/>
      <c r="AV34" s="2419" t="str">
        <f t="shared" si="1"/>
        <v>克苏鲁神话</v>
      </c>
      <c r="AW34" s="2420"/>
      <c r="AX34" s="2421"/>
      <c r="AY34" s="1998">
        <f t="shared" si="9"/>
        <v>0</v>
      </c>
      <c r="AZ34" s="2029"/>
      <c r="BA34" s="2321" t="s">
        <v>148</v>
      </c>
      <c r="BB34" s="2321"/>
      <c r="BC34" s="2396">
        <f>IF(ISTEXT(IFERROR(VLOOKUP(人物卡!BE34,人物卡!$DI$25:$DQ$29,1,FALSE),IFERROR(VLOOKUP(人物卡!BE34,人物卡!$CZ$25:$DB$29,1,FALSE),0))),"★",INDEX(本职技能!$A$2:$IC$87,MATCH(人物卡!BE34,本职技能!$A$2:$A$87,0),MATCH(人物卡!$BL$11,本职技能!$A$1:$IC$1,0)))</f>
        <v>0</v>
      </c>
      <c r="BD34" s="2396"/>
      <c r="BE34" s="2324" t="s">
        <v>152</v>
      </c>
      <c r="BF34" s="2324"/>
      <c r="BG34" s="2324"/>
      <c r="BH34" s="2324"/>
      <c r="BI34" s="2397">
        <v>0</v>
      </c>
      <c r="BJ34" s="2397"/>
      <c r="BK34" s="2397">
        <f t="shared" si="11"/>
        <v>0</v>
      </c>
      <c r="BL34" s="2397"/>
      <c r="BM34" s="2397" t="s">
        <v>148</v>
      </c>
      <c r="BN34" s="2397"/>
      <c r="BO34" s="2397" t="s">
        <v>148</v>
      </c>
      <c r="BP34" s="2397"/>
      <c r="BQ34" s="2328">
        <f t="shared" si="2"/>
        <v>0</v>
      </c>
      <c r="BR34" s="2328"/>
      <c r="BS34" s="2329">
        <f t="shared" si="3"/>
        <v>0</v>
      </c>
      <c r="BT34" s="2329"/>
      <c r="BU34" s="2329">
        <f t="shared" si="4"/>
        <v>0</v>
      </c>
      <c r="BV34" s="2329"/>
      <c r="BW34" s="2406" t="s">
        <v>102</v>
      </c>
      <c r="BX34" s="2407"/>
      <c r="BY34" s="2408">
        <f>IF(ISTEXT(IFERROR(VLOOKUP(人物卡!CA34,人物卡!$DI$25:$DQ$29,1,FALSE),IFERROR(VLOOKUP(人物卡!CA34,人物卡!$CZ$25:$DB$29,1,FALSE),0))),"★",INDEX(本职技能!$A$2:$IC$87,MATCH(人物卡!CA34,本职技能!$A$2:$A$87,0),MATCH(人物卡!$BL$11,本职技能!$A$1:$IC$1,0)))</f>
        <v>0</v>
      </c>
      <c r="BZ34" s="2408"/>
      <c r="CA34" s="2409" t="s">
        <v>153</v>
      </c>
      <c r="CB34" s="2409"/>
      <c r="CC34" s="2409"/>
      <c r="CD34" s="2409"/>
      <c r="CE34" s="2400">
        <v>10</v>
      </c>
      <c r="CF34" s="2400"/>
      <c r="CG34" s="2400">
        <f t="shared" si="12"/>
        <v>0</v>
      </c>
      <c r="CH34" s="2400"/>
      <c r="CI34" s="2401"/>
      <c r="CJ34" s="2401"/>
      <c r="CK34" s="2401"/>
      <c r="CL34" s="2401"/>
      <c r="CM34" s="2402">
        <f t="shared" si="5"/>
        <v>10</v>
      </c>
      <c r="CN34" s="2402"/>
      <c r="CO34" s="2403">
        <f t="shared" si="6"/>
        <v>5</v>
      </c>
      <c r="CP34" s="2403"/>
      <c r="CQ34" s="2403">
        <f t="shared" si="7"/>
        <v>2</v>
      </c>
      <c r="CR34" s="2404"/>
      <c r="CS34" s="1158"/>
      <c r="CT34" s="2441"/>
      <c r="CU34" s="1380"/>
      <c r="CV34" s="1380"/>
      <c r="CW34" s="1380"/>
      <c r="CX34" s="1380"/>
      <c r="CY34" s="1380"/>
      <c r="CZ34" s="1380"/>
      <c r="DA34" s="1380"/>
      <c r="DB34" s="1380"/>
      <c r="DC34" s="1380"/>
      <c r="DD34" s="1380"/>
      <c r="DE34" s="1380"/>
      <c r="DF34" s="1380"/>
      <c r="DG34" s="1380"/>
      <c r="DH34" s="1380"/>
      <c r="DI34" s="1380"/>
      <c r="DJ34" s="1380"/>
      <c r="DK34" s="1380"/>
      <c r="DL34" s="1380"/>
      <c r="DM34" s="1380"/>
      <c r="DN34" s="1380"/>
      <c r="DO34" s="1380"/>
      <c r="DP34" s="1380"/>
      <c r="DQ34" s="1381"/>
    </row>
    <row r="35" spans="2:121" ht="18" customHeight="1">
      <c r="B35" s="1133"/>
      <c r="C35" s="1134" t="s">
        <v>56</v>
      </c>
      <c r="D35" s="1135"/>
      <c r="E35" s="1133"/>
      <c r="F35" s="1136" t="s">
        <v>56</v>
      </c>
      <c r="G35" s="1135"/>
      <c r="H35" s="1133"/>
      <c r="I35" s="1134" t="s">
        <v>56</v>
      </c>
      <c r="J35" s="1135"/>
      <c r="K35" s="1133"/>
      <c r="L35" s="1136" t="s">
        <v>56</v>
      </c>
      <c r="M35" s="1135"/>
      <c r="N35" s="1133"/>
      <c r="O35" s="1134" t="s">
        <v>56</v>
      </c>
      <c r="P35" s="1135"/>
      <c r="Q35" s="1133"/>
      <c r="R35" s="1136" t="s">
        <v>56</v>
      </c>
      <c r="S35" s="1135"/>
      <c r="T35" s="1133"/>
      <c r="U35" s="1134" t="s">
        <v>56</v>
      </c>
      <c r="V35" s="1135"/>
      <c r="W35" s="1133"/>
      <c r="X35" s="1136" t="s">
        <v>56</v>
      </c>
      <c r="Y35" s="1135"/>
      <c r="Z35" s="1133"/>
      <c r="AA35" s="1134" t="s">
        <v>56</v>
      </c>
      <c r="AB35" s="1135"/>
      <c r="AC35" s="1133"/>
      <c r="AD35" s="1136" t="s">
        <v>56</v>
      </c>
      <c r="AE35" s="1135"/>
      <c r="AF35" s="1133"/>
      <c r="AG35" s="1134" t="s">
        <v>56</v>
      </c>
      <c r="AH35" s="1135"/>
      <c r="AI35" s="1133"/>
      <c r="AJ35" s="1136" t="s">
        <v>56</v>
      </c>
      <c r="AK35" s="1135"/>
      <c r="AL35" s="1133"/>
      <c r="AM35" s="1134" t="s">
        <v>56</v>
      </c>
      <c r="AN35" s="1135"/>
      <c r="AO35" s="1133"/>
      <c r="AP35" s="1136" t="s">
        <v>56</v>
      </c>
      <c r="AQ35" s="1137"/>
      <c r="AR35" s="1991">
        <f t="shared" si="8"/>
        <v>0</v>
      </c>
      <c r="AS35" s="1992"/>
      <c r="AT35" s="1993">
        <f t="shared" si="10"/>
        <v>10</v>
      </c>
      <c r="AU35" s="1994"/>
      <c r="AV35" s="1995" t="str">
        <f t="shared" si="1"/>
        <v>机械维修</v>
      </c>
      <c r="AW35" s="1996"/>
      <c r="AX35" s="1997"/>
      <c r="AY35" s="1998">
        <f t="shared" si="9"/>
        <v>0</v>
      </c>
      <c r="AZ35" s="2029"/>
      <c r="BA35" s="2301" t="s">
        <v>102</v>
      </c>
      <c r="BB35" s="2301"/>
      <c r="BC35" s="2405">
        <f>IF(ISTEXT(IFERROR(VLOOKUP(人物卡!BE35,人物卡!$DI$25:$DQ$29,1,FALSE),IFERROR(VLOOKUP(人物卡!BE35,人物卡!$CZ$25:$DB$29,1,FALSE),0))),"★",INDEX(本职技能!$A$2:$IC$87,MATCH(人物卡!BE35,本职技能!$A$2:$A$87,0),MATCH(人物卡!$BL$11,本职技能!$A$1:$IC$1,0)))</f>
        <v>0</v>
      </c>
      <c r="BD35" s="2405"/>
      <c r="BE35" s="1316" t="s">
        <v>154</v>
      </c>
      <c r="BF35" s="1316"/>
      <c r="BG35" s="1316"/>
      <c r="BH35" s="1316"/>
      <c r="BI35" s="2069">
        <v>10</v>
      </c>
      <c r="BJ35" s="2069"/>
      <c r="BK35" s="2069">
        <f t="shared" si="11"/>
        <v>0</v>
      </c>
      <c r="BL35" s="2069"/>
      <c r="BM35" s="2078"/>
      <c r="BN35" s="2078"/>
      <c r="BO35" s="2078"/>
      <c r="BP35" s="2078"/>
      <c r="BQ35" s="2284">
        <f t="shared" si="2"/>
        <v>10</v>
      </c>
      <c r="BR35" s="2284"/>
      <c r="BS35" s="1542">
        <f t="shared" si="3"/>
        <v>5</v>
      </c>
      <c r="BT35" s="1542"/>
      <c r="BU35" s="1542">
        <f t="shared" si="4"/>
        <v>2</v>
      </c>
      <c r="BV35" s="1542"/>
      <c r="BW35" s="2410" t="s">
        <v>102</v>
      </c>
      <c r="BX35" s="2411"/>
      <c r="BY35" s="2412">
        <f>IF(ISTEXT(IFERROR(VLOOKUP(人物卡!CA35,人物卡!$DI$25:$DQ$29,1,FALSE),IFERROR(VLOOKUP(人物卡!CA35,人物卡!$CZ$25:$DB$29,1,FALSE),0))),"★",INDEX(本职技能!$A$2:$IC$87,MATCH(人物卡!CA35,本职技能!$A$2:$A$87,0),MATCH(人物卡!$BL$11,本职技能!$A$1:$IC$1,0)))</f>
        <v>0</v>
      </c>
      <c r="BZ35" s="2412"/>
      <c r="CA35" s="2413" t="s">
        <v>155</v>
      </c>
      <c r="CB35" s="2413"/>
      <c r="CC35" s="2413"/>
      <c r="CD35" s="2413"/>
      <c r="CE35" s="2414">
        <v>15</v>
      </c>
      <c r="CF35" s="2414"/>
      <c r="CG35" s="2414">
        <f t="shared" si="12"/>
        <v>0</v>
      </c>
      <c r="CH35" s="2414"/>
      <c r="CI35" s="2415"/>
      <c r="CJ35" s="2415"/>
      <c r="CK35" s="2415"/>
      <c r="CL35" s="2415"/>
      <c r="CM35" s="2416">
        <f t="shared" si="5"/>
        <v>15</v>
      </c>
      <c r="CN35" s="2416"/>
      <c r="CO35" s="2417">
        <f t="shared" si="6"/>
        <v>7</v>
      </c>
      <c r="CP35" s="2417"/>
      <c r="CQ35" s="2417">
        <f t="shared" si="7"/>
        <v>3</v>
      </c>
      <c r="CR35" s="2418"/>
      <c r="CS35" s="1158"/>
      <c r="CT35" s="2442"/>
      <c r="CU35" s="1382"/>
      <c r="CV35" s="1382"/>
      <c r="CW35" s="1382"/>
      <c r="CX35" s="1382"/>
      <c r="CY35" s="1382"/>
      <c r="CZ35" s="1382"/>
      <c r="DA35" s="1382"/>
      <c r="DB35" s="1382"/>
      <c r="DC35" s="1382"/>
      <c r="DD35" s="1382"/>
      <c r="DE35" s="1382"/>
      <c r="DF35" s="1382"/>
      <c r="DG35" s="1382"/>
      <c r="DH35" s="1382"/>
      <c r="DI35" s="1382"/>
      <c r="DJ35" s="1382"/>
      <c r="DK35" s="1382"/>
      <c r="DL35" s="1382"/>
      <c r="DM35" s="1382"/>
      <c r="DN35" s="1382"/>
      <c r="DO35" s="1382"/>
      <c r="DP35" s="1382"/>
      <c r="DQ35" s="1383"/>
    </row>
    <row r="36" spans="2:121" ht="18" customHeight="1">
      <c r="B36" s="1138"/>
      <c r="C36" s="1139" t="s">
        <v>56</v>
      </c>
      <c r="D36" s="1140"/>
      <c r="E36" s="1138"/>
      <c r="F36" s="1141" t="s">
        <v>56</v>
      </c>
      <c r="G36" s="1140"/>
      <c r="H36" s="1138"/>
      <c r="I36" s="1139" t="s">
        <v>56</v>
      </c>
      <c r="J36" s="1140"/>
      <c r="K36" s="1138"/>
      <c r="L36" s="1141" t="s">
        <v>56</v>
      </c>
      <c r="M36" s="1140"/>
      <c r="N36" s="1138"/>
      <c r="O36" s="1139" t="s">
        <v>56</v>
      </c>
      <c r="P36" s="1140"/>
      <c r="Q36" s="1138"/>
      <c r="R36" s="1141" t="s">
        <v>56</v>
      </c>
      <c r="S36" s="1140"/>
      <c r="T36" s="1138"/>
      <c r="U36" s="1139" t="s">
        <v>56</v>
      </c>
      <c r="V36" s="1140"/>
      <c r="W36" s="1138"/>
      <c r="X36" s="1141" t="s">
        <v>56</v>
      </c>
      <c r="Y36" s="1140"/>
      <c r="Z36" s="1138"/>
      <c r="AA36" s="1139" t="s">
        <v>56</v>
      </c>
      <c r="AB36" s="1140"/>
      <c r="AC36" s="1138"/>
      <c r="AD36" s="1141" t="s">
        <v>56</v>
      </c>
      <c r="AE36" s="1140"/>
      <c r="AF36" s="1138"/>
      <c r="AG36" s="1139" t="s">
        <v>56</v>
      </c>
      <c r="AH36" s="1140"/>
      <c r="AI36" s="1138"/>
      <c r="AJ36" s="1141" t="s">
        <v>56</v>
      </c>
      <c r="AK36" s="1140"/>
      <c r="AL36" s="1138"/>
      <c r="AM36" s="1139" t="s">
        <v>56</v>
      </c>
      <c r="AN36" s="1140"/>
      <c r="AO36" s="1138"/>
      <c r="AP36" s="1141" t="s">
        <v>56</v>
      </c>
      <c r="AQ36" s="1142"/>
      <c r="AR36" s="1991">
        <f t="shared" si="8"/>
        <v>0</v>
      </c>
      <c r="AS36" s="1992"/>
      <c r="AT36" s="2002">
        <f t="shared" si="10"/>
        <v>10</v>
      </c>
      <c r="AU36" s="2003"/>
      <c r="AV36" s="1995" t="str">
        <f t="shared" si="1"/>
        <v>电气维修</v>
      </c>
      <c r="AW36" s="1996"/>
      <c r="AX36" s="1997"/>
      <c r="AY36" s="1998">
        <f t="shared" si="9"/>
        <v>0</v>
      </c>
      <c r="AZ36" s="2029"/>
      <c r="BA36" s="2321" t="s">
        <v>102</v>
      </c>
      <c r="BB36" s="2321"/>
      <c r="BC36" s="2396">
        <f>IF(ISTEXT(IFERROR(VLOOKUP(人物卡!BE36,人物卡!$DI$25:$DQ$29,1,FALSE),IFERROR(VLOOKUP(人物卡!BE36,人物卡!$CZ$25:$DB$29,1,FALSE),0))),"★",INDEX(本职技能!$A$2:$IC$87,MATCH(人物卡!BE36,本职技能!$A$2:$A$87,0),MATCH(人物卡!$BL$11,本职技能!$A$1:$IC$1,0)))</f>
        <v>0</v>
      </c>
      <c r="BD36" s="2396"/>
      <c r="BE36" s="2324" t="s">
        <v>156</v>
      </c>
      <c r="BF36" s="2324"/>
      <c r="BG36" s="2324"/>
      <c r="BH36" s="2324"/>
      <c r="BI36" s="2397">
        <v>10</v>
      </c>
      <c r="BJ36" s="2397"/>
      <c r="BK36" s="2397">
        <f t="shared" si="11"/>
        <v>0</v>
      </c>
      <c r="BL36" s="2397"/>
      <c r="BM36" s="2398"/>
      <c r="BN36" s="2398"/>
      <c r="BO36" s="2399"/>
      <c r="BP36" s="2399"/>
      <c r="BQ36" s="2328">
        <f t="shared" si="2"/>
        <v>10</v>
      </c>
      <c r="BR36" s="2328"/>
      <c r="BS36" s="2329">
        <f t="shared" si="3"/>
        <v>5</v>
      </c>
      <c r="BT36" s="2329"/>
      <c r="BU36" s="2329">
        <f t="shared" si="4"/>
        <v>2</v>
      </c>
      <c r="BV36" s="2329"/>
      <c r="BW36" s="2406" t="s">
        <v>102</v>
      </c>
      <c r="BX36" s="2407"/>
      <c r="BY36" s="2408">
        <f>IF(ISTEXT(IFERROR(VLOOKUP(人物卡!CA36,人物卡!$DI$25:$DQ$29,1,FALSE),IFERROR(VLOOKUP(人物卡!CA36,人物卡!$CZ$25:$DB$29,1,FALSE),0))),"★",INDEX(本职技能!$A$2:$IC$87,MATCH(人物卡!CA36,本职技能!$A$2:$A$87,0),MATCH(人物卡!$BL$11,本职技能!$A$1:$IC$1,0)))</f>
        <v>0</v>
      </c>
      <c r="BZ36" s="2408"/>
      <c r="CA36" s="2409" t="s">
        <v>157</v>
      </c>
      <c r="CB36" s="2409"/>
      <c r="CC36" s="2409"/>
      <c r="CD36" s="2409"/>
      <c r="CE36" s="2400">
        <v>5</v>
      </c>
      <c r="CF36" s="2400"/>
      <c r="CG36" s="2400">
        <f t="shared" si="12"/>
        <v>0</v>
      </c>
      <c r="CH36" s="2400"/>
      <c r="CI36" s="2401"/>
      <c r="CJ36" s="2401"/>
      <c r="CK36" s="2401"/>
      <c r="CL36" s="2401"/>
      <c r="CM36" s="2402">
        <f t="shared" si="5"/>
        <v>5</v>
      </c>
      <c r="CN36" s="2402"/>
      <c r="CO36" s="2403">
        <f t="shared" si="6"/>
        <v>2</v>
      </c>
      <c r="CP36" s="2403"/>
      <c r="CQ36" s="2403">
        <f t="shared" si="7"/>
        <v>1</v>
      </c>
      <c r="CR36" s="2404"/>
      <c r="CS36" s="1158"/>
      <c r="CT36" s="2374" t="s">
        <v>158</v>
      </c>
      <c r="CU36" s="2375"/>
      <c r="CV36" s="2375"/>
      <c r="CW36" s="2375"/>
      <c r="CX36" s="2375"/>
      <c r="CY36" s="2375"/>
      <c r="CZ36" s="2375"/>
      <c r="DA36" s="2375"/>
      <c r="DB36" s="2375"/>
      <c r="DC36" s="2375"/>
      <c r="DD36" s="2375"/>
      <c r="DE36" s="2375"/>
      <c r="DF36" s="2375"/>
      <c r="DG36" s="2375"/>
      <c r="DH36" s="2375"/>
      <c r="DI36" s="2375"/>
      <c r="DJ36" s="2375"/>
      <c r="DK36" s="2375"/>
      <c r="DL36" s="2375"/>
      <c r="DM36" s="2375"/>
      <c r="DN36" s="2375"/>
      <c r="DO36" s="2375"/>
      <c r="DP36" s="2375"/>
      <c r="DQ36" s="2376"/>
    </row>
    <row r="37" spans="2:121" ht="18" customHeight="1">
      <c r="B37" s="1133"/>
      <c r="C37" s="1134" t="s">
        <v>56</v>
      </c>
      <c r="D37" s="1135"/>
      <c r="E37" s="1133"/>
      <c r="F37" s="1136" t="s">
        <v>56</v>
      </c>
      <c r="G37" s="1135"/>
      <c r="H37" s="1133"/>
      <c r="I37" s="1134" t="s">
        <v>56</v>
      </c>
      <c r="J37" s="1135"/>
      <c r="K37" s="1133"/>
      <c r="L37" s="1136" t="s">
        <v>56</v>
      </c>
      <c r="M37" s="1135"/>
      <c r="N37" s="1133"/>
      <c r="O37" s="1134" t="s">
        <v>56</v>
      </c>
      <c r="P37" s="1135"/>
      <c r="Q37" s="1133"/>
      <c r="R37" s="1136" t="s">
        <v>56</v>
      </c>
      <c r="S37" s="1135"/>
      <c r="T37" s="1133"/>
      <c r="U37" s="1134" t="s">
        <v>56</v>
      </c>
      <c r="V37" s="1135"/>
      <c r="W37" s="1133"/>
      <c r="X37" s="1136" t="s">
        <v>56</v>
      </c>
      <c r="Y37" s="1135"/>
      <c r="Z37" s="1133"/>
      <c r="AA37" s="1134" t="s">
        <v>56</v>
      </c>
      <c r="AB37" s="1135"/>
      <c r="AC37" s="1133"/>
      <c r="AD37" s="1136" t="s">
        <v>56</v>
      </c>
      <c r="AE37" s="1135"/>
      <c r="AF37" s="1133"/>
      <c r="AG37" s="1134" t="s">
        <v>56</v>
      </c>
      <c r="AH37" s="1135"/>
      <c r="AI37" s="1133"/>
      <c r="AJ37" s="1136" t="s">
        <v>56</v>
      </c>
      <c r="AK37" s="1135"/>
      <c r="AL37" s="1133"/>
      <c r="AM37" s="1134" t="s">
        <v>56</v>
      </c>
      <c r="AN37" s="1135"/>
      <c r="AO37" s="1133"/>
      <c r="AP37" s="1136" t="s">
        <v>56</v>
      </c>
      <c r="AQ37" s="1137"/>
      <c r="AR37" s="1991">
        <f t="shared" si="8"/>
        <v>0</v>
      </c>
      <c r="AS37" s="1992"/>
      <c r="AT37" s="1993">
        <f t="shared" si="10"/>
        <v>1</v>
      </c>
      <c r="AU37" s="1994"/>
      <c r="AV37" s="1995" t="str">
        <f t="shared" si="1"/>
        <v>电子学 Ω</v>
      </c>
      <c r="AW37" s="1996"/>
      <c r="AX37" s="1997"/>
      <c r="AY37" s="1998">
        <f t="shared" si="9"/>
        <v>0</v>
      </c>
      <c r="AZ37" s="2029"/>
      <c r="BA37" s="2301" t="s">
        <v>102</v>
      </c>
      <c r="BB37" s="2301"/>
      <c r="BC37" s="2405">
        <f>IF(ISTEXT(IFERROR(VLOOKUP(人物卡!BE37,人物卡!$DI$25:$DQ$29,1,FALSE),IFERROR(VLOOKUP(人物卡!BE37,人物卡!$CZ$25:$DB$29,1,FALSE),0))),"★",INDEX(本职技能!$A$2:$IC$87,MATCH(人物卡!BE37,本职技能!$A$2:$A$87,0),MATCH(人物卡!$BL$11,本职技能!$A$1:$IC$1,0)))</f>
        <v>0</v>
      </c>
      <c r="BD37" s="2405"/>
      <c r="BE37" s="1316" t="s">
        <v>159</v>
      </c>
      <c r="BF37" s="1316"/>
      <c r="BG37" s="1316"/>
      <c r="BH37" s="1316"/>
      <c r="BI37" s="2069">
        <v>1</v>
      </c>
      <c r="BJ37" s="2069"/>
      <c r="BK37" s="2069">
        <f t="shared" si="11"/>
        <v>0</v>
      </c>
      <c r="BL37" s="2069"/>
      <c r="BM37" s="2078"/>
      <c r="BN37" s="2078"/>
      <c r="BO37" s="2078"/>
      <c r="BP37" s="2078"/>
      <c r="BQ37" s="2284">
        <f t="shared" si="2"/>
        <v>1</v>
      </c>
      <c r="BR37" s="2284"/>
      <c r="BS37" s="1542">
        <f t="shared" si="3"/>
        <v>0</v>
      </c>
      <c r="BT37" s="1542"/>
      <c r="BU37" s="1542">
        <f t="shared" si="4"/>
        <v>0</v>
      </c>
      <c r="BV37" s="1542"/>
      <c r="BW37" s="2410" t="s">
        <v>102</v>
      </c>
      <c r="BX37" s="2411"/>
      <c r="BY37" s="2412">
        <f>IF(ISTEXT(IFERROR(VLOOKUP(人物卡!CA37,人物卡!$DI$25:$DQ$29,1,FALSE),IFERROR(VLOOKUP(人物卡!CA37,人物卡!$CZ$25:$DB$29,1,FALSE),0))),"★",INDEX(本职技能!$A$2:$IC$87,MATCH(人物卡!CA37,本职技能!$A$2:$A$87,0),MATCH(人物卡!$BL$11,本职技能!$A$1:$IC$1,0)))</f>
        <v>0</v>
      </c>
      <c r="BZ37" s="2412"/>
      <c r="CA37" s="2413" t="s">
        <v>160</v>
      </c>
      <c r="CB37" s="2413"/>
      <c r="CC37" s="2413"/>
      <c r="CD37" s="2413"/>
      <c r="CE37" s="2414">
        <v>15</v>
      </c>
      <c r="CF37" s="2414"/>
      <c r="CG37" s="2414">
        <f t="shared" si="12"/>
        <v>0</v>
      </c>
      <c r="CH37" s="2414"/>
      <c r="CI37" s="2415"/>
      <c r="CJ37" s="2415"/>
      <c r="CK37" s="2415"/>
      <c r="CL37" s="2415"/>
      <c r="CM37" s="2416">
        <f t="shared" si="5"/>
        <v>15</v>
      </c>
      <c r="CN37" s="2416"/>
      <c r="CO37" s="2417">
        <f t="shared" si="6"/>
        <v>7</v>
      </c>
      <c r="CP37" s="2417"/>
      <c r="CQ37" s="2417">
        <f t="shared" si="7"/>
        <v>3</v>
      </c>
      <c r="CR37" s="2418"/>
      <c r="CS37" s="1158"/>
      <c r="CT37" s="1384" t="str">
        <f>IF(BL11=0," ",""&amp;LOOKUP(BL11,职业列表!A2:A237,职业列表!M2:M237))</f>
        <v xml:space="preserve"> </v>
      </c>
      <c r="CU37" s="1385"/>
      <c r="CV37" s="1385"/>
      <c r="CW37" s="1385"/>
      <c r="CX37" s="1385"/>
      <c r="CY37" s="1385"/>
      <c r="CZ37" s="1385"/>
      <c r="DA37" s="1385"/>
      <c r="DB37" s="1385"/>
      <c r="DC37" s="1385"/>
      <c r="DD37" s="1385"/>
      <c r="DE37" s="1385"/>
      <c r="DF37" s="1385"/>
      <c r="DG37" s="1385"/>
      <c r="DH37" s="1385"/>
      <c r="DI37" s="1385"/>
      <c r="DJ37" s="1385"/>
      <c r="DK37" s="1385"/>
      <c r="DL37" s="1385"/>
      <c r="DM37" s="1385"/>
      <c r="DN37" s="1385"/>
      <c r="DO37" s="1385"/>
      <c r="DP37" s="1385"/>
      <c r="DQ37" s="1386"/>
    </row>
    <row r="38" spans="2:121" ht="18" customHeight="1">
      <c r="B38" s="1138"/>
      <c r="C38" s="1139" t="s">
        <v>56</v>
      </c>
      <c r="D38" s="1140"/>
      <c r="E38" s="1138"/>
      <c r="F38" s="1141" t="s">
        <v>56</v>
      </c>
      <c r="G38" s="1140"/>
      <c r="H38" s="1138"/>
      <c r="I38" s="1139" t="s">
        <v>56</v>
      </c>
      <c r="J38" s="1140"/>
      <c r="K38" s="1138"/>
      <c r="L38" s="1141" t="s">
        <v>56</v>
      </c>
      <c r="M38" s="1140"/>
      <c r="N38" s="1138"/>
      <c r="O38" s="1139" t="s">
        <v>56</v>
      </c>
      <c r="P38" s="1140"/>
      <c r="Q38" s="1138"/>
      <c r="R38" s="1141" t="s">
        <v>56</v>
      </c>
      <c r="S38" s="1140"/>
      <c r="T38" s="1138"/>
      <c r="U38" s="1139" t="s">
        <v>56</v>
      </c>
      <c r="V38" s="1140"/>
      <c r="W38" s="1138"/>
      <c r="X38" s="1141" t="s">
        <v>56</v>
      </c>
      <c r="Y38" s="1140"/>
      <c r="Z38" s="1138"/>
      <c r="AA38" s="1139" t="s">
        <v>56</v>
      </c>
      <c r="AB38" s="1140"/>
      <c r="AC38" s="1138"/>
      <c r="AD38" s="1141" t="s">
        <v>56</v>
      </c>
      <c r="AE38" s="1140"/>
      <c r="AF38" s="1138"/>
      <c r="AG38" s="1139" t="s">
        <v>56</v>
      </c>
      <c r="AH38" s="1140"/>
      <c r="AI38" s="1138"/>
      <c r="AJ38" s="1141" t="s">
        <v>56</v>
      </c>
      <c r="AK38" s="1140"/>
      <c r="AL38" s="1138"/>
      <c r="AM38" s="1139" t="s">
        <v>56</v>
      </c>
      <c r="AN38" s="1140"/>
      <c r="AO38" s="1138"/>
      <c r="AP38" s="1141" t="s">
        <v>56</v>
      </c>
      <c r="AQ38" s="1142"/>
      <c r="AR38" s="1991">
        <f t="shared" si="8"/>
        <v>0</v>
      </c>
      <c r="AS38" s="1992"/>
      <c r="AT38" s="2002">
        <f t="shared" si="10"/>
        <v>1</v>
      </c>
      <c r="AU38" s="2003"/>
      <c r="AV38" s="1995" t="str">
        <f t="shared" si="1"/>
        <v>操作重型机械</v>
      </c>
      <c r="AW38" s="1996"/>
      <c r="AX38" s="1997"/>
      <c r="AY38" s="1998">
        <f t="shared" si="9"/>
        <v>0</v>
      </c>
      <c r="AZ38" s="2029"/>
      <c r="BA38" s="2321" t="s">
        <v>102</v>
      </c>
      <c r="BB38" s="2321"/>
      <c r="BC38" s="2396">
        <f>IF(ISTEXT(IFERROR(VLOOKUP(人物卡!BE38,人物卡!$DI$25:$DQ$29,1,FALSE),IFERROR(VLOOKUP(人物卡!BE38,人物卡!$CZ$25:$DB$29,1,FALSE),0))),"★",INDEX(本职技能!$A$2:$IC$87,MATCH(人物卡!BE38,本职技能!$A$2:$A$87,0),MATCH(人物卡!$BL$11,本职技能!$A$1:$IC$1,0)))</f>
        <v>0</v>
      </c>
      <c r="BD38" s="2396"/>
      <c r="BE38" s="2324" t="s">
        <v>161</v>
      </c>
      <c r="BF38" s="2324"/>
      <c r="BG38" s="2324"/>
      <c r="BH38" s="2324"/>
      <c r="BI38" s="2397">
        <v>1</v>
      </c>
      <c r="BJ38" s="2397"/>
      <c r="BK38" s="2397">
        <f t="shared" si="11"/>
        <v>0</v>
      </c>
      <c r="BL38" s="2397"/>
      <c r="BM38" s="2398"/>
      <c r="BN38" s="2398"/>
      <c r="BO38" s="2399"/>
      <c r="BP38" s="2399"/>
      <c r="BQ38" s="2328">
        <f t="shared" si="2"/>
        <v>1</v>
      </c>
      <c r="BR38" s="2328"/>
      <c r="BS38" s="2329">
        <f t="shared" si="3"/>
        <v>0</v>
      </c>
      <c r="BT38" s="2329"/>
      <c r="BU38" s="2329">
        <f t="shared" si="4"/>
        <v>0</v>
      </c>
      <c r="BV38" s="2329"/>
      <c r="BW38" s="2406" t="s">
        <v>102</v>
      </c>
      <c r="BX38" s="2407"/>
      <c r="BY38" s="2408">
        <f>IF(ISTEXT(IFERROR(VLOOKUP(人物卡!CA38,人物卡!$DI$25:$DQ$29,1,FALSE),IFERROR(VLOOKUP(人物卡!CA38,人物卡!$CZ$25:$DB$29,1,FALSE),0))),"★",INDEX(本职技能!$A$2:$IC$87,MATCH(人物卡!CA38,本职技能!$A$2:$A$87,0),MATCH(人物卡!$BL$11,本职技能!$A$1:$IC$1,0)))</f>
        <v>0</v>
      </c>
      <c r="BZ38" s="2408"/>
      <c r="CA38" s="2409" t="s">
        <v>162</v>
      </c>
      <c r="CB38" s="2409"/>
      <c r="CC38" s="2409"/>
      <c r="CD38" s="2409"/>
      <c r="CE38" s="2400">
        <v>10</v>
      </c>
      <c r="CF38" s="2400"/>
      <c r="CG38" s="2400">
        <f t="shared" si="12"/>
        <v>0</v>
      </c>
      <c r="CH38" s="2400"/>
      <c r="CI38" s="2401"/>
      <c r="CJ38" s="2401"/>
      <c r="CK38" s="2401"/>
      <c r="CL38" s="2401"/>
      <c r="CM38" s="2402">
        <f t="shared" si="5"/>
        <v>10</v>
      </c>
      <c r="CN38" s="2402"/>
      <c r="CO38" s="2403">
        <f t="shared" si="6"/>
        <v>5</v>
      </c>
      <c r="CP38" s="2403"/>
      <c r="CQ38" s="2403">
        <f t="shared" si="7"/>
        <v>2</v>
      </c>
      <c r="CR38" s="2404"/>
      <c r="CS38" s="1158"/>
      <c r="CT38" s="1387"/>
      <c r="CU38" s="1388"/>
      <c r="CV38" s="1388"/>
      <c r="CW38" s="1388"/>
      <c r="CX38" s="1388"/>
      <c r="CY38" s="1388"/>
      <c r="CZ38" s="1388"/>
      <c r="DA38" s="1388"/>
      <c r="DB38" s="1388"/>
      <c r="DC38" s="1388"/>
      <c r="DD38" s="1388"/>
      <c r="DE38" s="1388"/>
      <c r="DF38" s="1388"/>
      <c r="DG38" s="1388"/>
      <c r="DH38" s="1388"/>
      <c r="DI38" s="1388"/>
      <c r="DJ38" s="1388"/>
      <c r="DK38" s="1388"/>
      <c r="DL38" s="1388"/>
      <c r="DM38" s="1388"/>
      <c r="DN38" s="1388"/>
      <c r="DO38" s="1388"/>
      <c r="DP38" s="1388"/>
      <c r="DQ38" s="1389"/>
    </row>
    <row r="39" spans="2:121" ht="18" customHeight="1">
      <c r="B39" s="1133"/>
      <c r="C39" s="1134" t="s">
        <v>56</v>
      </c>
      <c r="D39" s="1135"/>
      <c r="E39" s="1133"/>
      <c r="F39" s="1136" t="s">
        <v>56</v>
      </c>
      <c r="G39" s="1135"/>
      <c r="H39" s="1133"/>
      <c r="I39" s="1134" t="s">
        <v>56</v>
      </c>
      <c r="J39" s="1135"/>
      <c r="K39" s="1133"/>
      <c r="L39" s="1136" t="s">
        <v>56</v>
      </c>
      <c r="M39" s="1135"/>
      <c r="N39" s="1133"/>
      <c r="O39" s="1134" t="s">
        <v>56</v>
      </c>
      <c r="P39" s="1135"/>
      <c r="Q39" s="1133"/>
      <c r="R39" s="1136" t="s">
        <v>56</v>
      </c>
      <c r="S39" s="1135"/>
      <c r="T39" s="1133"/>
      <c r="U39" s="1134" t="s">
        <v>56</v>
      </c>
      <c r="V39" s="1135"/>
      <c r="W39" s="1133"/>
      <c r="X39" s="1136" t="s">
        <v>56</v>
      </c>
      <c r="Y39" s="1135"/>
      <c r="Z39" s="1133"/>
      <c r="AA39" s="1134" t="s">
        <v>56</v>
      </c>
      <c r="AB39" s="1135"/>
      <c r="AC39" s="1133"/>
      <c r="AD39" s="1136" t="s">
        <v>56</v>
      </c>
      <c r="AE39" s="1135"/>
      <c r="AF39" s="1133"/>
      <c r="AG39" s="1134" t="s">
        <v>56</v>
      </c>
      <c r="AH39" s="1135"/>
      <c r="AI39" s="1133"/>
      <c r="AJ39" s="1136" t="s">
        <v>56</v>
      </c>
      <c r="AK39" s="1135"/>
      <c r="AL39" s="1133"/>
      <c r="AM39" s="1134" t="s">
        <v>56</v>
      </c>
      <c r="AN39" s="1135"/>
      <c r="AO39" s="1133"/>
      <c r="AP39" s="1136" t="s">
        <v>56</v>
      </c>
      <c r="AQ39" s="1137"/>
      <c r="AR39" s="1991">
        <f t="shared" si="8"/>
        <v>0</v>
      </c>
      <c r="AS39" s="1992"/>
      <c r="AT39" s="1993">
        <f t="shared" si="10"/>
        <v>1</v>
      </c>
      <c r="AU39" s="1994"/>
      <c r="AV39" s="1995" t="str">
        <f t="shared" si="1"/>
        <v>爆破</v>
      </c>
      <c r="AW39" s="1996"/>
      <c r="AX39" s="1997"/>
      <c r="AY39" s="1998">
        <f t="shared" si="9"/>
        <v>0</v>
      </c>
      <c r="AZ39" s="2029"/>
      <c r="BA39" s="2301" t="s">
        <v>102</v>
      </c>
      <c r="BB39" s="2301"/>
      <c r="BC39" s="2405">
        <f>IF(ISTEXT(IFERROR(VLOOKUP(人物卡!BE39,人物卡!$DI$25:$DQ$29,1,FALSE),IFERROR(VLOOKUP(人物卡!BE39,人物卡!$CZ$25:$DB$29,1,FALSE),0))),"★",INDEX(本职技能!$A$2:$IC$87,MATCH(人物卡!BE39,本职技能!$A$2:$A$87,0),MATCH(人物卡!$BL$11,本职技能!$A$1:$IC$1,0)))</f>
        <v>0</v>
      </c>
      <c r="BD39" s="2405"/>
      <c r="BE39" s="1316" t="s">
        <v>163</v>
      </c>
      <c r="BF39" s="1316"/>
      <c r="BG39" s="1316"/>
      <c r="BH39" s="1316"/>
      <c r="BI39" s="2069">
        <v>1</v>
      </c>
      <c r="BJ39" s="2069"/>
      <c r="BK39" s="2069">
        <f t="shared" si="11"/>
        <v>0</v>
      </c>
      <c r="BL39" s="2069"/>
      <c r="BM39" s="2078"/>
      <c r="BN39" s="2078"/>
      <c r="BO39" s="2078"/>
      <c r="BP39" s="2078"/>
      <c r="BQ39" s="2284">
        <f t="shared" si="2"/>
        <v>1</v>
      </c>
      <c r="BR39" s="2284"/>
      <c r="BS39" s="1542">
        <f t="shared" si="3"/>
        <v>0</v>
      </c>
      <c r="BT39" s="1542"/>
      <c r="BU39" s="1542">
        <f t="shared" si="4"/>
        <v>0</v>
      </c>
      <c r="BV39" s="1542"/>
      <c r="BW39" s="2301" t="s">
        <v>102</v>
      </c>
      <c r="BX39" s="2302"/>
      <c r="BY39" s="2303">
        <f>IF(ISTEXT(IFERROR(VLOOKUP(人物卡!CA39,人物卡!$DI$25:$DQ$29,1,FALSE),IFERROR(VLOOKUP(人物卡!CA39,人物卡!$CZ$25:$DB$29,1,FALSE),0))),"★",INDEX(本职技能!$A$2:$IC$87,MATCH(人物卡!CA39,本职技能!$A$2:$A$87,0),MATCH(人物卡!$BL$11,本职技能!$A$1:$IC$1,0)))</f>
        <v>0</v>
      </c>
      <c r="BZ39" s="2303"/>
      <c r="CA39" s="1316" t="s">
        <v>164</v>
      </c>
      <c r="CB39" s="1316"/>
      <c r="CC39" s="1316"/>
      <c r="CD39" s="1316"/>
      <c r="CE39" s="2282">
        <v>20</v>
      </c>
      <c r="CF39" s="2282"/>
      <c r="CG39" s="2282">
        <f t="shared" si="12"/>
        <v>0</v>
      </c>
      <c r="CH39" s="2282"/>
      <c r="CI39" s="2283"/>
      <c r="CJ39" s="2283"/>
      <c r="CK39" s="2283"/>
      <c r="CL39" s="2283"/>
      <c r="CM39" s="2284">
        <f t="shared" si="5"/>
        <v>20</v>
      </c>
      <c r="CN39" s="2284"/>
      <c r="CO39" s="1542">
        <f t="shared" si="6"/>
        <v>10</v>
      </c>
      <c r="CP39" s="1542"/>
      <c r="CQ39" s="1542">
        <f t="shared" si="7"/>
        <v>4</v>
      </c>
      <c r="CR39" s="1545"/>
      <c r="CS39" s="1158"/>
      <c r="CT39" s="1387"/>
      <c r="CU39" s="1388"/>
      <c r="CV39" s="1388"/>
      <c r="CW39" s="1388"/>
      <c r="CX39" s="1388"/>
      <c r="CY39" s="1388"/>
      <c r="CZ39" s="1388"/>
      <c r="DA39" s="1388"/>
      <c r="DB39" s="1388"/>
      <c r="DC39" s="1388"/>
      <c r="DD39" s="1388"/>
      <c r="DE39" s="1388"/>
      <c r="DF39" s="1388"/>
      <c r="DG39" s="1388"/>
      <c r="DH39" s="1388"/>
      <c r="DI39" s="1388"/>
      <c r="DJ39" s="1388"/>
      <c r="DK39" s="1388"/>
      <c r="DL39" s="1388"/>
      <c r="DM39" s="1388"/>
      <c r="DN39" s="1388"/>
      <c r="DO39" s="1388"/>
      <c r="DP39" s="1388"/>
      <c r="DQ39" s="1389"/>
    </row>
    <row r="40" spans="2:121" ht="18" customHeight="1">
      <c r="B40" s="1138"/>
      <c r="C40" s="1139" t="s">
        <v>56</v>
      </c>
      <c r="D40" s="1140"/>
      <c r="E40" s="1138"/>
      <c r="F40" s="1141" t="s">
        <v>56</v>
      </c>
      <c r="G40" s="1140"/>
      <c r="H40" s="1138"/>
      <c r="I40" s="1139" t="s">
        <v>56</v>
      </c>
      <c r="J40" s="1140"/>
      <c r="K40" s="1138"/>
      <c r="L40" s="1141" t="s">
        <v>56</v>
      </c>
      <c r="M40" s="1140"/>
      <c r="N40" s="1138"/>
      <c r="O40" s="1139" t="s">
        <v>56</v>
      </c>
      <c r="P40" s="1140"/>
      <c r="Q40" s="1138"/>
      <c r="R40" s="1141" t="s">
        <v>56</v>
      </c>
      <c r="S40" s="1140"/>
      <c r="T40" s="1138"/>
      <c r="U40" s="1139" t="s">
        <v>56</v>
      </c>
      <c r="V40" s="1140"/>
      <c r="W40" s="1138"/>
      <c r="X40" s="1141" t="s">
        <v>56</v>
      </c>
      <c r="Y40" s="1140"/>
      <c r="Z40" s="1138"/>
      <c r="AA40" s="1139" t="s">
        <v>56</v>
      </c>
      <c r="AB40" s="1140"/>
      <c r="AC40" s="1138"/>
      <c r="AD40" s="1141" t="s">
        <v>56</v>
      </c>
      <c r="AE40" s="1140"/>
      <c r="AF40" s="1138"/>
      <c r="AG40" s="1139" t="s">
        <v>56</v>
      </c>
      <c r="AH40" s="1140"/>
      <c r="AI40" s="1138"/>
      <c r="AJ40" s="1141" t="s">
        <v>56</v>
      </c>
      <c r="AK40" s="1140"/>
      <c r="AL40" s="1138"/>
      <c r="AM40" s="1139" t="s">
        <v>56</v>
      </c>
      <c r="AN40" s="1140"/>
      <c r="AO40" s="1138"/>
      <c r="AP40" s="1141" t="s">
        <v>56</v>
      </c>
      <c r="AQ40" s="1142"/>
      <c r="AR40" s="1991">
        <f t="shared" si="8"/>
        <v>0</v>
      </c>
      <c r="AS40" s="1992"/>
      <c r="AT40" s="2002" t="str">
        <f>IFERROR(AR40+BI40+BM40+BO40,"禁用")</f>
        <v>禁用</v>
      </c>
      <c r="AU40" s="2003"/>
      <c r="AV40" s="1995" t="str">
        <f t="shared" si="1"/>
        <v>计算机使用 Ω</v>
      </c>
      <c r="AW40" s="1996"/>
      <c r="AX40" s="1997"/>
      <c r="AY40" s="1998">
        <f t="shared" si="9"/>
        <v>0</v>
      </c>
      <c r="AZ40" s="2029"/>
      <c r="BA40" s="2321" t="s">
        <v>102</v>
      </c>
      <c r="BB40" s="2321"/>
      <c r="BC40" s="2396">
        <f>IF(ISTEXT(IFERROR(VLOOKUP(人物卡!BE40,人物卡!$DI$25:$DQ$29,1,FALSE),IFERROR(VLOOKUP(人物卡!BE40,人物卡!$CZ$25:$DB$29,1,FALSE),0))),"★",INDEX(本职技能!$A$2:$IC$87,MATCH(人物卡!BE40,本职技能!$A$2:$A$87,0),MATCH(人物卡!$BL$11,本职技能!$A$1:$IC$1,0)))</f>
        <v>0</v>
      </c>
      <c r="BD40" s="2396"/>
      <c r="BE40" s="2324" t="s">
        <v>165</v>
      </c>
      <c r="BF40" s="2324"/>
      <c r="BG40" s="2324"/>
      <c r="BH40" s="2324"/>
      <c r="BI40" s="2397" t="str">
        <f>IF(BL10="1920s","禁用",5)</f>
        <v>禁用</v>
      </c>
      <c r="BJ40" s="2397"/>
      <c r="BK40" s="2397">
        <f t="shared" si="11"/>
        <v>0</v>
      </c>
      <c r="BL40" s="2397"/>
      <c r="BM40" s="2398"/>
      <c r="BN40" s="2398"/>
      <c r="BO40" s="2399"/>
      <c r="BP40" s="2399"/>
      <c r="BQ40" s="2328">
        <f t="shared" si="2"/>
        <v>0</v>
      </c>
      <c r="BR40" s="2328"/>
      <c r="BS40" s="2329">
        <f t="shared" si="3"/>
        <v>0</v>
      </c>
      <c r="BT40" s="2329"/>
      <c r="BU40" s="2329">
        <f t="shared" si="4"/>
        <v>0</v>
      </c>
      <c r="BV40" s="2329"/>
      <c r="BW40" s="2321" t="s">
        <v>102</v>
      </c>
      <c r="BX40" s="2322"/>
      <c r="BY40" s="2323">
        <f>IF(ISTEXT(IFERROR(VLOOKUP(人物卡!CA40,人物卡!$DI$25:$DQ$29,1,FALSE),IFERROR(VLOOKUP(人物卡!CA40,人物卡!$CZ$25:$DB$29,1,FALSE),0))),"★",INDEX(本职技能!$A$2:$IC$87,MATCH(人物卡!CA40,本职技能!$A$2:$A$87,0),MATCH(人物卡!$BL$11,本职技能!$A$1:$IC$1,0)))</f>
        <v>0</v>
      </c>
      <c r="BZ40" s="2323"/>
      <c r="CA40" s="2324" t="s">
        <v>166</v>
      </c>
      <c r="CB40" s="2324"/>
      <c r="CC40" s="2324"/>
      <c r="CD40" s="2324"/>
      <c r="CE40" s="2325">
        <v>20</v>
      </c>
      <c r="CF40" s="2325"/>
      <c r="CG40" s="2325">
        <f t="shared" si="12"/>
        <v>0</v>
      </c>
      <c r="CH40" s="2325"/>
      <c r="CI40" s="2326"/>
      <c r="CJ40" s="2326"/>
      <c r="CK40" s="2327"/>
      <c r="CL40" s="2327"/>
      <c r="CM40" s="2328">
        <f t="shared" si="5"/>
        <v>20</v>
      </c>
      <c r="CN40" s="2328"/>
      <c r="CO40" s="2329">
        <f t="shared" si="6"/>
        <v>10</v>
      </c>
      <c r="CP40" s="2329"/>
      <c r="CQ40" s="2329">
        <f t="shared" si="7"/>
        <v>4</v>
      </c>
      <c r="CR40" s="2330"/>
      <c r="CS40" s="1158"/>
      <c r="CT40" s="1387"/>
      <c r="CU40" s="1388"/>
      <c r="CV40" s="1388"/>
      <c r="CW40" s="1388"/>
      <c r="CX40" s="1388"/>
      <c r="CY40" s="1388"/>
      <c r="CZ40" s="1388"/>
      <c r="DA40" s="1388"/>
      <c r="DB40" s="1388"/>
      <c r="DC40" s="1388"/>
      <c r="DD40" s="1388"/>
      <c r="DE40" s="1388"/>
      <c r="DF40" s="1388"/>
      <c r="DG40" s="1388"/>
      <c r="DH40" s="1388"/>
      <c r="DI40" s="1388"/>
      <c r="DJ40" s="1388"/>
      <c r="DK40" s="1388"/>
      <c r="DL40" s="1388"/>
      <c r="DM40" s="1388"/>
      <c r="DN40" s="1388"/>
      <c r="DO40" s="1388"/>
      <c r="DP40" s="1388"/>
      <c r="DQ40" s="1389"/>
    </row>
    <row r="41" spans="2:121" ht="16.5">
      <c r="B41" s="1159"/>
      <c r="C41" s="1160" t="s">
        <v>56</v>
      </c>
      <c r="D41" s="1161"/>
      <c r="E41" s="1159"/>
      <c r="F41" s="1162" t="s">
        <v>56</v>
      </c>
      <c r="G41" s="1161"/>
      <c r="H41" s="1159"/>
      <c r="I41" s="1160" t="s">
        <v>56</v>
      </c>
      <c r="J41" s="1161"/>
      <c r="K41" s="1159"/>
      <c r="L41" s="1162" t="s">
        <v>56</v>
      </c>
      <c r="M41" s="1161"/>
      <c r="N41" s="1159"/>
      <c r="O41" s="1160" t="s">
        <v>56</v>
      </c>
      <c r="P41" s="1161"/>
      <c r="Q41" s="1159"/>
      <c r="R41" s="1162" t="s">
        <v>56</v>
      </c>
      <c r="S41" s="1161"/>
      <c r="T41" s="1159"/>
      <c r="U41" s="1160" t="s">
        <v>56</v>
      </c>
      <c r="V41" s="1161"/>
      <c r="W41" s="1159"/>
      <c r="X41" s="1162" t="s">
        <v>56</v>
      </c>
      <c r="Y41" s="1161"/>
      <c r="Z41" s="1159"/>
      <c r="AA41" s="1160" t="s">
        <v>56</v>
      </c>
      <c r="AB41" s="1161"/>
      <c r="AC41" s="1159"/>
      <c r="AD41" s="1162" t="s">
        <v>56</v>
      </c>
      <c r="AE41" s="1161"/>
      <c r="AF41" s="1159"/>
      <c r="AG41" s="1160" t="s">
        <v>56</v>
      </c>
      <c r="AH41" s="1161"/>
      <c r="AI41" s="1159"/>
      <c r="AJ41" s="1162" t="s">
        <v>56</v>
      </c>
      <c r="AK41" s="1161"/>
      <c r="AL41" s="1159"/>
      <c r="AM41" s="1160" t="s">
        <v>56</v>
      </c>
      <c r="AN41" s="1161"/>
      <c r="AO41" s="1159"/>
      <c r="AP41" s="1162" t="s">
        <v>56</v>
      </c>
      <c r="AQ41" s="1163"/>
      <c r="AR41" s="2337">
        <f t="shared" ref="AR41:AR72" si="13">SUM(AO41,AL41,AI41,AF41,AC41,Z41,W41,T41,Q41,N41,K41,H41,E41,B41)-SUM(AQ41,AN41,AK41,AH41,AE41,AB41,Y41,V41,S41,P41,M41,J41,G41,D41)</f>
        <v>0</v>
      </c>
      <c r="AS41" s="2338"/>
      <c r="AT41" s="2339">
        <f t="shared" si="10"/>
        <v>1</v>
      </c>
      <c r="AU41" s="2340"/>
      <c r="AV41" s="2341" t="str">
        <f>IF(BG41=0,"科学:",BG41)</f>
        <v>科学:</v>
      </c>
      <c r="AW41" s="2342"/>
      <c r="AX41" s="2343"/>
      <c r="AY41" s="2344">
        <f t="shared" si="9"/>
        <v>0</v>
      </c>
      <c r="AZ41" s="2345"/>
      <c r="BA41" s="2346" t="s">
        <v>102</v>
      </c>
      <c r="BB41" s="2346"/>
      <c r="BC41" s="2347">
        <f>IF(ISTEXT(IFERROR(VLOOKUP(人物卡!BE41,人物卡!$DI$25:$DQ$29,1,FALSE),IFERROR(VLOOKUP(人物卡!BE41,人物卡!$CZ$25:$DB$29,1,FALSE),0))),"★",INDEX(本职技能!$A$2:$IC$87,MATCH(人物卡!BE41,本职技能!$A$2:$A$87,0),MATCH(人物卡!$BL$11,本职技能!$A$1:$IC$1,0)))</f>
        <v>0</v>
      </c>
      <c r="BD41" s="2347"/>
      <c r="BE41" s="2348" t="s">
        <v>167</v>
      </c>
      <c r="BF41" s="2348"/>
      <c r="BG41" s="2348"/>
      <c r="BH41" s="2348"/>
      <c r="BI41" s="2349">
        <f>IF(ISBLANK($AD$116),IF(BG41="数学",10,1),IF(BG41=$X$116,$AD$116,1))</f>
        <v>1</v>
      </c>
      <c r="BJ41" s="2349"/>
      <c r="BK41" s="2349">
        <f t="shared" si="11"/>
        <v>0</v>
      </c>
      <c r="BL41" s="2349"/>
      <c r="BM41" s="2350"/>
      <c r="BN41" s="2350"/>
      <c r="BO41" s="2350"/>
      <c r="BP41" s="2350"/>
      <c r="BQ41" s="2351">
        <f>BI41+BK41+BO41+BM41</f>
        <v>1</v>
      </c>
      <c r="BR41" s="2351"/>
      <c r="BS41" s="2352">
        <f t="shared" si="3"/>
        <v>0</v>
      </c>
      <c r="BT41" s="2352"/>
      <c r="BU41" s="2352">
        <f t="shared" si="4"/>
        <v>0</v>
      </c>
      <c r="BV41" s="2352"/>
      <c r="BW41" s="2301" t="s">
        <v>102</v>
      </c>
      <c r="BX41" s="2302"/>
      <c r="BY41" s="2303">
        <f>IF(ISTEXT(IFERROR(VLOOKUP(人物卡!CA41,人物卡!$DI$25:$DQ$29,1,FALSE),IFERROR(VLOOKUP(人物卡!CA41,人物卡!$CZ$25:$DB$29,1,FALSE),0))),"★",INDEX(本职技能!$A$2:$IC$87,MATCH(人物卡!CA41,本职技能!$A$2:$A$87,0),MATCH(人物卡!$BL$11,本职技能!$A$1:$IC$1,0)))</f>
        <v>0</v>
      </c>
      <c r="BZ41" s="2303"/>
      <c r="CA41" s="1316" t="s">
        <v>168</v>
      </c>
      <c r="CB41" s="1316"/>
      <c r="CC41" s="1316"/>
      <c r="CD41" s="1316"/>
      <c r="CE41" s="2282">
        <v>10</v>
      </c>
      <c r="CF41" s="2282"/>
      <c r="CG41" s="2282">
        <f t="shared" si="12"/>
        <v>0</v>
      </c>
      <c r="CH41" s="2282"/>
      <c r="CI41" s="2283"/>
      <c r="CJ41" s="2283"/>
      <c r="CK41" s="2283"/>
      <c r="CL41" s="2283"/>
      <c r="CM41" s="2284">
        <f t="shared" si="5"/>
        <v>10</v>
      </c>
      <c r="CN41" s="2284"/>
      <c r="CO41" s="1542">
        <f t="shared" si="6"/>
        <v>5</v>
      </c>
      <c r="CP41" s="1542"/>
      <c r="CQ41" s="1542">
        <f t="shared" si="7"/>
        <v>2</v>
      </c>
      <c r="CR41" s="1545"/>
      <c r="CS41" s="1158"/>
      <c r="CT41" s="1387"/>
      <c r="CU41" s="1388"/>
      <c r="CV41" s="1388"/>
      <c r="CW41" s="1388"/>
      <c r="CX41" s="1388"/>
      <c r="CY41" s="1388"/>
      <c r="CZ41" s="1388"/>
      <c r="DA41" s="1388"/>
      <c r="DB41" s="1388"/>
      <c r="DC41" s="1388"/>
      <c r="DD41" s="1388"/>
      <c r="DE41" s="1388"/>
      <c r="DF41" s="1388"/>
      <c r="DG41" s="1388"/>
      <c r="DH41" s="1388"/>
      <c r="DI41" s="1388"/>
      <c r="DJ41" s="1388"/>
      <c r="DK41" s="1388"/>
      <c r="DL41" s="1388"/>
      <c r="DM41" s="1388"/>
      <c r="DN41" s="1388"/>
      <c r="DO41" s="1388"/>
      <c r="DP41" s="1388"/>
      <c r="DQ41" s="1389"/>
    </row>
    <row r="42" spans="2:121" ht="16.5">
      <c r="B42" s="1164"/>
      <c r="C42" s="1165" t="s">
        <v>56</v>
      </c>
      <c r="D42" s="1166"/>
      <c r="E42" s="1164"/>
      <c r="F42" s="1167" t="s">
        <v>56</v>
      </c>
      <c r="G42" s="1166"/>
      <c r="H42" s="1164"/>
      <c r="I42" s="1165" t="s">
        <v>56</v>
      </c>
      <c r="J42" s="1166"/>
      <c r="K42" s="1164"/>
      <c r="L42" s="1167" t="s">
        <v>56</v>
      </c>
      <c r="M42" s="1166"/>
      <c r="N42" s="1164"/>
      <c r="O42" s="1165" t="s">
        <v>56</v>
      </c>
      <c r="P42" s="1166"/>
      <c r="Q42" s="1164"/>
      <c r="R42" s="1167" t="s">
        <v>56</v>
      </c>
      <c r="S42" s="1166"/>
      <c r="T42" s="1164"/>
      <c r="U42" s="1165" t="s">
        <v>56</v>
      </c>
      <c r="V42" s="1166"/>
      <c r="W42" s="1164"/>
      <c r="X42" s="1167" t="s">
        <v>56</v>
      </c>
      <c r="Y42" s="1166"/>
      <c r="Z42" s="1164"/>
      <c r="AA42" s="1165" t="s">
        <v>56</v>
      </c>
      <c r="AB42" s="1166"/>
      <c r="AC42" s="1164"/>
      <c r="AD42" s="1167" t="s">
        <v>56</v>
      </c>
      <c r="AE42" s="1166"/>
      <c r="AF42" s="1164"/>
      <c r="AG42" s="1165" t="s">
        <v>56</v>
      </c>
      <c r="AH42" s="1166"/>
      <c r="AI42" s="1164"/>
      <c r="AJ42" s="1167" t="s">
        <v>56</v>
      </c>
      <c r="AK42" s="1166"/>
      <c r="AL42" s="1164"/>
      <c r="AM42" s="1165" t="s">
        <v>56</v>
      </c>
      <c r="AN42" s="1166"/>
      <c r="AO42" s="1164"/>
      <c r="AP42" s="1167" t="s">
        <v>56</v>
      </c>
      <c r="AQ42" s="1168"/>
      <c r="AR42" s="2353">
        <f t="shared" si="13"/>
        <v>0</v>
      </c>
      <c r="AS42" s="2354"/>
      <c r="AT42" s="2355">
        <f t="shared" si="10"/>
        <v>1</v>
      </c>
      <c r="AU42" s="2356"/>
      <c r="AV42" s="2357" t="str">
        <f>IF(BG42=0,"科学:",BG42)</f>
        <v>科学:</v>
      </c>
      <c r="AW42" s="2358"/>
      <c r="AX42" s="2359"/>
      <c r="AY42" s="2360">
        <f t="shared" si="9"/>
        <v>0</v>
      </c>
      <c r="AZ42" s="2361"/>
      <c r="BA42" s="2362" t="s">
        <v>102</v>
      </c>
      <c r="BB42" s="2362"/>
      <c r="BC42" s="2363">
        <f>IF(ISTEXT(IFERROR(VLOOKUP(人物卡!BE42,人物卡!$DI$25:$DQ$29,1,FALSE),IFERROR(VLOOKUP(人物卡!BE42,人物卡!$CZ$25:$DB$29,1,FALSE),0))),"★",INDEX(本职技能!$A$2:$IC$87,MATCH(人物卡!BE42,本职技能!$A$2:$A$87,0),MATCH(人物卡!$BL$11,本职技能!$A$1:$IC$1,0)))</f>
        <v>0</v>
      </c>
      <c r="BD42" s="2363"/>
      <c r="BE42" s="2364" t="s">
        <v>169</v>
      </c>
      <c r="BF42" s="2364"/>
      <c r="BG42" s="2364"/>
      <c r="BH42" s="2364"/>
      <c r="BI42" s="2366">
        <f>IF(ISBLANK($AD$116),IF(BG42="数学",10,1),IF(BG42=$X$116,$AD$116,1))</f>
        <v>1</v>
      </c>
      <c r="BJ42" s="2366"/>
      <c r="BK42" s="2365">
        <f t="shared" si="11"/>
        <v>0</v>
      </c>
      <c r="BL42" s="2365"/>
      <c r="BM42" s="2366"/>
      <c r="BN42" s="2366"/>
      <c r="BO42" s="2366"/>
      <c r="BP42" s="2366"/>
      <c r="BQ42" s="2367">
        <f>BO42+BM42+BI42+BK42</f>
        <v>1</v>
      </c>
      <c r="BR42" s="2367"/>
      <c r="BS42" s="2368">
        <f t="shared" si="3"/>
        <v>0</v>
      </c>
      <c r="BT42" s="2368"/>
      <c r="BU42" s="2368">
        <f t="shared" si="4"/>
        <v>0</v>
      </c>
      <c r="BV42" s="2368"/>
      <c r="BW42" s="2321" t="s">
        <v>102</v>
      </c>
      <c r="BX42" s="2322"/>
      <c r="BY42" s="2323">
        <f>IF(ISTEXT(IFERROR(VLOOKUP(人物卡!CA42,人物卡!$DI$25:$DQ$29,1,FALSE),IFERROR(VLOOKUP(人物卡!CA42,人物卡!$CZ$25:$DB$29,1,FALSE),0))),"★",INDEX(本职技能!$A$2:$IC$87,MATCH(人物卡!CA42,本职技能!$A$2:$A$87,0),MATCH(人物卡!$BL$11,本职技能!$A$1:$IC$1,0)))</f>
        <v>0</v>
      </c>
      <c r="BZ42" s="2323"/>
      <c r="CA42" s="2324" t="s">
        <v>170</v>
      </c>
      <c r="CB42" s="2324"/>
      <c r="CC42" s="2324"/>
      <c r="CD42" s="2324"/>
      <c r="CE42" s="2325">
        <v>10</v>
      </c>
      <c r="CF42" s="2325"/>
      <c r="CG42" s="2325">
        <f t="shared" si="12"/>
        <v>0</v>
      </c>
      <c r="CH42" s="2325"/>
      <c r="CI42" s="2326"/>
      <c r="CJ42" s="2326"/>
      <c r="CK42" s="2327"/>
      <c r="CL42" s="2327"/>
      <c r="CM42" s="2328">
        <f t="shared" si="5"/>
        <v>10</v>
      </c>
      <c r="CN42" s="2328"/>
      <c r="CO42" s="2329">
        <f t="shared" si="6"/>
        <v>5</v>
      </c>
      <c r="CP42" s="2329"/>
      <c r="CQ42" s="2329">
        <f t="shared" si="7"/>
        <v>2</v>
      </c>
      <c r="CR42" s="2330"/>
      <c r="CS42" s="1158"/>
      <c r="CT42" s="1387"/>
      <c r="CU42" s="1388"/>
      <c r="CV42" s="1388"/>
      <c r="CW42" s="1388"/>
      <c r="CX42" s="1388"/>
      <c r="CY42" s="1388"/>
      <c r="CZ42" s="1388"/>
      <c r="DA42" s="1388"/>
      <c r="DB42" s="1388"/>
      <c r="DC42" s="1388"/>
      <c r="DD42" s="1388"/>
      <c r="DE42" s="1388"/>
      <c r="DF42" s="1388"/>
      <c r="DG42" s="1388"/>
      <c r="DH42" s="1388"/>
      <c r="DI42" s="1388"/>
      <c r="DJ42" s="1388"/>
      <c r="DK42" s="1388"/>
      <c r="DL42" s="1388"/>
      <c r="DM42" s="1388"/>
      <c r="DN42" s="1388"/>
      <c r="DO42" s="1388"/>
      <c r="DP42" s="1388"/>
      <c r="DQ42" s="1389"/>
    </row>
    <row r="43" spans="2:121" ht="16.5">
      <c r="B43" s="1159"/>
      <c r="C43" s="1160" t="s">
        <v>56</v>
      </c>
      <c r="D43" s="1161"/>
      <c r="E43" s="1159"/>
      <c r="F43" s="1162" t="s">
        <v>56</v>
      </c>
      <c r="G43" s="1161"/>
      <c r="H43" s="1159"/>
      <c r="I43" s="1160" t="s">
        <v>56</v>
      </c>
      <c r="J43" s="1161"/>
      <c r="K43" s="1159"/>
      <c r="L43" s="1162" t="s">
        <v>56</v>
      </c>
      <c r="M43" s="1161"/>
      <c r="N43" s="1159"/>
      <c r="O43" s="1160" t="s">
        <v>56</v>
      </c>
      <c r="P43" s="1161"/>
      <c r="Q43" s="1159"/>
      <c r="R43" s="1162" t="s">
        <v>56</v>
      </c>
      <c r="S43" s="1161"/>
      <c r="T43" s="1159"/>
      <c r="U43" s="1160" t="s">
        <v>56</v>
      </c>
      <c r="V43" s="1161"/>
      <c r="W43" s="1159"/>
      <c r="X43" s="1162" t="s">
        <v>56</v>
      </c>
      <c r="Y43" s="1161"/>
      <c r="Z43" s="1159"/>
      <c r="AA43" s="1160" t="s">
        <v>56</v>
      </c>
      <c r="AB43" s="1161"/>
      <c r="AC43" s="1159"/>
      <c r="AD43" s="1162" t="s">
        <v>56</v>
      </c>
      <c r="AE43" s="1161"/>
      <c r="AF43" s="1159"/>
      <c r="AG43" s="1160" t="s">
        <v>56</v>
      </c>
      <c r="AH43" s="1161"/>
      <c r="AI43" s="1159"/>
      <c r="AJ43" s="1162" t="s">
        <v>56</v>
      </c>
      <c r="AK43" s="1161"/>
      <c r="AL43" s="1159"/>
      <c r="AM43" s="1160" t="s">
        <v>56</v>
      </c>
      <c r="AN43" s="1161"/>
      <c r="AO43" s="1159"/>
      <c r="AP43" s="1162" t="s">
        <v>56</v>
      </c>
      <c r="AQ43" s="1163"/>
      <c r="AR43" s="2337">
        <f t="shared" si="13"/>
        <v>0</v>
      </c>
      <c r="AS43" s="2338"/>
      <c r="AT43" s="2339">
        <f t="shared" si="10"/>
        <v>1</v>
      </c>
      <c r="AU43" s="2340"/>
      <c r="AV43" s="2341" t="str">
        <f>IF(BG43=0,"科学:",BG43)</f>
        <v>科学:</v>
      </c>
      <c r="AW43" s="2342"/>
      <c r="AX43" s="2343"/>
      <c r="AY43" s="2344">
        <f t="shared" si="9"/>
        <v>0</v>
      </c>
      <c r="AZ43" s="2345"/>
      <c r="BA43" s="2346" t="s">
        <v>102</v>
      </c>
      <c r="BB43" s="2346"/>
      <c r="BC43" s="2347">
        <f>IF(ISTEXT(IFERROR(VLOOKUP(人物卡!BE43,人物卡!$DI$25:$DQ$29,1,FALSE),IFERROR(VLOOKUP(人物卡!BE43,人物卡!$CZ$25:$DB$29,1,FALSE),0))),"★",INDEX(本职技能!$A$2:$IC$87,MATCH(人物卡!BE43,本职技能!$A$2:$A$87,0),MATCH(人物卡!$BL$11,本职技能!$A$1:$IC$1,0)))</f>
        <v>0</v>
      </c>
      <c r="BD43" s="2347"/>
      <c r="BE43" s="2348" t="s">
        <v>171</v>
      </c>
      <c r="BF43" s="2348"/>
      <c r="BG43" s="2348"/>
      <c r="BH43" s="2348"/>
      <c r="BI43" s="2349">
        <f>IF(ISBLANK($AD$116),IF(BG43="数学",10,1),IF(BG43=$X$116,$AD$116,1))</f>
        <v>1</v>
      </c>
      <c r="BJ43" s="2349"/>
      <c r="BK43" s="2349">
        <f t="shared" si="11"/>
        <v>0</v>
      </c>
      <c r="BL43" s="2349"/>
      <c r="BM43" s="2350"/>
      <c r="BN43" s="2350"/>
      <c r="BO43" s="2350"/>
      <c r="BP43" s="2350"/>
      <c r="BQ43" s="2351">
        <f t="shared" ref="BQ43:BQ47" si="14">BI43+BK43+BM43+BO43</f>
        <v>1</v>
      </c>
      <c r="BR43" s="2351"/>
      <c r="BS43" s="2352">
        <f t="shared" si="3"/>
        <v>0</v>
      </c>
      <c r="BT43" s="2352"/>
      <c r="BU43" s="2352">
        <f t="shared" si="4"/>
        <v>0</v>
      </c>
      <c r="BV43" s="2352"/>
      <c r="BW43" s="2301" t="s">
        <v>102</v>
      </c>
      <c r="BX43" s="2302"/>
      <c r="BY43" s="2303">
        <f>IF(ISTEXT(IFERROR(VLOOKUP(人物卡!CA43,人物卡!$DI$25:$DQ$29,1,FALSE),IFERROR(VLOOKUP(人物卡!CA43,人物卡!$CZ$25:$DB$29,1,FALSE),0))),"★",INDEX(本职技能!$A$2:$IC$87,MATCH(人物卡!CA43,本职技能!$A$2:$A$87,0),MATCH(人物卡!$BL$11,本职技能!$A$1:$IC$1,0)))</f>
        <v>0</v>
      </c>
      <c r="BZ43" s="2303"/>
      <c r="CA43" s="1316" t="s">
        <v>172</v>
      </c>
      <c r="CB43" s="1316"/>
      <c r="CC43" s="1316"/>
      <c r="CD43" s="1316"/>
      <c r="CE43" s="2282">
        <v>20</v>
      </c>
      <c r="CF43" s="2282"/>
      <c r="CG43" s="2282">
        <f t="shared" si="12"/>
        <v>0</v>
      </c>
      <c r="CH43" s="2282"/>
      <c r="CI43" s="2283"/>
      <c r="CJ43" s="2283"/>
      <c r="CK43" s="2283"/>
      <c r="CL43" s="2283"/>
      <c r="CM43" s="2284">
        <f t="shared" si="5"/>
        <v>20</v>
      </c>
      <c r="CN43" s="2284"/>
      <c r="CO43" s="1542">
        <f t="shared" si="6"/>
        <v>10</v>
      </c>
      <c r="CP43" s="1542"/>
      <c r="CQ43" s="1542">
        <f t="shared" si="7"/>
        <v>4</v>
      </c>
      <c r="CR43" s="1545"/>
      <c r="CS43" s="1158"/>
      <c r="CT43" s="1387"/>
      <c r="CU43" s="1388"/>
      <c r="CV43" s="1388"/>
      <c r="CW43" s="1388"/>
      <c r="CX43" s="1388"/>
      <c r="CY43" s="1388"/>
      <c r="CZ43" s="1388"/>
      <c r="DA43" s="1388"/>
      <c r="DB43" s="1388"/>
      <c r="DC43" s="1388"/>
      <c r="DD43" s="1388"/>
      <c r="DE43" s="1388"/>
      <c r="DF43" s="1388"/>
      <c r="DG43" s="1388"/>
      <c r="DH43" s="1388"/>
      <c r="DI43" s="1388"/>
      <c r="DJ43" s="1388"/>
      <c r="DK43" s="1388"/>
      <c r="DL43" s="1388"/>
      <c r="DM43" s="1388"/>
      <c r="DN43" s="1388"/>
      <c r="DO43" s="1388"/>
      <c r="DP43" s="1388"/>
      <c r="DQ43" s="1389"/>
    </row>
    <row r="44" spans="2:121" ht="16.5">
      <c r="B44" s="1164"/>
      <c r="C44" s="1165" t="s">
        <v>56</v>
      </c>
      <c r="D44" s="1166"/>
      <c r="E44" s="1164"/>
      <c r="F44" s="1167" t="s">
        <v>56</v>
      </c>
      <c r="G44" s="1166"/>
      <c r="H44" s="1164"/>
      <c r="I44" s="1165" t="s">
        <v>56</v>
      </c>
      <c r="J44" s="1166"/>
      <c r="K44" s="1164"/>
      <c r="L44" s="1167" t="s">
        <v>56</v>
      </c>
      <c r="M44" s="1166"/>
      <c r="N44" s="1164"/>
      <c r="O44" s="1165" t="s">
        <v>56</v>
      </c>
      <c r="P44" s="1166"/>
      <c r="Q44" s="1164"/>
      <c r="R44" s="1167" t="s">
        <v>56</v>
      </c>
      <c r="S44" s="1166"/>
      <c r="T44" s="1164"/>
      <c r="U44" s="1165" t="s">
        <v>56</v>
      </c>
      <c r="V44" s="1166"/>
      <c r="W44" s="1164"/>
      <c r="X44" s="1167" t="s">
        <v>56</v>
      </c>
      <c r="Y44" s="1166"/>
      <c r="Z44" s="1164"/>
      <c r="AA44" s="1165" t="s">
        <v>56</v>
      </c>
      <c r="AB44" s="1166"/>
      <c r="AC44" s="1164"/>
      <c r="AD44" s="1167" t="s">
        <v>56</v>
      </c>
      <c r="AE44" s="1166"/>
      <c r="AF44" s="1164"/>
      <c r="AG44" s="1165" t="s">
        <v>56</v>
      </c>
      <c r="AH44" s="1166"/>
      <c r="AI44" s="1164"/>
      <c r="AJ44" s="1167" t="s">
        <v>56</v>
      </c>
      <c r="AK44" s="1166"/>
      <c r="AL44" s="1164"/>
      <c r="AM44" s="1165" t="s">
        <v>56</v>
      </c>
      <c r="AN44" s="1166"/>
      <c r="AO44" s="1164"/>
      <c r="AP44" s="1167" t="s">
        <v>56</v>
      </c>
      <c r="AQ44" s="1168"/>
      <c r="AR44" s="2353">
        <f t="shared" si="13"/>
        <v>0</v>
      </c>
      <c r="AS44" s="2354"/>
      <c r="AT44" s="2355">
        <f t="shared" si="10"/>
        <v>1</v>
      </c>
      <c r="AU44" s="2356"/>
      <c r="AV44" s="2357" t="str">
        <f>IF(BG44=0,"科学:",BG44)</f>
        <v>科学:</v>
      </c>
      <c r="AW44" s="2358"/>
      <c r="AX44" s="2359"/>
      <c r="AY44" s="2360">
        <f t="shared" si="9"/>
        <v>0</v>
      </c>
      <c r="AZ44" s="2361"/>
      <c r="BA44" s="2362" t="s">
        <v>102</v>
      </c>
      <c r="BB44" s="2362"/>
      <c r="BC44" s="2363">
        <f>IF(ISTEXT(IFERROR(VLOOKUP(人物卡!BE44,人物卡!$DI$25:$DQ$29,1,FALSE),IFERROR(VLOOKUP(人物卡!BE44,人物卡!$CZ$25:$DB$29,1,FALSE),0))),"★",INDEX(本职技能!$A$2:$IC$87,MATCH(人物卡!BE44,本职技能!$A$2:$A$87,0),MATCH(人物卡!$BL$11,本职技能!$A$1:$IC$1,0)))</f>
        <v>0</v>
      </c>
      <c r="BD44" s="2363"/>
      <c r="BE44" s="2364" t="s">
        <v>173</v>
      </c>
      <c r="BF44" s="2364"/>
      <c r="BG44" s="2364"/>
      <c r="BH44" s="2364"/>
      <c r="BI44" s="2366">
        <f>IF(ISBLANK($AD$116),IF(BG44="数学",10,1),IF(BG44=$X$116,$AD$116,1))</f>
        <v>1</v>
      </c>
      <c r="BJ44" s="2366"/>
      <c r="BK44" s="2365">
        <f t="shared" si="11"/>
        <v>0</v>
      </c>
      <c r="BL44" s="2365"/>
      <c r="BM44" s="2366"/>
      <c r="BN44" s="2366"/>
      <c r="BO44" s="2366"/>
      <c r="BP44" s="2366"/>
      <c r="BQ44" s="2367">
        <f>BO44+BM44+BI44+BK44</f>
        <v>1</v>
      </c>
      <c r="BR44" s="2367"/>
      <c r="BS44" s="2368">
        <f t="shared" si="3"/>
        <v>0</v>
      </c>
      <c r="BT44" s="2368"/>
      <c r="BU44" s="2368">
        <f t="shared" si="4"/>
        <v>0</v>
      </c>
      <c r="BV44" s="2368"/>
      <c r="BW44" s="2384" t="s">
        <v>102</v>
      </c>
      <c r="BX44" s="2385"/>
      <c r="BY44" s="2386">
        <f>IF(ISTEXT(IFERROR(VLOOKUP(人物卡!CA44,人物卡!$DI$25:$DQ$29,1,FALSE),IFERROR(VLOOKUP(人物卡!CA44,人物卡!$CZ$25:$DB$29,1,FALSE),0))),"★",INDEX(本职技能!$A$2:$IC$87,MATCH(人物卡!CA44,本职技能!$A$2:$A$87,0),MATCH(人物卡!$BL$11,本职技能!$A$1:$IC$1,0)))</f>
        <v>0</v>
      </c>
      <c r="BZ44" s="2386"/>
      <c r="CA44" s="2378" t="s">
        <v>174</v>
      </c>
      <c r="CB44" s="2378"/>
      <c r="CC44" s="2378"/>
      <c r="CD44" s="2378"/>
      <c r="CE44" s="2379">
        <v>1</v>
      </c>
      <c r="CF44" s="2379"/>
      <c r="CG44" s="2379">
        <f t="shared" si="12"/>
        <v>0</v>
      </c>
      <c r="CH44" s="2379"/>
      <c r="CI44" s="2380"/>
      <c r="CJ44" s="2380"/>
      <c r="CK44" s="2380"/>
      <c r="CL44" s="2380"/>
      <c r="CM44" s="2381">
        <f t="shared" si="5"/>
        <v>1</v>
      </c>
      <c r="CN44" s="2381"/>
      <c r="CO44" s="2382">
        <f t="shared" si="6"/>
        <v>0</v>
      </c>
      <c r="CP44" s="2382"/>
      <c r="CQ44" s="2382">
        <f t="shared" si="7"/>
        <v>0</v>
      </c>
      <c r="CR44" s="2383"/>
      <c r="CS44" s="1158"/>
      <c r="CT44" s="1387"/>
      <c r="CU44" s="1388"/>
      <c r="CV44" s="1388"/>
      <c r="CW44" s="1388"/>
      <c r="CX44" s="1388"/>
      <c r="CY44" s="1388"/>
      <c r="CZ44" s="1388"/>
      <c r="DA44" s="1388"/>
      <c r="DB44" s="1388"/>
      <c r="DC44" s="1388"/>
      <c r="DD44" s="1388"/>
      <c r="DE44" s="1388"/>
      <c r="DF44" s="1388"/>
      <c r="DG44" s="1388"/>
      <c r="DH44" s="1388"/>
      <c r="DI44" s="1388"/>
      <c r="DJ44" s="1388"/>
      <c r="DK44" s="1388"/>
      <c r="DL44" s="1388"/>
      <c r="DM44" s="1388"/>
      <c r="DN44" s="1388"/>
      <c r="DO44" s="1388"/>
      <c r="DP44" s="1388"/>
      <c r="DQ44" s="1389"/>
    </row>
    <row r="45" spans="2:121" ht="16.5">
      <c r="B45" s="1159"/>
      <c r="C45" s="1160" t="s">
        <v>56</v>
      </c>
      <c r="D45" s="1161"/>
      <c r="E45" s="1159"/>
      <c r="F45" s="1162" t="s">
        <v>56</v>
      </c>
      <c r="G45" s="1161"/>
      <c r="H45" s="1159"/>
      <c r="I45" s="1160" t="s">
        <v>56</v>
      </c>
      <c r="J45" s="1161"/>
      <c r="K45" s="1159"/>
      <c r="L45" s="1162" t="s">
        <v>56</v>
      </c>
      <c r="M45" s="1161"/>
      <c r="N45" s="1159"/>
      <c r="O45" s="1160" t="s">
        <v>56</v>
      </c>
      <c r="P45" s="1161"/>
      <c r="Q45" s="1159"/>
      <c r="R45" s="1162" t="s">
        <v>56</v>
      </c>
      <c r="S45" s="1161"/>
      <c r="T45" s="1159"/>
      <c r="U45" s="1160" t="s">
        <v>56</v>
      </c>
      <c r="V45" s="1161"/>
      <c r="W45" s="1159"/>
      <c r="X45" s="1162" t="s">
        <v>56</v>
      </c>
      <c r="Y45" s="1161"/>
      <c r="Z45" s="1159"/>
      <c r="AA45" s="1160" t="s">
        <v>56</v>
      </c>
      <c r="AB45" s="1161"/>
      <c r="AC45" s="1159"/>
      <c r="AD45" s="1162" t="s">
        <v>56</v>
      </c>
      <c r="AE45" s="1161"/>
      <c r="AF45" s="1159"/>
      <c r="AG45" s="1160" t="s">
        <v>56</v>
      </c>
      <c r="AH45" s="1161"/>
      <c r="AI45" s="1159"/>
      <c r="AJ45" s="1162" t="s">
        <v>56</v>
      </c>
      <c r="AK45" s="1161"/>
      <c r="AL45" s="1159"/>
      <c r="AM45" s="1160" t="s">
        <v>56</v>
      </c>
      <c r="AN45" s="1161"/>
      <c r="AO45" s="1159"/>
      <c r="AP45" s="1162" t="s">
        <v>56</v>
      </c>
      <c r="AQ45" s="1163"/>
      <c r="AR45" s="2337">
        <f t="shared" si="13"/>
        <v>0</v>
      </c>
      <c r="AS45" s="2338"/>
      <c r="AT45" s="2339">
        <f t="shared" si="10"/>
        <v>1</v>
      </c>
      <c r="AU45" s="2340"/>
      <c r="AV45" s="2341" t="str">
        <f>IF(BG45=0,"科学:",BG45)</f>
        <v>科学:</v>
      </c>
      <c r="AW45" s="2342"/>
      <c r="AX45" s="2343"/>
      <c r="AY45" s="2344">
        <f t="shared" si="9"/>
        <v>0</v>
      </c>
      <c r="AZ45" s="2345"/>
      <c r="BA45" s="2346" t="s">
        <v>102</v>
      </c>
      <c r="BB45" s="2346"/>
      <c r="BC45" s="2347">
        <f>IF(ISTEXT(IFERROR(VLOOKUP(人物卡!BE45,人物卡!$DI$25:$DQ$29,1,FALSE),IFERROR(VLOOKUP(人物卡!BE45,人物卡!$CZ$25:$DB$29,1,FALSE),0))),"★",INDEX(本职技能!$A$2:$IC$87,MATCH(人物卡!BE45,本职技能!$A$2:$A$87,0),MATCH(人物卡!$BL$11,本职技能!$A$1:$IC$1,0)))</f>
        <v>0</v>
      </c>
      <c r="BD45" s="2347"/>
      <c r="BE45" s="2348" t="s">
        <v>175</v>
      </c>
      <c r="BF45" s="2348"/>
      <c r="BG45" s="2348"/>
      <c r="BH45" s="2348"/>
      <c r="BI45" s="2349">
        <f>IF(ISBLANK($AD$116),IF(BG45="数学",10,1),IF(BG45=$X$116,$AD$116,1))</f>
        <v>1</v>
      </c>
      <c r="BJ45" s="2349"/>
      <c r="BK45" s="2349">
        <f t="shared" si="11"/>
        <v>0</v>
      </c>
      <c r="BL45" s="2349"/>
      <c r="BM45" s="2350"/>
      <c r="BN45" s="2350"/>
      <c r="BO45" s="2350"/>
      <c r="BP45" s="2350"/>
      <c r="BQ45" s="2351">
        <f t="shared" si="14"/>
        <v>1</v>
      </c>
      <c r="BR45" s="2351"/>
      <c r="BS45" s="2352">
        <f t="shared" si="3"/>
        <v>0</v>
      </c>
      <c r="BT45" s="2352"/>
      <c r="BU45" s="2352">
        <f t="shared" si="4"/>
        <v>0</v>
      </c>
      <c r="BV45" s="2352"/>
      <c r="BW45" s="2387" t="s">
        <v>102</v>
      </c>
      <c r="BX45" s="2388"/>
      <c r="BY45" s="2389">
        <f>IF(ISTEXT(IFERROR(VLOOKUP(人物卡!CA45,人物卡!$DI$25:$DQ$29,1,FALSE),IFERROR(VLOOKUP(人物卡!CA45,人物卡!$CZ$25:$DB$29,1,FALSE),0))),"★",INDEX(本职技能!$A$2:$IC$87,MATCH(人物卡!CA45,本职技能!$A$2:$A$87,0),MATCH(人物卡!$BL$11,本职技能!$A$1:$IC$1,0)))</f>
        <v>0</v>
      </c>
      <c r="BZ45" s="2389"/>
      <c r="CA45" s="2390" t="s">
        <v>176</v>
      </c>
      <c r="CB45" s="2390"/>
      <c r="CC45" s="2390"/>
      <c r="CD45" s="2390"/>
      <c r="CE45" s="2391">
        <v>1</v>
      </c>
      <c r="CF45" s="2391"/>
      <c r="CG45" s="2391">
        <f t="shared" si="12"/>
        <v>0</v>
      </c>
      <c r="CH45" s="2391"/>
      <c r="CI45" s="2392"/>
      <c r="CJ45" s="2392"/>
      <c r="CK45" s="2392"/>
      <c r="CL45" s="2392"/>
      <c r="CM45" s="2393">
        <f t="shared" si="5"/>
        <v>1</v>
      </c>
      <c r="CN45" s="2393"/>
      <c r="CO45" s="2394">
        <f t="shared" si="6"/>
        <v>0</v>
      </c>
      <c r="CP45" s="2394"/>
      <c r="CQ45" s="2394">
        <f t="shared" si="7"/>
        <v>0</v>
      </c>
      <c r="CR45" s="2395"/>
      <c r="CS45" s="1158"/>
      <c r="CT45" s="1387"/>
      <c r="CU45" s="1388"/>
      <c r="CV45" s="1388"/>
      <c r="CW45" s="1388"/>
      <c r="CX45" s="1388"/>
      <c r="CY45" s="1388"/>
      <c r="CZ45" s="1388"/>
      <c r="DA45" s="1388"/>
      <c r="DB45" s="1388"/>
      <c r="DC45" s="1388"/>
      <c r="DD45" s="1388"/>
      <c r="DE45" s="1388"/>
      <c r="DF45" s="1388"/>
      <c r="DG45" s="1388"/>
      <c r="DH45" s="1388"/>
      <c r="DI45" s="1388"/>
      <c r="DJ45" s="1388"/>
      <c r="DK45" s="1388"/>
      <c r="DL45" s="1388"/>
      <c r="DM45" s="1388"/>
      <c r="DN45" s="1388"/>
      <c r="DO45" s="1388"/>
      <c r="DP45" s="1388"/>
      <c r="DQ45" s="1389"/>
    </row>
    <row r="46" spans="2:121" ht="16.5">
      <c r="B46" s="1164"/>
      <c r="C46" s="1165" t="s">
        <v>56</v>
      </c>
      <c r="D46" s="1166"/>
      <c r="E46" s="1164"/>
      <c r="F46" s="1167" t="s">
        <v>56</v>
      </c>
      <c r="G46" s="1166"/>
      <c r="H46" s="1164"/>
      <c r="I46" s="1165" t="s">
        <v>56</v>
      </c>
      <c r="J46" s="1166"/>
      <c r="K46" s="1164"/>
      <c r="L46" s="1167" t="s">
        <v>56</v>
      </c>
      <c r="M46" s="1166"/>
      <c r="N46" s="1164"/>
      <c r="O46" s="1165" t="s">
        <v>56</v>
      </c>
      <c r="P46" s="1166"/>
      <c r="Q46" s="1164"/>
      <c r="R46" s="1167" t="s">
        <v>56</v>
      </c>
      <c r="S46" s="1166"/>
      <c r="T46" s="1164"/>
      <c r="U46" s="1165" t="s">
        <v>56</v>
      </c>
      <c r="V46" s="1166"/>
      <c r="W46" s="1164"/>
      <c r="X46" s="1167" t="s">
        <v>56</v>
      </c>
      <c r="Y46" s="1166"/>
      <c r="Z46" s="1164"/>
      <c r="AA46" s="1165" t="s">
        <v>56</v>
      </c>
      <c r="AB46" s="1166"/>
      <c r="AC46" s="1164"/>
      <c r="AD46" s="1167" t="s">
        <v>56</v>
      </c>
      <c r="AE46" s="1166"/>
      <c r="AF46" s="1164"/>
      <c r="AG46" s="1165" t="s">
        <v>56</v>
      </c>
      <c r="AH46" s="1166"/>
      <c r="AI46" s="1164"/>
      <c r="AJ46" s="1167" t="s">
        <v>56</v>
      </c>
      <c r="AK46" s="1166"/>
      <c r="AL46" s="1164"/>
      <c r="AM46" s="1165" t="s">
        <v>56</v>
      </c>
      <c r="AN46" s="1166"/>
      <c r="AO46" s="1164"/>
      <c r="AP46" s="1167" t="s">
        <v>56</v>
      </c>
      <c r="AQ46" s="1168"/>
      <c r="AR46" s="2353">
        <f t="shared" si="13"/>
        <v>0</v>
      </c>
      <c r="AS46" s="2354"/>
      <c r="AT46" s="2355">
        <f t="shared" si="10"/>
        <v>1</v>
      </c>
      <c r="AU46" s="2356"/>
      <c r="AV46" s="2357" t="str">
        <f>BE46</f>
        <v>学识：</v>
      </c>
      <c r="AW46" s="2358"/>
      <c r="AX46" s="2359"/>
      <c r="AY46" s="2360">
        <f t="shared" si="9"/>
        <v>0</v>
      </c>
      <c r="AZ46" s="2361"/>
      <c r="BA46" s="2362" t="s">
        <v>102</v>
      </c>
      <c r="BB46" s="2362"/>
      <c r="BC46" s="2363">
        <f>IF(ISTEXT(IFERROR(VLOOKUP(人物卡!BE46,人物卡!$DI$25:$DQ$29,1,FALSE),IFERROR(VLOOKUP(人物卡!BE46,人物卡!$CZ$25:$DB$29,1,FALSE),0))),"★",INDEX(本职技能!$A$2:$IC$87,MATCH(人物卡!BE46,本职技能!$A$2:$A$87,0),MATCH(人物卡!$BL$11,本职技能!$A$1:$IC$1,0)))</f>
        <v>0</v>
      </c>
      <c r="BD46" s="2363"/>
      <c r="BE46" s="2364" t="s">
        <v>177</v>
      </c>
      <c r="BF46" s="2364"/>
      <c r="BG46" s="2364"/>
      <c r="BH46" s="2364"/>
      <c r="BI46" s="2365">
        <v>1</v>
      </c>
      <c r="BJ46" s="2365"/>
      <c r="BK46" s="2365">
        <f t="shared" si="11"/>
        <v>0</v>
      </c>
      <c r="BL46" s="2365"/>
      <c r="BM46" s="2366"/>
      <c r="BN46" s="2366"/>
      <c r="BO46" s="2366"/>
      <c r="BP46" s="2366"/>
      <c r="BQ46" s="2367">
        <f>SUM(BI46:BO46)</f>
        <v>1</v>
      </c>
      <c r="BR46" s="2367"/>
      <c r="BS46" s="2368">
        <f t="shared" si="3"/>
        <v>0</v>
      </c>
      <c r="BT46" s="2368"/>
      <c r="BU46" s="2368">
        <f t="shared" si="4"/>
        <v>0</v>
      </c>
      <c r="BV46" s="2368"/>
      <c r="BW46" s="2384" t="s">
        <v>102</v>
      </c>
      <c r="BX46" s="2385"/>
      <c r="BY46" s="2386">
        <f>IF(ISTEXT(IFERROR(VLOOKUP(人物卡!CA46,人物卡!$DI$25:$DQ$29,1,FALSE),IFERROR(VLOOKUP(人物卡!CA46,人物卡!$CZ$25:$DB$29,1,FALSE),0))),"★",INDEX(本职技能!$A$2:$IC$87,MATCH(人物卡!CA46,本职技能!$A$2:$A$87,0),MATCH(人物卡!$BL$11,本职技能!$A$1:$IC$1,0)))</f>
        <v>0</v>
      </c>
      <c r="BZ46" s="2386"/>
      <c r="CA46" s="2378" t="s">
        <v>178</v>
      </c>
      <c r="CB46" s="2378"/>
      <c r="CC46" s="2378"/>
      <c r="CD46" s="2378"/>
      <c r="CE46" s="2379">
        <v>30</v>
      </c>
      <c r="CF46" s="2379"/>
      <c r="CG46" s="2379">
        <f t="shared" si="12"/>
        <v>0</v>
      </c>
      <c r="CH46" s="2379"/>
      <c r="CI46" s="2380"/>
      <c r="CJ46" s="2380"/>
      <c r="CK46" s="2380"/>
      <c r="CL46" s="2380"/>
      <c r="CM46" s="2381">
        <f t="shared" si="5"/>
        <v>30</v>
      </c>
      <c r="CN46" s="2381"/>
      <c r="CO46" s="2382">
        <f t="shared" si="6"/>
        <v>15</v>
      </c>
      <c r="CP46" s="2382"/>
      <c r="CQ46" s="2382">
        <f t="shared" si="7"/>
        <v>6</v>
      </c>
      <c r="CR46" s="2383"/>
      <c r="CS46" s="412"/>
      <c r="CT46" s="1390"/>
      <c r="CU46" s="1391"/>
      <c r="CV46" s="1391"/>
      <c r="CW46" s="1391"/>
      <c r="CX46" s="1391"/>
      <c r="CY46" s="1391"/>
      <c r="CZ46" s="1391"/>
      <c r="DA46" s="1391"/>
      <c r="DB46" s="1391"/>
      <c r="DC46" s="1391"/>
      <c r="DD46" s="1391"/>
      <c r="DE46" s="1391"/>
      <c r="DF46" s="1391"/>
      <c r="DG46" s="1391"/>
      <c r="DH46" s="1391"/>
      <c r="DI46" s="1391"/>
      <c r="DJ46" s="1391"/>
      <c r="DK46" s="1391"/>
      <c r="DL46" s="1391"/>
      <c r="DM46" s="1391"/>
      <c r="DN46" s="1391"/>
      <c r="DO46" s="1391"/>
      <c r="DP46" s="1391"/>
      <c r="DQ46" s="1392"/>
    </row>
    <row r="47" spans="2:121" ht="16.5">
      <c r="B47" s="1159"/>
      <c r="C47" s="1160" t="s">
        <v>56</v>
      </c>
      <c r="D47" s="1161"/>
      <c r="E47" s="1159"/>
      <c r="F47" s="1162" t="s">
        <v>56</v>
      </c>
      <c r="G47" s="1161"/>
      <c r="H47" s="1159"/>
      <c r="I47" s="1160" t="s">
        <v>56</v>
      </c>
      <c r="J47" s="1161"/>
      <c r="K47" s="1159"/>
      <c r="L47" s="1162" t="s">
        <v>56</v>
      </c>
      <c r="M47" s="1161"/>
      <c r="N47" s="1159"/>
      <c r="O47" s="1160" t="s">
        <v>56</v>
      </c>
      <c r="P47" s="1161"/>
      <c r="Q47" s="1159"/>
      <c r="R47" s="1162" t="s">
        <v>56</v>
      </c>
      <c r="S47" s="1161"/>
      <c r="T47" s="1159"/>
      <c r="U47" s="1160" t="s">
        <v>56</v>
      </c>
      <c r="V47" s="1161"/>
      <c r="W47" s="1159"/>
      <c r="X47" s="1162" t="s">
        <v>56</v>
      </c>
      <c r="Y47" s="1161"/>
      <c r="Z47" s="1159"/>
      <c r="AA47" s="1160" t="s">
        <v>56</v>
      </c>
      <c r="AB47" s="1161"/>
      <c r="AC47" s="1159"/>
      <c r="AD47" s="1162" t="s">
        <v>56</v>
      </c>
      <c r="AE47" s="1161"/>
      <c r="AF47" s="1159"/>
      <c r="AG47" s="1160" t="s">
        <v>56</v>
      </c>
      <c r="AH47" s="1161"/>
      <c r="AI47" s="1159"/>
      <c r="AJ47" s="1162" t="s">
        <v>56</v>
      </c>
      <c r="AK47" s="1161"/>
      <c r="AL47" s="1159"/>
      <c r="AM47" s="1160" t="s">
        <v>56</v>
      </c>
      <c r="AN47" s="1161"/>
      <c r="AO47" s="1159"/>
      <c r="AP47" s="1162" t="s">
        <v>56</v>
      </c>
      <c r="AQ47" s="1163"/>
      <c r="AR47" s="2337">
        <f t="shared" si="13"/>
        <v>0</v>
      </c>
      <c r="AS47" s="2338"/>
      <c r="AT47" s="2339">
        <f t="shared" si="10"/>
        <v>5</v>
      </c>
      <c r="AU47" s="2340"/>
      <c r="AV47" s="2341" t="str">
        <f>IF(BG47=0,"技艺:",BG47)</f>
        <v>技艺:</v>
      </c>
      <c r="AW47" s="2342"/>
      <c r="AX47" s="2343"/>
      <c r="AY47" s="2344">
        <f t="shared" si="9"/>
        <v>0</v>
      </c>
      <c r="AZ47" s="2345"/>
      <c r="BA47" s="2346" t="s">
        <v>102</v>
      </c>
      <c r="BB47" s="2346"/>
      <c r="BC47" s="2347">
        <f>IF(ISTEXT(IFERROR(VLOOKUP(人物卡!BE47,人物卡!$DI$25:$DQ$29,1,FALSE),IFERROR(VLOOKUP(人物卡!BE47,人物卡!$CZ$25:$DB$29,1,FALSE),0))),"★",INDEX(本职技能!$A$2:$IC$87,MATCH(人物卡!BE47,本职技能!$A$2:$A$87,0),MATCH(人物卡!$BL$11,本职技能!$A$1:$IC$1,0)))</f>
        <v>0</v>
      </c>
      <c r="BD47" s="2347"/>
      <c r="BE47" s="2348" t="s">
        <v>179</v>
      </c>
      <c r="BF47" s="2348"/>
      <c r="BG47" s="2348"/>
      <c r="BH47" s="2348"/>
      <c r="BI47" s="2349">
        <f>IF(ISBLANK(BG47),5,IF(BG47=$X$108,$AD$108,5))</f>
        <v>5</v>
      </c>
      <c r="BJ47" s="2349"/>
      <c r="BK47" s="2349">
        <f t="shared" si="11"/>
        <v>0</v>
      </c>
      <c r="BL47" s="2349"/>
      <c r="BM47" s="2350"/>
      <c r="BN47" s="2350"/>
      <c r="BO47" s="2350"/>
      <c r="BP47" s="2350"/>
      <c r="BQ47" s="2351">
        <f t="shared" si="14"/>
        <v>5</v>
      </c>
      <c r="BR47" s="2351"/>
      <c r="BS47" s="2352">
        <f t="shared" si="3"/>
        <v>2</v>
      </c>
      <c r="BT47" s="2352"/>
      <c r="BU47" s="2352">
        <f t="shared" si="4"/>
        <v>1</v>
      </c>
      <c r="BV47" s="2352"/>
      <c r="BW47" s="2301" t="s">
        <v>102</v>
      </c>
      <c r="BX47" s="2302"/>
      <c r="BY47" s="2303">
        <f>IF(ISTEXT(IFERROR(VLOOKUP(人物卡!CA47,人物卡!$DI$25:$DQ$29,1,FALSE),IFERROR(VLOOKUP(人物卡!CA47,人物卡!$CZ$25:$DB$29,1,FALSE),0))),"★",INDEX(本职技能!$A$2:$IC$87,MATCH(人物卡!CA47,本职技能!$A$2:$A$87,0),MATCH(人物卡!$BL$11,本职技能!$A$1:$IC$1,0)))</f>
        <v>0</v>
      </c>
      <c r="BZ47" s="2303"/>
      <c r="CA47" s="1316" t="s">
        <v>180</v>
      </c>
      <c r="CB47" s="1316"/>
      <c r="CC47" s="1316"/>
      <c r="CD47" s="1316"/>
      <c r="CE47" s="2282">
        <f>IF(ISBLANK(CT34),1,IF(CC47=CT34,#REF!,1))</f>
        <v>1</v>
      </c>
      <c r="CF47" s="2282"/>
      <c r="CG47" s="2282">
        <f t="shared" si="12"/>
        <v>0</v>
      </c>
      <c r="CH47" s="2282"/>
      <c r="CI47" s="2283"/>
      <c r="CJ47" s="2283"/>
      <c r="CK47" s="2283"/>
      <c r="CL47" s="2283"/>
      <c r="CM47" s="2284">
        <f t="shared" si="5"/>
        <v>1</v>
      </c>
      <c r="CN47" s="2284"/>
      <c r="CO47" s="1542">
        <f t="shared" si="6"/>
        <v>0</v>
      </c>
      <c r="CP47" s="1542"/>
      <c r="CQ47" s="1542">
        <f t="shared" si="7"/>
        <v>0</v>
      </c>
      <c r="CR47" s="1545"/>
      <c r="CS47" s="412"/>
      <c r="CT47" s="2374" t="str">
        <f>IF(附表!AE22="仅显示1890_2012","时代介绍仅显示1890_2012这段时间","时代介绍")</f>
        <v>时代介绍</v>
      </c>
      <c r="CU47" s="2375"/>
      <c r="CV47" s="2375"/>
      <c r="CW47" s="2375"/>
      <c r="CX47" s="2375"/>
      <c r="CY47" s="2375"/>
      <c r="CZ47" s="2375"/>
      <c r="DA47" s="2375"/>
      <c r="DB47" s="2375"/>
      <c r="DC47" s="2375"/>
      <c r="DD47" s="2375"/>
      <c r="DE47" s="2375"/>
      <c r="DF47" s="2375"/>
      <c r="DG47" s="2375"/>
      <c r="DH47" s="2375"/>
      <c r="DI47" s="2375"/>
      <c r="DJ47" s="2375"/>
      <c r="DK47" s="2375"/>
      <c r="DL47" s="2375"/>
      <c r="DM47" s="2375"/>
      <c r="DN47" s="2375"/>
      <c r="DO47" s="2375"/>
      <c r="DP47" s="2375"/>
      <c r="DQ47" s="2376"/>
    </row>
    <row r="48" spans="2:121" ht="16.5">
      <c r="B48" s="1164"/>
      <c r="C48" s="1165" t="s">
        <v>56</v>
      </c>
      <c r="D48" s="1166"/>
      <c r="E48" s="1164"/>
      <c r="F48" s="1167" t="s">
        <v>56</v>
      </c>
      <c r="G48" s="1166"/>
      <c r="H48" s="1164"/>
      <c r="I48" s="1165" t="s">
        <v>56</v>
      </c>
      <c r="J48" s="1166"/>
      <c r="K48" s="1164"/>
      <c r="L48" s="1167" t="s">
        <v>56</v>
      </c>
      <c r="M48" s="1166"/>
      <c r="N48" s="1164"/>
      <c r="O48" s="1165" t="s">
        <v>56</v>
      </c>
      <c r="P48" s="1166"/>
      <c r="Q48" s="1164"/>
      <c r="R48" s="1167" t="s">
        <v>56</v>
      </c>
      <c r="S48" s="1166"/>
      <c r="T48" s="1164"/>
      <c r="U48" s="1165" t="s">
        <v>56</v>
      </c>
      <c r="V48" s="1166"/>
      <c r="W48" s="1164"/>
      <c r="X48" s="1167" t="s">
        <v>56</v>
      </c>
      <c r="Y48" s="1166"/>
      <c r="Z48" s="1164"/>
      <c r="AA48" s="1165" t="s">
        <v>56</v>
      </c>
      <c r="AB48" s="1166"/>
      <c r="AC48" s="1164"/>
      <c r="AD48" s="1167" t="s">
        <v>56</v>
      </c>
      <c r="AE48" s="1166"/>
      <c r="AF48" s="1164"/>
      <c r="AG48" s="1165" t="s">
        <v>56</v>
      </c>
      <c r="AH48" s="1166"/>
      <c r="AI48" s="1164"/>
      <c r="AJ48" s="1167" t="s">
        <v>56</v>
      </c>
      <c r="AK48" s="1166"/>
      <c r="AL48" s="1164"/>
      <c r="AM48" s="1165" t="s">
        <v>56</v>
      </c>
      <c r="AN48" s="1166"/>
      <c r="AO48" s="1164"/>
      <c r="AP48" s="1167" t="s">
        <v>56</v>
      </c>
      <c r="AQ48" s="1168"/>
      <c r="AR48" s="2353">
        <f t="shared" si="13"/>
        <v>0</v>
      </c>
      <c r="AS48" s="2354"/>
      <c r="AT48" s="2355">
        <f t="shared" si="10"/>
        <v>5</v>
      </c>
      <c r="AU48" s="2356"/>
      <c r="AV48" s="2357" t="str">
        <f>IF(BG48=0,"技艺:",BG48)</f>
        <v>技艺:</v>
      </c>
      <c r="AW48" s="2358"/>
      <c r="AX48" s="2359"/>
      <c r="AY48" s="2360">
        <f t="shared" si="9"/>
        <v>0</v>
      </c>
      <c r="AZ48" s="2361"/>
      <c r="BA48" s="2362" t="s">
        <v>102</v>
      </c>
      <c r="BB48" s="2362"/>
      <c r="BC48" s="2363">
        <f>IF(ISTEXT(IFERROR(VLOOKUP(人物卡!BE48,人物卡!$DI$25:$DQ$29,1,FALSE),IFERROR(VLOOKUP(人物卡!BE48,人物卡!$CZ$25:$DB$29,1,FALSE),0))),"★",INDEX(本职技能!$A$2:$IC$87,MATCH(人物卡!BE48,本职技能!$A$2:$A$87,0),MATCH(人物卡!$BL$11,本职技能!$A$1:$IC$1,0)))</f>
        <v>0</v>
      </c>
      <c r="BD48" s="2363"/>
      <c r="BE48" s="2364" t="s">
        <v>181</v>
      </c>
      <c r="BF48" s="2364"/>
      <c r="BG48" s="2364"/>
      <c r="BH48" s="2364"/>
      <c r="BI48" s="2365">
        <f>IF(ISBLANK(BG48),5,IF(BG48=$X$108,$AD$108,5))</f>
        <v>5</v>
      </c>
      <c r="BJ48" s="2365"/>
      <c r="BK48" s="2365">
        <f t="shared" si="11"/>
        <v>0</v>
      </c>
      <c r="BL48" s="2365"/>
      <c r="BM48" s="2366"/>
      <c r="BN48" s="2366"/>
      <c r="BO48" s="2366"/>
      <c r="BP48" s="2366"/>
      <c r="BQ48" s="2367">
        <f t="shared" ref="BQ48:BQ51" si="15">BO48+BM48+BK48+BI48</f>
        <v>5</v>
      </c>
      <c r="BR48" s="2367"/>
      <c r="BS48" s="2368">
        <f t="shared" si="3"/>
        <v>2</v>
      </c>
      <c r="BT48" s="2368"/>
      <c r="BU48" s="2368">
        <f t="shared" si="4"/>
        <v>1</v>
      </c>
      <c r="BV48" s="2368"/>
      <c r="BW48" s="2321" t="s">
        <v>102</v>
      </c>
      <c r="BX48" s="2322"/>
      <c r="BY48" s="2323">
        <f>IF(ISTEXT(IFERROR(VLOOKUP(人物卡!CA48,人物卡!$DI$25:$DQ$29,1,FALSE),IFERROR(VLOOKUP(人物卡!CA48,人物卡!$CZ$25:$DB$29,1,FALSE),0))),"★",INDEX(本职技能!$A$2:$IC$87,MATCH(人物卡!CA48,本职技能!$A$2:$A$87,0),MATCH(人物卡!$BL$11,本职技能!$A$1:$IC$1,0)))</f>
        <v>0</v>
      </c>
      <c r="BZ48" s="2323"/>
      <c r="CA48" s="2324" t="s">
        <v>182</v>
      </c>
      <c r="CB48" s="2324"/>
      <c r="CC48" s="2324"/>
      <c r="CD48" s="2324"/>
      <c r="CE48" s="2325">
        <f>IF(ISBLANK(CT35),1,IF(CC48=CT35,#REF!,1))</f>
        <v>1</v>
      </c>
      <c r="CF48" s="2325"/>
      <c r="CG48" s="2325">
        <f t="shared" si="12"/>
        <v>0</v>
      </c>
      <c r="CH48" s="2325"/>
      <c r="CI48" s="2326"/>
      <c r="CJ48" s="2326"/>
      <c r="CK48" s="2327"/>
      <c r="CL48" s="2327"/>
      <c r="CM48" s="2328">
        <f t="shared" si="5"/>
        <v>1</v>
      </c>
      <c r="CN48" s="2328"/>
      <c r="CO48" s="2329">
        <f t="shared" si="6"/>
        <v>0</v>
      </c>
      <c r="CP48" s="2329"/>
      <c r="CQ48" s="2329">
        <f t="shared" si="7"/>
        <v>0</v>
      </c>
      <c r="CR48" s="2330"/>
      <c r="CS48" s="412"/>
      <c r="CT48" s="2377" t="s">
        <v>183</v>
      </c>
      <c r="CU48" s="2369"/>
      <c r="CV48" s="2369"/>
      <c r="CW48" s="2369"/>
      <c r="CX48" s="2369"/>
      <c r="CY48" s="2369" t="s">
        <v>184</v>
      </c>
      <c r="CZ48" s="2369"/>
      <c r="DA48" s="2369"/>
      <c r="DB48" s="2369"/>
      <c r="DC48" s="2369"/>
      <c r="DD48" s="2369"/>
      <c r="DE48" s="2369" t="s">
        <v>185</v>
      </c>
      <c r="DF48" s="2369"/>
      <c r="DG48" s="2369"/>
      <c r="DH48" s="2369"/>
      <c r="DI48" s="2369"/>
      <c r="DJ48" s="2369"/>
      <c r="DK48" s="2369" t="s">
        <v>183</v>
      </c>
      <c r="DL48" s="2369"/>
      <c r="DM48" s="2369"/>
      <c r="DN48" s="2369"/>
      <c r="DO48" s="2369"/>
      <c r="DP48" s="2369"/>
      <c r="DQ48" s="2370"/>
    </row>
    <row r="49" spans="2:121" ht="16.5">
      <c r="B49" s="1159"/>
      <c r="C49" s="1160" t="s">
        <v>56</v>
      </c>
      <c r="D49" s="1161"/>
      <c r="E49" s="1159"/>
      <c r="F49" s="1162" t="s">
        <v>56</v>
      </c>
      <c r="G49" s="1161"/>
      <c r="H49" s="1159"/>
      <c r="I49" s="1160" t="s">
        <v>56</v>
      </c>
      <c r="J49" s="1161"/>
      <c r="K49" s="1159"/>
      <c r="L49" s="1162" t="s">
        <v>56</v>
      </c>
      <c r="M49" s="1161"/>
      <c r="N49" s="1159"/>
      <c r="O49" s="1160" t="s">
        <v>56</v>
      </c>
      <c r="P49" s="1161"/>
      <c r="Q49" s="1159"/>
      <c r="R49" s="1162" t="s">
        <v>56</v>
      </c>
      <c r="S49" s="1161"/>
      <c r="T49" s="1159"/>
      <c r="U49" s="1160" t="s">
        <v>56</v>
      </c>
      <c r="V49" s="1161"/>
      <c r="W49" s="1159"/>
      <c r="X49" s="1162" t="s">
        <v>56</v>
      </c>
      <c r="Y49" s="1161"/>
      <c r="Z49" s="1159"/>
      <c r="AA49" s="1160" t="s">
        <v>56</v>
      </c>
      <c r="AB49" s="1161"/>
      <c r="AC49" s="1159"/>
      <c r="AD49" s="1162" t="s">
        <v>56</v>
      </c>
      <c r="AE49" s="1161"/>
      <c r="AF49" s="1159"/>
      <c r="AG49" s="1160" t="s">
        <v>56</v>
      </c>
      <c r="AH49" s="1161"/>
      <c r="AI49" s="1159"/>
      <c r="AJ49" s="1162" t="s">
        <v>56</v>
      </c>
      <c r="AK49" s="1161"/>
      <c r="AL49" s="1159"/>
      <c r="AM49" s="1160" t="s">
        <v>56</v>
      </c>
      <c r="AN49" s="1161"/>
      <c r="AO49" s="1159"/>
      <c r="AP49" s="1162" t="s">
        <v>56</v>
      </c>
      <c r="AQ49" s="1163"/>
      <c r="AR49" s="2337">
        <f t="shared" si="13"/>
        <v>0</v>
      </c>
      <c r="AS49" s="2338"/>
      <c r="AT49" s="2339">
        <f t="shared" si="10"/>
        <v>5</v>
      </c>
      <c r="AU49" s="2340"/>
      <c r="AV49" s="2341" t="str">
        <f>IF(BG49=0,"技艺:",BG49)</f>
        <v>技艺:</v>
      </c>
      <c r="AW49" s="2342"/>
      <c r="AX49" s="2343"/>
      <c r="AY49" s="2344">
        <f t="shared" si="9"/>
        <v>0</v>
      </c>
      <c r="AZ49" s="2345"/>
      <c r="BA49" s="2346" t="s">
        <v>102</v>
      </c>
      <c r="BB49" s="2346"/>
      <c r="BC49" s="2347">
        <f>IF(ISTEXT(IFERROR(VLOOKUP(人物卡!BE49,人物卡!$DI$25:$DQ$29,1,FALSE),IFERROR(VLOOKUP(人物卡!BE49,人物卡!$CZ$25:$DB$29,1,FALSE),0))),"★",INDEX(本职技能!$A$2:$IC$87,MATCH(人物卡!BE49,本职技能!$A$2:$A$87,0),MATCH(人物卡!$BL$11,本职技能!$A$1:$IC$1,0)))</f>
        <v>0</v>
      </c>
      <c r="BD49" s="2347"/>
      <c r="BE49" s="2348" t="s">
        <v>186</v>
      </c>
      <c r="BF49" s="2348"/>
      <c r="BG49" s="2348"/>
      <c r="BH49" s="2348"/>
      <c r="BI49" s="2349">
        <f>IF(ISBLANK(BG49),5,IF(BG49=$X$108,$AD$108,5))</f>
        <v>5</v>
      </c>
      <c r="BJ49" s="2349"/>
      <c r="BK49" s="2349">
        <f t="shared" si="11"/>
        <v>0</v>
      </c>
      <c r="BL49" s="2349"/>
      <c r="BM49" s="2350"/>
      <c r="BN49" s="2350"/>
      <c r="BO49" s="2350"/>
      <c r="BP49" s="2350"/>
      <c r="BQ49" s="2351">
        <f t="shared" si="15"/>
        <v>5</v>
      </c>
      <c r="BR49" s="2351"/>
      <c r="BS49" s="2352">
        <f t="shared" si="3"/>
        <v>2</v>
      </c>
      <c r="BT49" s="2352"/>
      <c r="BU49" s="2352">
        <f t="shared" si="4"/>
        <v>1</v>
      </c>
      <c r="BV49" s="2352"/>
      <c r="BW49" s="2301" t="s">
        <v>102</v>
      </c>
      <c r="BX49" s="2302"/>
      <c r="BY49" s="2303">
        <f>IF(ISTEXT(IFERROR(VLOOKUP(人物卡!CA49,人物卡!$DI$25:$DQ$29,1,FALSE),IFERROR(VLOOKUP(人物卡!CA49,人物卡!$CZ$25:$DB$29,1,FALSE),0))),"★",INDEX(本职技能!$A$2:$IC$87,MATCH(人物卡!CA49,本职技能!$A$2:$A$87,0),MATCH(人物卡!$BL$11,本职技能!$A$1:$IC$1,0)))</f>
        <v>0</v>
      </c>
      <c r="BZ49" s="2303"/>
      <c r="CA49" s="1316" t="s">
        <v>187</v>
      </c>
      <c r="CB49" s="1316"/>
      <c r="CC49" s="1316"/>
      <c r="CD49" s="1316"/>
      <c r="CE49" s="2282">
        <v>20</v>
      </c>
      <c r="CF49" s="2282"/>
      <c r="CG49" s="2282">
        <f t="shared" si="12"/>
        <v>0</v>
      </c>
      <c r="CH49" s="2282"/>
      <c r="CI49" s="2283"/>
      <c r="CJ49" s="2283"/>
      <c r="CK49" s="2283"/>
      <c r="CL49" s="2283"/>
      <c r="CM49" s="2284">
        <f t="shared" si="5"/>
        <v>20</v>
      </c>
      <c r="CN49" s="2284"/>
      <c r="CO49" s="1542">
        <f t="shared" si="6"/>
        <v>10</v>
      </c>
      <c r="CP49" s="1542"/>
      <c r="CQ49" s="1542">
        <f t="shared" si="7"/>
        <v>4</v>
      </c>
      <c r="CR49" s="1545"/>
      <c r="CS49" s="412"/>
      <c r="CT49" s="1372" t="str">
        <f>IF(BD17="公元","A.C."&amp;BF17,"B.C."&amp;BF17)</f>
        <v>A.C.</v>
      </c>
      <c r="CU49" s="1373"/>
      <c r="CV49" s="1373"/>
      <c r="CW49" s="1373"/>
      <c r="CX49" s="1373"/>
      <c r="CY49" s="2371" t="str">
        <f>附表!AF22</f>
        <v/>
      </c>
      <c r="CZ49" s="2371"/>
      <c r="DA49" s="2371"/>
      <c r="DB49" s="2371"/>
      <c r="DC49" s="2371"/>
      <c r="DD49" s="2371"/>
      <c r="DE49" s="2372" t="e">
        <f>附表!AI22</f>
        <v>#N/A</v>
      </c>
      <c r="DF49" s="2372"/>
      <c r="DG49" s="2372"/>
      <c r="DH49" s="2372"/>
      <c r="DI49" s="2372"/>
      <c r="DJ49" s="2372"/>
      <c r="DK49" s="2371" t="e">
        <f>附表!AL22</f>
        <v>#N/A</v>
      </c>
      <c r="DL49" s="2371"/>
      <c r="DM49" s="2371"/>
      <c r="DN49" s="2371"/>
      <c r="DO49" s="2371"/>
      <c r="DP49" s="2371"/>
      <c r="DQ49" s="2373"/>
    </row>
    <row r="50" spans="2:121" ht="16.5">
      <c r="B50" s="1164"/>
      <c r="C50" s="1165" t="s">
        <v>56</v>
      </c>
      <c r="D50" s="1166"/>
      <c r="E50" s="1164"/>
      <c r="F50" s="1167" t="s">
        <v>56</v>
      </c>
      <c r="G50" s="1166"/>
      <c r="H50" s="1164"/>
      <c r="I50" s="1165" t="s">
        <v>56</v>
      </c>
      <c r="J50" s="1166"/>
      <c r="K50" s="1164"/>
      <c r="L50" s="1167" t="s">
        <v>56</v>
      </c>
      <c r="M50" s="1166"/>
      <c r="N50" s="1164"/>
      <c r="O50" s="1165" t="s">
        <v>56</v>
      </c>
      <c r="P50" s="1166"/>
      <c r="Q50" s="1164"/>
      <c r="R50" s="1167" t="s">
        <v>56</v>
      </c>
      <c r="S50" s="1166"/>
      <c r="T50" s="1164"/>
      <c r="U50" s="1165" t="s">
        <v>56</v>
      </c>
      <c r="V50" s="1166"/>
      <c r="W50" s="1164"/>
      <c r="X50" s="1167" t="s">
        <v>56</v>
      </c>
      <c r="Y50" s="1166"/>
      <c r="Z50" s="1164"/>
      <c r="AA50" s="1165" t="s">
        <v>56</v>
      </c>
      <c r="AB50" s="1166"/>
      <c r="AC50" s="1164"/>
      <c r="AD50" s="1167" t="s">
        <v>56</v>
      </c>
      <c r="AE50" s="1166"/>
      <c r="AF50" s="1164"/>
      <c r="AG50" s="1165" t="s">
        <v>56</v>
      </c>
      <c r="AH50" s="1166"/>
      <c r="AI50" s="1164"/>
      <c r="AJ50" s="1167" t="s">
        <v>56</v>
      </c>
      <c r="AK50" s="1166"/>
      <c r="AL50" s="1164"/>
      <c r="AM50" s="1165" t="s">
        <v>56</v>
      </c>
      <c r="AN50" s="1166"/>
      <c r="AO50" s="1164"/>
      <c r="AP50" s="1167" t="s">
        <v>56</v>
      </c>
      <c r="AQ50" s="1168"/>
      <c r="AR50" s="2353">
        <f t="shared" si="13"/>
        <v>0</v>
      </c>
      <c r="AS50" s="2354"/>
      <c r="AT50" s="2355">
        <f t="shared" si="10"/>
        <v>5</v>
      </c>
      <c r="AU50" s="2356"/>
      <c r="AV50" s="2357" t="str">
        <f>IF(BG50=0,"技艺:",BG50)</f>
        <v>技艺:</v>
      </c>
      <c r="AW50" s="2358"/>
      <c r="AX50" s="2359"/>
      <c r="AY50" s="2360">
        <f t="shared" si="9"/>
        <v>0</v>
      </c>
      <c r="AZ50" s="2361"/>
      <c r="BA50" s="2362" t="s">
        <v>102</v>
      </c>
      <c r="BB50" s="2362"/>
      <c r="BC50" s="2363">
        <f>IF(ISTEXT(IFERROR(VLOOKUP(人物卡!BE50,人物卡!$DI$25:$DQ$29,1,FALSE),IFERROR(VLOOKUP(人物卡!BE50,人物卡!$CZ$25:$DB$29,1,FALSE),0))),"★",INDEX(本职技能!$A$2:$IC$87,MATCH(人物卡!BE50,本职技能!$A$2:$A$87,0),MATCH(人物卡!$BL$11,本职技能!$A$1:$IC$1,0)))</f>
        <v>0</v>
      </c>
      <c r="BD50" s="2363"/>
      <c r="BE50" s="2364" t="s">
        <v>188</v>
      </c>
      <c r="BF50" s="2364"/>
      <c r="BG50" s="2364"/>
      <c r="BH50" s="2364"/>
      <c r="BI50" s="2365">
        <f>IF(ISBLANK(BG50),5,IF(BG50=$X$108,$AD$108,5))</f>
        <v>5</v>
      </c>
      <c r="BJ50" s="2365"/>
      <c r="BK50" s="2365">
        <f t="shared" si="11"/>
        <v>0</v>
      </c>
      <c r="BL50" s="2365"/>
      <c r="BM50" s="2366"/>
      <c r="BN50" s="2366"/>
      <c r="BO50" s="2366"/>
      <c r="BP50" s="2366"/>
      <c r="BQ50" s="2367">
        <f t="shared" si="15"/>
        <v>5</v>
      </c>
      <c r="BR50" s="2367"/>
      <c r="BS50" s="2368">
        <f t="shared" si="3"/>
        <v>2</v>
      </c>
      <c r="BT50" s="2368"/>
      <c r="BU50" s="2368">
        <f t="shared" si="4"/>
        <v>1</v>
      </c>
      <c r="BV50" s="2368"/>
      <c r="BW50" s="2321" t="s">
        <v>102</v>
      </c>
      <c r="BX50" s="2322"/>
      <c r="BY50" s="2323">
        <f>IF(ISTEXT(IFERROR(VLOOKUP(人物卡!CA50,人物卡!$DI$25:$DQ$29,1,FALSE),IFERROR(VLOOKUP(人物卡!CA50,人物卡!$CZ$25:$DB$29,1,FALSE),0))),"★",INDEX(本职技能!$A$2:$IC$87,MATCH(人物卡!CA50,本职技能!$A$2:$A$87,0),MATCH(人物卡!$BL$11,本职技能!$A$1:$IC$1,0)))</f>
        <v>0</v>
      </c>
      <c r="BZ50" s="2323"/>
      <c r="CA50" s="2324" t="s">
        <v>189</v>
      </c>
      <c r="CB50" s="2324"/>
      <c r="CC50" s="2324"/>
      <c r="CD50" s="2324"/>
      <c r="CE50" s="2325">
        <v>5</v>
      </c>
      <c r="CF50" s="2325"/>
      <c r="CG50" s="2325">
        <f t="shared" si="12"/>
        <v>0</v>
      </c>
      <c r="CH50" s="2325"/>
      <c r="CI50" s="2326"/>
      <c r="CJ50" s="2326"/>
      <c r="CK50" s="2327"/>
      <c r="CL50" s="2327"/>
      <c r="CM50" s="2328">
        <f t="shared" si="5"/>
        <v>5</v>
      </c>
      <c r="CN50" s="2328"/>
      <c r="CO50" s="2329">
        <f t="shared" si="6"/>
        <v>2</v>
      </c>
      <c r="CP50" s="2329"/>
      <c r="CQ50" s="2329">
        <f t="shared" si="7"/>
        <v>1</v>
      </c>
      <c r="CR50" s="2330"/>
      <c r="CS50" s="412"/>
      <c r="CT50" s="1372"/>
      <c r="CU50" s="1373"/>
      <c r="CV50" s="1373"/>
      <c r="CW50" s="1374"/>
      <c r="CX50" s="1374"/>
      <c r="CY50" s="2335" t="e">
        <f>附表!AG22</f>
        <v>#N/A</v>
      </c>
      <c r="CZ50" s="2335"/>
      <c r="DA50" s="2335"/>
      <c r="DB50" s="2335"/>
      <c r="DC50" s="2335"/>
      <c r="DD50" s="2335"/>
      <c r="DE50" s="2335" t="e">
        <f>附表!AJ22</f>
        <v>#N/A</v>
      </c>
      <c r="DF50" s="2335"/>
      <c r="DG50" s="2335"/>
      <c r="DH50" s="2335"/>
      <c r="DI50" s="2335"/>
      <c r="DJ50" s="2335"/>
      <c r="DK50" s="2335" t="e">
        <f>附表!AM22</f>
        <v>#N/A</v>
      </c>
      <c r="DL50" s="2335"/>
      <c r="DM50" s="2335"/>
      <c r="DN50" s="2335"/>
      <c r="DO50" s="2335"/>
      <c r="DP50" s="2335"/>
      <c r="DQ50" s="2336"/>
    </row>
    <row r="51" spans="2:121" ht="16.5">
      <c r="B51" s="1159"/>
      <c r="C51" s="1160" t="s">
        <v>56</v>
      </c>
      <c r="D51" s="1161"/>
      <c r="E51" s="1159"/>
      <c r="F51" s="1162" t="s">
        <v>56</v>
      </c>
      <c r="G51" s="1161"/>
      <c r="H51" s="1159"/>
      <c r="I51" s="1160" t="s">
        <v>56</v>
      </c>
      <c r="J51" s="1161"/>
      <c r="K51" s="1159"/>
      <c r="L51" s="1162" t="s">
        <v>56</v>
      </c>
      <c r="M51" s="1161"/>
      <c r="N51" s="1159"/>
      <c r="O51" s="1160" t="s">
        <v>56</v>
      </c>
      <c r="P51" s="1161"/>
      <c r="Q51" s="1159"/>
      <c r="R51" s="1162" t="s">
        <v>56</v>
      </c>
      <c r="S51" s="1161"/>
      <c r="T51" s="1159"/>
      <c r="U51" s="1160" t="s">
        <v>56</v>
      </c>
      <c r="V51" s="1161"/>
      <c r="W51" s="1159"/>
      <c r="X51" s="1162" t="s">
        <v>56</v>
      </c>
      <c r="Y51" s="1161"/>
      <c r="Z51" s="1159"/>
      <c r="AA51" s="1160" t="s">
        <v>56</v>
      </c>
      <c r="AB51" s="1161"/>
      <c r="AC51" s="1159"/>
      <c r="AD51" s="1162" t="s">
        <v>56</v>
      </c>
      <c r="AE51" s="1161"/>
      <c r="AF51" s="1159"/>
      <c r="AG51" s="1160" t="s">
        <v>56</v>
      </c>
      <c r="AH51" s="1161"/>
      <c r="AI51" s="1159"/>
      <c r="AJ51" s="1162" t="s">
        <v>56</v>
      </c>
      <c r="AK51" s="1161"/>
      <c r="AL51" s="1159"/>
      <c r="AM51" s="1160" t="s">
        <v>56</v>
      </c>
      <c r="AN51" s="1161"/>
      <c r="AO51" s="1159"/>
      <c r="AP51" s="1162" t="s">
        <v>56</v>
      </c>
      <c r="AQ51" s="1163"/>
      <c r="AR51" s="2337">
        <f t="shared" si="13"/>
        <v>0</v>
      </c>
      <c r="AS51" s="2338"/>
      <c r="AT51" s="2339">
        <f t="shared" si="10"/>
        <v>5</v>
      </c>
      <c r="AU51" s="2340"/>
      <c r="AV51" s="2341" t="str">
        <f>IF(BG51=0,"技艺:",BG51)</f>
        <v>技艺:</v>
      </c>
      <c r="AW51" s="2342"/>
      <c r="AX51" s="2343"/>
      <c r="AY51" s="2344">
        <f t="shared" si="9"/>
        <v>0</v>
      </c>
      <c r="AZ51" s="2345"/>
      <c r="BA51" s="2346" t="s">
        <v>102</v>
      </c>
      <c r="BB51" s="2346"/>
      <c r="BC51" s="2347">
        <f>IF(ISTEXT(IFERROR(VLOOKUP(人物卡!BE51,人物卡!$DI$25:$DQ$29,1,FALSE),IFERROR(VLOOKUP(人物卡!BE51,人物卡!$CZ$25:$DB$29,1,FALSE),0))),"★",INDEX(本职技能!$A$2:$IC$87,MATCH(人物卡!BE51,本职技能!$A$2:$A$87,0),MATCH(人物卡!$BL$11,本职技能!$A$1:$IC$1,0)))</f>
        <v>0</v>
      </c>
      <c r="BD51" s="2347"/>
      <c r="BE51" s="2348" t="s">
        <v>190</v>
      </c>
      <c r="BF51" s="2348"/>
      <c r="BG51" s="2348"/>
      <c r="BH51" s="2348"/>
      <c r="BI51" s="2349">
        <f>IF(ISBLANK(BG51),5,IF(BG51=$X$108,$AD$108,5))</f>
        <v>5</v>
      </c>
      <c r="BJ51" s="2349"/>
      <c r="BK51" s="2349">
        <f t="shared" si="11"/>
        <v>0</v>
      </c>
      <c r="BL51" s="2349"/>
      <c r="BM51" s="2350"/>
      <c r="BN51" s="2350"/>
      <c r="BO51" s="2350"/>
      <c r="BP51" s="2350"/>
      <c r="BQ51" s="2351">
        <f t="shared" si="15"/>
        <v>5</v>
      </c>
      <c r="BR51" s="2351"/>
      <c r="BS51" s="2352">
        <f t="shared" si="3"/>
        <v>2</v>
      </c>
      <c r="BT51" s="2352"/>
      <c r="BU51" s="2352">
        <f t="shared" si="4"/>
        <v>1</v>
      </c>
      <c r="BV51" s="2352"/>
      <c r="BW51" s="2301" t="s">
        <v>102</v>
      </c>
      <c r="BX51" s="2302"/>
      <c r="BY51" s="2303">
        <f>IF(ISTEXT(IFERROR(VLOOKUP(人物卡!CA51,人物卡!$DI$25:$DQ$29,1,FALSE),IFERROR(VLOOKUP(人物卡!CA51,人物卡!$CZ$25:$DB$29,1,FALSE),0))),"★",INDEX(本职技能!$A$2:$IC$87,MATCH(人物卡!CA51,本职技能!$A$2:$A$87,0),MATCH(人物卡!$BL$11,本职技能!$A$1:$IC$1,0)))</f>
        <v>0</v>
      </c>
      <c r="BZ51" s="2303"/>
      <c r="CA51" s="1316" t="s">
        <v>191</v>
      </c>
      <c r="CB51" s="1316"/>
      <c r="CC51" s="1316"/>
      <c r="CD51" s="1316"/>
      <c r="CE51" s="2282">
        <v>5</v>
      </c>
      <c r="CF51" s="2282"/>
      <c r="CG51" s="2282">
        <f t="shared" si="12"/>
        <v>0</v>
      </c>
      <c r="CH51" s="2282"/>
      <c r="CI51" s="2283"/>
      <c r="CJ51" s="2283"/>
      <c r="CK51" s="2283"/>
      <c r="CL51" s="2283"/>
      <c r="CM51" s="2284">
        <f t="shared" si="5"/>
        <v>5</v>
      </c>
      <c r="CN51" s="2284"/>
      <c r="CO51" s="1542">
        <f t="shared" si="6"/>
        <v>2</v>
      </c>
      <c r="CP51" s="1542"/>
      <c r="CQ51" s="1542">
        <f t="shared" si="7"/>
        <v>1</v>
      </c>
      <c r="CR51" s="1545"/>
      <c r="CS51" s="412"/>
      <c r="CT51" s="1375"/>
      <c r="CU51" s="1376"/>
      <c r="CV51" s="1376"/>
      <c r="CW51" s="1377"/>
      <c r="CX51" s="1377"/>
      <c r="CY51" s="2333" t="e">
        <f>附表!AH22</f>
        <v>#N/A</v>
      </c>
      <c r="CZ51" s="2333"/>
      <c r="DA51" s="2333"/>
      <c r="DB51" s="2333"/>
      <c r="DC51" s="2333"/>
      <c r="DD51" s="2333"/>
      <c r="DE51" s="2333" t="e">
        <f>附表!AK22</f>
        <v>#N/A</v>
      </c>
      <c r="DF51" s="2333"/>
      <c r="DG51" s="2333"/>
      <c r="DH51" s="2333"/>
      <c r="DI51" s="2333"/>
      <c r="DJ51" s="2333"/>
      <c r="DK51" s="2333" t="e">
        <f>附表!AN22</f>
        <v>#N/A</v>
      </c>
      <c r="DL51" s="2333"/>
      <c r="DM51" s="2333"/>
      <c r="DN51" s="2333"/>
      <c r="DO51" s="2333"/>
      <c r="DP51" s="2333"/>
      <c r="DQ51" s="2334"/>
    </row>
    <row r="52" spans="2:121" ht="16.5">
      <c r="B52" s="1169"/>
      <c r="C52" s="1170" t="s">
        <v>56</v>
      </c>
      <c r="D52" s="1171"/>
      <c r="E52" s="1169"/>
      <c r="F52" s="1172" t="s">
        <v>56</v>
      </c>
      <c r="G52" s="1171"/>
      <c r="H52" s="1169"/>
      <c r="I52" s="1170" t="s">
        <v>56</v>
      </c>
      <c r="J52" s="1171"/>
      <c r="K52" s="1169"/>
      <c r="L52" s="1172" t="s">
        <v>56</v>
      </c>
      <c r="M52" s="1171"/>
      <c r="N52" s="1169"/>
      <c r="O52" s="1170" t="s">
        <v>56</v>
      </c>
      <c r="P52" s="1171"/>
      <c r="Q52" s="1169"/>
      <c r="R52" s="1172" t="s">
        <v>56</v>
      </c>
      <c r="S52" s="1171"/>
      <c r="T52" s="1169"/>
      <c r="U52" s="1170" t="s">
        <v>56</v>
      </c>
      <c r="V52" s="1171"/>
      <c r="W52" s="1169"/>
      <c r="X52" s="1172" t="s">
        <v>56</v>
      </c>
      <c r="Y52" s="1171"/>
      <c r="Z52" s="1169"/>
      <c r="AA52" s="1170" t="s">
        <v>56</v>
      </c>
      <c r="AB52" s="1171"/>
      <c r="AC52" s="1169"/>
      <c r="AD52" s="1172" t="s">
        <v>56</v>
      </c>
      <c r="AE52" s="1171"/>
      <c r="AF52" s="1169"/>
      <c r="AG52" s="1170" t="s">
        <v>56</v>
      </c>
      <c r="AH52" s="1171"/>
      <c r="AI52" s="1169"/>
      <c r="AJ52" s="1172" t="s">
        <v>56</v>
      </c>
      <c r="AK52" s="1171"/>
      <c r="AL52" s="1169"/>
      <c r="AM52" s="1170" t="s">
        <v>56</v>
      </c>
      <c r="AN52" s="1171"/>
      <c r="AO52" s="1169"/>
      <c r="AP52" s="1172" t="s">
        <v>56</v>
      </c>
      <c r="AQ52" s="1173"/>
      <c r="AR52" s="2304">
        <f t="shared" si="13"/>
        <v>0</v>
      </c>
      <c r="AS52" s="2305"/>
      <c r="AT52" s="2306">
        <f t="shared" si="10"/>
        <v>0</v>
      </c>
      <c r="AU52" s="2307"/>
      <c r="AV52" s="2308" t="str">
        <f>BE52</f>
        <v>母语</v>
      </c>
      <c r="AW52" s="2309"/>
      <c r="AX52" s="2310"/>
      <c r="AY52" s="2311">
        <f t="shared" si="9"/>
        <v>0</v>
      </c>
      <c r="AZ52" s="2312"/>
      <c r="BA52" s="2313" t="s">
        <v>102</v>
      </c>
      <c r="BB52" s="2313"/>
      <c r="BC52" s="2314">
        <f>IF(ISTEXT(IFERROR(VLOOKUP(人物卡!BE52,人物卡!$DI$25:$DQ$29,1,FALSE),IFERROR(VLOOKUP(人物卡!BE52,人物卡!$CZ$25:$DB$29,1,FALSE),0))),"★",INDEX(本职技能!$A$2:$IC$87,MATCH(人物卡!BE52,本职技能!$A$2:$A$87,0),MATCH(人物卡!$BL$11,本职技能!$A$1:$IC$1,0)))</f>
        <v>0</v>
      </c>
      <c r="BD52" s="2314"/>
      <c r="BE52" s="2316" t="s">
        <v>192</v>
      </c>
      <c r="BF52" s="2316"/>
      <c r="BG52" s="2316"/>
      <c r="BH52" s="2316"/>
      <c r="BI52" s="2317">
        <f>IF(EDUA="未填写",0,EDUA)</f>
        <v>0</v>
      </c>
      <c r="BJ52" s="2317"/>
      <c r="BK52" s="2317">
        <f t="shared" si="11"/>
        <v>0</v>
      </c>
      <c r="BL52" s="2317"/>
      <c r="BM52" s="2318"/>
      <c r="BN52" s="2318"/>
      <c r="BO52" s="2318"/>
      <c r="BP52" s="2318"/>
      <c r="BQ52" s="2319">
        <f t="shared" ref="BQ52:BQ59" si="16">SUM(BI52:BO52)</f>
        <v>0</v>
      </c>
      <c r="BR52" s="2319"/>
      <c r="BS52" s="2320">
        <f t="shared" si="3"/>
        <v>0</v>
      </c>
      <c r="BT52" s="2320"/>
      <c r="BU52" s="2320">
        <f t="shared" si="4"/>
        <v>0</v>
      </c>
      <c r="BV52" s="2320"/>
      <c r="BW52" s="2321" t="s">
        <v>102</v>
      </c>
      <c r="BX52" s="2322"/>
      <c r="BY52" s="2323">
        <f>IF(ISTEXT(IFERROR(VLOOKUP(人物卡!CA52,人物卡!$DI$25:$DQ$29,1,FALSE),IFERROR(VLOOKUP(人物卡!CA52,人物卡!$CZ$25:$DB$29,1,FALSE),0))),"★",INDEX(本职技能!$A$2:$IC$87,MATCH(人物卡!CA52,本职技能!$A$2:$A$87,0),MATCH(人物卡!$BL$11,本职技能!$A$1:$IC$1,0)))</f>
        <v>0</v>
      </c>
      <c r="BZ52" s="2323"/>
      <c r="CA52" s="2324" t="s">
        <v>193</v>
      </c>
      <c r="CB52" s="2324"/>
      <c r="CC52" s="2324"/>
      <c r="CD52" s="2324"/>
      <c r="CE52" s="2325">
        <v>1</v>
      </c>
      <c r="CF52" s="2325"/>
      <c r="CG52" s="2325">
        <f t="shared" si="12"/>
        <v>0</v>
      </c>
      <c r="CH52" s="2325"/>
      <c r="CI52" s="2326"/>
      <c r="CJ52" s="2326"/>
      <c r="CK52" s="2327"/>
      <c r="CL52" s="2327"/>
      <c r="CM52" s="2328">
        <f t="shared" si="5"/>
        <v>1</v>
      </c>
      <c r="CN52" s="2328"/>
      <c r="CO52" s="2329">
        <f t="shared" si="6"/>
        <v>0</v>
      </c>
      <c r="CP52" s="2329"/>
      <c r="CQ52" s="2329">
        <f t="shared" si="7"/>
        <v>0</v>
      </c>
      <c r="CR52" s="2330"/>
      <c r="CS52" s="412"/>
      <c r="CT52" s="2331" t="s">
        <v>194</v>
      </c>
      <c r="CU52" s="2332"/>
      <c r="CV52" s="2332"/>
      <c r="CW52" s="2332"/>
      <c r="CX52" s="2332"/>
      <c r="CY52" s="2332"/>
      <c r="CZ52" s="2332"/>
      <c r="DA52" s="2332"/>
      <c r="DB52" s="2332"/>
      <c r="DC52" s="2332"/>
      <c r="DD52" s="2332"/>
      <c r="DE52" s="2332"/>
      <c r="DF52" s="2332"/>
      <c r="DG52" s="2332"/>
      <c r="DH52" s="2332"/>
      <c r="DI52" s="2332"/>
      <c r="DJ52" s="2332"/>
      <c r="DK52" s="2332"/>
      <c r="DL52" s="2332"/>
      <c r="DM52" s="2332"/>
      <c r="DN52" s="2332"/>
      <c r="DO52" s="2332"/>
      <c r="DP52" s="2332"/>
      <c r="DQ52" s="2332"/>
    </row>
    <row r="53" spans="2:121" ht="16.5">
      <c r="B53" s="1174"/>
      <c r="C53" s="1175" t="s">
        <v>56</v>
      </c>
      <c r="D53" s="1176"/>
      <c r="E53" s="1174"/>
      <c r="F53" s="1177" t="s">
        <v>56</v>
      </c>
      <c r="G53" s="1176"/>
      <c r="H53" s="1174"/>
      <c r="I53" s="1175" t="s">
        <v>56</v>
      </c>
      <c r="J53" s="1176"/>
      <c r="K53" s="1174"/>
      <c r="L53" s="1177" t="s">
        <v>56</v>
      </c>
      <c r="M53" s="1176"/>
      <c r="N53" s="1174"/>
      <c r="O53" s="1175" t="s">
        <v>56</v>
      </c>
      <c r="P53" s="1176"/>
      <c r="Q53" s="1174"/>
      <c r="R53" s="1177" t="s">
        <v>56</v>
      </c>
      <c r="S53" s="1176"/>
      <c r="T53" s="1174"/>
      <c r="U53" s="1175" t="s">
        <v>56</v>
      </c>
      <c r="V53" s="1176"/>
      <c r="W53" s="1174"/>
      <c r="X53" s="1177" t="s">
        <v>56</v>
      </c>
      <c r="Y53" s="1176"/>
      <c r="Z53" s="1174"/>
      <c r="AA53" s="1175" t="s">
        <v>56</v>
      </c>
      <c r="AB53" s="1176"/>
      <c r="AC53" s="1174"/>
      <c r="AD53" s="1177" t="s">
        <v>56</v>
      </c>
      <c r="AE53" s="1176"/>
      <c r="AF53" s="1174"/>
      <c r="AG53" s="1175" t="s">
        <v>56</v>
      </c>
      <c r="AH53" s="1176"/>
      <c r="AI53" s="1174"/>
      <c r="AJ53" s="1177" t="s">
        <v>56</v>
      </c>
      <c r="AK53" s="1176"/>
      <c r="AL53" s="1174"/>
      <c r="AM53" s="1175" t="s">
        <v>56</v>
      </c>
      <c r="AN53" s="1176"/>
      <c r="AO53" s="1174"/>
      <c r="AP53" s="1177" t="s">
        <v>56</v>
      </c>
      <c r="AQ53" s="1178"/>
      <c r="AR53" s="2285">
        <f t="shared" si="13"/>
        <v>0</v>
      </c>
      <c r="AS53" s="2286"/>
      <c r="AT53" s="2287">
        <f t="shared" si="10"/>
        <v>1</v>
      </c>
      <c r="AU53" s="2288"/>
      <c r="AV53" s="2289" t="str">
        <f>IF(BG53=0,"外语:",BG53)</f>
        <v>外语:</v>
      </c>
      <c r="AW53" s="2290"/>
      <c r="AX53" s="2291"/>
      <c r="AY53" s="2292">
        <f t="shared" si="9"/>
        <v>0</v>
      </c>
      <c r="AZ53" s="2293"/>
      <c r="BA53" s="2294" t="s">
        <v>102</v>
      </c>
      <c r="BB53" s="2294"/>
      <c r="BC53" s="2295">
        <f>IF(ISTEXT(IFERROR(VLOOKUP(人物卡!BE53,人物卡!$DI$25:$DQ$29,1,FALSE),IFERROR(VLOOKUP(人物卡!BE53,人物卡!$CZ$25:$DB$29,1,FALSE),0))),"★",INDEX(本职技能!$A$2:$IC$87,MATCH(人物卡!BE53,本职技能!$A$2:$A$87,0),MATCH(人物卡!$BL$11,本职技能!$A$1:$IC$1,0)))</f>
        <v>0</v>
      </c>
      <c r="BD53" s="2295"/>
      <c r="BE53" s="2296" t="s">
        <v>195</v>
      </c>
      <c r="BF53" s="2296"/>
      <c r="BG53" s="2296"/>
      <c r="BH53" s="2296"/>
      <c r="BI53" s="2297">
        <v>1</v>
      </c>
      <c r="BJ53" s="2297"/>
      <c r="BK53" s="2297">
        <f t="shared" si="11"/>
        <v>0</v>
      </c>
      <c r="BL53" s="2297"/>
      <c r="BM53" s="2298"/>
      <c r="BN53" s="2298"/>
      <c r="BO53" s="2298"/>
      <c r="BP53" s="2298"/>
      <c r="BQ53" s="2299">
        <f t="shared" si="16"/>
        <v>1</v>
      </c>
      <c r="BR53" s="2299"/>
      <c r="BS53" s="2300">
        <f t="shared" si="3"/>
        <v>0</v>
      </c>
      <c r="BT53" s="2300"/>
      <c r="BU53" s="2300">
        <f t="shared" si="4"/>
        <v>0</v>
      </c>
      <c r="BV53" s="2300"/>
      <c r="BW53" s="2301" t="s">
        <v>102</v>
      </c>
      <c r="BX53" s="2302"/>
      <c r="BY53" s="2303">
        <f>IF(ISTEXT(IFERROR(VLOOKUP(人物卡!CA53,人物卡!$DI$25:$DQ$29,1,FALSE),IFERROR(VLOOKUP(人物卡!CA53,人物卡!$CZ$25:$DB$29,1,FALSE),0))),"★",INDEX(本职技能!$A$2:$IC$87,MATCH(人物卡!CA53,本职技能!$A$2:$A$87,0),MATCH(人物卡!$BL$11,本职技能!$A$1:$IC$1,0)))</f>
        <v>0</v>
      </c>
      <c r="BZ53" s="2303"/>
      <c r="CA53" s="1316" t="s">
        <v>196</v>
      </c>
      <c r="CB53" s="1316"/>
      <c r="CC53" s="1316"/>
      <c r="CD53" s="1316"/>
      <c r="CE53" s="2282">
        <v>1</v>
      </c>
      <c r="CF53" s="2282"/>
      <c r="CG53" s="2282">
        <f t="shared" si="12"/>
        <v>0</v>
      </c>
      <c r="CH53" s="2282"/>
      <c r="CI53" s="2283"/>
      <c r="CJ53" s="2283"/>
      <c r="CK53" s="2283"/>
      <c r="CL53" s="2283"/>
      <c r="CM53" s="2284">
        <f t="shared" si="5"/>
        <v>1</v>
      </c>
      <c r="CN53" s="2284"/>
      <c r="CO53" s="1542">
        <f t="shared" si="6"/>
        <v>0</v>
      </c>
      <c r="CP53" s="1542"/>
      <c r="CQ53" s="1542">
        <f t="shared" si="7"/>
        <v>0</v>
      </c>
      <c r="CR53" s="1545"/>
      <c r="CS53" s="412"/>
      <c r="CT53" s="1393" t="e">
        <f>附表!AO22</f>
        <v>#N/A</v>
      </c>
      <c r="CU53" s="1394"/>
      <c r="CV53" s="1394"/>
      <c r="CW53" s="1394"/>
      <c r="CX53" s="1394"/>
      <c r="CY53" s="1394"/>
      <c r="CZ53" s="1394"/>
      <c r="DA53" s="1394"/>
      <c r="DB53" s="1394"/>
      <c r="DC53" s="1394"/>
      <c r="DD53" s="1394"/>
      <c r="DE53" s="1394"/>
      <c r="DF53" s="1394"/>
      <c r="DG53" s="1394"/>
      <c r="DH53" s="1394"/>
      <c r="DI53" s="1394"/>
      <c r="DJ53" s="1394"/>
      <c r="DK53" s="1394"/>
      <c r="DL53" s="1394"/>
      <c r="DM53" s="1394"/>
      <c r="DN53" s="1394"/>
      <c r="DO53" s="1394"/>
      <c r="DP53" s="1394"/>
      <c r="DQ53" s="1395"/>
    </row>
    <row r="54" spans="2:121" ht="16.5">
      <c r="B54" s="1169"/>
      <c r="C54" s="1170" t="s">
        <v>56</v>
      </c>
      <c r="D54" s="1171"/>
      <c r="E54" s="1169"/>
      <c r="F54" s="1172" t="s">
        <v>56</v>
      </c>
      <c r="G54" s="1171"/>
      <c r="H54" s="1169"/>
      <c r="I54" s="1170" t="s">
        <v>56</v>
      </c>
      <c r="J54" s="1171"/>
      <c r="K54" s="1169"/>
      <c r="L54" s="1172" t="s">
        <v>56</v>
      </c>
      <c r="M54" s="1171"/>
      <c r="N54" s="1169"/>
      <c r="O54" s="1170" t="s">
        <v>56</v>
      </c>
      <c r="P54" s="1171"/>
      <c r="Q54" s="1169"/>
      <c r="R54" s="1172" t="s">
        <v>56</v>
      </c>
      <c r="S54" s="1171"/>
      <c r="T54" s="1169"/>
      <c r="U54" s="1170" t="s">
        <v>56</v>
      </c>
      <c r="V54" s="1171"/>
      <c r="W54" s="1169"/>
      <c r="X54" s="1172" t="s">
        <v>56</v>
      </c>
      <c r="Y54" s="1171"/>
      <c r="Z54" s="1169"/>
      <c r="AA54" s="1170" t="s">
        <v>56</v>
      </c>
      <c r="AB54" s="1171"/>
      <c r="AC54" s="1169"/>
      <c r="AD54" s="1172" t="s">
        <v>56</v>
      </c>
      <c r="AE54" s="1171"/>
      <c r="AF54" s="1169"/>
      <c r="AG54" s="1170" t="s">
        <v>56</v>
      </c>
      <c r="AH54" s="1171"/>
      <c r="AI54" s="1169"/>
      <c r="AJ54" s="1172" t="s">
        <v>56</v>
      </c>
      <c r="AK54" s="1171"/>
      <c r="AL54" s="1169"/>
      <c r="AM54" s="1170" t="s">
        <v>56</v>
      </c>
      <c r="AN54" s="1171"/>
      <c r="AO54" s="1169"/>
      <c r="AP54" s="1172" t="s">
        <v>56</v>
      </c>
      <c r="AQ54" s="1173"/>
      <c r="AR54" s="2304">
        <f t="shared" si="13"/>
        <v>0</v>
      </c>
      <c r="AS54" s="2305"/>
      <c r="AT54" s="2306">
        <f t="shared" si="10"/>
        <v>1</v>
      </c>
      <c r="AU54" s="2307"/>
      <c r="AV54" s="2308" t="str">
        <f>IF(BG54=0,"外语:",BG54)</f>
        <v>外语:</v>
      </c>
      <c r="AW54" s="2309"/>
      <c r="AX54" s="2310"/>
      <c r="AY54" s="2311">
        <f t="shared" si="9"/>
        <v>0</v>
      </c>
      <c r="AZ54" s="2312"/>
      <c r="BA54" s="2313" t="s">
        <v>102</v>
      </c>
      <c r="BB54" s="2313"/>
      <c r="BC54" s="2314">
        <f>IF(ISTEXT(IFERROR(VLOOKUP(人物卡!BE54,人物卡!$DI$25:$DQ$29,1,FALSE),IFERROR(VLOOKUP(人物卡!BE54,人物卡!$CZ$25:$DB$29,1,FALSE),0))),"★",INDEX(本职技能!$A$2:$IC$87,MATCH(人物卡!BE54,本职技能!$A$2:$A$87,0),MATCH(人物卡!$BL$11,本职技能!$A$1:$IC$1,0)))</f>
        <v>0</v>
      </c>
      <c r="BD54" s="2314"/>
      <c r="BE54" s="2316" t="s">
        <v>197</v>
      </c>
      <c r="BF54" s="2316"/>
      <c r="BG54" s="2316"/>
      <c r="BH54" s="2316"/>
      <c r="BI54" s="2317">
        <v>1</v>
      </c>
      <c r="BJ54" s="2317"/>
      <c r="BK54" s="2317">
        <f t="shared" si="11"/>
        <v>0</v>
      </c>
      <c r="BL54" s="2317"/>
      <c r="BM54" s="2318"/>
      <c r="BN54" s="2318"/>
      <c r="BO54" s="2318"/>
      <c r="BP54" s="2318"/>
      <c r="BQ54" s="2319">
        <f t="shared" si="16"/>
        <v>1</v>
      </c>
      <c r="BR54" s="2319"/>
      <c r="BS54" s="2320">
        <f t="shared" si="3"/>
        <v>0</v>
      </c>
      <c r="BT54" s="2320"/>
      <c r="BU54" s="2320">
        <f t="shared" si="4"/>
        <v>0</v>
      </c>
      <c r="BV54" s="2320"/>
      <c r="BW54" s="2321" t="s">
        <v>102</v>
      </c>
      <c r="BX54" s="2322"/>
      <c r="BY54" s="2323">
        <f>IF(ISTEXT(IFERROR(VLOOKUP(人物卡!CA54,人物卡!$DI$25:$DQ$29,1,FALSE),IFERROR(VLOOKUP(人物卡!CA54,人物卡!$CZ$25:$DB$29,1,FALSE),0))),"★",INDEX(本职技能!$A$2:$IC$87,MATCH(人物卡!CA54,本职技能!$A$2:$A$87,0),MATCH(人物卡!$BL$11,本职技能!$A$1:$IC$1,0)))</f>
        <v>0</v>
      </c>
      <c r="BZ54" s="2323"/>
      <c r="CA54" s="2324" t="s">
        <v>198</v>
      </c>
      <c r="CB54" s="2324"/>
      <c r="CC54" s="2324"/>
      <c r="CD54" s="2324"/>
      <c r="CE54" s="2325">
        <v>1</v>
      </c>
      <c r="CF54" s="2325"/>
      <c r="CG54" s="2325">
        <f t="shared" si="12"/>
        <v>0</v>
      </c>
      <c r="CH54" s="2325"/>
      <c r="CI54" s="2326"/>
      <c r="CJ54" s="2326"/>
      <c r="CK54" s="2327"/>
      <c r="CL54" s="2327"/>
      <c r="CM54" s="2328">
        <f t="shared" si="5"/>
        <v>1</v>
      </c>
      <c r="CN54" s="2328"/>
      <c r="CO54" s="2329">
        <f t="shared" si="6"/>
        <v>0</v>
      </c>
      <c r="CP54" s="2329"/>
      <c r="CQ54" s="2329">
        <f t="shared" si="7"/>
        <v>0</v>
      </c>
      <c r="CR54" s="2330"/>
      <c r="CS54" s="412"/>
      <c r="CT54" s="1396"/>
      <c r="CU54" s="1397"/>
      <c r="CV54" s="1397"/>
      <c r="CW54" s="1397"/>
      <c r="CX54" s="1397"/>
      <c r="CY54" s="1397"/>
      <c r="CZ54" s="1397"/>
      <c r="DA54" s="1397"/>
      <c r="DB54" s="1397"/>
      <c r="DC54" s="1397"/>
      <c r="DD54" s="1397"/>
      <c r="DE54" s="1397"/>
      <c r="DF54" s="1397"/>
      <c r="DG54" s="1397"/>
      <c r="DH54" s="1397"/>
      <c r="DI54" s="1397"/>
      <c r="DJ54" s="1397"/>
      <c r="DK54" s="1397"/>
      <c r="DL54" s="1397"/>
      <c r="DM54" s="1397"/>
      <c r="DN54" s="1397"/>
      <c r="DO54" s="1397"/>
      <c r="DP54" s="1397"/>
      <c r="DQ54" s="1398"/>
    </row>
    <row r="55" spans="2:121" ht="16.5">
      <c r="B55" s="1174"/>
      <c r="C55" s="1175" t="s">
        <v>56</v>
      </c>
      <c r="D55" s="1176"/>
      <c r="E55" s="1174"/>
      <c r="F55" s="1177" t="s">
        <v>56</v>
      </c>
      <c r="G55" s="1176"/>
      <c r="H55" s="1174"/>
      <c r="I55" s="1175" t="s">
        <v>56</v>
      </c>
      <c r="J55" s="1176"/>
      <c r="K55" s="1174"/>
      <c r="L55" s="1177" t="s">
        <v>56</v>
      </c>
      <c r="M55" s="1176"/>
      <c r="N55" s="1174"/>
      <c r="O55" s="1175" t="s">
        <v>56</v>
      </c>
      <c r="P55" s="1176"/>
      <c r="Q55" s="1174"/>
      <c r="R55" s="1177" t="s">
        <v>56</v>
      </c>
      <c r="S55" s="1176"/>
      <c r="T55" s="1174"/>
      <c r="U55" s="1175" t="s">
        <v>56</v>
      </c>
      <c r="V55" s="1176"/>
      <c r="W55" s="1174"/>
      <c r="X55" s="1177" t="s">
        <v>56</v>
      </c>
      <c r="Y55" s="1176"/>
      <c r="Z55" s="1174"/>
      <c r="AA55" s="1175" t="s">
        <v>56</v>
      </c>
      <c r="AB55" s="1176"/>
      <c r="AC55" s="1174"/>
      <c r="AD55" s="1177" t="s">
        <v>56</v>
      </c>
      <c r="AE55" s="1176"/>
      <c r="AF55" s="1174"/>
      <c r="AG55" s="1175" t="s">
        <v>56</v>
      </c>
      <c r="AH55" s="1176"/>
      <c r="AI55" s="1174"/>
      <c r="AJ55" s="1177" t="s">
        <v>56</v>
      </c>
      <c r="AK55" s="1176"/>
      <c r="AL55" s="1174"/>
      <c r="AM55" s="1175" t="s">
        <v>56</v>
      </c>
      <c r="AN55" s="1176"/>
      <c r="AO55" s="1174"/>
      <c r="AP55" s="1177" t="s">
        <v>56</v>
      </c>
      <c r="AQ55" s="1178"/>
      <c r="AR55" s="2285">
        <f t="shared" si="13"/>
        <v>0</v>
      </c>
      <c r="AS55" s="2286"/>
      <c r="AT55" s="2287">
        <f t="shared" si="10"/>
        <v>1</v>
      </c>
      <c r="AU55" s="2288"/>
      <c r="AV55" s="2289" t="str">
        <f>IF(BG55=0,"外语:",BG55)</f>
        <v>外语:</v>
      </c>
      <c r="AW55" s="2290"/>
      <c r="AX55" s="2291"/>
      <c r="AY55" s="2292">
        <f t="shared" si="9"/>
        <v>0</v>
      </c>
      <c r="AZ55" s="2293"/>
      <c r="BA55" s="2294" t="s">
        <v>102</v>
      </c>
      <c r="BB55" s="2294"/>
      <c r="BC55" s="2295">
        <f>IF(ISTEXT(IFERROR(VLOOKUP(人物卡!BE55,人物卡!$DI$25:$DQ$29,1,FALSE),IFERROR(VLOOKUP(人物卡!BE55,人物卡!$CZ$25:$DB$29,1,FALSE),0))),"★",INDEX(本职技能!$A$2:$IC$87,MATCH(人物卡!BE55,本职技能!$A$2:$A$87,0),MATCH(人物卡!$BL$11,本职技能!$A$1:$IC$1,0)))</f>
        <v>0</v>
      </c>
      <c r="BD55" s="2295"/>
      <c r="BE55" s="2296" t="s">
        <v>199</v>
      </c>
      <c r="BF55" s="2296"/>
      <c r="BG55" s="2296"/>
      <c r="BH55" s="2296"/>
      <c r="BI55" s="2297">
        <v>1</v>
      </c>
      <c r="BJ55" s="2297"/>
      <c r="BK55" s="2297">
        <f t="shared" si="11"/>
        <v>0</v>
      </c>
      <c r="BL55" s="2297"/>
      <c r="BM55" s="2298"/>
      <c r="BN55" s="2298"/>
      <c r="BO55" s="2298"/>
      <c r="BP55" s="2298"/>
      <c r="BQ55" s="2299">
        <f t="shared" si="16"/>
        <v>1</v>
      </c>
      <c r="BR55" s="2299"/>
      <c r="BS55" s="2300">
        <f t="shared" si="3"/>
        <v>0</v>
      </c>
      <c r="BT55" s="2300"/>
      <c r="BU55" s="2300">
        <f t="shared" si="4"/>
        <v>0</v>
      </c>
      <c r="BV55" s="2300"/>
      <c r="BW55" s="2301" t="s">
        <v>102</v>
      </c>
      <c r="BX55" s="2302"/>
      <c r="BY55" s="2303">
        <f>IF(ISTEXT(IFERROR(VLOOKUP(人物卡!CA55,人物卡!$DI$25:$DQ$29,1,FALSE),IFERROR(VLOOKUP(人物卡!CA55,人物卡!$CZ$25:$DB$29,1,FALSE),0))),"★",INDEX(本职技能!$A$2:$IC$87,MATCH(人物卡!CA55,本职技能!$A$2:$A$87,0),MATCH(人物卡!$BL$11,本职技能!$A$1:$IC$1,0)))</f>
        <v>0</v>
      </c>
      <c r="BZ55" s="2303"/>
      <c r="CA55" s="1316" t="s">
        <v>200</v>
      </c>
      <c r="CB55" s="1316"/>
      <c r="CC55" s="1316"/>
      <c r="CD55" s="1179"/>
      <c r="CE55" s="2282">
        <v>1</v>
      </c>
      <c r="CF55" s="2282"/>
      <c r="CG55" s="2282">
        <f t="shared" si="12"/>
        <v>0</v>
      </c>
      <c r="CH55" s="2282"/>
      <c r="CI55" s="2283"/>
      <c r="CJ55" s="2283"/>
      <c r="CK55" s="2283"/>
      <c r="CL55" s="2283"/>
      <c r="CM55" s="2284">
        <f t="shared" si="5"/>
        <v>1</v>
      </c>
      <c r="CN55" s="2284"/>
      <c r="CO55" s="1542">
        <f t="shared" si="6"/>
        <v>0</v>
      </c>
      <c r="CP55" s="1542"/>
      <c r="CQ55" s="1542">
        <f t="shared" si="7"/>
        <v>0</v>
      </c>
      <c r="CR55" s="1545"/>
      <c r="CS55" s="412"/>
      <c r="CT55" s="1396"/>
      <c r="CU55" s="1397"/>
      <c r="CV55" s="1397"/>
      <c r="CW55" s="1397"/>
      <c r="CX55" s="1397"/>
      <c r="CY55" s="1397"/>
      <c r="CZ55" s="1397"/>
      <c r="DA55" s="1397"/>
      <c r="DB55" s="1397"/>
      <c r="DC55" s="1397"/>
      <c r="DD55" s="1397"/>
      <c r="DE55" s="1397"/>
      <c r="DF55" s="1397"/>
      <c r="DG55" s="1397"/>
      <c r="DH55" s="1397"/>
      <c r="DI55" s="1397"/>
      <c r="DJ55" s="1397"/>
      <c r="DK55" s="1397"/>
      <c r="DL55" s="1397"/>
      <c r="DM55" s="1397"/>
      <c r="DN55" s="1397"/>
      <c r="DO55" s="1397"/>
      <c r="DP55" s="1397"/>
      <c r="DQ55" s="1398"/>
    </row>
    <row r="56" spans="2:121" ht="16.5">
      <c r="B56" s="1169"/>
      <c r="C56" s="1170" t="s">
        <v>56</v>
      </c>
      <c r="D56" s="1171"/>
      <c r="E56" s="1169"/>
      <c r="F56" s="1172" t="s">
        <v>56</v>
      </c>
      <c r="G56" s="1171"/>
      <c r="H56" s="1169"/>
      <c r="I56" s="1170" t="s">
        <v>56</v>
      </c>
      <c r="J56" s="1171"/>
      <c r="K56" s="1169"/>
      <c r="L56" s="1172" t="s">
        <v>56</v>
      </c>
      <c r="M56" s="1171"/>
      <c r="N56" s="1169"/>
      <c r="O56" s="1170" t="s">
        <v>56</v>
      </c>
      <c r="P56" s="1171"/>
      <c r="Q56" s="1169"/>
      <c r="R56" s="1172" t="s">
        <v>56</v>
      </c>
      <c r="S56" s="1171"/>
      <c r="T56" s="1169"/>
      <c r="U56" s="1170" t="s">
        <v>56</v>
      </c>
      <c r="V56" s="1171"/>
      <c r="W56" s="1169"/>
      <c r="X56" s="1172" t="s">
        <v>56</v>
      </c>
      <c r="Y56" s="1171"/>
      <c r="Z56" s="1169"/>
      <c r="AA56" s="1170" t="s">
        <v>56</v>
      </c>
      <c r="AB56" s="1171"/>
      <c r="AC56" s="1169"/>
      <c r="AD56" s="1172" t="s">
        <v>56</v>
      </c>
      <c r="AE56" s="1171"/>
      <c r="AF56" s="1169"/>
      <c r="AG56" s="1170" t="s">
        <v>56</v>
      </c>
      <c r="AH56" s="1171"/>
      <c r="AI56" s="1169"/>
      <c r="AJ56" s="1172" t="s">
        <v>56</v>
      </c>
      <c r="AK56" s="1171"/>
      <c r="AL56" s="1169"/>
      <c r="AM56" s="1170" t="s">
        <v>56</v>
      </c>
      <c r="AN56" s="1171"/>
      <c r="AO56" s="1169"/>
      <c r="AP56" s="1172" t="s">
        <v>56</v>
      </c>
      <c r="AQ56" s="1173"/>
      <c r="AR56" s="2304">
        <f t="shared" si="13"/>
        <v>0</v>
      </c>
      <c r="AS56" s="2305"/>
      <c r="AT56" s="2306">
        <f t="shared" si="10"/>
        <v>1</v>
      </c>
      <c r="AU56" s="2307"/>
      <c r="AV56" s="2308" t="str">
        <f>IF(BG56=0,"外语:",BG56)</f>
        <v>外语:</v>
      </c>
      <c r="AW56" s="2309"/>
      <c r="AX56" s="2310"/>
      <c r="AY56" s="2311">
        <f t="shared" si="9"/>
        <v>0</v>
      </c>
      <c r="AZ56" s="2312"/>
      <c r="BA56" s="2313" t="s">
        <v>102</v>
      </c>
      <c r="BB56" s="2313"/>
      <c r="BC56" s="2314">
        <f>IF(ISTEXT(IFERROR(VLOOKUP(人物卡!BE56,人物卡!$DI$25:$DQ$29,1,FALSE),IFERROR(VLOOKUP(人物卡!BE56,人物卡!$CZ$25:$DB$29,1,FALSE),0))),"★",INDEX(本职技能!$A$2:$IC$87,MATCH(人物卡!BE56,本职技能!$A$2:$A$87,0),MATCH(人物卡!$BL$11,本职技能!$A$1:$IC$1,0)))</f>
        <v>0</v>
      </c>
      <c r="BD56" s="2314"/>
      <c r="BE56" s="2315" t="s">
        <v>201</v>
      </c>
      <c r="BF56" s="2315"/>
      <c r="BG56" s="2316"/>
      <c r="BH56" s="2316"/>
      <c r="BI56" s="2317">
        <v>1</v>
      </c>
      <c r="BJ56" s="2317"/>
      <c r="BK56" s="2317">
        <f t="shared" si="11"/>
        <v>0</v>
      </c>
      <c r="BL56" s="2317"/>
      <c r="BM56" s="2318"/>
      <c r="BN56" s="2318"/>
      <c r="BO56" s="2318"/>
      <c r="BP56" s="2318"/>
      <c r="BQ56" s="2319">
        <f t="shared" si="16"/>
        <v>1</v>
      </c>
      <c r="BR56" s="2319"/>
      <c r="BS56" s="2320">
        <f t="shared" si="3"/>
        <v>0</v>
      </c>
      <c r="BT56" s="2320"/>
      <c r="BU56" s="2320">
        <f t="shared" si="4"/>
        <v>0</v>
      </c>
      <c r="BV56" s="2320"/>
      <c r="BW56" s="2321" t="s">
        <v>102</v>
      </c>
      <c r="BX56" s="2322"/>
      <c r="BY56" s="2323">
        <f>IF(ISTEXT(IFERROR(VLOOKUP(人物卡!CA56,人物卡!$DI$25:$DQ$29,1,FALSE),IFERROR(VLOOKUP(人物卡!CA56,人物卡!$CZ$25:$DB$29,1,FALSE),0))),"★",INDEX(本职技能!$A$2:$IC$87,MATCH(人物卡!CA56,本职技能!$A$2:$A$87,0),MATCH(人物卡!$BL$11,本职技能!$A$1:$IC$1,0)))</f>
        <v>0</v>
      </c>
      <c r="BZ56" s="2323"/>
      <c r="CA56" s="2324" t="s">
        <v>202</v>
      </c>
      <c r="CB56" s="2324"/>
      <c r="CC56" s="2324"/>
      <c r="CD56" s="1180"/>
      <c r="CE56" s="2325">
        <v>1</v>
      </c>
      <c r="CF56" s="2325"/>
      <c r="CG56" s="2325">
        <f t="shared" si="12"/>
        <v>0</v>
      </c>
      <c r="CH56" s="2325"/>
      <c r="CI56" s="2326"/>
      <c r="CJ56" s="2326"/>
      <c r="CK56" s="2327"/>
      <c r="CL56" s="2327"/>
      <c r="CM56" s="2328">
        <f t="shared" si="5"/>
        <v>1</v>
      </c>
      <c r="CN56" s="2328"/>
      <c r="CO56" s="2329">
        <f t="shared" si="6"/>
        <v>0</v>
      </c>
      <c r="CP56" s="2329"/>
      <c r="CQ56" s="2329">
        <f t="shared" si="7"/>
        <v>0</v>
      </c>
      <c r="CR56" s="2330"/>
      <c r="CS56" s="412"/>
      <c r="CT56" s="1396"/>
      <c r="CU56" s="1397"/>
      <c r="CV56" s="1397"/>
      <c r="CW56" s="1397"/>
      <c r="CX56" s="1397"/>
      <c r="CY56" s="1397"/>
      <c r="CZ56" s="1397"/>
      <c r="DA56" s="1397"/>
      <c r="DB56" s="1397"/>
      <c r="DC56" s="1397"/>
      <c r="DD56" s="1397"/>
      <c r="DE56" s="1397"/>
      <c r="DF56" s="1397"/>
      <c r="DG56" s="1397"/>
      <c r="DH56" s="1397"/>
      <c r="DI56" s="1397"/>
      <c r="DJ56" s="1397"/>
      <c r="DK56" s="1397"/>
      <c r="DL56" s="1397"/>
      <c r="DM56" s="1397"/>
      <c r="DN56" s="1397"/>
      <c r="DO56" s="1397"/>
      <c r="DP56" s="1397"/>
      <c r="DQ56" s="1398"/>
    </row>
    <row r="57" spans="2:121" ht="16.5">
      <c r="B57" s="1174"/>
      <c r="C57" s="1175" t="s">
        <v>56</v>
      </c>
      <c r="D57" s="1176"/>
      <c r="E57" s="1174"/>
      <c r="F57" s="1177" t="s">
        <v>56</v>
      </c>
      <c r="G57" s="1176"/>
      <c r="H57" s="1174"/>
      <c r="I57" s="1175" t="s">
        <v>56</v>
      </c>
      <c r="J57" s="1176"/>
      <c r="K57" s="1174"/>
      <c r="L57" s="1177" t="s">
        <v>56</v>
      </c>
      <c r="M57" s="1176"/>
      <c r="N57" s="1174"/>
      <c r="O57" s="1175" t="s">
        <v>56</v>
      </c>
      <c r="P57" s="1176"/>
      <c r="Q57" s="1174"/>
      <c r="R57" s="1177" t="s">
        <v>56</v>
      </c>
      <c r="S57" s="1176"/>
      <c r="T57" s="1174"/>
      <c r="U57" s="1175" t="s">
        <v>56</v>
      </c>
      <c r="V57" s="1176"/>
      <c r="W57" s="1174"/>
      <c r="X57" s="1177" t="s">
        <v>56</v>
      </c>
      <c r="Y57" s="1176"/>
      <c r="Z57" s="1174"/>
      <c r="AA57" s="1175" t="s">
        <v>56</v>
      </c>
      <c r="AB57" s="1176"/>
      <c r="AC57" s="1174"/>
      <c r="AD57" s="1177" t="s">
        <v>56</v>
      </c>
      <c r="AE57" s="1176"/>
      <c r="AF57" s="1174"/>
      <c r="AG57" s="1175" t="s">
        <v>56</v>
      </c>
      <c r="AH57" s="1176"/>
      <c r="AI57" s="1174"/>
      <c r="AJ57" s="1177" t="s">
        <v>56</v>
      </c>
      <c r="AK57" s="1176"/>
      <c r="AL57" s="1174"/>
      <c r="AM57" s="1175" t="s">
        <v>56</v>
      </c>
      <c r="AN57" s="1176"/>
      <c r="AO57" s="1174"/>
      <c r="AP57" s="1177" t="s">
        <v>56</v>
      </c>
      <c r="AQ57" s="1178"/>
      <c r="AR57" s="2285">
        <f t="shared" si="13"/>
        <v>0</v>
      </c>
      <c r="AS57" s="2286"/>
      <c r="AT57" s="2287">
        <f t="shared" si="10"/>
        <v>1</v>
      </c>
      <c r="AU57" s="2288"/>
      <c r="AV57" s="2289" t="str">
        <f>IF(BG57=0,"外语:",BG57)</f>
        <v>外语:</v>
      </c>
      <c r="AW57" s="2290"/>
      <c r="AX57" s="2291"/>
      <c r="AY57" s="2292">
        <f t="shared" si="9"/>
        <v>0</v>
      </c>
      <c r="AZ57" s="2293"/>
      <c r="BA57" s="2294" t="s">
        <v>102</v>
      </c>
      <c r="BB57" s="2294"/>
      <c r="BC57" s="2295">
        <f>IF(ISTEXT(IFERROR(VLOOKUP(人物卡!BE57,人物卡!$DI$25:$DQ$29,1,FALSE),IFERROR(VLOOKUP(人物卡!BE57,人物卡!$CZ$25:$DB$29,1,FALSE),0))),"★",INDEX(本职技能!$A$2:$IC$87,MATCH(人物卡!BE57,本职技能!$A$2:$A$87,0),MATCH(人物卡!$BL$11,本职技能!$A$1:$IC$1,0)))</f>
        <v>0</v>
      </c>
      <c r="BD57" s="2295"/>
      <c r="BE57" s="2296" t="s">
        <v>203</v>
      </c>
      <c r="BF57" s="2296"/>
      <c r="BG57" s="2296"/>
      <c r="BH57" s="2296"/>
      <c r="BI57" s="2297">
        <v>1</v>
      </c>
      <c r="BJ57" s="2297"/>
      <c r="BK57" s="2297">
        <f t="shared" si="11"/>
        <v>0</v>
      </c>
      <c r="BL57" s="2297"/>
      <c r="BM57" s="2298"/>
      <c r="BN57" s="2298"/>
      <c r="BO57" s="2298"/>
      <c r="BP57" s="2298"/>
      <c r="BQ57" s="2299">
        <f t="shared" si="16"/>
        <v>1</v>
      </c>
      <c r="BR57" s="2299"/>
      <c r="BS57" s="2300">
        <f t="shared" si="3"/>
        <v>0</v>
      </c>
      <c r="BT57" s="2300"/>
      <c r="BU57" s="2300">
        <f t="shared" si="4"/>
        <v>0</v>
      </c>
      <c r="BV57" s="2300"/>
      <c r="BW57" s="2301" t="s">
        <v>102</v>
      </c>
      <c r="BX57" s="2302"/>
      <c r="BY57" s="2303">
        <f>IF(ISTEXT(IFERROR(VLOOKUP(人物卡!CA57,人物卡!$DI$25:$DQ$29,1,FALSE),IFERROR(VLOOKUP(人物卡!CA57,人物卡!$CZ$25:$DB$29,1,FALSE),0))),"★",INDEX(本职技能!$A$2:$IC$87,MATCH(人物卡!CA57,本职技能!$A$2:$A$87,0),MATCH(人物卡!$BL$11,本职技能!$A$1:$IC$1,0)))</f>
        <v>0</v>
      </c>
      <c r="BZ57" s="2303"/>
      <c r="CA57" s="1316" t="s">
        <v>204</v>
      </c>
      <c r="CB57" s="1316"/>
      <c r="CC57" s="1316"/>
      <c r="CD57" s="1316"/>
      <c r="CE57" s="2282">
        <v>1</v>
      </c>
      <c r="CF57" s="2282"/>
      <c r="CG57" s="2282">
        <f t="shared" si="12"/>
        <v>0</v>
      </c>
      <c r="CH57" s="2282"/>
      <c r="CI57" s="2283"/>
      <c r="CJ57" s="2283"/>
      <c r="CK57" s="2283"/>
      <c r="CL57" s="2283"/>
      <c r="CM57" s="2284">
        <f t="shared" si="5"/>
        <v>1</v>
      </c>
      <c r="CN57" s="2284"/>
      <c r="CO57" s="1542">
        <f t="shared" si="6"/>
        <v>0</v>
      </c>
      <c r="CP57" s="1542"/>
      <c r="CQ57" s="1542">
        <f t="shared" si="7"/>
        <v>0</v>
      </c>
      <c r="CR57" s="1545"/>
      <c r="CS57" s="412"/>
      <c r="CT57" s="1396"/>
      <c r="CU57" s="1397"/>
      <c r="CV57" s="1397"/>
      <c r="CW57" s="1397"/>
      <c r="CX57" s="1397"/>
      <c r="CY57" s="1397"/>
      <c r="CZ57" s="1397"/>
      <c r="DA57" s="1397"/>
      <c r="DB57" s="1397"/>
      <c r="DC57" s="1397"/>
      <c r="DD57" s="1397"/>
      <c r="DE57" s="1397"/>
      <c r="DF57" s="1397"/>
      <c r="DG57" s="1397"/>
      <c r="DH57" s="1397"/>
      <c r="DI57" s="1397"/>
      <c r="DJ57" s="1397"/>
      <c r="DK57" s="1397"/>
      <c r="DL57" s="1397"/>
      <c r="DM57" s="1397"/>
      <c r="DN57" s="1397"/>
      <c r="DO57" s="1397"/>
      <c r="DP57" s="1397"/>
      <c r="DQ57" s="1398"/>
    </row>
    <row r="58" spans="2:121" ht="16.5">
      <c r="B58" s="1181"/>
      <c r="C58" s="1182" t="s">
        <v>56</v>
      </c>
      <c r="D58" s="1183"/>
      <c r="E58" s="1181"/>
      <c r="F58" s="1184" t="s">
        <v>56</v>
      </c>
      <c r="G58" s="1183"/>
      <c r="H58" s="1181"/>
      <c r="I58" s="1182" t="s">
        <v>56</v>
      </c>
      <c r="J58" s="1183"/>
      <c r="K58" s="1181"/>
      <c r="L58" s="1184" t="s">
        <v>56</v>
      </c>
      <c r="M58" s="1183"/>
      <c r="N58" s="1181"/>
      <c r="O58" s="1182" t="s">
        <v>56</v>
      </c>
      <c r="P58" s="1183"/>
      <c r="Q58" s="1181"/>
      <c r="R58" s="1184" t="s">
        <v>56</v>
      </c>
      <c r="S58" s="1183"/>
      <c r="T58" s="1181"/>
      <c r="U58" s="1182" t="s">
        <v>56</v>
      </c>
      <c r="V58" s="1183"/>
      <c r="W58" s="1181"/>
      <c r="X58" s="1184" t="s">
        <v>56</v>
      </c>
      <c r="Y58" s="1183"/>
      <c r="Z58" s="1181"/>
      <c r="AA58" s="1182" t="s">
        <v>56</v>
      </c>
      <c r="AB58" s="1183"/>
      <c r="AC58" s="1181"/>
      <c r="AD58" s="1184" t="s">
        <v>56</v>
      </c>
      <c r="AE58" s="1183"/>
      <c r="AF58" s="1181"/>
      <c r="AG58" s="1182" t="s">
        <v>56</v>
      </c>
      <c r="AH58" s="1183"/>
      <c r="AI58" s="1181"/>
      <c r="AJ58" s="1184" t="s">
        <v>56</v>
      </c>
      <c r="AK58" s="1183"/>
      <c r="AL58" s="1181"/>
      <c r="AM58" s="1182" t="s">
        <v>56</v>
      </c>
      <c r="AN58" s="1183"/>
      <c r="AO58" s="1181"/>
      <c r="AP58" s="1184" t="s">
        <v>56</v>
      </c>
      <c r="AQ58" s="1185"/>
      <c r="AR58" s="2212">
        <f t="shared" si="13"/>
        <v>0</v>
      </c>
      <c r="AS58" s="2213"/>
      <c r="AT58" s="2265">
        <f t="shared" si="10"/>
        <v>0</v>
      </c>
      <c r="AU58" s="2266"/>
      <c r="AV58" s="2267" t="str">
        <f>BE58</f>
        <v>闪避</v>
      </c>
      <c r="AW58" s="2268"/>
      <c r="AX58" s="2269"/>
      <c r="AY58" s="2270">
        <f t="shared" si="9"/>
        <v>0</v>
      </c>
      <c r="AZ58" s="2271"/>
      <c r="BA58" s="2272" t="s">
        <v>102</v>
      </c>
      <c r="BB58" s="2272"/>
      <c r="BC58" s="2273">
        <f>IF(ISTEXT(IFERROR(VLOOKUP(人物卡!BE58,人物卡!$DI$25:$DQ$29,1,FALSE),IFERROR(VLOOKUP(人物卡!BE58,人物卡!$CZ$25:$DB$29,1,FALSE),0))),"★",INDEX(本职技能!$A$2:$IC$87,MATCH(人物卡!BE58,本职技能!$A$2:$A$87,0),MATCH(人物卡!$BL$11,本职技能!$A$1:$IC$1,0)))</f>
        <v>0</v>
      </c>
      <c r="BD58" s="2273"/>
      <c r="BE58" s="2274" t="s">
        <v>205</v>
      </c>
      <c r="BF58" s="2274"/>
      <c r="BG58" s="2274"/>
      <c r="BH58" s="2274"/>
      <c r="BI58" s="2275">
        <f>IFERROR(INT(DEXA/2),0)</f>
        <v>0</v>
      </c>
      <c r="BJ58" s="2275"/>
      <c r="BK58" s="2275">
        <f t="shared" si="11"/>
        <v>0</v>
      </c>
      <c r="BL58" s="2275"/>
      <c r="BM58" s="2276"/>
      <c r="BN58" s="2276"/>
      <c r="BO58" s="2276"/>
      <c r="BP58" s="2276"/>
      <c r="BQ58" s="2277">
        <f t="shared" si="16"/>
        <v>0</v>
      </c>
      <c r="BR58" s="2277"/>
      <c r="BS58" s="2278">
        <f t="shared" si="3"/>
        <v>0</v>
      </c>
      <c r="BT58" s="2278"/>
      <c r="BU58" s="2278">
        <f t="shared" si="4"/>
        <v>0</v>
      </c>
      <c r="BV58" s="2278"/>
      <c r="BW58" s="2279" t="s">
        <v>102</v>
      </c>
      <c r="BX58" s="2280"/>
      <c r="BY58" s="2281">
        <f>IF(ISTEXT(IFERROR(VLOOKUP(人物卡!CA58,人物卡!$DI$25:$DQ$29,1,FALSE),IFERROR(VLOOKUP(人物卡!CA58,人物卡!$CZ$25:$DB$29,1,FALSE),0))),"★",INDEX(本职技能!$A$2:$IC$87,MATCH(人物卡!CA58,本职技能!$A$2:$A$87,0),MATCH(人物卡!$BL$11,本职技能!$A$1:$IC$1,0)))</f>
        <v>0</v>
      </c>
      <c r="BZ58" s="2281"/>
      <c r="CA58" s="2237" t="s">
        <v>206</v>
      </c>
      <c r="CB58" s="2237"/>
      <c r="CC58" s="2237"/>
      <c r="CD58" s="2237"/>
      <c r="CE58" s="2238">
        <v>20</v>
      </c>
      <c r="CF58" s="2238"/>
      <c r="CG58" s="2238">
        <f t="shared" si="12"/>
        <v>0</v>
      </c>
      <c r="CH58" s="2238"/>
      <c r="CI58" s="2239"/>
      <c r="CJ58" s="2239"/>
      <c r="CK58" s="2239"/>
      <c r="CL58" s="2239"/>
      <c r="CM58" s="2240">
        <f t="shared" si="5"/>
        <v>20</v>
      </c>
      <c r="CN58" s="2240"/>
      <c r="CO58" s="2241">
        <f t="shared" si="6"/>
        <v>10</v>
      </c>
      <c r="CP58" s="2241"/>
      <c r="CQ58" s="2241">
        <f t="shared" si="7"/>
        <v>4</v>
      </c>
      <c r="CR58" s="2242"/>
      <c r="CS58" s="412"/>
      <c r="CT58" s="1396"/>
      <c r="CU58" s="1397"/>
      <c r="CV58" s="1397"/>
      <c r="CW58" s="1397"/>
      <c r="CX58" s="1397"/>
      <c r="CY58" s="1397"/>
      <c r="CZ58" s="1397"/>
      <c r="DA58" s="1397"/>
      <c r="DB58" s="1397"/>
      <c r="DC58" s="1397"/>
      <c r="DD58" s="1397"/>
      <c r="DE58" s="1397"/>
      <c r="DF58" s="1397"/>
      <c r="DG58" s="1397"/>
      <c r="DH58" s="1397"/>
      <c r="DI58" s="1397"/>
      <c r="DJ58" s="1397"/>
      <c r="DK58" s="1397"/>
      <c r="DL58" s="1397"/>
      <c r="DM58" s="1397"/>
      <c r="DN58" s="1397"/>
      <c r="DO58" s="1397"/>
      <c r="DP58" s="1397"/>
      <c r="DQ58" s="1398"/>
    </row>
    <row r="59" spans="2:121" ht="16.5">
      <c r="B59" s="1186"/>
      <c r="C59" s="1187" t="s">
        <v>56</v>
      </c>
      <c r="D59" s="1188"/>
      <c r="E59" s="1186"/>
      <c r="F59" s="1189" t="s">
        <v>56</v>
      </c>
      <c r="G59" s="1188"/>
      <c r="H59" s="1186"/>
      <c r="I59" s="1187" t="s">
        <v>56</v>
      </c>
      <c r="J59" s="1188"/>
      <c r="K59" s="1186"/>
      <c r="L59" s="1189" t="s">
        <v>56</v>
      </c>
      <c r="M59" s="1188"/>
      <c r="N59" s="1186"/>
      <c r="O59" s="1187" t="s">
        <v>56</v>
      </c>
      <c r="P59" s="1188"/>
      <c r="Q59" s="1186"/>
      <c r="R59" s="1189" t="s">
        <v>56</v>
      </c>
      <c r="S59" s="1188"/>
      <c r="T59" s="1186"/>
      <c r="U59" s="1187" t="s">
        <v>56</v>
      </c>
      <c r="V59" s="1188"/>
      <c r="W59" s="1186"/>
      <c r="X59" s="1189" t="s">
        <v>56</v>
      </c>
      <c r="Y59" s="1188"/>
      <c r="Z59" s="1186"/>
      <c r="AA59" s="1187" t="s">
        <v>56</v>
      </c>
      <c r="AB59" s="1188"/>
      <c r="AC59" s="1186"/>
      <c r="AD59" s="1189" t="s">
        <v>56</v>
      </c>
      <c r="AE59" s="1188"/>
      <c r="AF59" s="1186"/>
      <c r="AG59" s="1187" t="s">
        <v>56</v>
      </c>
      <c r="AH59" s="1188"/>
      <c r="AI59" s="1186"/>
      <c r="AJ59" s="1189" t="s">
        <v>56</v>
      </c>
      <c r="AK59" s="1188"/>
      <c r="AL59" s="1186"/>
      <c r="AM59" s="1187" t="s">
        <v>56</v>
      </c>
      <c r="AN59" s="1188"/>
      <c r="AO59" s="1186"/>
      <c r="AP59" s="1189" t="s">
        <v>56</v>
      </c>
      <c r="AQ59" s="1190"/>
      <c r="AR59" s="2243">
        <f t="shared" si="13"/>
        <v>0</v>
      </c>
      <c r="AS59" s="2244"/>
      <c r="AT59" s="2245">
        <f t="shared" si="10"/>
        <v>25</v>
      </c>
      <c r="AU59" s="2246"/>
      <c r="AV59" s="2247" t="s">
        <v>207</v>
      </c>
      <c r="AW59" s="2248"/>
      <c r="AX59" s="2249"/>
      <c r="AY59" s="2250">
        <f t="shared" si="9"/>
        <v>0</v>
      </c>
      <c r="AZ59" s="2251"/>
      <c r="BA59" s="2252" t="s">
        <v>102</v>
      </c>
      <c r="BB59" s="2252"/>
      <c r="BC59" s="2253">
        <f>IF(ISTEXT(IFERROR(VLOOKUP(人物卡!BE59,人物卡!$DI$25:$DQ$29,1,FALSE),IFERROR(VLOOKUP(人物卡!BE59,人物卡!$CZ$25:$DB$29,1,FALSE),0))),"★",INDEX(本职技能!$A$2:$IC$87,MATCH(人物卡!BE59,本职技能!$A$2:$A$87,0),MATCH(人物卡!$BL$11,本职技能!$A$1:$IC$1,0)))</f>
        <v>0</v>
      </c>
      <c r="BD59" s="2253"/>
      <c r="BE59" s="2254" t="s">
        <v>208</v>
      </c>
      <c r="BF59" s="2254"/>
      <c r="BG59" s="2258" t="s">
        <v>209</v>
      </c>
      <c r="BH59" s="2258"/>
      <c r="BI59" s="2255">
        <v>25</v>
      </c>
      <c r="BJ59" s="2255"/>
      <c r="BK59" s="2255">
        <f t="shared" si="11"/>
        <v>0</v>
      </c>
      <c r="BL59" s="2255"/>
      <c r="BM59" s="2256"/>
      <c r="BN59" s="2256"/>
      <c r="BO59" s="2256"/>
      <c r="BP59" s="2256"/>
      <c r="BQ59" s="2257">
        <f t="shared" si="16"/>
        <v>25</v>
      </c>
      <c r="BR59" s="2257"/>
      <c r="BS59" s="2258">
        <f t="shared" si="3"/>
        <v>12</v>
      </c>
      <c r="BT59" s="2258"/>
      <c r="BU59" s="2258">
        <f t="shared" si="4"/>
        <v>5</v>
      </c>
      <c r="BV59" s="2258"/>
      <c r="BW59" s="2259" t="s">
        <v>102</v>
      </c>
      <c r="BX59" s="2260"/>
      <c r="BY59" s="2261">
        <f>IF(ISTEXT(IFERROR(VLOOKUP(人物卡!CA59,人物卡!$DI$25:$DQ$29,1,FALSE),IFERROR(VLOOKUP(人物卡!CA59,人物卡!$CZ$25:$DB$29,1,FALSE),0))),"★",INDEX(本职技能!$A$2:$IC$87,MATCH(人物卡!CA59,本职技能!$A$2:$A$87,0),MATCH(人物卡!$BL$11,本职技能!$A$1:$IC$1,0)))</f>
        <v>0</v>
      </c>
      <c r="BZ59" s="2261"/>
      <c r="CA59" s="2262" t="s">
        <v>210</v>
      </c>
      <c r="CB59" s="2262"/>
      <c r="CC59" s="2210" t="s">
        <v>211</v>
      </c>
      <c r="CD59" s="2210"/>
      <c r="CE59" s="2263">
        <v>20</v>
      </c>
      <c r="CF59" s="2263"/>
      <c r="CG59" s="2263">
        <f t="shared" si="12"/>
        <v>0</v>
      </c>
      <c r="CH59" s="2263"/>
      <c r="CI59" s="2264"/>
      <c r="CJ59" s="2264"/>
      <c r="CK59" s="2264"/>
      <c r="CL59" s="2264"/>
      <c r="CM59" s="2209">
        <f t="shared" si="5"/>
        <v>20</v>
      </c>
      <c r="CN59" s="2209"/>
      <c r="CO59" s="2210">
        <f t="shared" si="6"/>
        <v>10</v>
      </c>
      <c r="CP59" s="2210"/>
      <c r="CQ59" s="2210">
        <f t="shared" si="7"/>
        <v>4</v>
      </c>
      <c r="CR59" s="2211"/>
      <c r="CS59" s="412"/>
      <c r="CT59" s="1396"/>
      <c r="CU59" s="1397"/>
      <c r="CV59" s="1397"/>
      <c r="CW59" s="1397"/>
      <c r="CX59" s="1397"/>
      <c r="CY59" s="1397"/>
      <c r="CZ59" s="1397"/>
      <c r="DA59" s="1397"/>
      <c r="DB59" s="1397"/>
      <c r="DC59" s="1397"/>
      <c r="DD59" s="1397"/>
      <c r="DE59" s="1397"/>
      <c r="DF59" s="1397"/>
      <c r="DG59" s="1397"/>
      <c r="DH59" s="1397"/>
      <c r="DI59" s="1397"/>
      <c r="DJ59" s="1397"/>
      <c r="DK59" s="1397"/>
      <c r="DL59" s="1397"/>
      <c r="DM59" s="1397"/>
      <c r="DN59" s="1397"/>
      <c r="DO59" s="1397"/>
      <c r="DP59" s="1397"/>
      <c r="DQ59" s="1398"/>
    </row>
    <row r="60" spans="2:121" ht="16.5">
      <c r="B60" s="1181"/>
      <c r="C60" s="1182" t="s">
        <v>56</v>
      </c>
      <c r="D60" s="1183"/>
      <c r="E60" s="1181"/>
      <c r="F60" s="1184" t="s">
        <v>56</v>
      </c>
      <c r="G60" s="1183"/>
      <c r="H60" s="1181"/>
      <c r="I60" s="1182" t="s">
        <v>56</v>
      </c>
      <c r="J60" s="1183"/>
      <c r="K60" s="1181"/>
      <c r="L60" s="1184" t="s">
        <v>56</v>
      </c>
      <c r="M60" s="1183"/>
      <c r="N60" s="1181"/>
      <c r="O60" s="1182" t="s">
        <v>56</v>
      </c>
      <c r="P60" s="1183"/>
      <c r="Q60" s="1181"/>
      <c r="R60" s="1184" t="s">
        <v>56</v>
      </c>
      <c r="S60" s="1183"/>
      <c r="T60" s="1181"/>
      <c r="U60" s="1182" t="s">
        <v>56</v>
      </c>
      <c r="V60" s="1183"/>
      <c r="W60" s="1181"/>
      <c r="X60" s="1184" t="s">
        <v>56</v>
      </c>
      <c r="Y60" s="1183"/>
      <c r="Z60" s="1181"/>
      <c r="AA60" s="1182" t="s">
        <v>56</v>
      </c>
      <c r="AB60" s="1183"/>
      <c r="AC60" s="1181"/>
      <c r="AD60" s="1184" t="s">
        <v>56</v>
      </c>
      <c r="AE60" s="1183"/>
      <c r="AF60" s="1181"/>
      <c r="AG60" s="1182" t="s">
        <v>56</v>
      </c>
      <c r="AH60" s="1183"/>
      <c r="AI60" s="1181"/>
      <c r="AJ60" s="1184" t="s">
        <v>56</v>
      </c>
      <c r="AK60" s="1183"/>
      <c r="AL60" s="1181"/>
      <c r="AM60" s="1182" t="s">
        <v>56</v>
      </c>
      <c r="AN60" s="1183"/>
      <c r="AO60" s="1181"/>
      <c r="AP60" s="1184" t="s">
        <v>56</v>
      </c>
      <c r="AQ60" s="1185"/>
      <c r="AR60" s="2212">
        <f t="shared" si="13"/>
        <v>0</v>
      </c>
      <c r="AS60" s="2213"/>
      <c r="AT60" s="2265">
        <f t="shared" si="10"/>
        <v>0</v>
      </c>
      <c r="AU60" s="2266"/>
      <c r="AV60" s="2267" t="str">
        <f>IF(BG60=0,"格斗:","格斗:"&amp;BG60)</f>
        <v>格斗:</v>
      </c>
      <c r="AW60" s="2268"/>
      <c r="AX60" s="2269"/>
      <c r="AY60" s="2270">
        <f t="shared" si="9"/>
        <v>0</v>
      </c>
      <c r="AZ60" s="2271"/>
      <c r="BA60" s="2272" t="s">
        <v>102</v>
      </c>
      <c r="BB60" s="2272"/>
      <c r="BC60" s="2273">
        <f>IF(ISTEXT(IFERROR(VLOOKUP(人物卡!BE60,人物卡!$DI$25:$DQ$29,1,FALSE),IFERROR(VLOOKUP(人物卡!BE60,人物卡!$CZ$25:$DB$29,1,FALSE),0))),"★",INDEX(本职技能!$A$2:$IC$87,MATCH(人物卡!BE60,本职技能!$A$2:$A$87,0),MATCH(人物卡!$BL$11,本职技能!$A$1:$IC$1,0)))</f>
        <v>0</v>
      </c>
      <c r="BD60" s="2273"/>
      <c r="BE60" s="2274" t="s">
        <v>212</v>
      </c>
      <c r="BF60" s="2274"/>
      <c r="BG60" s="2274"/>
      <c r="BH60" s="2274"/>
      <c r="BI60" s="2275">
        <f>附表!Z14</f>
        <v>0</v>
      </c>
      <c r="BJ60" s="2275"/>
      <c r="BK60" s="2275">
        <f t="shared" si="11"/>
        <v>0</v>
      </c>
      <c r="BL60" s="2275"/>
      <c r="BM60" s="2276"/>
      <c r="BN60" s="2276"/>
      <c r="BO60" s="2276"/>
      <c r="BP60" s="2276"/>
      <c r="BQ60" s="2277">
        <f>BI60+BK60+BM60+BO60</f>
        <v>0</v>
      </c>
      <c r="BR60" s="2277"/>
      <c r="BS60" s="2278">
        <f t="shared" si="3"/>
        <v>0</v>
      </c>
      <c r="BT60" s="2278"/>
      <c r="BU60" s="2278">
        <f t="shared" si="4"/>
        <v>0</v>
      </c>
      <c r="BV60" s="2278"/>
      <c r="BW60" s="2279" t="s">
        <v>102</v>
      </c>
      <c r="BX60" s="2280"/>
      <c r="BY60" s="2281">
        <f>IF(ISTEXT(IFERROR(VLOOKUP(人物卡!CA60,人物卡!$DI$25:$DQ$29,1,FALSE),IFERROR(VLOOKUP(人物卡!CA60,人物卡!$CZ$25:$DB$29,1,FALSE),0))),"★",INDEX(本职技能!$A$2:$IC$87,MATCH(人物卡!CA60,本职技能!$A$2:$A$87,0),MATCH(人物卡!$BL$11,本职技能!$A$1:$IC$1,0)))</f>
        <v>0</v>
      </c>
      <c r="BZ60" s="2281"/>
      <c r="CA60" s="2237" t="s">
        <v>213</v>
      </c>
      <c r="CB60" s="2237"/>
      <c r="CC60" s="2237"/>
      <c r="CD60" s="2237"/>
      <c r="CE60" s="2238">
        <f>附表!AB14</f>
        <v>0</v>
      </c>
      <c r="CF60" s="2238"/>
      <c r="CG60" s="2238">
        <f t="shared" si="12"/>
        <v>0</v>
      </c>
      <c r="CH60" s="2238"/>
      <c r="CI60" s="2239"/>
      <c r="CJ60" s="2239"/>
      <c r="CK60" s="2239"/>
      <c r="CL60" s="2239"/>
      <c r="CM60" s="2240">
        <f t="shared" ref="CM60:CM64" si="17">CK60+CI60+CG60+CE60</f>
        <v>0</v>
      </c>
      <c r="CN60" s="2240"/>
      <c r="CO60" s="2241">
        <f t="shared" si="6"/>
        <v>0</v>
      </c>
      <c r="CP60" s="2241"/>
      <c r="CQ60" s="2241">
        <f t="shared" si="7"/>
        <v>0</v>
      </c>
      <c r="CR60" s="2242"/>
      <c r="CS60" s="412"/>
      <c r="CT60" s="1396"/>
      <c r="CU60" s="1397"/>
      <c r="CV60" s="1397"/>
      <c r="CW60" s="1397"/>
      <c r="CX60" s="1397"/>
      <c r="CY60" s="1397"/>
      <c r="CZ60" s="1397"/>
      <c r="DA60" s="1397"/>
      <c r="DB60" s="1397"/>
      <c r="DC60" s="1397"/>
      <c r="DD60" s="1397"/>
      <c r="DE60" s="1397"/>
      <c r="DF60" s="1397"/>
      <c r="DG60" s="1397"/>
      <c r="DH60" s="1397"/>
      <c r="DI60" s="1397"/>
      <c r="DJ60" s="1397"/>
      <c r="DK60" s="1397"/>
      <c r="DL60" s="1397"/>
      <c r="DM60" s="1397"/>
      <c r="DN60" s="1397"/>
      <c r="DO60" s="1397"/>
      <c r="DP60" s="1397"/>
      <c r="DQ60" s="1398"/>
    </row>
    <row r="61" spans="2:121" ht="16.5">
      <c r="B61" s="1186"/>
      <c r="C61" s="1187" t="s">
        <v>56</v>
      </c>
      <c r="D61" s="1188"/>
      <c r="E61" s="1186"/>
      <c r="F61" s="1189" t="s">
        <v>56</v>
      </c>
      <c r="G61" s="1188"/>
      <c r="H61" s="1186"/>
      <c r="I61" s="1187" t="s">
        <v>56</v>
      </c>
      <c r="J61" s="1188"/>
      <c r="K61" s="1186"/>
      <c r="L61" s="1189" t="s">
        <v>56</v>
      </c>
      <c r="M61" s="1188"/>
      <c r="N61" s="1186"/>
      <c r="O61" s="1187" t="s">
        <v>56</v>
      </c>
      <c r="P61" s="1188"/>
      <c r="Q61" s="1186"/>
      <c r="R61" s="1189" t="s">
        <v>56</v>
      </c>
      <c r="S61" s="1188"/>
      <c r="T61" s="1186"/>
      <c r="U61" s="1187" t="s">
        <v>56</v>
      </c>
      <c r="V61" s="1188"/>
      <c r="W61" s="1186"/>
      <c r="X61" s="1189" t="s">
        <v>56</v>
      </c>
      <c r="Y61" s="1188"/>
      <c r="Z61" s="1186"/>
      <c r="AA61" s="1187" t="s">
        <v>56</v>
      </c>
      <c r="AB61" s="1188"/>
      <c r="AC61" s="1186"/>
      <c r="AD61" s="1189" t="s">
        <v>56</v>
      </c>
      <c r="AE61" s="1188"/>
      <c r="AF61" s="1186"/>
      <c r="AG61" s="1187" t="s">
        <v>56</v>
      </c>
      <c r="AH61" s="1188"/>
      <c r="AI61" s="1186"/>
      <c r="AJ61" s="1189" t="s">
        <v>56</v>
      </c>
      <c r="AK61" s="1188"/>
      <c r="AL61" s="1186"/>
      <c r="AM61" s="1187" t="s">
        <v>56</v>
      </c>
      <c r="AN61" s="1188"/>
      <c r="AO61" s="1186"/>
      <c r="AP61" s="1189" t="s">
        <v>56</v>
      </c>
      <c r="AQ61" s="1190"/>
      <c r="AR61" s="2243">
        <f t="shared" si="13"/>
        <v>0</v>
      </c>
      <c r="AS61" s="2244"/>
      <c r="AT61" s="2245">
        <f t="shared" si="10"/>
        <v>0</v>
      </c>
      <c r="AU61" s="2246"/>
      <c r="AV61" s="2247" t="str">
        <f>IF(BG61=0,"格斗:","格斗:"&amp;BG61)</f>
        <v>格斗:</v>
      </c>
      <c r="AW61" s="2248"/>
      <c r="AX61" s="2249"/>
      <c r="AY61" s="2250">
        <f t="shared" si="9"/>
        <v>0</v>
      </c>
      <c r="AZ61" s="2251"/>
      <c r="BA61" s="2252" t="s">
        <v>102</v>
      </c>
      <c r="BB61" s="2252"/>
      <c r="BC61" s="2253">
        <f>IF(ISTEXT(IFERROR(VLOOKUP(人物卡!BE61,人物卡!$DI$25:$DQ$29,1,FALSE),IFERROR(VLOOKUP(人物卡!BE61,人物卡!$CZ$25:$DB$29,1,FALSE),0))),"★",INDEX(本职技能!$A$2:$IC$87,MATCH(人物卡!BE61,本职技能!$A$2:$A$87,0),MATCH(人物卡!$BL$11,本职技能!$A$1:$IC$1,0)))</f>
        <v>0</v>
      </c>
      <c r="BD61" s="2253"/>
      <c r="BE61" s="2254" t="s">
        <v>214</v>
      </c>
      <c r="BF61" s="2254"/>
      <c r="BG61" s="2254"/>
      <c r="BH61" s="2254"/>
      <c r="BI61" s="2255">
        <f>附表!Z15</f>
        <v>0</v>
      </c>
      <c r="BJ61" s="2255"/>
      <c r="BK61" s="2255">
        <f t="shared" si="11"/>
        <v>0</v>
      </c>
      <c r="BL61" s="2255"/>
      <c r="BM61" s="2256"/>
      <c r="BN61" s="2256"/>
      <c r="BO61" s="2256"/>
      <c r="BP61" s="2256"/>
      <c r="BQ61" s="2257">
        <f>BI61+BK61+BO61+BM61</f>
        <v>0</v>
      </c>
      <c r="BR61" s="2257"/>
      <c r="BS61" s="2258">
        <f t="shared" si="3"/>
        <v>0</v>
      </c>
      <c r="BT61" s="2258"/>
      <c r="BU61" s="2258">
        <f t="shared" si="4"/>
        <v>0</v>
      </c>
      <c r="BV61" s="2258"/>
      <c r="BW61" s="2259" t="s">
        <v>102</v>
      </c>
      <c r="BX61" s="2260"/>
      <c r="BY61" s="2261">
        <f>IF(ISTEXT(IFERROR(VLOOKUP(人物卡!CA61,人物卡!$DI$25:$DQ$29,1,FALSE),IFERROR(VLOOKUP(人物卡!CA61,人物卡!$CZ$25:$DB$29,1,FALSE),0))),"★",INDEX(本职技能!$A$2:$IC$87,MATCH(人物卡!CA61,本职技能!$A$2:$A$87,0),MATCH(人物卡!$BL$11,本职技能!$A$1:$IC$1,0)))</f>
        <v>0</v>
      </c>
      <c r="BZ61" s="2261"/>
      <c r="CA61" s="2262" t="s">
        <v>215</v>
      </c>
      <c r="CB61" s="2262"/>
      <c r="CC61" s="2262"/>
      <c r="CD61" s="2262"/>
      <c r="CE61" s="2263">
        <f>附表!AB15</f>
        <v>0</v>
      </c>
      <c r="CF61" s="2263"/>
      <c r="CG61" s="2263">
        <f t="shared" si="12"/>
        <v>0</v>
      </c>
      <c r="CH61" s="2263"/>
      <c r="CI61" s="2264"/>
      <c r="CJ61" s="2264"/>
      <c r="CK61" s="2264"/>
      <c r="CL61" s="2264"/>
      <c r="CM61" s="2209">
        <f t="shared" si="17"/>
        <v>0</v>
      </c>
      <c r="CN61" s="2209"/>
      <c r="CO61" s="2210">
        <f t="shared" si="6"/>
        <v>0</v>
      </c>
      <c r="CP61" s="2210"/>
      <c r="CQ61" s="2210">
        <f t="shared" si="7"/>
        <v>0</v>
      </c>
      <c r="CR61" s="2211"/>
      <c r="CS61" s="1158"/>
      <c r="CT61" s="1396"/>
      <c r="CU61" s="1397"/>
      <c r="CV61" s="1397"/>
      <c r="CW61" s="1397"/>
      <c r="CX61" s="1397"/>
      <c r="CY61" s="1397"/>
      <c r="CZ61" s="1397"/>
      <c r="DA61" s="1397"/>
      <c r="DB61" s="1397"/>
      <c r="DC61" s="1397"/>
      <c r="DD61" s="1397"/>
      <c r="DE61" s="1397"/>
      <c r="DF61" s="1397"/>
      <c r="DG61" s="1397"/>
      <c r="DH61" s="1397"/>
      <c r="DI61" s="1397"/>
      <c r="DJ61" s="1397"/>
      <c r="DK61" s="1397"/>
      <c r="DL61" s="1397"/>
      <c r="DM61" s="1397"/>
      <c r="DN61" s="1397"/>
      <c r="DO61" s="1397"/>
      <c r="DP61" s="1397"/>
      <c r="DQ61" s="1398"/>
    </row>
    <row r="62" spans="2:121" ht="16.5">
      <c r="B62" s="1181"/>
      <c r="C62" s="1182" t="s">
        <v>56</v>
      </c>
      <c r="D62" s="1183"/>
      <c r="E62" s="1181"/>
      <c r="F62" s="1184" t="s">
        <v>56</v>
      </c>
      <c r="G62" s="1183"/>
      <c r="H62" s="1181"/>
      <c r="I62" s="1182" t="s">
        <v>56</v>
      </c>
      <c r="J62" s="1183"/>
      <c r="K62" s="1181"/>
      <c r="L62" s="1184" t="s">
        <v>56</v>
      </c>
      <c r="M62" s="1183"/>
      <c r="N62" s="1181"/>
      <c r="O62" s="1182" t="s">
        <v>56</v>
      </c>
      <c r="P62" s="1183"/>
      <c r="Q62" s="1181"/>
      <c r="R62" s="1184" t="s">
        <v>56</v>
      </c>
      <c r="S62" s="1183"/>
      <c r="T62" s="1181"/>
      <c r="U62" s="1182" t="s">
        <v>56</v>
      </c>
      <c r="V62" s="1183"/>
      <c r="W62" s="1181"/>
      <c r="X62" s="1184" t="s">
        <v>56</v>
      </c>
      <c r="Y62" s="1183"/>
      <c r="Z62" s="1181"/>
      <c r="AA62" s="1182" t="s">
        <v>56</v>
      </c>
      <c r="AB62" s="1183"/>
      <c r="AC62" s="1181"/>
      <c r="AD62" s="1184" t="s">
        <v>56</v>
      </c>
      <c r="AE62" s="1183"/>
      <c r="AF62" s="1181"/>
      <c r="AG62" s="1182" t="s">
        <v>56</v>
      </c>
      <c r="AH62" s="1183"/>
      <c r="AI62" s="1181"/>
      <c r="AJ62" s="1184" t="s">
        <v>56</v>
      </c>
      <c r="AK62" s="1183"/>
      <c r="AL62" s="1181"/>
      <c r="AM62" s="1182" t="s">
        <v>56</v>
      </c>
      <c r="AN62" s="1183"/>
      <c r="AO62" s="1181"/>
      <c r="AP62" s="1184" t="s">
        <v>56</v>
      </c>
      <c r="AQ62" s="1185"/>
      <c r="AR62" s="2212">
        <f t="shared" si="13"/>
        <v>0</v>
      </c>
      <c r="AS62" s="2213"/>
      <c r="AT62" s="2265">
        <f t="shared" si="10"/>
        <v>0</v>
      </c>
      <c r="AU62" s="2266"/>
      <c r="AV62" s="2267" t="str">
        <f>IF(BG62=0,"格斗:","格斗:"&amp;BG62)</f>
        <v>格斗:</v>
      </c>
      <c r="AW62" s="2268"/>
      <c r="AX62" s="2269"/>
      <c r="AY62" s="2270">
        <f t="shared" si="9"/>
        <v>0</v>
      </c>
      <c r="AZ62" s="2271"/>
      <c r="BA62" s="2272" t="s">
        <v>102</v>
      </c>
      <c r="BB62" s="2272"/>
      <c r="BC62" s="2273">
        <f>IF(ISTEXT(IFERROR(VLOOKUP(人物卡!BE62,人物卡!$DI$25:$DQ$29,1,FALSE),IFERROR(VLOOKUP(人物卡!BE62,人物卡!$CZ$25:$DB$29,1,FALSE),0))),"★",INDEX(本职技能!$A$2:$IC$87,MATCH(人物卡!BE62,本职技能!$A$2:$A$87,0),MATCH(人物卡!$BL$11,本职技能!$A$1:$IC$1,0)))</f>
        <v>0</v>
      </c>
      <c r="BD62" s="2273"/>
      <c r="BE62" s="2274" t="s">
        <v>216</v>
      </c>
      <c r="BF62" s="2274"/>
      <c r="BG62" s="2274"/>
      <c r="BH62" s="2274"/>
      <c r="BI62" s="2275">
        <f>附表!Z16</f>
        <v>0</v>
      </c>
      <c r="BJ62" s="2275"/>
      <c r="BK62" s="2275">
        <f t="shared" si="11"/>
        <v>0</v>
      </c>
      <c r="BL62" s="2275"/>
      <c r="BM62" s="2276"/>
      <c r="BN62" s="2276"/>
      <c r="BO62" s="2276"/>
      <c r="BP62" s="2276"/>
      <c r="BQ62" s="2277">
        <f>BO62+BM62+BK62+BI62</f>
        <v>0</v>
      </c>
      <c r="BR62" s="2277"/>
      <c r="BS62" s="2278">
        <f t="shared" si="3"/>
        <v>0</v>
      </c>
      <c r="BT62" s="2278"/>
      <c r="BU62" s="2278">
        <f t="shared" si="4"/>
        <v>0</v>
      </c>
      <c r="BV62" s="2278"/>
      <c r="BW62" s="2279" t="s">
        <v>102</v>
      </c>
      <c r="BX62" s="2280"/>
      <c r="BY62" s="2281">
        <f>IF(ISTEXT(IFERROR(VLOOKUP(人物卡!CA62,人物卡!$DI$25:$DQ$29,1,FALSE),IFERROR(VLOOKUP(人物卡!CA62,人物卡!$CZ$25:$DB$29,1,FALSE),0))),"★",INDEX(本职技能!$A$2:$IC$87,MATCH(人物卡!CA62,本职技能!$A$2:$A$87,0),MATCH(人物卡!$BL$11,本职技能!$A$1:$IC$1,0)))</f>
        <v>0</v>
      </c>
      <c r="BZ62" s="2281"/>
      <c r="CA62" s="2237" t="s">
        <v>217</v>
      </c>
      <c r="CB62" s="2237"/>
      <c r="CC62" s="2237"/>
      <c r="CD62" s="2237"/>
      <c r="CE62" s="2238">
        <f>附表!AB16</f>
        <v>0</v>
      </c>
      <c r="CF62" s="2238"/>
      <c r="CG62" s="2238">
        <f t="shared" si="12"/>
        <v>0</v>
      </c>
      <c r="CH62" s="2238"/>
      <c r="CI62" s="2239"/>
      <c r="CJ62" s="2239"/>
      <c r="CK62" s="2239"/>
      <c r="CL62" s="2239"/>
      <c r="CM62" s="2240">
        <f t="shared" si="17"/>
        <v>0</v>
      </c>
      <c r="CN62" s="2240"/>
      <c r="CO62" s="2241">
        <f t="shared" si="6"/>
        <v>0</v>
      </c>
      <c r="CP62" s="2241"/>
      <c r="CQ62" s="2241">
        <f t="shared" si="7"/>
        <v>0</v>
      </c>
      <c r="CR62" s="2242"/>
      <c r="CS62" s="1158"/>
      <c r="CT62" s="1396"/>
      <c r="CU62" s="1397"/>
      <c r="CV62" s="1397"/>
      <c r="CW62" s="1397"/>
      <c r="CX62" s="1397"/>
      <c r="CY62" s="1397"/>
      <c r="CZ62" s="1397"/>
      <c r="DA62" s="1397"/>
      <c r="DB62" s="1397"/>
      <c r="DC62" s="1397"/>
      <c r="DD62" s="1397"/>
      <c r="DE62" s="1397"/>
      <c r="DF62" s="1397"/>
      <c r="DG62" s="1397"/>
      <c r="DH62" s="1397"/>
      <c r="DI62" s="1397"/>
      <c r="DJ62" s="1397"/>
      <c r="DK62" s="1397"/>
      <c r="DL62" s="1397"/>
      <c r="DM62" s="1397"/>
      <c r="DN62" s="1397"/>
      <c r="DO62" s="1397"/>
      <c r="DP62" s="1397"/>
      <c r="DQ62" s="1398"/>
    </row>
    <row r="63" spans="2:121" ht="16.5">
      <c r="B63" s="1186"/>
      <c r="C63" s="1187" t="s">
        <v>56</v>
      </c>
      <c r="D63" s="1188"/>
      <c r="E63" s="1186"/>
      <c r="F63" s="1189" t="s">
        <v>56</v>
      </c>
      <c r="G63" s="1188"/>
      <c r="H63" s="1186"/>
      <c r="I63" s="1187" t="s">
        <v>56</v>
      </c>
      <c r="J63" s="1188"/>
      <c r="K63" s="1186"/>
      <c r="L63" s="1189" t="s">
        <v>56</v>
      </c>
      <c r="M63" s="1188"/>
      <c r="N63" s="1186"/>
      <c r="O63" s="1187" t="s">
        <v>56</v>
      </c>
      <c r="P63" s="1188"/>
      <c r="Q63" s="1186"/>
      <c r="R63" s="1189" t="s">
        <v>56</v>
      </c>
      <c r="S63" s="1188"/>
      <c r="T63" s="1186"/>
      <c r="U63" s="1187" t="s">
        <v>56</v>
      </c>
      <c r="V63" s="1188"/>
      <c r="W63" s="1186"/>
      <c r="X63" s="1189" t="s">
        <v>56</v>
      </c>
      <c r="Y63" s="1188"/>
      <c r="Z63" s="1186"/>
      <c r="AA63" s="1187" t="s">
        <v>56</v>
      </c>
      <c r="AB63" s="1188"/>
      <c r="AC63" s="1186"/>
      <c r="AD63" s="1189" t="s">
        <v>56</v>
      </c>
      <c r="AE63" s="1188"/>
      <c r="AF63" s="1186"/>
      <c r="AG63" s="1187" t="s">
        <v>56</v>
      </c>
      <c r="AH63" s="1188"/>
      <c r="AI63" s="1186"/>
      <c r="AJ63" s="1189" t="s">
        <v>56</v>
      </c>
      <c r="AK63" s="1188"/>
      <c r="AL63" s="1186"/>
      <c r="AM63" s="1187" t="s">
        <v>56</v>
      </c>
      <c r="AN63" s="1188"/>
      <c r="AO63" s="1186"/>
      <c r="AP63" s="1189" t="s">
        <v>56</v>
      </c>
      <c r="AQ63" s="1190"/>
      <c r="AR63" s="2243">
        <f t="shared" si="13"/>
        <v>0</v>
      </c>
      <c r="AS63" s="2244"/>
      <c r="AT63" s="2245">
        <f t="shared" si="10"/>
        <v>0</v>
      </c>
      <c r="AU63" s="2246"/>
      <c r="AV63" s="2247" t="str">
        <f>IF(BG63=0,"格斗:","格斗:"&amp;BG63)</f>
        <v>格斗:</v>
      </c>
      <c r="AW63" s="2248"/>
      <c r="AX63" s="2249"/>
      <c r="AY63" s="2250">
        <f t="shared" si="9"/>
        <v>0</v>
      </c>
      <c r="AZ63" s="2251"/>
      <c r="BA63" s="2252" t="s">
        <v>102</v>
      </c>
      <c r="BB63" s="2252"/>
      <c r="BC63" s="2253">
        <f>IF(ISTEXT(IFERROR(VLOOKUP(人物卡!BE63,人物卡!$DI$25:$DQ$29,1,FALSE),IFERROR(VLOOKUP(人物卡!BE63,人物卡!$CZ$25:$DB$29,1,FALSE),0))),"★",INDEX(本职技能!$A$2:$IC$87,MATCH(人物卡!BE63,本职技能!$A$2:$A$87,0),MATCH(人物卡!$BL$11,本职技能!$A$1:$IC$1,0)))</f>
        <v>0</v>
      </c>
      <c r="BD63" s="2253"/>
      <c r="BE63" s="2254" t="s">
        <v>218</v>
      </c>
      <c r="BF63" s="2254"/>
      <c r="BG63" s="2254"/>
      <c r="BH63" s="2254"/>
      <c r="BI63" s="2255">
        <f>附表!Z17</f>
        <v>0</v>
      </c>
      <c r="BJ63" s="2255"/>
      <c r="BK63" s="2255">
        <f t="shared" si="11"/>
        <v>0</v>
      </c>
      <c r="BL63" s="2255"/>
      <c r="BM63" s="2256"/>
      <c r="BN63" s="2256"/>
      <c r="BO63" s="2256"/>
      <c r="BP63" s="2256"/>
      <c r="BQ63" s="2257">
        <f>BI63+BK63+BO63+BM63</f>
        <v>0</v>
      </c>
      <c r="BR63" s="2257"/>
      <c r="BS63" s="2258">
        <f t="shared" si="3"/>
        <v>0</v>
      </c>
      <c r="BT63" s="2258"/>
      <c r="BU63" s="2258">
        <f t="shared" si="4"/>
        <v>0</v>
      </c>
      <c r="BV63" s="2258"/>
      <c r="BW63" s="2259" t="s">
        <v>102</v>
      </c>
      <c r="BX63" s="2260"/>
      <c r="BY63" s="2261">
        <f>IF(ISTEXT(IFERROR(VLOOKUP(人物卡!CA63,人物卡!$DI$25:$DQ$29,1,FALSE),IFERROR(VLOOKUP(人物卡!CA63,人物卡!$CZ$25:$DB$29,1,FALSE),0))),"★",INDEX(本职技能!$A$2:$IC$87,MATCH(人物卡!CA63,本职技能!$A$2:$A$87,0),MATCH(人物卡!$BL$11,本职技能!$A$1:$IC$1,0)))</f>
        <v>0</v>
      </c>
      <c r="BZ63" s="2261"/>
      <c r="CA63" s="2262" t="s">
        <v>219</v>
      </c>
      <c r="CB63" s="2262"/>
      <c r="CC63" s="2262"/>
      <c r="CD63" s="2262"/>
      <c r="CE63" s="2263">
        <f>附表!AB17</f>
        <v>0</v>
      </c>
      <c r="CF63" s="2263"/>
      <c r="CG63" s="2263">
        <f t="shared" si="12"/>
        <v>0</v>
      </c>
      <c r="CH63" s="2263"/>
      <c r="CI63" s="2264"/>
      <c r="CJ63" s="2264"/>
      <c r="CK63" s="2264"/>
      <c r="CL63" s="2264"/>
      <c r="CM63" s="2209">
        <f t="shared" si="17"/>
        <v>0</v>
      </c>
      <c r="CN63" s="2209"/>
      <c r="CO63" s="2210">
        <f t="shared" si="6"/>
        <v>0</v>
      </c>
      <c r="CP63" s="2210"/>
      <c r="CQ63" s="2210">
        <f t="shared" si="7"/>
        <v>0</v>
      </c>
      <c r="CR63" s="2211"/>
      <c r="CS63" s="1158"/>
      <c r="CT63" s="1396"/>
      <c r="CU63" s="1397"/>
      <c r="CV63" s="1397"/>
      <c r="CW63" s="1397"/>
      <c r="CX63" s="1397"/>
      <c r="CY63" s="1397"/>
      <c r="CZ63" s="1397"/>
      <c r="DA63" s="1397"/>
      <c r="DB63" s="1397"/>
      <c r="DC63" s="1397"/>
      <c r="DD63" s="1397"/>
      <c r="DE63" s="1397"/>
      <c r="DF63" s="1397"/>
      <c r="DG63" s="1397"/>
      <c r="DH63" s="1397"/>
      <c r="DI63" s="1397"/>
      <c r="DJ63" s="1397"/>
      <c r="DK63" s="1397"/>
      <c r="DL63" s="1397"/>
      <c r="DM63" s="1397"/>
      <c r="DN63" s="1397"/>
      <c r="DO63" s="1397"/>
      <c r="DP63" s="1397"/>
      <c r="DQ63" s="1398"/>
    </row>
    <row r="64" spans="2:121" ht="16.5">
      <c r="B64" s="1191"/>
      <c r="C64" s="1182" t="s">
        <v>56</v>
      </c>
      <c r="D64" s="1192"/>
      <c r="E64" s="1191"/>
      <c r="F64" s="1193" t="s">
        <v>56</v>
      </c>
      <c r="G64" s="1192"/>
      <c r="H64" s="1191"/>
      <c r="I64" s="1182" t="s">
        <v>56</v>
      </c>
      <c r="J64" s="1192"/>
      <c r="K64" s="1191"/>
      <c r="L64" s="1193" t="s">
        <v>56</v>
      </c>
      <c r="M64" s="1192"/>
      <c r="N64" s="1191"/>
      <c r="O64" s="1182" t="s">
        <v>56</v>
      </c>
      <c r="P64" s="1192"/>
      <c r="Q64" s="1191"/>
      <c r="R64" s="1193" t="s">
        <v>56</v>
      </c>
      <c r="S64" s="1192"/>
      <c r="T64" s="1191"/>
      <c r="U64" s="1182" t="s">
        <v>56</v>
      </c>
      <c r="V64" s="1192"/>
      <c r="W64" s="1191"/>
      <c r="X64" s="1193" t="s">
        <v>56</v>
      </c>
      <c r="Y64" s="1192"/>
      <c r="Z64" s="1191"/>
      <c r="AA64" s="1182" t="s">
        <v>56</v>
      </c>
      <c r="AB64" s="1192"/>
      <c r="AC64" s="1191"/>
      <c r="AD64" s="1193" t="s">
        <v>56</v>
      </c>
      <c r="AE64" s="1192"/>
      <c r="AF64" s="1191"/>
      <c r="AG64" s="1182" t="s">
        <v>56</v>
      </c>
      <c r="AH64" s="1192"/>
      <c r="AI64" s="1191"/>
      <c r="AJ64" s="1193" t="s">
        <v>56</v>
      </c>
      <c r="AK64" s="1192"/>
      <c r="AL64" s="1191"/>
      <c r="AM64" s="1182" t="s">
        <v>56</v>
      </c>
      <c r="AN64" s="1192"/>
      <c r="AO64" s="1191"/>
      <c r="AP64" s="1193" t="s">
        <v>56</v>
      </c>
      <c r="AQ64" s="1194"/>
      <c r="AR64" s="2212">
        <f t="shared" si="13"/>
        <v>0</v>
      </c>
      <c r="AS64" s="2213"/>
      <c r="AT64" s="2214">
        <f t="shared" si="10"/>
        <v>0</v>
      </c>
      <c r="AU64" s="2215"/>
      <c r="AV64" s="2216" t="str">
        <f>IF(BG64=0,"格斗:","格斗:"&amp;BG64)</f>
        <v>格斗:</v>
      </c>
      <c r="AW64" s="2217"/>
      <c r="AX64" s="2218"/>
      <c r="AY64" s="2219">
        <f t="shared" si="9"/>
        <v>0</v>
      </c>
      <c r="AZ64" s="2220"/>
      <c r="BA64" s="2221" t="s">
        <v>102</v>
      </c>
      <c r="BB64" s="2221"/>
      <c r="BC64" s="2222">
        <f>IF(ISTEXT(IFERROR(VLOOKUP(人物卡!BE64,人物卡!$DI$25:$DQ$29,1,FALSE),IFERROR(VLOOKUP(人物卡!BE64,人物卡!$CZ$25:$DB$29,1,FALSE),0))),"★",INDEX(本职技能!$A$2:$IC$87,MATCH(人物卡!BE64,本职技能!$A$2:$A$87,0),MATCH(人物卡!$BL$11,本职技能!$A$1:$IC$1,0)))</f>
        <v>0</v>
      </c>
      <c r="BD64" s="2222"/>
      <c r="BE64" s="2223" t="s">
        <v>220</v>
      </c>
      <c r="BF64" s="2223"/>
      <c r="BG64" s="2223"/>
      <c r="BH64" s="2223"/>
      <c r="BI64" s="2224">
        <f>附表!Z18</f>
        <v>0</v>
      </c>
      <c r="BJ64" s="2224"/>
      <c r="BK64" s="2224">
        <f t="shared" si="11"/>
        <v>0</v>
      </c>
      <c r="BL64" s="2224"/>
      <c r="BM64" s="2225"/>
      <c r="BN64" s="2225"/>
      <c r="BO64" s="2225"/>
      <c r="BP64" s="2225"/>
      <c r="BQ64" s="2226">
        <f>BO64+BM64+BK64+BI64</f>
        <v>0</v>
      </c>
      <c r="BR64" s="2226"/>
      <c r="BS64" s="2227">
        <f t="shared" si="3"/>
        <v>0</v>
      </c>
      <c r="BT64" s="2227"/>
      <c r="BU64" s="2227">
        <f t="shared" si="4"/>
        <v>0</v>
      </c>
      <c r="BV64" s="2227"/>
      <c r="BW64" s="2228" t="s">
        <v>102</v>
      </c>
      <c r="BX64" s="2229"/>
      <c r="BY64" s="2230">
        <f>IF(ISTEXT(IFERROR(VLOOKUP(人物卡!CA64,人物卡!$DI$25:$DQ$29,1,FALSE),IFERROR(VLOOKUP(人物卡!CA64,人物卡!$CZ$25:$DB$29,1,FALSE),0))),"★",INDEX(本职技能!$A$2:$IC$87,MATCH(人物卡!CA64,本职技能!$A$2:$A$87,0),MATCH(人物卡!$BL$11,本职技能!$A$1:$IC$1,0)))</f>
        <v>0</v>
      </c>
      <c r="BZ64" s="2230"/>
      <c r="CA64" s="2231" t="s">
        <v>221</v>
      </c>
      <c r="CB64" s="2231"/>
      <c r="CC64" s="2231"/>
      <c r="CD64" s="2231"/>
      <c r="CE64" s="2232">
        <f>附表!AB18</f>
        <v>0</v>
      </c>
      <c r="CF64" s="2232"/>
      <c r="CG64" s="2232">
        <f t="shared" si="12"/>
        <v>0</v>
      </c>
      <c r="CH64" s="2232"/>
      <c r="CI64" s="2233"/>
      <c r="CJ64" s="2233"/>
      <c r="CK64" s="2233"/>
      <c r="CL64" s="2233"/>
      <c r="CM64" s="2234">
        <f t="shared" si="17"/>
        <v>0</v>
      </c>
      <c r="CN64" s="2234"/>
      <c r="CO64" s="2235">
        <f t="shared" si="6"/>
        <v>0</v>
      </c>
      <c r="CP64" s="2235"/>
      <c r="CQ64" s="2235">
        <f t="shared" si="7"/>
        <v>0</v>
      </c>
      <c r="CR64" s="2236"/>
      <c r="CS64" s="1158"/>
      <c r="CT64" s="1396"/>
      <c r="CU64" s="1397"/>
      <c r="CV64" s="1397"/>
      <c r="CW64" s="1397"/>
      <c r="CX64" s="1397"/>
      <c r="CY64" s="1397"/>
      <c r="CZ64" s="1397"/>
      <c r="DA64" s="1397"/>
      <c r="DB64" s="1397"/>
      <c r="DC64" s="1397"/>
      <c r="DD64" s="1397"/>
      <c r="DE64" s="1397"/>
      <c r="DF64" s="1397"/>
      <c r="DG64" s="1397"/>
      <c r="DH64" s="1397"/>
      <c r="DI64" s="1397"/>
      <c r="DJ64" s="1397"/>
      <c r="DK64" s="1397"/>
      <c r="DL64" s="1397"/>
      <c r="DM64" s="1397"/>
      <c r="DN64" s="1397"/>
      <c r="DO64" s="1397"/>
      <c r="DP64" s="1397"/>
      <c r="DQ64" s="1398"/>
    </row>
    <row r="65" spans="2:121" ht="16.5">
      <c r="B65" s="1195"/>
      <c r="C65" s="1134" t="s">
        <v>56</v>
      </c>
      <c r="D65" s="1196"/>
      <c r="E65" s="1195"/>
      <c r="F65" s="1197" t="s">
        <v>56</v>
      </c>
      <c r="G65" s="1196"/>
      <c r="H65" s="1195"/>
      <c r="I65" s="1134" t="s">
        <v>56</v>
      </c>
      <c r="J65" s="1196"/>
      <c r="K65" s="1195"/>
      <c r="L65" s="1197" t="s">
        <v>56</v>
      </c>
      <c r="M65" s="1196"/>
      <c r="N65" s="1195"/>
      <c r="O65" s="1134" t="s">
        <v>56</v>
      </c>
      <c r="P65" s="1196"/>
      <c r="Q65" s="1195"/>
      <c r="R65" s="1197" t="s">
        <v>56</v>
      </c>
      <c r="S65" s="1196"/>
      <c r="T65" s="1195"/>
      <c r="U65" s="1134" t="s">
        <v>56</v>
      </c>
      <c r="V65" s="1196"/>
      <c r="W65" s="1195"/>
      <c r="X65" s="1197" t="s">
        <v>56</v>
      </c>
      <c r="Y65" s="1196"/>
      <c r="Z65" s="1195"/>
      <c r="AA65" s="1134" t="s">
        <v>56</v>
      </c>
      <c r="AB65" s="1196"/>
      <c r="AC65" s="1195"/>
      <c r="AD65" s="1197" t="s">
        <v>56</v>
      </c>
      <c r="AE65" s="1196"/>
      <c r="AF65" s="1195"/>
      <c r="AG65" s="1134" t="s">
        <v>56</v>
      </c>
      <c r="AH65" s="1196"/>
      <c r="AI65" s="1195"/>
      <c r="AJ65" s="1197" t="s">
        <v>56</v>
      </c>
      <c r="AK65" s="1196"/>
      <c r="AL65" s="1195"/>
      <c r="AM65" s="1134" t="s">
        <v>56</v>
      </c>
      <c r="AN65" s="1196"/>
      <c r="AO65" s="1195"/>
      <c r="AP65" s="1197" t="s">
        <v>56</v>
      </c>
      <c r="AQ65" s="1198"/>
      <c r="AR65" s="1991">
        <f t="shared" si="13"/>
        <v>0</v>
      </c>
      <c r="AS65" s="1992"/>
      <c r="AT65" s="1993">
        <f>AR65+CE25+CI25+CK25</f>
        <v>1</v>
      </c>
      <c r="AU65" s="1994"/>
      <c r="AV65" s="1995" t="str">
        <f>CA25</f>
        <v>锁匠</v>
      </c>
      <c r="AW65" s="1996"/>
      <c r="AX65" s="1997"/>
      <c r="AY65" s="2195">
        <f>BY25</f>
        <v>0</v>
      </c>
      <c r="AZ65" s="2196"/>
      <c r="BA65" s="2197" t="str">
        <f>IF(BL11=0,"","职业信用范围："&amp;LOOKUP(BL11,职业列表!A2:A237,职业列表!D2:D237))</f>
        <v/>
      </c>
      <c r="BB65" s="2197"/>
      <c r="BC65" s="2197"/>
      <c r="BD65" s="2197"/>
      <c r="BE65" s="2197"/>
      <c r="BF65" s="2197"/>
      <c r="BG65" s="2197"/>
      <c r="BH65" s="836"/>
      <c r="BI65" s="2198" t="str">
        <f>IF(BL11=0,"","本职属性："&amp;附表!J52&amp;"       ")&amp;IF(BL11=0,"",IF(AND(附表!J53-SUM(BM26:BN64,CI25:CJ64)=0,INTA+INTA-SUM(BO25:BP64,CK25:CL64)=0),"",("剩余职业点="&amp;附表!M52&amp;"     剩余兴趣点="&amp;附表!M54&amp;IF(BE148=附表!B26,"","     剩余经历包点="&amp;IF(ISNUMBER(附表!D34),附表!D34-SUM(BK25:BL64,CG25:CH64),附表!D34)))))</f>
        <v/>
      </c>
      <c r="BJ65" s="2198"/>
      <c r="BK65" s="2198"/>
      <c r="BL65" s="2198"/>
      <c r="BM65" s="2198"/>
      <c r="BN65" s="2198"/>
      <c r="BO65" s="2198"/>
      <c r="BP65" s="2198"/>
      <c r="BQ65" s="2198"/>
      <c r="BR65" s="2198"/>
      <c r="BS65" s="2198"/>
      <c r="BT65" s="2198"/>
      <c r="BU65" s="2198"/>
      <c r="BV65" s="2198"/>
      <c r="BW65" s="2198"/>
      <c r="BX65" s="2199"/>
      <c r="BY65" s="2199"/>
      <c r="BZ65" s="2199"/>
      <c r="CA65" s="2199"/>
      <c r="CB65" s="2198"/>
      <c r="CC65" s="2198"/>
      <c r="CD65" s="2198"/>
      <c r="CE65" s="2198"/>
      <c r="CF65" s="2198"/>
      <c r="CG65" s="2198"/>
      <c r="CH65" s="2198"/>
      <c r="CI65" s="2198"/>
      <c r="CJ65" s="2198"/>
      <c r="CK65" s="2198"/>
      <c r="CL65" s="2198"/>
      <c r="CM65" s="2198"/>
      <c r="CN65" s="2198"/>
      <c r="CO65" s="2198"/>
      <c r="CP65" s="2198"/>
      <c r="CQ65" s="2198"/>
      <c r="CR65" s="2198"/>
      <c r="CT65" s="1396"/>
      <c r="CU65" s="1397"/>
      <c r="CV65" s="1397"/>
      <c r="CW65" s="1397"/>
      <c r="CX65" s="1397"/>
      <c r="CY65" s="1397"/>
      <c r="CZ65" s="1397"/>
      <c r="DA65" s="1397"/>
      <c r="DB65" s="1397"/>
      <c r="DC65" s="1397"/>
      <c r="DD65" s="1397"/>
      <c r="DE65" s="1397"/>
      <c r="DF65" s="1397"/>
      <c r="DG65" s="1397"/>
      <c r="DH65" s="1397"/>
      <c r="DI65" s="1397"/>
      <c r="DJ65" s="1397"/>
      <c r="DK65" s="1397"/>
      <c r="DL65" s="1397"/>
      <c r="DM65" s="1397"/>
      <c r="DN65" s="1397"/>
      <c r="DO65" s="1397"/>
      <c r="DP65" s="1397"/>
      <c r="DQ65" s="1398"/>
    </row>
    <row r="66" spans="2:121" ht="16.5">
      <c r="B66" s="1138"/>
      <c r="C66" s="1139" t="s">
        <v>56</v>
      </c>
      <c r="D66" s="1140"/>
      <c r="E66" s="1138"/>
      <c r="F66" s="1141" t="s">
        <v>56</v>
      </c>
      <c r="G66" s="1140"/>
      <c r="H66" s="1138"/>
      <c r="I66" s="1139" t="s">
        <v>56</v>
      </c>
      <c r="J66" s="1140"/>
      <c r="K66" s="1138"/>
      <c r="L66" s="1141" t="s">
        <v>56</v>
      </c>
      <c r="M66" s="1140"/>
      <c r="N66" s="1138"/>
      <c r="O66" s="1139" t="s">
        <v>56</v>
      </c>
      <c r="P66" s="1140"/>
      <c r="Q66" s="1138"/>
      <c r="R66" s="1141" t="s">
        <v>56</v>
      </c>
      <c r="S66" s="1140"/>
      <c r="T66" s="1138"/>
      <c r="U66" s="1139" t="s">
        <v>56</v>
      </c>
      <c r="V66" s="1140"/>
      <c r="W66" s="1138"/>
      <c r="X66" s="1141" t="s">
        <v>56</v>
      </c>
      <c r="Y66" s="1140"/>
      <c r="Z66" s="1138"/>
      <c r="AA66" s="1139" t="s">
        <v>56</v>
      </c>
      <c r="AB66" s="1140"/>
      <c r="AC66" s="1138"/>
      <c r="AD66" s="1141" t="s">
        <v>56</v>
      </c>
      <c r="AE66" s="1140"/>
      <c r="AF66" s="1138"/>
      <c r="AG66" s="1139" t="s">
        <v>56</v>
      </c>
      <c r="AH66" s="1140"/>
      <c r="AI66" s="1138"/>
      <c r="AJ66" s="1141" t="s">
        <v>56</v>
      </c>
      <c r="AK66" s="1140"/>
      <c r="AL66" s="1138"/>
      <c r="AM66" s="1139" t="s">
        <v>56</v>
      </c>
      <c r="AN66" s="1140"/>
      <c r="AO66" s="1138"/>
      <c r="AP66" s="1141" t="s">
        <v>56</v>
      </c>
      <c r="AQ66" s="1142"/>
      <c r="AR66" s="2151">
        <f t="shared" si="13"/>
        <v>0</v>
      </c>
      <c r="AS66" s="2152"/>
      <c r="AT66" s="2200">
        <f>AR66+CE26+CI26+CK26</f>
        <v>5</v>
      </c>
      <c r="AU66" s="2201"/>
      <c r="AV66" s="1995" t="str">
        <f t="shared" ref="AV66:AV98" si="18">CA26</f>
        <v>乔装</v>
      </c>
      <c r="AW66" s="1996"/>
      <c r="AX66" s="1997"/>
      <c r="AY66" s="1998">
        <f t="shared" ref="AY66:AY104" si="19">BY26</f>
        <v>0</v>
      </c>
      <c r="AZ66" s="2029"/>
      <c r="BA66" s="2202" t="s">
        <v>222</v>
      </c>
      <c r="BB66" s="2203"/>
      <c r="BC66" s="2203"/>
      <c r="BD66" s="2203"/>
      <c r="BE66" s="2203"/>
      <c r="BF66" s="2203"/>
      <c r="BG66" s="2203"/>
      <c r="BH66" s="2203"/>
      <c r="BI66" s="2203"/>
      <c r="BJ66" s="2203"/>
      <c r="BK66" s="2203"/>
      <c r="BL66" s="2203"/>
      <c r="BM66" s="2203"/>
      <c r="BN66" s="2203"/>
      <c r="BO66" s="2203"/>
      <c r="BP66" s="2203"/>
      <c r="BQ66" s="2203"/>
      <c r="BR66" s="2203"/>
      <c r="BS66" s="2203"/>
      <c r="BT66" s="2203"/>
      <c r="BU66" s="2203"/>
      <c r="BV66" s="2203"/>
      <c r="BW66" s="2203"/>
      <c r="BX66" s="2203"/>
      <c r="BY66" s="2203"/>
      <c r="BZ66" s="2203"/>
      <c r="CA66" s="2203"/>
      <c r="CB66" s="2203"/>
      <c r="CC66" s="2203"/>
      <c r="CD66" s="2203"/>
      <c r="CE66" s="2203"/>
      <c r="CF66" s="2203"/>
      <c r="CG66" s="2203"/>
      <c r="CH66" s="2203"/>
      <c r="CI66" s="2203"/>
      <c r="CJ66" s="2203"/>
      <c r="CK66" s="2203"/>
      <c r="CL66" s="2204"/>
      <c r="CN66" s="1913" t="s">
        <v>223</v>
      </c>
      <c r="CO66" s="1914"/>
      <c r="CP66" s="1914"/>
      <c r="CQ66" s="1914"/>
      <c r="CR66" s="1915"/>
      <c r="CT66" s="1396"/>
      <c r="CU66" s="1397"/>
      <c r="CV66" s="1397"/>
      <c r="CW66" s="1397"/>
      <c r="CX66" s="1397"/>
      <c r="CY66" s="1397"/>
      <c r="CZ66" s="1397"/>
      <c r="DA66" s="1397"/>
      <c r="DB66" s="1397"/>
      <c r="DC66" s="1397"/>
      <c r="DD66" s="1397"/>
      <c r="DE66" s="1397"/>
      <c r="DF66" s="1397"/>
      <c r="DG66" s="1397"/>
      <c r="DH66" s="1397"/>
      <c r="DI66" s="1397"/>
      <c r="DJ66" s="1397"/>
      <c r="DK66" s="1397"/>
      <c r="DL66" s="1397"/>
      <c r="DM66" s="1397"/>
      <c r="DN66" s="1397"/>
      <c r="DO66" s="1397"/>
      <c r="DP66" s="1397"/>
      <c r="DQ66" s="1398"/>
    </row>
    <row r="67" spans="2:121" ht="16.5">
      <c r="B67" s="1133"/>
      <c r="C67" s="1134" t="s">
        <v>56</v>
      </c>
      <c r="D67" s="1135"/>
      <c r="E67" s="1133"/>
      <c r="F67" s="1136" t="s">
        <v>56</v>
      </c>
      <c r="G67" s="1135"/>
      <c r="H67" s="1133"/>
      <c r="I67" s="1134" t="s">
        <v>56</v>
      </c>
      <c r="J67" s="1135"/>
      <c r="K67" s="1133"/>
      <c r="L67" s="1136" t="s">
        <v>56</v>
      </c>
      <c r="M67" s="1135"/>
      <c r="N67" s="1133"/>
      <c r="O67" s="1134" t="s">
        <v>56</v>
      </c>
      <c r="P67" s="1135"/>
      <c r="Q67" s="1133"/>
      <c r="R67" s="1136" t="s">
        <v>56</v>
      </c>
      <c r="S67" s="1135"/>
      <c r="T67" s="1133"/>
      <c r="U67" s="1134" t="s">
        <v>56</v>
      </c>
      <c r="V67" s="1135"/>
      <c r="W67" s="1133"/>
      <c r="X67" s="1136" t="s">
        <v>56</v>
      </c>
      <c r="Y67" s="1135"/>
      <c r="Z67" s="1133"/>
      <c r="AA67" s="1134" t="s">
        <v>56</v>
      </c>
      <c r="AB67" s="1135"/>
      <c r="AC67" s="1133"/>
      <c r="AD67" s="1136" t="s">
        <v>56</v>
      </c>
      <c r="AE67" s="1135"/>
      <c r="AF67" s="1133"/>
      <c r="AG67" s="1134" t="s">
        <v>56</v>
      </c>
      <c r="AH67" s="1135"/>
      <c r="AI67" s="1133"/>
      <c r="AJ67" s="1136" t="s">
        <v>56</v>
      </c>
      <c r="AK67" s="1135"/>
      <c r="AL67" s="1133"/>
      <c r="AM67" s="1134" t="s">
        <v>56</v>
      </c>
      <c r="AN67" s="1135"/>
      <c r="AO67" s="1133"/>
      <c r="AP67" s="1136" t="s">
        <v>56</v>
      </c>
      <c r="AQ67" s="1137"/>
      <c r="AR67" s="1991">
        <f t="shared" si="13"/>
        <v>0</v>
      </c>
      <c r="AS67" s="1992"/>
      <c r="AT67" s="1993">
        <f t="shared" ref="AT67:AT104" si="20">AR67+CE27+CI27+CK27</f>
        <v>10</v>
      </c>
      <c r="AU67" s="1994"/>
      <c r="AV67" s="1995" t="str">
        <f t="shared" si="18"/>
        <v>妙手</v>
      </c>
      <c r="AW67" s="1996"/>
      <c r="AX67" s="1997"/>
      <c r="AY67" s="1998">
        <f t="shared" si="19"/>
        <v>0</v>
      </c>
      <c r="AZ67" s="2029"/>
      <c r="BA67" s="2205" t="s">
        <v>224</v>
      </c>
      <c r="BB67" s="2206"/>
      <c r="BC67" s="2206"/>
      <c r="BD67" s="2206"/>
      <c r="BE67" s="2206"/>
      <c r="BF67" s="2206" t="s">
        <v>225</v>
      </c>
      <c r="BG67" s="2206"/>
      <c r="BH67" s="2206"/>
      <c r="BI67" s="2206"/>
      <c r="BJ67" s="2206"/>
      <c r="BK67" s="2206" t="s">
        <v>226</v>
      </c>
      <c r="BL67" s="2206"/>
      <c r="BM67" s="2206"/>
      <c r="BN67" s="2206"/>
      <c r="BO67" s="2206" t="s">
        <v>227</v>
      </c>
      <c r="BP67" s="2206"/>
      <c r="BQ67" s="2206"/>
      <c r="BR67" s="2206"/>
      <c r="BS67" s="2206"/>
      <c r="BT67" s="2206"/>
      <c r="BU67" s="2206" t="s">
        <v>228</v>
      </c>
      <c r="BV67" s="2206"/>
      <c r="BW67" s="2207"/>
      <c r="BX67" s="2207"/>
      <c r="BY67" s="2206" t="s">
        <v>229</v>
      </c>
      <c r="BZ67" s="2206"/>
      <c r="CA67" s="2206" t="s">
        <v>230</v>
      </c>
      <c r="CB67" s="2206"/>
      <c r="CC67" s="2206" t="s">
        <v>231</v>
      </c>
      <c r="CD67" s="2206"/>
      <c r="CE67" s="2206" t="s">
        <v>232</v>
      </c>
      <c r="CF67" s="2206"/>
      <c r="CG67" s="2206"/>
      <c r="CH67" s="2206" t="s">
        <v>233</v>
      </c>
      <c r="CI67" s="2206"/>
      <c r="CJ67" s="2206" t="s">
        <v>234</v>
      </c>
      <c r="CK67" s="2206"/>
      <c r="CL67" s="2208"/>
      <c r="CN67" s="1330" t="s">
        <v>235</v>
      </c>
      <c r="CO67" s="1331"/>
      <c r="CP67" s="1354" t="str">
        <f>附表!P9</f>
        <v>0</v>
      </c>
      <c r="CQ67" s="1355"/>
      <c r="CR67" s="1356"/>
      <c r="CT67" s="1399"/>
      <c r="CU67" s="1400"/>
      <c r="CV67" s="1400"/>
      <c r="CW67" s="1400"/>
      <c r="CX67" s="1400"/>
      <c r="CY67" s="1400"/>
      <c r="CZ67" s="1400"/>
      <c r="DA67" s="1400"/>
      <c r="DB67" s="1400"/>
      <c r="DC67" s="1400"/>
      <c r="DD67" s="1400"/>
      <c r="DE67" s="1400"/>
      <c r="DF67" s="1400"/>
      <c r="DG67" s="1400"/>
      <c r="DH67" s="1400"/>
      <c r="DI67" s="1400"/>
      <c r="DJ67" s="1400"/>
      <c r="DK67" s="1400"/>
      <c r="DL67" s="1400"/>
      <c r="DM67" s="1400"/>
      <c r="DN67" s="1400"/>
      <c r="DO67" s="1400"/>
      <c r="DP67" s="1400"/>
      <c r="DQ67" s="1401"/>
    </row>
    <row r="68" spans="2:121" ht="16.5">
      <c r="B68" s="1138"/>
      <c r="C68" s="1139" t="s">
        <v>56</v>
      </c>
      <c r="D68" s="1140"/>
      <c r="E68" s="1138"/>
      <c r="F68" s="1141" t="s">
        <v>56</v>
      </c>
      <c r="G68" s="1140"/>
      <c r="H68" s="1138"/>
      <c r="I68" s="1139" t="s">
        <v>56</v>
      </c>
      <c r="J68" s="1140"/>
      <c r="K68" s="1138"/>
      <c r="L68" s="1141" t="s">
        <v>56</v>
      </c>
      <c r="M68" s="1140"/>
      <c r="N68" s="1138"/>
      <c r="O68" s="1139" t="s">
        <v>56</v>
      </c>
      <c r="P68" s="1140"/>
      <c r="Q68" s="1138"/>
      <c r="R68" s="1141" t="s">
        <v>56</v>
      </c>
      <c r="S68" s="1140"/>
      <c r="T68" s="1138"/>
      <c r="U68" s="1139" t="s">
        <v>56</v>
      </c>
      <c r="V68" s="1140"/>
      <c r="W68" s="1138"/>
      <c r="X68" s="1141" t="s">
        <v>56</v>
      </c>
      <c r="Y68" s="1140"/>
      <c r="Z68" s="1138"/>
      <c r="AA68" s="1139" t="s">
        <v>56</v>
      </c>
      <c r="AB68" s="1140"/>
      <c r="AC68" s="1138"/>
      <c r="AD68" s="1141" t="s">
        <v>56</v>
      </c>
      <c r="AE68" s="1140"/>
      <c r="AF68" s="1138"/>
      <c r="AG68" s="1139" t="s">
        <v>56</v>
      </c>
      <c r="AH68" s="1140"/>
      <c r="AI68" s="1138"/>
      <c r="AJ68" s="1141" t="s">
        <v>56</v>
      </c>
      <c r="AK68" s="1140"/>
      <c r="AL68" s="1138"/>
      <c r="AM68" s="1139" t="s">
        <v>56</v>
      </c>
      <c r="AN68" s="1140"/>
      <c r="AO68" s="1138"/>
      <c r="AP68" s="1141" t="s">
        <v>56</v>
      </c>
      <c r="AQ68" s="1142"/>
      <c r="AR68" s="2151">
        <f t="shared" si="13"/>
        <v>0</v>
      </c>
      <c r="AS68" s="2152"/>
      <c r="AT68" s="2002">
        <f t="shared" si="20"/>
        <v>20</v>
      </c>
      <c r="AU68" s="2003"/>
      <c r="AV68" s="1995" t="str">
        <f t="shared" si="18"/>
        <v>潜行</v>
      </c>
      <c r="AW68" s="1996"/>
      <c r="AX68" s="1997"/>
      <c r="AY68" s="1998">
        <f t="shared" si="19"/>
        <v>0</v>
      </c>
      <c r="AZ68" s="2029"/>
      <c r="BA68" s="2153" t="s">
        <v>236</v>
      </c>
      <c r="BB68" s="2154"/>
      <c r="BC68" s="2154"/>
      <c r="BD68" s="2154"/>
      <c r="BE68" s="2154"/>
      <c r="BF68" s="2155" t="s">
        <v>237</v>
      </c>
      <c r="BG68" s="2155"/>
      <c r="BH68" s="2155"/>
      <c r="BI68" s="2155"/>
      <c r="BJ68" s="2155"/>
      <c r="BK68" s="2155" t="s">
        <v>209</v>
      </c>
      <c r="BL68" s="2155"/>
      <c r="BM68" s="2155"/>
      <c r="BN68" s="2155"/>
      <c r="BO68" s="2194">
        <f>BQ59</f>
        <v>25</v>
      </c>
      <c r="BP68" s="2194"/>
      <c r="BQ68" s="2155">
        <f>INT(BO68/2)</f>
        <v>12</v>
      </c>
      <c r="BR68" s="2155"/>
      <c r="BS68" s="2155">
        <f>INT(BO68/5)</f>
        <v>5</v>
      </c>
      <c r="BT68" s="2155"/>
      <c r="BU68" s="2155" t="s">
        <v>238</v>
      </c>
      <c r="BV68" s="2155"/>
      <c r="BW68" s="2156"/>
      <c r="BX68" s="2156"/>
      <c r="BY68" s="2156" t="s">
        <v>148</v>
      </c>
      <c r="BZ68" s="2156"/>
      <c r="CA68" s="2155" t="s">
        <v>239</v>
      </c>
      <c r="CB68" s="2155"/>
      <c r="CC68" s="2155">
        <v>1</v>
      </c>
      <c r="CD68" s="2155"/>
      <c r="CE68" s="2155" t="s">
        <v>148</v>
      </c>
      <c r="CF68" s="2155"/>
      <c r="CG68" s="2155"/>
      <c r="CH68" s="2155" t="s">
        <v>148</v>
      </c>
      <c r="CI68" s="2155"/>
      <c r="CJ68" s="2157" t="s">
        <v>148</v>
      </c>
      <c r="CK68" s="2158"/>
      <c r="CL68" s="2159"/>
      <c r="CN68" s="1332"/>
      <c r="CO68" s="1333"/>
      <c r="CP68" s="1357"/>
      <c r="CQ68" s="1358"/>
      <c r="CR68" s="1359"/>
      <c r="CT68" s="2187" t="s">
        <v>240</v>
      </c>
      <c r="CU68" s="2188"/>
      <c r="CV68" s="2188"/>
      <c r="CW68" s="2188"/>
      <c r="CX68" s="2188"/>
      <c r="CY68" s="2188"/>
      <c r="CZ68" s="2188"/>
      <c r="DA68" s="2188"/>
      <c r="DB68" s="2188"/>
      <c r="DC68" s="2188"/>
      <c r="DD68" s="2188"/>
      <c r="DE68" s="2188"/>
      <c r="DF68" s="2188"/>
      <c r="DG68" s="2188"/>
      <c r="DH68" s="2188"/>
      <c r="DI68" s="2188"/>
      <c r="DJ68" s="2188"/>
      <c r="DK68" s="2188"/>
      <c r="DL68" s="2188"/>
      <c r="DM68" s="2188"/>
      <c r="DN68" s="2188"/>
      <c r="DO68" s="2188"/>
      <c r="DP68" s="2188"/>
      <c r="DQ68" s="2189"/>
    </row>
    <row r="69" spans="2:121" ht="16.5">
      <c r="B69" s="1199"/>
      <c r="C69" s="1200" t="s">
        <v>56</v>
      </c>
      <c r="D69" s="1201"/>
      <c r="E69" s="1199"/>
      <c r="F69" s="1200" t="s">
        <v>56</v>
      </c>
      <c r="G69" s="1201"/>
      <c r="H69" s="1199"/>
      <c r="I69" s="1200" t="s">
        <v>56</v>
      </c>
      <c r="J69" s="1201"/>
      <c r="K69" s="1199"/>
      <c r="L69" s="1200" t="s">
        <v>56</v>
      </c>
      <c r="M69" s="1201"/>
      <c r="N69" s="1199"/>
      <c r="O69" s="1200" t="s">
        <v>56</v>
      </c>
      <c r="P69" s="1201"/>
      <c r="Q69" s="1199"/>
      <c r="R69" s="1200" t="s">
        <v>56</v>
      </c>
      <c r="S69" s="1201"/>
      <c r="T69" s="1199"/>
      <c r="U69" s="1200" t="s">
        <v>56</v>
      </c>
      <c r="V69" s="1201"/>
      <c r="W69" s="1199"/>
      <c r="X69" s="1200" t="s">
        <v>56</v>
      </c>
      <c r="Y69" s="1201"/>
      <c r="Z69" s="1199"/>
      <c r="AA69" s="1200" t="s">
        <v>56</v>
      </c>
      <c r="AB69" s="1201"/>
      <c r="AC69" s="1199"/>
      <c r="AD69" s="1200" t="s">
        <v>56</v>
      </c>
      <c r="AE69" s="1201"/>
      <c r="AF69" s="1199"/>
      <c r="AG69" s="1200" t="s">
        <v>56</v>
      </c>
      <c r="AH69" s="1201"/>
      <c r="AI69" s="1199"/>
      <c r="AJ69" s="1200" t="s">
        <v>56</v>
      </c>
      <c r="AK69" s="1201"/>
      <c r="AL69" s="1199"/>
      <c r="AM69" s="1200" t="s">
        <v>56</v>
      </c>
      <c r="AN69" s="1201"/>
      <c r="AO69" s="1199"/>
      <c r="AP69" s="1200" t="s">
        <v>56</v>
      </c>
      <c r="AQ69" s="1202"/>
      <c r="AR69" s="2160">
        <f t="shared" si="13"/>
        <v>0</v>
      </c>
      <c r="AS69" s="2161"/>
      <c r="AT69" s="2162">
        <f t="shared" si="20"/>
        <v>20</v>
      </c>
      <c r="AU69" s="2163"/>
      <c r="AV69" s="2164" t="str">
        <f t="shared" si="18"/>
        <v>图书馆使用</v>
      </c>
      <c r="AW69" s="2165"/>
      <c r="AX69" s="2166"/>
      <c r="AY69" s="2167">
        <f t="shared" si="19"/>
        <v>0</v>
      </c>
      <c r="AZ69" s="2168"/>
      <c r="BA69" s="2190"/>
      <c r="BB69" s="2171"/>
      <c r="BC69" s="2171"/>
      <c r="BD69" s="2171"/>
      <c r="BE69" s="2171"/>
      <c r="BF69" s="2171"/>
      <c r="BG69" s="2171"/>
      <c r="BH69" s="2171"/>
      <c r="BI69" s="2171"/>
      <c r="BJ69" s="2171"/>
      <c r="BK69" s="2191" t="str">
        <f>IF($BF69=0,"←请选择类型",VLOOKUP($BF69,'武器列表 战斗'!$B$2:$I$121,2,FALSE))</f>
        <v>←请选择类型</v>
      </c>
      <c r="BL69" s="2191"/>
      <c r="BM69" s="2191"/>
      <c r="BN69" s="2191"/>
      <c r="BO69" s="2192" t="str">
        <f>附表!BG5</f>
        <v/>
      </c>
      <c r="BP69" s="2192"/>
      <c r="BQ69" s="2191" t="str">
        <f t="shared" ref="BQ69:BQ73" si="21">IF(BO69="","",INT(BO69/2))</f>
        <v/>
      </c>
      <c r="BR69" s="2191"/>
      <c r="BS69" s="2191" t="str">
        <f t="shared" ref="BS69:BS73" si="22">IF(BO69="","",INT(BO69/5))</f>
        <v/>
      </c>
      <c r="BT69" s="2191"/>
      <c r="BU69" s="2191" t="str">
        <f>IF(BF69="武术",IF(BO69&lt;21,"1D2+半DB",IF(BO69&lt;41,"1D3+半DB",IF(BO69&lt;61,"1D4+DB",IF(BO69&lt;81,"1D4+1+DB",IF(BO69&lt;91,"1D4+2+DB",IF(BO69&lt;95,"1D4+3+DB","1D4+4+DB")))))),IF($BF69=0,"",VLOOKUP($BF69,'武器列表 战斗'!$B$2:$I$121,3,FALSE)))</f>
        <v/>
      </c>
      <c r="BV69" s="2191"/>
      <c r="BW69" s="2193"/>
      <c r="BX69" s="2193"/>
      <c r="BY69" s="2193" t="str">
        <f>IF($BF69=0,"",VLOOKUP($BF69,'武器列表 战斗'!$B$2:$I$121,4,FALSE))</f>
        <v/>
      </c>
      <c r="BZ69" s="2193"/>
      <c r="CA69" s="2191" t="str">
        <f>IF($BF69=0,"",VLOOKUP($BF69,'武器列表 战斗'!$B$2:$I$121,5,FALSE))</f>
        <v/>
      </c>
      <c r="CB69" s="2191"/>
      <c r="CC69" s="2191" t="str">
        <f>IF(BF69="武术",IF(BO69&lt;91,1,2),IF($BF69=0,"",VLOOKUP($BF69,'武器列表 战斗'!$B$2:$I$121,6,FALSE)))</f>
        <v/>
      </c>
      <c r="CD69" s="2191"/>
      <c r="CE69" s="2191" t="str">
        <f>IF($BF69=0,"",VLOOKUP($BF69,'武器列表 战斗'!$B$2:$I$121,7,FALSE))</f>
        <v/>
      </c>
      <c r="CF69" s="2191"/>
      <c r="CG69" s="2191"/>
      <c r="CH69" s="2191" t="str">
        <f>IF($BF69=0,"",VLOOKUP($BF69,'武器列表 战斗'!$B$2:$I$121,8,FALSE))</f>
        <v/>
      </c>
      <c r="CI69" s="2191"/>
      <c r="CJ69" s="2175" t="str">
        <f>IF($BF69=0,"",VLOOKUP($BF69,'武器列表 战斗'!$B$2:$K$121,10,FALSE))</f>
        <v/>
      </c>
      <c r="CK69" s="2176"/>
      <c r="CL69" s="2177"/>
      <c r="CN69" s="1334"/>
      <c r="CO69" s="1335"/>
      <c r="CP69" s="1360"/>
      <c r="CQ69" s="1361"/>
      <c r="CR69" s="1362"/>
      <c r="CT69" s="1402" t="e">
        <f>附表!AP22</f>
        <v>#N/A</v>
      </c>
      <c r="CU69" s="1403"/>
      <c r="CV69" s="1403"/>
      <c r="CW69" s="1403"/>
      <c r="CX69" s="1403"/>
      <c r="CY69" s="1403"/>
      <c r="CZ69" s="1403"/>
      <c r="DA69" s="1403"/>
      <c r="DB69" s="1403"/>
      <c r="DC69" s="1403"/>
      <c r="DD69" s="1403"/>
      <c r="DE69" s="1403"/>
      <c r="DF69" s="1403"/>
      <c r="DG69" s="1403"/>
      <c r="DH69" s="1403"/>
      <c r="DI69" s="1403"/>
      <c r="DJ69" s="1403"/>
      <c r="DK69" s="1403"/>
      <c r="DL69" s="1403"/>
      <c r="DM69" s="1403"/>
      <c r="DN69" s="1403"/>
      <c r="DO69" s="1403"/>
      <c r="DP69" s="1403"/>
      <c r="DQ69" s="1404"/>
    </row>
    <row r="70" spans="2:121" ht="16.5">
      <c r="B70" s="1203"/>
      <c r="C70" s="1204" t="s">
        <v>56</v>
      </c>
      <c r="D70" s="1205"/>
      <c r="E70" s="1203"/>
      <c r="F70" s="1204" t="s">
        <v>56</v>
      </c>
      <c r="G70" s="1205"/>
      <c r="H70" s="1203"/>
      <c r="I70" s="1204" t="s">
        <v>56</v>
      </c>
      <c r="J70" s="1205"/>
      <c r="K70" s="1203"/>
      <c r="L70" s="1204" t="s">
        <v>56</v>
      </c>
      <c r="M70" s="1205"/>
      <c r="N70" s="1203"/>
      <c r="O70" s="1204" t="s">
        <v>56</v>
      </c>
      <c r="P70" s="1205"/>
      <c r="Q70" s="1203"/>
      <c r="R70" s="1204" t="s">
        <v>56</v>
      </c>
      <c r="S70" s="1205"/>
      <c r="T70" s="1203"/>
      <c r="U70" s="1204" t="s">
        <v>56</v>
      </c>
      <c r="V70" s="1205"/>
      <c r="W70" s="1203"/>
      <c r="X70" s="1204" t="s">
        <v>56</v>
      </c>
      <c r="Y70" s="1205"/>
      <c r="Z70" s="1203"/>
      <c r="AA70" s="1204" t="s">
        <v>56</v>
      </c>
      <c r="AB70" s="1205"/>
      <c r="AC70" s="1203"/>
      <c r="AD70" s="1204" t="s">
        <v>56</v>
      </c>
      <c r="AE70" s="1205"/>
      <c r="AF70" s="1203"/>
      <c r="AG70" s="1204" t="s">
        <v>56</v>
      </c>
      <c r="AH70" s="1205"/>
      <c r="AI70" s="1203"/>
      <c r="AJ70" s="1204" t="s">
        <v>56</v>
      </c>
      <c r="AK70" s="1205"/>
      <c r="AL70" s="1203"/>
      <c r="AM70" s="1204" t="s">
        <v>56</v>
      </c>
      <c r="AN70" s="1205"/>
      <c r="AO70" s="1203"/>
      <c r="AP70" s="1204" t="s">
        <v>56</v>
      </c>
      <c r="AQ70" s="1206"/>
      <c r="AR70" s="2178">
        <f t="shared" si="13"/>
        <v>0</v>
      </c>
      <c r="AS70" s="2179"/>
      <c r="AT70" s="2180">
        <f t="shared" si="20"/>
        <v>20</v>
      </c>
      <c r="AU70" s="2181"/>
      <c r="AV70" s="2182" t="str">
        <f t="shared" si="18"/>
        <v>聆听</v>
      </c>
      <c r="AW70" s="2183"/>
      <c r="AX70" s="2184"/>
      <c r="AY70" s="2185">
        <f t="shared" si="19"/>
        <v>0</v>
      </c>
      <c r="AZ70" s="2186"/>
      <c r="BA70" s="2153"/>
      <c r="BB70" s="2154"/>
      <c r="BC70" s="2154"/>
      <c r="BD70" s="2154"/>
      <c r="BE70" s="2154"/>
      <c r="BF70" s="2154"/>
      <c r="BG70" s="2154"/>
      <c r="BH70" s="2154"/>
      <c r="BI70" s="2154"/>
      <c r="BJ70" s="2154"/>
      <c r="BK70" s="2155" t="str">
        <f>IF($BF70=0,IF(BK69="←请选择类型","","←请选择类型"),VLOOKUP($BF70,'武器列表 战斗'!$B$2:$I$121,2,FALSE))</f>
        <v/>
      </c>
      <c r="BL70" s="2155"/>
      <c r="BM70" s="2155"/>
      <c r="BN70" s="2155"/>
      <c r="BO70" s="2155" t="str">
        <f>附表!BG6</f>
        <v/>
      </c>
      <c r="BP70" s="2155"/>
      <c r="BQ70" s="2155" t="str">
        <f t="shared" si="21"/>
        <v/>
      </c>
      <c r="BR70" s="2155"/>
      <c r="BS70" s="2155" t="str">
        <f t="shared" si="22"/>
        <v/>
      </c>
      <c r="BT70" s="2155"/>
      <c r="BU70" s="2155" t="str">
        <f>IF(BF70="武术",IF(BO70&lt;21,"1D2+半DB",IF(BO70&lt;41,"1D3+半DB",IF(BO70&lt;61,"1D4+DB",IF(BO70&lt;81,"1D4+1+DB",IF(BO70&lt;91,"1D4+2+DB",IF(BO70&lt;95,"1D4+3+DB","1D4+4+DB")))))),IF($BF70=0,"",VLOOKUP($BF70,'武器列表 战斗'!$B$2:$I$121,3,FALSE)))</f>
        <v/>
      </c>
      <c r="BV70" s="2155"/>
      <c r="BW70" s="2156"/>
      <c r="BX70" s="2156"/>
      <c r="BY70" s="2156" t="str">
        <f>IF($BF70=0,"",VLOOKUP($BF70,'武器列表 战斗'!$B$2:$I$121,4,FALSE))</f>
        <v/>
      </c>
      <c r="BZ70" s="2156"/>
      <c r="CA70" s="2155" t="str">
        <f>IF($BF70=0,"",VLOOKUP($BF70,'武器列表 战斗'!$B$2:$I$121,5,FALSE))</f>
        <v/>
      </c>
      <c r="CB70" s="2155"/>
      <c r="CC70" s="2155" t="str">
        <f>IF(BF70="武术",IF(BO70&lt;91,1,2),IF($BF70=0,"",VLOOKUP($BF70,'武器列表 战斗'!$B$2:$I$121,6,FALSE)))</f>
        <v/>
      </c>
      <c r="CD70" s="2155"/>
      <c r="CE70" s="2155" t="str">
        <f>IF($BF70=0,"",VLOOKUP($BF70,'武器列表 战斗'!$B$2:$I$121,7,FALSE))</f>
        <v/>
      </c>
      <c r="CF70" s="2155"/>
      <c r="CG70" s="2155"/>
      <c r="CH70" s="2155" t="str">
        <f>IF($BF70=0,"",VLOOKUP($BF70,'武器列表 战斗'!$B$2:$I$121,8,FALSE))</f>
        <v/>
      </c>
      <c r="CI70" s="2155"/>
      <c r="CJ70" s="2157" t="str">
        <f>IF($BF70=0,"",VLOOKUP($BF70,'武器列表 战斗'!$B$2:$K$121,10,FALSE))</f>
        <v/>
      </c>
      <c r="CK70" s="2158"/>
      <c r="CL70" s="2159"/>
      <c r="CN70" s="1336" t="s">
        <v>241</v>
      </c>
      <c r="CO70" s="1337"/>
      <c r="CP70" s="1348" t="str">
        <f>附表!P7</f>
        <v>0</v>
      </c>
      <c r="CQ70" s="1349"/>
      <c r="CR70" s="1350"/>
      <c r="CT70" s="1405"/>
      <c r="CU70" s="1406"/>
      <c r="CV70" s="1406"/>
      <c r="CW70" s="1406"/>
      <c r="CX70" s="1406"/>
      <c r="CY70" s="1406"/>
      <c r="CZ70" s="1406"/>
      <c r="DA70" s="1406"/>
      <c r="DB70" s="1406"/>
      <c r="DC70" s="1406"/>
      <c r="DD70" s="1406"/>
      <c r="DE70" s="1406"/>
      <c r="DF70" s="1406"/>
      <c r="DG70" s="1406"/>
      <c r="DH70" s="1406"/>
      <c r="DI70" s="1406"/>
      <c r="DJ70" s="1406"/>
      <c r="DK70" s="1406"/>
      <c r="DL70" s="1406"/>
      <c r="DM70" s="1406"/>
      <c r="DN70" s="1406"/>
      <c r="DO70" s="1406"/>
      <c r="DP70" s="1406"/>
      <c r="DQ70" s="1407"/>
    </row>
    <row r="71" spans="2:121" ht="16.5">
      <c r="B71" s="1199"/>
      <c r="C71" s="1200" t="s">
        <v>56</v>
      </c>
      <c r="D71" s="1201"/>
      <c r="E71" s="1199"/>
      <c r="F71" s="1200" t="s">
        <v>56</v>
      </c>
      <c r="G71" s="1201"/>
      <c r="H71" s="1199"/>
      <c r="I71" s="1200" t="s">
        <v>56</v>
      </c>
      <c r="J71" s="1201"/>
      <c r="K71" s="1199"/>
      <c r="L71" s="1200" t="s">
        <v>56</v>
      </c>
      <c r="M71" s="1201"/>
      <c r="N71" s="1199"/>
      <c r="O71" s="1200" t="s">
        <v>56</v>
      </c>
      <c r="P71" s="1201"/>
      <c r="Q71" s="1199"/>
      <c r="R71" s="1200" t="s">
        <v>56</v>
      </c>
      <c r="S71" s="1201"/>
      <c r="T71" s="1199"/>
      <c r="U71" s="1200" t="s">
        <v>56</v>
      </c>
      <c r="V71" s="1201"/>
      <c r="W71" s="1199"/>
      <c r="X71" s="1200" t="s">
        <v>56</v>
      </c>
      <c r="Y71" s="1201"/>
      <c r="Z71" s="1199"/>
      <c r="AA71" s="1200" t="s">
        <v>56</v>
      </c>
      <c r="AB71" s="1201"/>
      <c r="AC71" s="1199"/>
      <c r="AD71" s="1200" t="s">
        <v>56</v>
      </c>
      <c r="AE71" s="1201"/>
      <c r="AF71" s="1199"/>
      <c r="AG71" s="1200" t="s">
        <v>56</v>
      </c>
      <c r="AH71" s="1201"/>
      <c r="AI71" s="1199"/>
      <c r="AJ71" s="1200" t="s">
        <v>56</v>
      </c>
      <c r="AK71" s="1201"/>
      <c r="AL71" s="1199"/>
      <c r="AM71" s="1200" t="s">
        <v>56</v>
      </c>
      <c r="AN71" s="1201"/>
      <c r="AO71" s="1199"/>
      <c r="AP71" s="1200" t="s">
        <v>56</v>
      </c>
      <c r="AQ71" s="1202"/>
      <c r="AR71" s="2160">
        <f t="shared" si="13"/>
        <v>0</v>
      </c>
      <c r="AS71" s="2161"/>
      <c r="AT71" s="2162">
        <f t="shared" si="20"/>
        <v>25</v>
      </c>
      <c r="AU71" s="2163"/>
      <c r="AV71" s="2164" t="str">
        <f t="shared" si="18"/>
        <v>侦查</v>
      </c>
      <c r="AW71" s="2165"/>
      <c r="AX71" s="2166"/>
      <c r="AY71" s="2167">
        <f t="shared" si="19"/>
        <v>0</v>
      </c>
      <c r="AZ71" s="2168"/>
      <c r="BA71" s="2169"/>
      <c r="BB71" s="2170"/>
      <c r="BC71" s="2170"/>
      <c r="BD71" s="2170"/>
      <c r="BE71" s="2170"/>
      <c r="BF71" s="2171"/>
      <c r="BG71" s="2171"/>
      <c r="BH71" s="2171"/>
      <c r="BI71" s="2171"/>
      <c r="BJ71" s="2171"/>
      <c r="BK71" s="2172" t="str">
        <f>IF($BF71=0,IF(OR(BK69="←请选择类型",BK70="←请选择类型"),"","←请选择类型"),VLOOKUP($BF71,'武器列表 战斗'!$B$2:$I$121,2,FALSE))</f>
        <v/>
      </c>
      <c r="BL71" s="2173"/>
      <c r="BM71" s="2173"/>
      <c r="BN71" s="2173"/>
      <c r="BO71" s="2173" t="str">
        <f>附表!BG7</f>
        <v/>
      </c>
      <c r="BP71" s="2173"/>
      <c r="BQ71" s="2173" t="str">
        <f t="shared" si="21"/>
        <v/>
      </c>
      <c r="BR71" s="2173"/>
      <c r="BS71" s="2173" t="str">
        <f t="shared" si="22"/>
        <v/>
      </c>
      <c r="BT71" s="2173"/>
      <c r="BU71" s="2173" t="str">
        <f>IF(BF71="武术",IF(BO71&lt;21,"1D2+半DB",IF(BO71&lt;41,"1D3+半DB",IF(BO71&lt;61,"1D4+DB",IF(BO71&lt;81,"1D4+1+DB",IF(BO71&lt;91,"1D4+2+DB",IF(BO71&lt;95,"1D4+3+DB","1D4+4+DB")))))),IF($BF71=0,"",VLOOKUP($BF71,'武器列表 战斗'!$B$2:$I$121,3,FALSE)))</f>
        <v/>
      </c>
      <c r="BV71" s="2173"/>
      <c r="BW71" s="2174"/>
      <c r="BX71" s="2174"/>
      <c r="BY71" s="2174" t="str">
        <f>IF($BF71=0,"",VLOOKUP($BF71,'武器列表 战斗'!$B$2:$I$121,4,FALSE))</f>
        <v/>
      </c>
      <c r="BZ71" s="2174"/>
      <c r="CA71" s="2173" t="str">
        <f>IF($BF71=0,"",VLOOKUP($BF71,'武器列表 战斗'!$B$2:$I$121,5,FALSE))</f>
        <v/>
      </c>
      <c r="CB71" s="2173"/>
      <c r="CC71" s="2173" t="str">
        <f>IF(BF71="武术",IF(BO71&lt;91,1,2),IF($BF71=0,"",VLOOKUP($BF71,'武器列表 战斗'!$B$2:$I$121,6,FALSE)))</f>
        <v/>
      </c>
      <c r="CD71" s="2173"/>
      <c r="CE71" s="2173" t="str">
        <f>IF($BF71=0,"",VLOOKUP($BF71,'武器列表 战斗'!$B$2:$I$121,7,FALSE))</f>
        <v/>
      </c>
      <c r="CF71" s="2173"/>
      <c r="CG71" s="2173"/>
      <c r="CH71" s="2173" t="str">
        <f>IF($BF71=0,"",VLOOKUP($BF71,'武器列表 战斗'!$B$2:$I$121,8,FALSE))</f>
        <v/>
      </c>
      <c r="CI71" s="2173"/>
      <c r="CJ71" s="2175" t="str">
        <f>IF($BF71=0,"",VLOOKUP($BF71,'武器列表 战斗'!$B$2:$K$121,10,FALSE))</f>
        <v/>
      </c>
      <c r="CK71" s="2176"/>
      <c r="CL71" s="2177"/>
      <c r="CN71" s="1338"/>
      <c r="CO71" s="1339"/>
      <c r="CP71" s="1351"/>
      <c r="CQ71" s="1352"/>
      <c r="CR71" s="1353"/>
      <c r="CT71" s="1405"/>
      <c r="CU71" s="1406"/>
      <c r="CV71" s="1406"/>
      <c r="CW71" s="1406"/>
      <c r="CX71" s="1406"/>
      <c r="CY71" s="1406"/>
      <c r="CZ71" s="1406"/>
      <c r="DA71" s="1406"/>
      <c r="DB71" s="1406"/>
      <c r="DC71" s="1406"/>
      <c r="DD71" s="1406"/>
      <c r="DE71" s="1406"/>
      <c r="DF71" s="1406"/>
      <c r="DG71" s="1406"/>
      <c r="DH71" s="1406"/>
      <c r="DI71" s="1406"/>
      <c r="DJ71" s="1406"/>
      <c r="DK71" s="1406"/>
      <c r="DL71" s="1406"/>
      <c r="DM71" s="1406"/>
      <c r="DN71" s="1406"/>
      <c r="DO71" s="1406"/>
      <c r="DP71" s="1406"/>
      <c r="DQ71" s="1407"/>
    </row>
    <row r="72" spans="2:121" ht="16.5">
      <c r="B72" s="1138"/>
      <c r="C72" s="1134" t="s">
        <v>56</v>
      </c>
      <c r="D72" s="1140"/>
      <c r="E72" s="1138"/>
      <c r="F72" s="1141" t="s">
        <v>56</v>
      </c>
      <c r="G72" s="1140"/>
      <c r="H72" s="1138"/>
      <c r="I72" s="1134" t="s">
        <v>56</v>
      </c>
      <c r="J72" s="1140"/>
      <c r="K72" s="1138"/>
      <c r="L72" s="1141" t="s">
        <v>56</v>
      </c>
      <c r="M72" s="1140"/>
      <c r="N72" s="1138"/>
      <c r="O72" s="1134" t="s">
        <v>56</v>
      </c>
      <c r="P72" s="1140"/>
      <c r="Q72" s="1138"/>
      <c r="R72" s="1141" t="s">
        <v>56</v>
      </c>
      <c r="S72" s="1140"/>
      <c r="T72" s="1138"/>
      <c r="U72" s="1134" t="s">
        <v>56</v>
      </c>
      <c r="V72" s="1140"/>
      <c r="W72" s="1138"/>
      <c r="X72" s="1141" t="s">
        <v>56</v>
      </c>
      <c r="Y72" s="1140"/>
      <c r="Z72" s="1138"/>
      <c r="AA72" s="1134" t="s">
        <v>56</v>
      </c>
      <c r="AB72" s="1140"/>
      <c r="AC72" s="1138"/>
      <c r="AD72" s="1141" t="s">
        <v>56</v>
      </c>
      <c r="AE72" s="1140"/>
      <c r="AF72" s="1138"/>
      <c r="AG72" s="1134" t="s">
        <v>56</v>
      </c>
      <c r="AH72" s="1140"/>
      <c r="AI72" s="1138"/>
      <c r="AJ72" s="1141" t="s">
        <v>56</v>
      </c>
      <c r="AK72" s="1140"/>
      <c r="AL72" s="1138"/>
      <c r="AM72" s="1134" t="s">
        <v>56</v>
      </c>
      <c r="AN72" s="1140"/>
      <c r="AO72" s="1138"/>
      <c r="AP72" s="1141" t="s">
        <v>56</v>
      </c>
      <c r="AQ72" s="1142"/>
      <c r="AR72" s="2151">
        <f t="shared" si="13"/>
        <v>0</v>
      </c>
      <c r="AS72" s="2152"/>
      <c r="AT72" s="2002">
        <f t="shared" si="20"/>
        <v>10</v>
      </c>
      <c r="AU72" s="2003"/>
      <c r="AV72" s="1995" t="str">
        <f t="shared" si="18"/>
        <v>追踪</v>
      </c>
      <c r="AW72" s="1996"/>
      <c r="AX72" s="1997"/>
      <c r="AY72" s="1998">
        <f t="shared" si="19"/>
        <v>0</v>
      </c>
      <c r="AZ72" s="2029"/>
      <c r="BA72" s="2153"/>
      <c r="BB72" s="2154"/>
      <c r="BC72" s="2154"/>
      <c r="BD72" s="2154"/>
      <c r="BE72" s="2154"/>
      <c r="BF72" s="2154"/>
      <c r="BG72" s="2154"/>
      <c r="BH72" s="2154"/>
      <c r="BI72" s="2154"/>
      <c r="BJ72" s="2154"/>
      <c r="BK72" s="2155" t="str">
        <f>IF($BF72=0,"",VLOOKUP($BF72,'武器列表 战斗'!$B$2:$I$121,2,FALSE))</f>
        <v/>
      </c>
      <c r="BL72" s="2155"/>
      <c r="BM72" s="2155"/>
      <c r="BN72" s="2155"/>
      <c r="BO72" s="2155" t="str">
        <f>附表!BG8</f>
        <v/>
      </c>
      <c r="BP72" s="2155"/>
      <c r="BQ72" s="2155" t="str">
        <f t="shared" si="21"/>
        <v/>
      </c>
      <c r="BR72" s="2155"/>
      <c r="BS72" s="2155" t="str">
        <f t="shared" si="22"/>
        <v/>
      </c>
      <c r="BT72" s="2155"/>
      <c r="BU72" s="2155" t="str">
        <f>IF(BF72="武术",IF(BO72&lt;21,"1D2+半DB",IF(BO72&lt;41,"1D3+半DB",IF(BO72&lt;61,"1D4+DB",IF(BO72&lt;81,"1D4+1+DB",IF(BO72&lt;91,"1D4+2+DB",IF(BO72&lt;95,"1D4+3+DB","1D4+4+DB")))))),IF($BF72=0,"",VLOOKUP($BF72,'武器列表 战斗'!$B$2:$I$121,3,FALSE)))</f>
        <v/>
      </c>
      <c r="BV72" s="2155"/>
      <c r="BW72" s="2156"/>
      <c r="BX72" s="2156"/>
      <c r="BY72" s="2156" t="str">
        <f>IF($BF72=0,"",VLOOKUP($BF72,'武器列表 战斗'!$B$2:$I$121,4,FALSE))</f>
        <v/>
      </c>
      <c r="BZ72" s="2156"/>
      <c r="CA72" s="2155" t="str">
        <f>IF($BF72=0,"",VLOOKUP($BF72,'武器列表 战斗'!$B$2:$I$121,5,FALSE))</f>
        <v/>
      </c>
      <c r="CB72" s="2155"/>
      <c r="CC72" s="2155" t="str">
        <f>IF(BF72="武术",IF(BO72&lt;91,1,2),IF($BF72=0,"",VLOOKUP($BF72,'武器列表 战斗'!$B$2:$I$121,6,FALSE)))</f>
        <v/>
      </c>
      <c r="CD72" s="2155"/>
      <c r="CE72" s="2155" t="str">
        <f>IF($BF72=0,"",VLOOKUP($BF72,'武器列表 战斗'!$B$2:$I$121,7,FALSE))</f>
        <v/>
      </c>
      <c r="CF72" s="2155"/>
      <c r="CG72" s="2155"/>
      <c r="CH72" s="2155" t="str">
        <f>IF($BF72=0,"",VLOOKUP($BF72,'武器列表 战斗'!$B$2:$I$121,8,FALSE))</f>
        <v/>
      </c>
      <c r="CI72" s="2155"/>
      <c r="CJ72" s="2157" t="str">
        <f>IF($BF72=0,"",VLOOKUP($BF72,'武器列表 战斗'!$B$2:$K$121,10,FALSE))</f>
        <v/>
      </c>
      <c r="CK72" s="2158"/>
      <c r="CL72" s="2159"/>
      <c r="CN72" s="1340" t="s">
        <v>242</v>
      </c>
      <c r="CO72" s="1341"/>
      <c r="CP72" s="1344">
        <f>BQ58</f>
        <v>0</v>
      </c>
      <c r="CQ72" s="1345"/>
      <c r="CR72" s="1207">
        <f>BS58</f>
        <v>0</v>
      </c>
      <c r="CT72" s="1405"/>
      <c r="CU72" s="1406"/>
      <c r="CV72" s="1406"/>
      <c r="CW72" s="1406"/>
      <c r="CX72" s="1406"/>
      <c r="CY72" s="1406"/>
      <c r="CZ72" s="1406"/>
      <c r="DA72" s="1406"/>
      <c r="DB72" s="1406"/>
      <c r="DC72" s="1406"/>
      <c r="DD72" s="1406"/>
      <c r="DE72" s="1406"/>
      <c r="DF72" s="1406"/>
      <c r="DG72" s="1406"/>
      <c r="DH72" s="1406"/>
      <c r="DI72" s="1406"/>
      <c r="DJ72" s="1406"/>
      <c r="DK72" s="1406"/>
      <c r="DL72" s="1406"/>
      <c r="DM72" s="1406"/>
      <c r="DN72" s="1406"/>
      <c r="DO72" s="1406"/>
      <c r="DP72" s="1406"/>
      <c r="DQ72" s="1407"/>
    </row>
    <row r="73" spans="2:121" ht="16.5">
      <c r="B73" s="1133"/>
      <c r="C73" s="1139" t="s">
        <v>56</v>
      </c>
      <c r="D73" s="1135"/>
      <c r="E73" s="1133"/>
      <c r="F73" s="1136" t="s">
        <v>56</v>
      </c>
      <c r="G73" s="1135"/>
      <c r="H73" s="1133"/>
      <c r="I73" s="1139" t="s">
        <v>56</v>
      </c>
      <c r="J73" s="1135"/>
      <c r="K73" s="1133"/>
      <c r="L73" s="1136" t="s">
        <v>56</v>
      </c>
      <c r="M73" s="1135"/>
      <c r="N73" s="1133"/>
      <c r="O73" s="1139" t="s">
        <v>56</v>
      </c>
      <c r="P73" s="1135"/>
      <c r="Q73" s="1133"/>
      <c r="R73" s="1136" t="s">
        <v>56</v>
      </c>
      <c r="S73" s="1135"/>
      <c r="T73" s="1133"/>
      <c r="U73" s="1139" t="s">
        <v>56</v>
      </c>
      <c r="V73" s="1135"/>
      <c r="W73" s="1133"/>
      <c r="X73" s="1136" t="s">
        <v>56</v>
      </c>
      <c r="Y73" s="1135"/>
      <c r="Z73" s="1133"/>
      <c r="AA73" s="1139" t="s">
        <v>56</v>
      </c>
      <c r="AB73" s="1135"/>
      <c r="AC73" s="1133"/>
      <c r="AD73" s="1136" t="s">
        <v>56</v>
      </c>
      <c r="AE73" s="1135"/>
      <c r="AF73" s="1133"/>
      <c r="AG73" s="1139" t="s">
        <v>56</v>
      </c>
      <c r="AH73" s="1135"/>
      <c r="AI73" s="1133"/>
      <c r="AJ73" s="1136" t="s">
        <v>56</v>
      </c>
      <c r="AK73" s="1135"/>
      <c r="AL73" s="1133"/>
      <c r="AM73" s="1139" t="s">
        <v>56</v>
      </c>
      <c r="AN73" s="1135"/>
      <c r="AO73" s="1133"/>
      <c r="AP73" s="1136" t="s">
        <v>56</v>
      </c>
      <c r="AQ73" s="1137"/>
      <c r="AR73" s="1991">
        <f t="shared" ref="AR73:AR104" si="23">SUM(AO73,AL73,AI73,AF73,AC73,Z73,W73,T73,Q73,N73,K73,H73,E73,B73)-SUM(AQ73,AN73,AK73,AH73,AE73,AB73,Y73,V73,S73,P73,M73,J73,G73,D73)</f>
        <v>0</v>
      </c>
      <c r="AS73" s="1992"/>
      <c r="AT73" s="1993">
        <f t="shared" si="20"/>
        <v>10</v>
      </c>
      <c r="AU73" s="1994"/>
      <c r="AV73" s="1995" t="str">
        <f t="shared" si="18"/>
        <v>导航</v>
      </c>
      <c r="AW73" s="1996"/>
      <c r="AX73" s="1997"/>
      <c r="AY73" s="1998">
        <f t="shared" si="19"/>
        <v>0</v>
      </c>
      <c r="AZ73" s="2029"/>
      <c r="BA73" s="2143"/>
      <c r="BB73" s="2144"/>
      <c r="BC73" s="2144"/>
      <c r="BD73" s="2144"/>
      <c r="BE73" s="2144"/>
      <c r="BF73" s="2145"/>
      <c r="BG73" s="2145"/>
      <c r="BH73" s="2145"/>
      <c r="BI73" s="2145"/>
      <c r="BJ73" s="2145"/>
      <c r="BK73" s="2146" t="str">
        <f>IF($BF73=0,"",VLOOKUP($BF73,'武器列表 战斗'!$B$2:$I$121,2,FALSE))</f>
        <v/>
      </c>
      <c r="BL73" s="2146"/>
      <c r="BM73" s="2146"/>
      <c r="BN73" s="2146"/>
      <c r="BO73" s="2146" t="str">
        <f>附表!BG9</f>
        <v/>
      </c>
      <c r="BP73" s="2146"/>
      <c r="BQ73" s="2146" t="str">
        <f t="shared" si="21"/>
        <v/>
      </c>
      <c r="BR73" s="2146"/>
      <c r="BS73" s="2146" t="str">
        <f t="shared" si="22"/>
        <v/>
      </c>
      <c r="BT73" s="2146"/>
      <c r="BU73" s="2146" t="str">
        <f>IF(BF73="武术",IF(BO73&lt;21,"1D2+半DB",IF(BO73&lt;41,"1D3+半DB",IF(BO73&lt;61,"1D4+DB",IF(BO73&lt;81,"1D4+1+DB",IF(BO73&lt;91,"1D4+2+DB",IF(BO73&lt;95,"1D4+3+DB","1D4+4+DB")))))),IF($BF73=0,"",VLOOKUP($BF73,'武器列表 战斗'!$B$2:$I$121,3,FALSE)))</f>
        <v/>
      </c>
      <c r="BV73" s="2146"/>
      <c r="BW73" s="2147"/>
      <c r="BX73" s="2147"/>
      <c r="BY73" s="2147" t="str">
        <f>IF($BF73=0,"",VLOOKUP($BF73,'武器列表 战斗'!$B$2:$I$121,4,FALSE))</f>
        <v/>
      </c>
      <c r="BZ73" s="2147"/>
      <c r="CA73" s="2146" t="str">
        <f>IF($BF73=0,"",VLOOKUP($BF73,'武器列表 战斗'!$B$2:$I$121,5,FALSE))</f>
        <v/>
      </c>
      <c r="CB73" s="2146"/>
      <c r="CC73" s="2146" t="str">
        <f>IF(BF73="武术",IF(BO73&lt;91,1,2),IF($BF73=0,"",VLOOKUP($BF73,'武器列表 战斗'!$B$2:$I$121,6,FALSE)))</f>
        <v/>
      </c>
      <c r="CD73" s="2146"/>
      <c r="CE73" s="2146" t="str">
        <f>IF($BF73=0,"",VLOOKUP($BF73,'武器列表 战斗'!$B$2:$I$121,7,FALSE))</f>
        <v/>
      </c>
      <c r="CF73" s="2146"/>
      <c r="CG73" s="2146"/>
      <c r="CH73" s="2146" t="str">
        <f>IF($BF73=0,"",VLOOKUP($BF73,'武器列表 战斗'!$B$2:$I$121,8,FALSE))</f>
        <v/>
      </c>
      <c r="CI73" s="2146"/>
      <c r="CJ73" s="2148" t="str">
        <f>IF($BF73=0,"",VLOOKUP($BF73,'武器列表 战斗'!$B$2:$K$121,10,FALSE))</f>
        <v/>
      </c>
      <c r="CK73" s="2149"/>
      <c r="CL73" s="2150"/>
      <c r="CN73" s="1342"/>
      <c r="CO73" s="1343"/>
      <c r="CP73" s="1346"/>
      <c r="CQ73" s="1347"/>
      <c r="CR73" s="1208">
        <f>BU58</f>
        <v>0</v>
      </c>
      <c r="CT73" s="1405"/>
      <c r="CU73" s="1406"/>
      <c r="CV73" s="1406"/>
      <c r="CW73" s="1406"/>
      <c r="CX73" s="1406"/>
      <c r="CY73" s="1406"/>
      <c r="CZ73" s="1406"/>
      <c r="DA73" s="1406"/>
      <c r="DB73" s="1406"/>
      <c r="DC73" s="1406"/>
      <c r="DD73" s="1406"/>
      <c r="DE73" s="1406"/>
      <c r="DF73" s="1406"/>
      <c r="DG73" s="1406"/>
      <c r="DH73" s="1406"/>
      <c r="DI73" s="1406"/>
      <c r="DJ73" s="1406"/>
      <c r="DK73" s="1406"/>
      <c r="DL73" s="1406"/>
      <c r="DM73" s="1406"/>
      <c r="DN73" s="1406"/>
      <c r="DO73" s="1406"/>
      <c r="DP73" s="1406"/>
      <c r="DQ73" s="1407"/>
    </row>
    <row r="74" spans="2:121" ht="16.5">
      <c r="B74" s="1209"/>
      <c r="C74" s="1210" t="s">
        <v>56</v>
      </c>
      <c r="D74" s="1211"/>
      <c r="E74" s="1209"/>
      <c r="F74" s="1212" t="s">
        <v>56</v>
      </c>
      <c r="G74" s="1211"/>
      <c r="H74" s="1209"/>
      <c r="I74" s="1210" t="s">
        <v>56</v>
      </c>
      <c r="J74" s="1211"/>
      <c r="K74" s="1209"/>
      <c r="L74" s="1212" t="s">
        <v>56</v>
      </c>
      <c r="M74" s="1211"/>
      <c r="N74" s="1209"/>
      <c r="O74" s="1210" t="s">
        <v>56</v>
      </c>
      <c r="P74" s="1211"/>
      <c r="Q74" s="1209"/>
      <c r="R74" s="1212" t="s">
        <v>56</v>
      </c>
      <c r="S74" s="1211"/>
      <c r="T74" s="1209"/>
      <c r="U74" s="1210" t="s">
        <v>56</v>
      </c>
      <c r="V74" s="1211"/>
      <c r="W74" s="1209"/>
      <c r="X74" s="1212" t="s">
        <v>56</v>
      </c>
      <c r="Y74" s="1211"/>
      <c r="Z74" s="1209"/>
      <c r="AA74" s="1210" t="s">
        <v>56</v>
      </c>
      <c r="AB74" s="1211"/>
      <c r="AC74" s="1209"/>
      <c r="AD74" s="1212" t="s">
        <v>56</v>
      </c>
      <c r="AE74" s="1211"/>
      <c r="AF74" s="1209"/>
      <c r="AG74" s="1210" t="s">
        <v>56</v>
      </c>
      <c r="AH74" s="1211"/>
      <c r="AI74" s="1209"/>
      <c r="AJ74" s="1212" t="s">
        <v>56</v>
      </c>
      <c r="AK74" s="1211"/>
      <c r="AL74" s="1209"/>
      <c r="AM74" s="1210" t="s">
        <v>56</v>
      </c>
      <c r="AN74" s="1211"/>
      <c r="AO74" s="1209"/>
      <c r="AP74" s="1212" t="s">
        <v>56</v>
      </c>
      <c r="AQ74" s="1213"/>
      <c r="AR74" s="2120">
        <f t="shared" si="23"/>
        <v>0</v>
      </c>
      <c r="AS74" s="2121"/>
      <c r="AT74" s="2122">
        <f t="shared" si="20"/>
        <v>10</v>
      </c>
      <c r="AU74" s="2123"/>
      <c r="AV74" s="2124" t="str">
        <f t="shared" si="18"/>
        <v>心理学</v>
      </c>
      <c r="AW74" s="2125"/>
      <c r="AX74" s="2126"/>
      <c r="AY74" s="2127">
        <f t="shared" si="19"/>
        <v>0</v>
      </c>
      <c r="AZ74" s="2128"/>
      <c r="BA74" s="1896" t="s">
        <v>243</v>
      </c>
      <c r="BB74" s="1896"/>
      <c r="BC74" s="1896"/>
      <c r="BD74" s="1896"/>
      <c r="BE74" s="1896"/>
      <c r="BF74" s="1896"/>
      <c r="BG74" s="1896"/>
      <c r="BH74" s="1896"/>
      <c r="BI74" s="1896"/>
      <c r="BJ74" s="1896"/>
      <c r="BK74" s="1896"/>
      <c r="BL74" s="1896"/>
      <c r="BM74" s="1896"/>
      <c r="BN74" s="1896"/>
      <c r="BO74" s="1896"/>
      <c r="BP74" s="1896"/>
      <c r="BQ74" s="1896"/>
      <c r="BR74" s="1896"/>
      <c r="BS74" s="1896"/>
      <c r="BT74" s="1896"/>
      <c r="BV74" s="1896" t="s">
        <v>244</v>
      </c>
      <c r="BW74" s="1896"/>
      <c r="BX74" s="1897"/>
      <c r="BY74" s="1897"/>
      <c r="BZ74" s="1897"/>
      <c r="CA74" s="1897"/>
      <c r="CB74" s="1896"/>
      <c r="CC74" s="1896"/>
      <c r="CD74" s="1896"/>
      <c r="CE74" s="1896"/>
      <c r="CF74" s="1896"/>
      <c r="CG74" s="1896"/>
      <c r="CH74" s="1896"/>
      <c r="CI74" s="1896"/>
      <c r="CJ74" s="1896"/>
      <c r="CK74" s="1896"/>
      <c r="CL74" s="1896"/>
      <c r="CM74" s="1896"/>
      <c r="CN74" s="1896"/>
      <c r="CO74" s="1896"/>
      <c r="CP74" s="1896"/>
      <c r="CQ74" s="1896"/>
      <c r="CR74" s="1896"/>
      <c r="CT74" s="1405"/>
      <c r="CU74" s="1406"/>
      <c r="CV74" s="1406"/>
      <c r="CW74" s="1406"/>
      <c r="CX74" s="1406"/>
      <c r="CY74" s="1406"/>
      <c r="CZ74" s="1406"/>
      <c r="DA74" s="1406"/>
      <c r="DB74" s="1406"/>
      <c r="DC74" s="1406"/>
      <c r="DD74" s="1406"/>
      <c r="DE74" s="1406"/>
      <c r="DF74" s="1406"/>
      <c r="DG74" s="1406"/>
      <c r="DH74" s="1406"/>
      <c r="DI74" s="1406"/>
      <c r="DJ74" s="1406"/>
      <c r="DK74" s="1406"/>
      <c r="DL74" s="1406"/>
      <c r="DM74" s="1406"/>
      <c r="DN74" s="1406"/>
      <c r="DO74" s="1406"/>
      <c r="DP74" s="1406"/>
      <c r="DQ74" s="1407"/>
    </row>
    <row r="75" spans="2:121" ht="16.5" outlineLevel="1">
      <c r="B75" s="1214"/>
      <c r="C75" s="1215" t="s">
        <v>56</v>
      </c>
      <c r="D75" s="1216"/>
      <c r="E75" s="1214"/>
      <c r="F75" s="1217" t="s">
        <v>56</v>
      </c>
      <c r="G75" s="1216"/>
      <c r="H75" s="1214"/>
      <c r="I75" s="1215" t="s">
        <v>56</v>
      </c>
      <c r="J75" s="1216"/>
      <c r="K75" s="1214"/>
      <c r="L75" s="1217" t="s">
        <v>56</v>
      </c>
      <c r="M75" s="1216"/>
      <c r="N75" s="1214"/>
      <c r="O75" s="1215" t="s">
        <v>56</v>
      </c>
      <c r="P75" s="1216"/>
      <c r="Q75" s="1214"/>
      <c r="R75" s="1217" t="s">
        <v>56</v>
      </c>
      <c r="S75" s="1216"/>
      <c r="T75" s="1214"/>
      <c r="U75" s="1215" t="s">
        <v>56</v>
      </c>
      <c r="V75" s="1216"/>
      <c r="W75" s="1214"/>
      <c r="X75" s="1217" t="s">
        <v>56</v>
      </c>
      <c r="Y75" s="1216"/>
      <c r="Z75" s="1214"/>
      <c r="AA75" s="1215" t="s">
        <v>56</v>
      </c>
      <c r="AB75" s="1216"/>
      <c r="AC75" s="1214"/>
      <c r="AD75" s="1217" t="s">
        <v>56</v>
      </c>
      <c r="AE75" s="1216"/>
      <c r="AF75" s="1214"/>
      <c r="AG75" s="1215" t="s">
        <v>56</v>
      </c>
      <c r="AH75" s="1216"/>
      <c r="AI75" s="1214"/>
      <c r="AJ75" s="1217" t="s">
        <v>56</v>
      </c>
      <c r="AK75" s="1216"/>
      <c r="AL75" s="1214"/>
      <c r="AM75" s="1215" t="s">
        <v>56</v>
      </c>
      <c r="AN75" s="1216"/>
      <c r="AO75" s="1214"/>
      <c r="AP75" s="1217" t="s">
        <v>56</v>
      </c>
      <c r="AQ75" s="1218"/>
      <c r="AR75" s="2106">
        <f t="shared" si="23"/>
        <v>0</v>
      </c>
      <c r="AS75" s="2107"/>
      <c r="AT75" s="2108">
        <f t="shared" si="20"/>
        <v>15</v>
      </c>
      <c r="AU75" s="2109"/>
      <c r="AV75" s="2110" t="str">
        <f t="shared" si="18"/>
        <v>取悦</v>
      </c>
      <c r="AW75" s="2111"/>
      <c r="AX75" s="2112"/>
      <c r="AY75" s="2113">
        <f t="shared" si="19"/>
        <v>0</v>
      </c>
      <c r="AZ75" s="2114"/>
      <c r="BA75" s="1915" t="s">
        <v>245</v>
      </c>
      <c r="BB75" s="1741"/>
      <c r="BC75" s="1741"/>
      <c r="BD75" s="1741"/>
      <c r="BE75" s="1741"/>
      <c r="BF75" s="1741"/>
      <c r="BG75" s="1741"/>
      <c r="BH75" s="1741"/>
      <c r="BI75" s="1741"/>
      <c r="BJ75" s="1741"/>
      <c r="BK75" s="1741"/>
      <c r="BL75" s="1741"/>
      <c r="BM75" s="1741"/>
      <c r="BN75" s="1741"/>
      <c r="BO75" s="1741"/>
      <c r="BP75" s="1741"/>
      <c r="BQ75" s="1741"/>
      <c r="BR75" s="1741"/>
      <c r="BS75" s="1741"/>
      <c r="BT75" s="1742"/>
      <c r="BV75" s="2129" t="str">
        <f>附表!N106</f>
        <v>形象未填写！</v>
      </c>
      <c r="BW75" s="2130"/>
      <c r="BX75" s="2130"/>
      <c r="BY75" s="2130"/>
      <c r="BZ75" s="2130"/>
      <c r="CA75" s="2130"/>
      <c r="CB75" s="2131"/>
      <c r="CC75" s="2132" t="s">
        <v>246</v>
      </c>
      <c r="CD75" s="2130"/>
      <c r="CE75" s="2130"/>
      <c r="CF75" s="2130"/>
      <c r="CG75" s="2130"/>
      <c r="CH75" s="2130"/>
      <c r="CI75" s="2130"/>
      <c r="CJ75" s="2130"/>
      <c r="CK75" s="2130"/>
      <c r="CL75" s="2130"/>
      <c r="CM75" s="2130"/>
      <c r="CN75" s="2130"/>
      <c r="CO75" s="2130"/>
      <c r="CP75" s="2133"/>
      <c r="CQ75" s="2134" t="s">
        <v>247</v>
      </c>
      <c r="CR75" s="1917"/>
      <c r="CT75" s="1405"/>
      <c r="CU75" s="1406"/>
      <c r="CV75" s="1406"/>
      <c r="CW75" s="1406"/>
      <c r="CX75" s="1406"/>
      <c r="CY75" s="1406"/>
      <c r="CZ75" s="1406"/>
      <c r="DA75" s="1406"/>
      <c r="DB75" s="1406"/>
      <c r="DC75" s="1406"/>
      <c r="DD75" s="1406"/>
      <c r="DE75" s="1406"/>
      <c r="DF75" s="1406"/>
      <c r="DG75" s="1406"/>
      <c r="DH75" s="1406"/>
      <c r="DI75" s="1406"/>
      <c r="DJ75" s="1406"/>
      <c r="DK75" s="1406"/>
      <c r="DL75" s="1406"/>
      <c r="DM75" s="1406"/>
      <c r="DN75" s="1406"/>
      <c r="DO75" s="1406"/>
      <c r="DP75" s="1406"/>
      <c r="DQ75" s="1407"/>
    </row>
    <row r="76" spans="2:121" ht="16.5" outlineLevel="2">
      <c r="B76" s="1209"/>
      <c r="C76" s="1210" t="s">
        <v>56</v>
      </c>
      <c r="D76" s="1211"/>
      <c r="E76" s="1209"/>
      <c r="F76" s="1212" t="s">
        <v>56</v>
      </c>
      <c r="G76" s="1211"/>
      <c r="H76" s="1209"/>
      <c r="I76" s="1210" t="s">
        <v>56</v>
      </c>
      <c r="J76" s="1211"/>
      <c r="K76" s="1209"/>
      <c r="L76" s="1212" t="s">
        <v>56</v>
      </c>
      <c r="M76" s="1211"/>
      <c r="N76" s="1209"/>
      <c r="O76" s="1210" t="s">
        <v>56</v>
      </c>
      <c r="P76" s="1211"/>
      <c r="Q76" s="1209"/>
      <c r="R76" s="1212" t="s">
        <v>56</v>
      </c>
      <c r="S76" s="1211"/>
      <c r="T76" s="1209"/>
      <c r="U76" s="1210" t="s">
        <v>56</v>
      </c>
      <c r="V76" s="1211"/>
      <c r="W76" s="1209"/>
      <c r="X76" s="1212" t="s">
        <v>56</v>
      </c>
      <c r="Y76" s="1211"/>
      <c r="Z76" s="1209"/>
      <c r="AA76" s="1210" t="s">
        <v>56</v>
      </c>
      <c r="AB76" s="1211"/>
      <c r="AC76" s="1209"/>
      <c r="AD76" s="1212" t="s">
        <v>56</v>
      </c>
      <c r="AE76" s="1211"/>
      <c r="AF76" s="1209"/>
      <c r="AG76" s="1210" t="s">
        <v>56</v>
      </c>
      <c r="AH76" s="1211"/>
      <c r="AI76" s="1209"/>
      <c r="AJ76" s="1212" t="s">
        <v>56</v>
      </c>
      <c r="AK76" s="1211"/>
      <c r="AL76" s="1209"/>
      <c r="AM76" s="1210" t="s">
        <v>56</v>
      </c>
      <c r="AN76" s="1211"/>
      <c r="AO76" s="1209"/>
      <c r="AP76" s="1212" t="s">
        <v>56</v>
      </c>
      <c r="AQ76" s="1213"/>
      <c r="AR76" s="2120">
        <f t="shared" si="23"/>
        <v>0</v>
      </c>
      <c r="AS76" s="2121"/>
      <c r="AT76" s="2122">
        <f t="shared" si="20"/>
        <v>5</v>
      </c>
      <c r="AU76" s="2123"/>
      <c r="AV76" s="2124" t="str">
        <f t="shared" si="18"/>
        <v>话术</v>
      </c>
      <c r="AW76" s="2125"/>
      <c r="AX76" s="2126"/>
      <c r="AY76" s="2127">
        <f t="shared" si="19"/>
        <v>0</v>
      </c>
      <c r="AZ76" s="2128"/>
      <c r="BA76" s="2135" t="s">
        <v>150</v>
      </c>
      <c r="BB76" s="2136"/>
      <c r="BC76" s="2136"/>
      <c r="BD76" s="2136"/>
      <c r="BE76" s="2136" t="s">
        <v>248</v>
      </c>
      <c r="BF76" s="2136"/>
      <c r="BG76" s="2136"/>
      <c r="BH76" s="2136" t="s">
        <v>249</v>
      </c>
      <c r="BI76" s="2136"/>
      <c r="BJ76" s="2137"/>
      <c r="BK76" s="2135" t="s">
        <v>250</v>
      </c>
      <c r="BL76" s="2136"/>
      <c r="BM76" s="2136"/>
      <c r="BN76" s="2136" t="s">
        <v>251</v>
      </c>
      <c r="BO76" s="2136"/>
      <c r="BP76" s="2136"/>
      <c r="BQ76" s="2136"/>
      <c r="BR76" s="2136" t="s">
        <v>252</v>
      </c>
      <c r="BS76" s="2136"/>
      <c r="BT76" s="2138"/>
      <c r="BV76" s="1455" t="s">
        <v>253</v>
      </c>
      <c r="BW76" s="1456"/>
      <c r="BX76" s="1457"/>
      <c r="BY76" s="2082" t="s">
        <v>254</v>
      </c>
      <c r="BZ76" s="2083"/>
      <c r="CA76" s="2139" t="s">
        <v>72</v>
      </c>
      <c r="CB76" s="2140"/>
      <c r="CC76" s="2141"/>
      <c r="CD76" s="2141"/>
      <c r="CE76" s="2141"/>
      <c r="CF76" s="2141"/>
      <c r="CG76" s="2141"/>
      <c r="CH76" s="2141"/>
      <c r="CI76" s="2141"/>
      <c r="CJ76" s="2141"/>
      <c r="CK76" s="2141"/>
      <c r="CL76" s="2141"/>
      <c r="CM76" s="2141"/>
      <c r="CN76" s="2141"/>
      <c r="CO76" s="2141"/>
      <c r="CP76" s="2142"/>
      <c r="CQ76" s="1443" t="s">
        <v>102</v>
      </c>
      <c r="CR76" s="1444"/>
      <c r="CT76" s="1405"/>
      <c r="CU76" s="1406"/>
      <c r="CV76" s="1406"/>
      <c r="CW76" s="1406"/>
      <c r="CX76" s="1406"/>
      <c r="CY76" s="1406"/>
      <c r="CZ76" s="1406"/>
      <c r="DA76" s="1406"/>
      <c r="DB76" s="1406"/>
      <c r="DC76" s="1406"/>
      <c r="DD76" s="1406"/>
      <c r="DE76" s="1406"/>
      <c r="DF76" s="1406"/>
      <c r="DG76" s="1406"/>
      <c r="DH76" s="1406"/>
      <c r="DI76" s="1406"/>
      <c r="DJ76" s="1406"/>
      <c r="DK76" s="1406"/>
      <c r="DL76" s="1406"/>
      <c r="DM76" s="1406"/>
      <c r="DN76" s="1406"/>
      <c r="DO76" s="1406"/>
      <c r="DP76" s="1406"/>
      <c r="DQ76" s="1407"/>
    </row>
    <row r="77" spans="2:121" ht="16.5" outlineLevel="2">
      <c r="B77" s="1214"/>
      <c r="C77" s="1215" t="s">
        <v>56</v>
      </c>
      <c r="D77" s="1216"/>
      <c r="E77" s="1214"/>
      <c r="F77" s="1217" t="s">
        <v>56</v>
      </c>
      <c r="G77" s="1216"/>
      <c r="H77" s="1214"/>
      <c r="I77" s="1215" t="s">
        <v>56</v>
      </c>
      <c r="J77" s="1216"/>
      <c r="K77" s="1214"/>
      <c r="L77" s="1217" t="s">
        <v>56</v>
      </c>
      <c r="M77" s="1216"/>
      <c r="N77" s="1214"/>
      <c r="O77" s="1215" t="s">
        <v>56</v>
      </c>
      <c r="P77" s="1216"/>
      <c r="Q77" s="1214"/>
      <c r="R77" s="1217" t="s">
        <v>56</v>
      </c>
      <c r="S77" s="1216"/>
      <c r="T77" s="1214"/>
      <c r="U77" s="1215" t="s">
        <v>56</v>
      </c>
      <c r="V77" s="1216"/>
      <c r="W77" s="1214"/>
      <c r="X77" s="1217" t="s">
        <v>56</v>
      </c>
      <c r="Y77" s="1216"/>
      <c r="Z77" s="1214"/>
      <c r="AA77" s="1215" t="s">
        <v>56</v>
      </c>
      <c r="AB77" s="1216"/>
      <c r="AC77" s="1214"/>
      <c r="AD77" s="1217" t="s">
        <v>56</v>
      </c>
      <c r="AE77" s="1216"/>
      <c r="AF77" s="1214"/>
      <c r="AG77" s="1215" t="s">
        <v>56</v>
      </c>
      <c r="AH77" s="1216"/>
      <c r="AI77" s="1214"/>
      <c r="AJ77" s="1217" t="s">
        <v>56</v>
      </c>
      <c r="AK77" s="1216"/>
      <c r="AL77" s="1214"/>
      <c r="AM77" s="1215" t="s">
        <v>56</v>
      </c>
      <c r="AN77" s="1216"/>
      <c r="AO77" s="1214"/>
      <c r="AP77" s="1217" t="s">
        <v>56</v>
      </c>
      <c r="AQ77" s="1218"/>
      <c r="AR77" s="2106">
        <f t="shared" si="23"/>
        <v>0</v>
      </c>
      <c r="AS77" s="2107"/>
      <c r="AT77" s="2108">
        <f t="shared" si="20"/>
        <v>15</v>
      </c>
      <c r="AU77" s="2109"/>
      <c r="AV77" s="2110" t="str">
        <f t="shared" si="18"/>
        <v>恐吓</v>
      </c>
      <c r="AW77" s="2111"/>
      <c r="AX77" s="2112"/>
      <c r="AY77" s="2113">
        <f t="shared" si="19"/>
        <v>0</v>
      </c>
      <c r="AZ77" s="2114"/>
      <c r="BA77" s="2115" t="str">
        <f>附表!Z223</f>
        <v>0%/0%/0%</v>
      </c>
      <c r="BB77" s="2116"/>
      <c r="BC77" s="2116"/>
      <c r="BD77" s="2116"/>
      <c r="BE77" s="2116" t="str">
        <f>附表!Z225</f>
        <v>身无分文</v>
      </c>
      <c r="BF77" s="2116"/>
      <c r="BG77" s="2116"/>
      <c r="BH77" s="2117" t="str">
        <f>附表!AE240</f>
        <v>0.5</v>
      </c>
      <c r="BI77" s="2117"/>
      <c r="BJ77" s="2118"/>
      <c r="BK77" s="2119" t="str">
        <f>附表!AG240</f>
        <v>没有</v>
      </c>
      <c r="BL77" s="2117"/>
      <c r="BM77" s="2117"/>
      <c r="BN77" s="2117" t="str">
        <f>附表!AF240</f>
        <v>0.5</v>
      </c>
      <c r="BO77" s="2117"/>
      <c r="BP77" s="2117"/>
      <c r="BQ77" s="2117"/>
      <c r="BR77" s="1708" t="str">
        <f>BL13</f>
        <v>美元</v>
      </c>
      <c r="BS77" s="1708"/>
      <c r="BT77" s="1709"/>
      <c r="BV77" s="1458"/>
      <c r="BW77" s="1459"/>
      <c r="BX77" s="1460"/>
      <c r="BY77" s="2093" t="s">
        <v>102</v>
      </c>
      <c r="BZ77" s="2094"/>
      <c r="CA77" s="2095" t="s">
        <v>255</v>
      </c>
      <c r="CB77" s="2049"/>
      <c r="CC77" s="2049"/>
      <c r="CD77" s="2049"/>
      <c r="CE77" s="2049"/>
      <c r="CF77" s="2049"/>
      <c r="CG77" s="2049"/>
      <c r="CH77" s="2049"/>
      <c r="CI77" s="2049"/>
      <c r="CJ77" s="2049"/>
      <c r="CK77" s="2049"/>
      <c r="CL77" s="2049"/>
      <c r="CM77" s="2049"/>
      <c r="CN77" s="2049"/>
      <c r="CO77" s="2049"/>
      <c r="CP77" s="2050"/>
      <c r="CQ77" s="1445"/>
      <c r="CR77" s="1446"/>
      <c r="CT77" s="1405"/>
      <c r="CU77" s="1406"/>
      <c r="CV77" s="1406"/>
      <c r="CW77" s="1406"/>
      <c r="CX77" s="1406"/>
      <c r="CY77" s="1406"/>
      <c r="CZ77" s="1406"/>
      <c r="DA77" s="1406"/>
      <c r="DB77" s="1406"/>
      <c r="DC77" s="1406"/>
      <c r="DD77" s="1406"/>
      <c r="DE77" s="1406"/>
      <c r="DF77" s="1406"/>
      <c r="DG77" s="1406"/>
      <c r="DH77" s="1406"/>
      <c r="DI77" s="1406"/>
      <c r="DJ77" s="1406"/>
      <c r="DK77" s="1406"/>
      <c r="DL77" s="1406"/>
      <c r="DM77" s="1406"/>
      <c r="DN77" s="1406"/>
      <c r="DO77" s="1406"/>
      <c r="DP77" s="1406"/>
      <c r="DQ77" s="1407"/>
    </row>
    <row r="78" spans="2:121" ht="16.5" outlineLevel="2">
      <c r="B78" s="1209"/>
      <c r="C78" s="1210" t="s">
        <v>56</v>
      </c>
      <c r="D78" s="1211"/>
      <c r="E78" s="1209"/>
      <c r="F78" s="1212" t="s">
        <v>56</v>
      </c>
      <c r="G78" s="1211"/>
      <c r="H78" s="1209"/>
      <c r="I78" s="1210" t="s">
        <v>56</v>
      </c>
      <c r="J78" s="1211"/>
      <c r="K78" s="1209"/>
      <c r="L78" s="1212" t="s">
        <v>56</v>
      </c>
      <c r="M78" s="1211"/>
      <c r="N78" s="1209"/>
      <c r="O78" s="1210" t="s">
        <v>56</v>
      </c>
      <c r="P78" s="1211"/>
      <c r="Q78" s="1209"/>
      <c r="R78" s="1212" t="s">
        <v>56</v>
      </c>
      <c r="S78" s="1211"/>
      <c r="T78" s="1209"/>
      <c r="U78" s="1210" t="s">
        <v>56</v>
      </c>
      <c r="V78" s="1211"/>
      <c r="W78" s="1209"/>
      <c r="X78" s="1212" t="s">
        <v>56</v>
      </c>
      <c r="Y78" s="1211"/>
      <c r="Z78" s="1209"/>
      <c r="AA78" s="1210" t="s">
        <v>56</v>
      </c>
      <c r="AB78" s="1211"/>
      <c r="AC78" s="1209"/>
      <c r="AD78" s="1212" t="s">
        <v>56</v>
      </c>
      <c r="AE78" s="1211"/>
      <c r="AF78" s="1209"/>
      <c r="AG78" s="1210" t="s">
        <v>56</v>
      </c>
      <c r="AH78" s="1211"/>
      <c r="AI78" s="1209"/>
      <c r="AJ78" s="1212" t="s">
        <v>56</v>
      </c>
      <c r="AK78" s="1211"/>
      <c r="AL78" s="1209"/>
      <c r="AM78" s="1210" t="s">
        <v>56</v>
      </c>
      <c r="AN78" s="1211"/>
      <c r="AO78" s="1209"/>
      <c r="AP78" s="1212" t="s">
        <v>56</v>
      </c>
      <c r="AQ78" s="1213"/>
      <c r="AR78" s="2120">
        <f t="shared" si="23"/>
        <v>0</v>
      </c>
      <c r="AS78" s="2121"/>
      <c r="AT78" s="2122">
        <f t="shared" si="20"/>
        <v>10</v>
      </c>
      <c r="AU78" s="2123"/>
      <c r="AV78" s="2124" t="str">
        <f t="shared" si="18"/>
        <v>说服</v>
      </c>
      <c r="AW78" s="2125"/>
      <c r="AX78" s="2126"/>
      <c r="AY78" s="2127">
        <f t="shared" si="19"/>
        <v>0</v>
      </c>
      <c r="AZ78" s="2128"/>
      <c r="BA78" s="1473" t="str">
        <f>IF(BQ33&lt;=0,"连贫穷都够不上的人才能够叫做身无分文。住所：大概只有睡大街。旅行：步行，扒车或逃票上火车轮船。",IF(BQ33&lt;=9,"刚好买得起最廉价的屋顶，每天能够吃到一餐廉价食物。住所：最最最廉价的出租屋或睡袋旅馆。旅行：最便宜的公众运输方式。反正只要赶便宜就对了，与之相伴的是不可靠。",IF(BQ33&lt;=49,"舒适的生活水平，一日三餐，偶尔下馆子。住所：普通的家或公寓，无论是租赁还是自购。外出住普通的旅馆。旅行：会使用普通的旅行方式，不会用最高级。在现代来看，大概会有一辆自己的小车。",IF(BQ33&lt;=89,"小康级别已经可以享受奢侈品的舒适了。住所：真材实料的住地，也许会有一些仆人（管家，主妇，清洁工，园丁，等等）。乡下估计还有小别墅。会住昂贵的宾馆。旅行：头等舱。会买高档车或同等的交通工具。",IF(BQ33&lt;=98,"富裕级别就是享受超级奢侈品的时候了。住所：豪华住所和有着大量仆人的庭院。乡下和别处有着别墅是定番。住总统套房。旅行：头等舱。现代社会估摸还会有很多豪车。",IF(BQ33=99,"与富裕差不多，但钱已经只是一个代号了。你将是世界上最富有的人。","请正确分配您的技能点！"))))))</f>
        <v>连贫穷都够不上的人才能够叫做身无分文。住所：大概只有睡大街。旅行：步行，扒车或逃票上火车轮船。</v>
      </c>
      <c r="BB78" s="1474"/>
      <c r="BC78" s="1474"/>
      <c r="BD78" s="1474"/>
      <c r="BE78" s="1474"/>
      <c r="BF78" s="1474"/>
      <c r="BG78" s="1474"/>
      <c r="BH78" s="1474"/>
      <c r="BI78" s="1474"/>
      <c r="BJ78" s="1475"/>
      <c r="BK78" s="1479"/>
      <c r="BL78" s="1479"/>
      <c r="BM78" s="1479"/>
      <c r="BN78" s="1479"/>
      <c r="BO78" s="1479"/>
      <c r="BP78" s="1479"/>
      <c r="BQ78" s="1479"/>
      <c r="BR78" s="1479"/>
      <c r="BS78" s="1479"/>
      <c r="BT78" s="1480"/>
      <c r="BV78" s="1461" t="s">
        <v>256</v>
      </c>
      <c r="BW78" s="1462"/>
      <c r="BX78" s="1463"/>
      <c r="BY78" s="2066" t="s">
        <v>254</v>
      </c>
      <c r="BZ78" s="2067"/>
      <c r="CA78" s="2068" t="s">
        <v>257</v>
      </c>
      <c r="CB78" s="2069"/>
      <c r="CC78" s="2070"/>
      <c r="CD78" s="2070"/>
      <c r="CE78" s="2070"/>
      <c r="CF78" s="2070"/>
      <c r="CG78" s="2070"/>
      <c r="CH78" s="2070"/>
      <c r="CI78" s="2070"/>
      <c r="CJ78" s="2070"/>
      <c r="CK78" s="2070"/>
      <c r="CL78" s="2070"/>
      <c r="CM78" s="2070"/>
      <c r="CN78" s="2070"/>
      <c r="CO78" s="2070"/>
      <c r="CP78" s="2071"/>
      <c r="CQ78" s="1552" t="s">
        <v>102</v>
      </c>
      <c r="CR78" s="1553"/>
      <c r="CT78" s="1405"/>
      <c r="CU78" s="1406"/>
      <c r="CV78" s="1406"/>
      <c r="CW78" s="1406"/>
      <c r="CX78" s="1406"/>
      <c r="CY78" s="1406"/>
      <c r="CZ78" s="1406"/>
      <c r="DA78" s="1406"/>
      <c r="DB78" s="1406"/>
      <c r="DC78" s="1406"/>
      <c r="DD78" s="1406"/>
      <c r="DE78" s="1406"/>
      <c r="DF78" s="1406"/>
      <c r="DG78" s="1406"/>
      <c r="DH78" s="1406"/>
      <c r="DI78" s="1406"/>
      <c r="DJ78" s="1406"/>
      <c r="DK78" s="1406"/>
      <c r="DL78" s="1406"/>
      <c r="DM78" s="1406"/>
      <c r="DN78" s="1406"/>
      <c r="DO78" s="1406"/>
      <c r="DP78" s="1406"/>
      <c r="DQ78" s="1407"/>
    </row>
    <row r="79" spans="2:121" ht="16.5" outlineLevel="2">
      <c r="B79" s="1133"/>
      <c r="C79" s="1134" t="s">
        <v>56</v>
      </c>
      <c r="D79" s="1135"/>
      <c r="E79" s="1133"/>
      <c r="F79" s="1136" t="s">
        <v>56</v>
      </c>
      <c r="G79" s="1135"/>
      <c r="H79" s="1133"/>
      <c r="I79" s="1134" t="s">
        <v>56</v>
      </c>
      <c r="J79" s="1135"/>
      <c r="K79" s="1133"/>
      <c r="L79" s="1136" t="s">
        <v>56</v>
      </c>
      <c r="M79" s="1135"/>
      <c r="N79" s="1133"/>
      <c r="O79" s="1134" t="s">
        <v>56</v>
      </c>
      <c r="P79" s="1135"/>
      <c r="Q79" s="1133"/>
      <c r="R79" s="1136" t="s">
        <v>56</v>
      </c>
      <c r="S79" s="1135"/>
      <c r="T79" s="1133"/>
      <c r="U79" s="1134" t="s">
        <v>56</v>
      </c>
      <c r="V79" s="1135"/>
      <c r="W79" s="1133"/>
      <c r="X79" s="1136" t="s">
        <v>56</v>
      </c>
      <c r="Y79" s="1135"/>
      <c r="Z79" s="1133"/>
      <c r="AA79" s="1134" t="s">
        <v>56</v>
      </c>
      <c r="AB79" s="1135"/>
      <c r="AC79" s="1133"/>
      <c r="AD79" s="1136" t="s">
        <v>56</v>
      </c>
      <c r="AE79" s="1135"/>
      <c r="AF79" s="1133"/>
      <c r="AG79" s="1134" t="s">
        <v>56</v>
      </c>
      <c r="AH79" s="1135"/>
      <c r="AI79" s="1133"/>
      <c r="AJ79" s="1136" t="s">
        <v>56</v>
      </c>
      <c r="AK79" s="1135"/>
      <c r="AL79" s="1133"/>
      <c r="AM79" s="1134" t="s">
        <v>56</v>
      </c>
      <c r="AN79" s="1135"/>
      <c r="AO79" s="1133"/>
      <c r="AP79" s="1136" t="s">
        <v>56</v>
      </c>
      <c r="AQ79" s="1137"/>
      <c r="AR79" s="1991">
        <f t="shared" si="23"/>
        <v>0</v>
      </c>
      <c r="AS79" s="1992"/>
      <c r="AT79" s="1993">
        <f t="shared" si="20"/>
        <v>20</v>
      </c>
      <c r="AU79" s="1994"/>
      <c r="AV79" s="1995" t="str">
        <f t="shared" si="18"/>
        <v>跳跃</v>
      </c>
      <c r="AW79" s="1996"/>
      <c r="AX79" s="1997"/>
      <c r="AY79" s="1998">
        <f t="shared" si="19"/>
        <v>0</v>
      </c>
      <c r="AZ79" s="2029"/>
      <c r="BA79" s="1473"/>
      <c r="BB79" s="1474"/>
      <c r="BC79" s="1474"/>
      <c r="BD79" s="1474"/>
      <c r="BE79" s="1474"/>
      <c r="BF79" s="1474"/>
      <c r="BG79" s="1474"/>
      <c r="BH79" s="1474"/>
      <c r="BI79" s="1474"/>
      <c r="BJ79" s="1475"/>
      <c r="BK79" s="1481"/>
      <c r="BL79" s="1481"/>
      <c r="BM79" s="1481"/>
      <c r="BN79" s="1481"/>
      <c r="BO79" s="1481"/>
      <c r="BP79" s="1481"/>
      <c r="BQ79" s="1481"/>
      <c r="BR79" s="1481"/>
      <c r="BS79" s="1481"/>
      <c r="BT79" s="1482"/>
      <c r="BV79" s="1464"/>
      <c r="BW79" s="1465"/>
      <c r="BX79" s="1466"/>
      <c r="BY79" s="2075" t="s">
        <v>102</v>
      </c>
      <c r="BZ79" s="2076"/>
      <c r="CA79" s="2068" t="s">
        <v>258</v>
      </c>
      <c r="CB79" s="2069"/>
      <c r="CC79" s="2070"/>
      <c r="CD79" s="2070"/>
      <c r="CE79" s="2070"/>
      <c r="CF79" s="2070"/>
      <c r="CG79" s="2070"/>
      <c r="CH79" s="2070"/>
      <c r="CI79" s="2070"/>
      <c r="CJ79" s="2070"/>
      <c r="CK79" s="2070"/>
      <c r="CL79" s="2070"/>
      <c r="CM79" s="2070"/>
      <c r="CN79" s="2070"/>
      <c r="CO79" s="2070"/>
      <c r="CP79" s="2071"/>
      <c r="CQ79" s="1554"/>
      <c r="CR79" s="1555"/>
      <c r="CT79" s="1405"/>
      <c r="CU79" s="1406"/>
      <c r="CV79" s="1406"/>
      <c r="CW79" s="1406"/>
      <c r="CX79" s="1406"/>
      <c r="CY79" s="1406"/>
      <c r="CZ79" s="1406"/>
      <c r="DA79" s="1406"/>
      <c r="DB79" s="1406"/>
      <c r="DC79" s="1406"/>
      <c r="DD79" s="1406"/>
      <c r="DE79" s="1406"/>
      <c r="DF79" s="1406"/>
      <c r="DG79" s="1406"/>
      <c r="DH79" s="1406"/>
      <c r="DI79" s="1406"/>
      <c r="DJ79" s="1406"/>
      <c r="DK79" s="1406"/>
      <c r="DL79" s="1406"/>
      <c r="DM79" s="1406"/>
      <c r="DN79" s="1406"/>
      <c r="DO79" s="1406"/>
      <c r="DP79" s="1406"/>
      <c r="DQ79" s="1407"/>
    </row>
    <row r="80" spans="2:121" ht="16.5" outlineLevel="2">
      <c r="B80" s="1138"/>
      <c r="C80" s="1139" t="s">
        <v>56</v>
      </c>
      <c r="D80" s="1140"/>
      <c r="E80" s="1138"/>
      <c r="F80" s="1141" t="s">
        <v>56</v>
      </c>
      <c r="G80" s="1140"/>
      <c r="H80" s="1138"/>
      <c r="I80" s="1139" t="s">
        <v>56</v>
      </c>
      <c r="J80" s="1140"/>
      <c r="K80" s="1138"/>
      <c r="L80" s="1141" t="s">
        <v>56</v>
      </c>
      <c r="M80" s="1140"/>
      <c r="N80" s="1138"/>
      <c r="O80" s="1139" t="s">
        <v>56</v>
      </c>
      <c r="P80" s="1140"/>
      <c r="Q80" s="1138"/>
      <c r="R80" s="1141" t="s">
        <v>56</v>
      </c>
      <c r="S80" s="1140"/>
      <c r="T80" s="1138"/>
      <c r="U80" s="1139" t="s">
        <v>56</v>
      </c>
      <c r="V80" s="1140"/>
      <c r="W80" s="1138"/>
      <c r="X80" s="1141" t="s">
        <v>56</v>
      </c>
      <c r="Y80" s="1140"/>
      <c r="Z80" s="1138"/>
      <c r="AA80" s="1139" t="s">
        <v>56</v>
      </c>
      <c r="AB80" s="1140"/>
      <c r="AC80" s="1138"/>
      <c r="AD80" s="1141" t="s">
        <v>56</v>
      </c>
      <c r="AE80" s="1140"/>
      <c r="AF80" s="1138"/>
      <c r="AG80" s="1139" t="s">
        <v>56</v>
      </c>
      <c r="AH80" s="1140"/>
      <c r="AI80" s="1138"/>
      <c r="AJ80" s="1141" t="s">
        <v>56</v>
      </c>
      <c r="AK80" s="1140"/>
      <c r="AL80" s="1138"/>
      <c r="AM80" s="1139" t="s">
        <v>56</v>
      </c>
      <c r="AN80" s="1140"/>
      <c r="AO80" s="1138"/>
      <c r="AP80" s="1141" t="s">
        <v>56</v>
      </c>
      <c r="AQ80" s="1142"/>
      <c r="AR80" s="1991">
        <f t="shared" si="23"/>
        <v>0</v>
      </c>
      <c r="AS80" s="1992"/>
      <c r="AT80" s="2002">
        <f t="shared" si="20"/>
        <v>20</v>
      </c>
      <c r="AU80" s="2003"/>
      <c r="AV80" s="1995" t="str">
        <f t="shared" si="18"/>
        <v>攀爬</v>
      </c>
      <c r="AW80" s="1996"/>
      <c r="AX80" s="1997"/>
      <c r="AY80" s="1998">
        <f t="shared" si="19"/>
        <v>0</v>
      </c>
      <c r="AZ80" s="2029"/>
      <c r="BA80" s="1473"/>
      <c r="BB80" s="1474"/>
      <c r="BC80" s="1474"/>
      <c r="BD80" s="1474"/>
      <c r="BE80" s="1474"/>
      <c r="BF80" s="1474"/>
      <c r="BG80" s="1474"/>
      <c r="BH80" s="1474"/>
      <c r="BI80" s="1474"/>
      <c r="BJ80" s="1475"/>
      <c r="BK80" s="1481"/>
      <c r="BL80" s="1481"/>
      <c r="BM80" s="1481"/>
      <c r="BN80" s="1481"/>
      <c r="BO80" s="1481"/>
      <c r="BP80" s="1481"/>
      <c r="BQ80" s="1481"/>
      <c r="BR80" s="1481"/>
      <c r="BS80" s="1481"/>
      <c r="BT80" s="1482"/>
      <c r="BV80" s="1449" t="s">
        <v>259</v>
      </c>
      <c r="BW80" s="1450"/>
      <c r="BX80" s="1451"/>
      <c r="BY80" s="2082" t="s">
        <v>254</v>
      </c>
      <c r="BZ80" s="2083"/>
      <c r="CA80" s="2095" t="s">
        <v>260</v>
      </c>
      <c r="CB80" s="2049"/>
      <c r="CC80" s="2049"/>
      <c r="CD80" s="2049"/>
      <c r="CE80" s="2049"/>
      <c r="CF80" s="2049"/>
      <c r="CG80" s="2049"/>
      <c r="CH80" s="2049"/>
      <c r="CI80" s="2049"/>
      <c r="CJ80" s="2049"/>
      <c r="CK80" s="2049"/>
      <c r="CL80" s="2049"/>
      <c r="CM80" s="2049"/>
      <c r="CN80" s="2049"/>
      <c r="CO80" s="2049"/>
      <c r="CP80" s="2050"/>
      <c r="CQ80" s="1447" t="s">
        <v>102</v>
      </c>
      <c r="CR80" s="1448"/>
      <c r="CT80" s="1405"/>
      <c r="CU80" s="1406"/>
      <c r="CV80" s="1406"/>
      <c r="CW80" s="1406"/>
      <c r="CX80" s="1406"/>
      <c r="CY80" s="1406"/>
      <c r="CZ80" s="1406"/>
      <c r="DA80" s="1406"/>
      <c r="DB80" s="1406"/>
      <c r="DC80" s="1406"/>
      <c r="DD80" s="1406"/>
      <c r="DE80" s="1406"/>
      <c r="DF80" s="1406"/>
      <c r="DG80" s="1406"/>
      <c r="DH80" s="1406"/>
      <c r="DI80" s="1406"/>
      <c r="DJ80" s="1406"/>
      <c r="DK80" s="1406"/>
      <c r="DL80" s="1406"/>
      <c r="DM80" s="1406"/>
      <c r="DN80" s="1406"/>
      <c r="DO80" s="1406"/>
      <c r="DP80" s="1406"/>
      <c r="DQ80" s="1407"/>
    </row>
    <row r="81" spans="2:121" ht="16.5" outlineLevel="2">
      <c r="B81" s="1133"/>
      <c r="C81" s="1134" t="s">
        <v>56</v>
      </c>
      <c r="D81" s="1135"/>
      <c r="E81" s="1133"/>
      <c r="F81" s="1136" t="s">
        <v>56</v>
      </c>
      <c r="G81" s="1135"/>
      <c r="H81" s="1133"/>
      <c r="I81" s="1134" t="s">
        <v>56</v>
      </c>
      <c r="J81" s="1135"/>
      <c r="K81" s="1133"/>
      <c r="L81" s="1136" t="s">
        <v>56</v>
      </c>
      <c r="M81" s="1135"/>
      <c r="N81" s="1133"/>
      <c r="O81" s="1134" t="s">
        <v>56</v>
      </c>
      <c r="P81" s="1135"/>
      <c r="Q81" s="1133"/>
      <c r="R81" s="1136" t="s">
        <v>56</v>
      </c>
      <c r="S81" s="1135"/>
      <c r="T81" s="1133"/>
      <c r="U81" s="1134" t="s">
        <v>56</v>
      </c>
      <c r="V81" s="1135"/>
      <c r="W81" s="1133"/>
      <c r="X81" s="1136" t="s">
        <v>56</v>
      </c>
      <c r="Y81" s="1135"/>
      <c r="Z81" s="1133"/>
      <c r="AA81" s="1134" t="s">
        <v>56</v>
      </c>
      <c r="AB81" s="1135"/>
      <c r="AC81" s="1133"/>
      <c r="AD81" s="1136" t="s">
        <v>56</v>
      </c>
      <c r="AE81" s="1135"/>
      <c r="AF81" s="1133"/>
      <c r="AG81" s="1134" t="s">
        <v>56</v>
      </c>
      <c r="AH81" s="1135"/>
      <c r="AI81" s="1133"/>
      <c r="AJ81" s="1136" t="s">
        <v>56</v>
      </c>
      <c r="AK81" s="1135"/>
      <c r="AL81" s="1133"/>
      <c r="AM81" s="1134" t="s">
        <v>56</v>
      </c>
      <c r="AN81" s="1135"/>
      <c r="AO81" s="1133"/>
      <c r="AP81" s="1136" t="s">
        <v>56</v>
      </c>
      <c r="AQ81" s="1137"/>
      <c r="AR81" s="1991">
        <f t="shared" si="23"/>
        <v>0</v>
      </c>
      <c r="AS81" s="1992"/>
      <c r="AT81" s="1993">
        <f t="shared" si="20"/>
        <v>10</v>
      </c>
      <c r="AU81" s="1994"/>
      <c r="AV81" s="2096" t="str">
        <f>IF(CC41=0,"生存:","生:"&amp;CC41)</f>
        <v>生存:</v>
      </c>
      <c r="AW81" s="2097"/>
      <c r="AX81" s="2098"/>
      <c r="AY81" s="1998">
        <f t="shared" si="19"/>
        <v>0</v>
      </c>
      <c r="AZ81" s="2029"/>
      <c r="BA81" s="1473"/>
      <c r="BB81" s="1474"/>
      <c r="BC81" s="1474"/>
      <c r="BD81" s="1474"/>
      <c r="BE81" s="1474"/>
      <c r="BF81" s="1474"/>
      <c r="BG81" s="1474"/>
      <c r="BH81" s="1474"/>
      <c r="BI81" s="1474"/>
      <c r="BJ81" s="1475"/>
      <c r="BK81" s="1481"/>
      <c r="BL81" s="1481"/>
      <c r="BM81" s="1481"/>
      <c r="BN81" s="1481"/>
      <c r="BO81" s="1481"/>
      <c r="BP81" s="1481"/>
      <c r="BQ81" s="1481"/>
      <c r="BR81" s="1481"/>
      <c r="BS81" s="1481"/>
      <c r="BT81" s="1482"/>
      <c r="BV81" s="1452"/>
      <c r="BW81" s="1453"/>
      <c r="BX81" s="1454"/>
      <c r="BY81" s="2093" t="s">
        <v>102</v>
      </c>
      <c r="BZ81" s="2094"/>
      <c r="CA81" s="2095" t="s">
        <v>261</v>
      </c>
      <c r="CB81" s="2049"/>
      <c r="CC81" s="2049"/>
      <c r="CD81" s="2049"/>
      <c r="CE81" s="2049"/>
      <c r="CF81" s="2049"/>
      <c r="CG81" s="2049"/>
      <c r="CH81" s="2049"/>
      <c r="CI81" s="2049"/>
      <c r="CJ81" s="2049"/>
      <c r="CK81" s="2049"/>
      <c r="CL81" s="2049"/>
      <c r="CM81" s="2049"/>
      <c r="CN81" s="2049"/>
      <c r="CO81" s="2049"/>
      <c r="CP81" s="2050"/>
      <c r="CQ81" s="1447"/>
      <c r="CR81" s="1448"/>
      <c r="CT81" s="1405"/>
      <c r="CU81" s="1406"/>
      <c r="CV81" s="1406"/>
      <c r="CW81" s="1406"/>
      <c r="CX81" s="1406"/>
      <c r="CY81" s="1406"/>
      <c r="CZ81" s="1406"/>
      <c r="DA81" s="1406"/>
      <c r="DB81" s="1406"/>
      <c r="DC81" s="1406"/>
      <c r="DD81" s="1406"/>
      <c r="DE81" s="1406"/>
      <c r="DF81" s="1406"/>
      <c r="DG81" s="1406"/>
      <c r="DH81" s="1406"/>
      <c r="DI81" s="1406"/>
      <c r="DJ81" s="1406"/>
      <c r="DK81" s="1406"/>
      <c r="DL81" s="1406"/>
      <c r="DM81" s="1406"/>
      <c r="DN81" s="1406"/>
      <c r="DO81" s="1406"/>
      <c r="DP81" s="1406"/>
      <c r="DQ81" s="1407"/>
    </row>
    <row r="82" spans="2:121" ht="16.5" outlineLevel="2">
      <c r="B82" s="1138"/>
      <c r="C82" s="1139" t="s">
        <v>56</v>
      </c>
      <c r="D82" s="1140"/>
      <c r="E82" s="1138"/>
      <c r="F82" s="1141" t="s">
        <v>56</v>
      </c>
      <c r="G82" s="1140"/>
      <c r="H82" s="1138"/>
      <c r="I82" s="1139" t="s">
        <v>56</v>
      </c>
      <c r="J82" s="1140"/>
      <c r="K82" s="1138"/>
      <c r="L82" s="1141" t="s">
        <v>56</v>
      </c>
      <c r="M82" s="1140"/>
      <c r="N82" s="1138"/>
      <c r="O82" s="1139" t="s">
        <v>56</v>
      </c>
      <c r="P82" s="1140"/>
      <c r="Q82" s="1138"/>
      <c r="R82" s="1141" t="s">
        <v>56</v>
      </c>
      <c r="S82" s="1140"/>
      <c r="T82" s="1138"/>
      <c r="U82" s="1139" t="s">
        <v>56</v>
      </c>
      <c r="V82" s="1140"/>
      <c r="W82" s="1138"/>
      <c r="X82" s="1141" t="s">
        <v>56</v>
      </c>
      <c r="Y82" s="1140"/>
      <c r="Z82" s="1138"/>
      <c r="AA82" s="1139" t="s">
        <v>56</v>
      </c>
      <c r="AB82" s="1140"/>
      <c r="AC82" s="1138"/>
      <c r="AD82" s="1141" t="s">
        <v>56</v>
      </c>
      <c r="AE82" s="1140"/>
      <c r="AF82" s="1138"/>
      <c r="AG82" s="1139" t="s">
        <v>56</v>
      </c>
      <c r="AH82" s="1140"/>
      <c r="AI82" s="1138"/>
      <c r="AJ82" s="1141" t="s">
        <v>56</v>
      </c>
      <c r="AK82" s="1140"/>
      <c r="AL82" s="1138"/>
      <c r="AM82" s="1139" t="s">
        <v>56</v>
      </c>
      <c r="AN82" s="1140"/>
      <c r="AO82" s="1138"/>
      <c r="AP82" s="1141" t="s">
        <v>56</v>
      </c>
      <c r="AQ82" s="1142"/>
      <c r="AR82" s="1991">
        <f t="shared" si="23"/>
        <v>0</v>
      </c>
      <c r="AS82" s="1992"/>
      <c r="AT82" s="2002">
        <f t="shared" si="20"/>
        <v>10</v>
      </c>
      <c r="AU82" s="2003"/>
      <c r="AV82" s="2096" t="str">
        <f>IF(CC42=0,"生存:","生:"&amp;CC42)</f>
        <v>生存:</v>
      </c>
      <c r="AW82" s="2097"/>
      <c r="AX82" s="2098"/>
      <c r="AY82" s="1998">
        <f t="shared" si="19"/>
        <v>0</v>
      </c>
      <c r="AZ82" s="2029"/>
      <c r="BA82" s="1476"/>
      <c r="BB82" s="1477"/>
      <c r="BC82" s="1477"/>
      <c r="BD82" s="1477"/>
      <c r="BE82" s="1477"/>
      <c r="BF82" s="1477"/>
      <c r="BG82" s="1477"/>
      <c r="BH82" s="1477"/>
      <c r="BI82" s="1477"/>
      <c r="BJ82" s="1478"/>
      <c r="BK82" s="1483"/>
      <c r="BL82" s="1483"/>
      <c r="BM82" s="1483"/>
      <c r="BN82" s="1483"/>
      <c r="BO82" s="1483"/>
      <c r="BP82" s="1483"/>
      <c r="BQ82" s="1483"/>
      <c r="BR82" s="1483"/>
      <c r="BS82" s="1483"/>
      <c r="BT82" s="1484"/>
      <c r="BV82" s="1330" t="s">
        <v>262</v>
      </c>
      <c r="BW82" s="2104"/>
      <c r="BX82" s="1331"/>
      <c r="BY82" s="2066" t="s">
        <v>254</v>
      </c>
      <c r="BZ82" s="2067"/>
      <c r="CA82" s="2068" t="s">
        <v>263</v>
      </c>
      <c r="CB82" s="2069"/>
      <c r="CC82" s="2099"/>
      <c r="CD82" s="2100"/>
      <c r="CE82" s="2100"/>
      <c r="CF82" s="2100"/>
      <c r="CG82" s="2100"/>
      <c r="CH82" s="2100"/>
      <c r="CI82" s="2100"/>
      <c r="CJ82" s="2100"/>
      <c r="CK82" s="2100"/>
      <c r="CL82" s="2100"/>
      <c r="CM82" s="2100"/>
      <c r="CN82" s="2100"/>
      <c r="CO82" s="2100"/>
      <c r="CP82" s="2101"/>
      <c r="CQ82" s="1550" t="s">
        <v>102</v>
      </c>
      <c r="CR82" s="1551"/>
      <c r="CT82" s="1405"/>
      <c r="CU82" s="1406"/>
      <c r="CV82" s="1406"/>
      <c r="CW82" s="1406"/>
      <c r="CX82" s="1406"/>
      <c r="CY82" s="1406"/>
      <c r="CZ82" s="1406"/>
      <c r="DA82" s="1406"/>
      <c r="DB82" s="1406"/>
      <c r="DC82" s="1406"/>
      <c r="DD82" s="1406"/>
      <c r="DE82" s="1406"/>
      <c r="DF82" s="1406"/>
      <c r="DG82" s="1406"/>
      <c r="DH82" s="1406"/>
      <c r="DI82" s="1406"/>
      <c r="DJ82" s="1406"/>
      <c r="DK82" s="1406"/>
      <c r="DL82" s="1406"/>
      <c r="DM82" s="1406"/>
      <c r="DN82" s="1406"/>
      <c r="DO82" s="1406"/>
      <c r="DP82" s="1406"/>
      <c r="DQ82" s="1407"/>
    </row>
    <row r="83" spans="2:121" ht="16.5" outlineLevel="2">
      <c r="B83" s="1133"/>
      <c r="C83" s="1134" t="s">
        <v>56</v>
      </c>
      <c r="D83" s="1135"/>
      <c r="E83" s="1133"/>
      <c r="F83" s="1136" t="s">
        <v>56</v>
      </c>
      <c r="G83" s="1135"/>
      <c r="H83" s="1133"/>
      <c r="I83" s="1134" t="s">
        <v>56</v>
      </c>
      <c r="J83" s="1135"/>
      <c r="K83" s="1133"/>
      <c r="L83" s="1136" t="s">
        <v>56</v>
      </c>
      <c r="M83" s="1135"/>
      <c r="N83" s="1133"/>
      <c r="O83" s="1134" t="s">
        <v>56</v>
      </c>
      <c r="P83" s="1135"/>
      <c r="Q83" s="1133"/>
      <c r="R83" s="1136" t="s">
        <v>56</v>
      </c>
      <c r="S83" s="1135"/>
      <c r="T83" s="1133"/>
      <c r="U83" s="1134" t="s">
        <v>56</v>
      </c>
      <c r="V83" s="1135"/>
      <c r="W83" s="1133"/>
      <c r="X83" s="1136" t="s">
        <v>56</v>
      </c>
      <c r="Y83" s="1135"/>
      <c r="Z83" s="1133"/>
      <c r="AA83" s="1134" t="s">
        <v>56</v>
      </c>
      <c r="AB83" s="1135"/>
      <c r="AC83" s="1133"/>
      <c r="AD83" s="1136" t="s">
        <v>56</v>
      </c>
      <c r="AE83" s="1135"/>
      <c r="AF83" s="1133"/>
      <c r="AG83" s="1134" t="s">
        <v>56</v>
      </c>
      <c r="AH83" s="1135"/>
      <c r="AI83" s="1133"/>
      <c r="AJ83" s="1136" t="s">
        <v>56</v>
      </c>
      <c r="AK83" s="1135"/>
      <c r="AL83" s="1133"/>
      <c r="AM83" s="1134" t="s">
        <v>56</v>
      </c>
      <c r="AN83" s="1135"/>
      <c r="AO83" s="1133"/>
      <c r="AP83" s="1136" t="s">
        <v>56</v>
      </c>
      <c r="AQ83" s="1137"/>
      <c r="AR83" s="1991">
        <f t="shared" si="23"/>
        <v>0</v>
      </c>
      <c r="AS83" s="1992"/>
      <c r="AT83" s="1993">
        <f t="shared" si="20"/>
        <v>20</v>
      </c>
      <c r="AU83" s="1994"/>
      <c r="AV83" s="1995" t="str">
        <f t="shared" si="18"/>
        <v>游泳</v>
      </c>
      <c r="AW83" s="1996"/>
      <c r="AX83" s="1997"/>
      <c r="AY83" s="1998">
        <f t="shared" si="19"/>
        <v>0</v>
      </c>
      <c r="AZ83" s="2029"/>
      <c r="BA83" s="2102" t="str">
        <f>"消费能力："&amp;BN77&amp;BR77</f>
        <v>消费能力：0.5美元</v>
      </c>
      <c r="BB83" s="2102"/>
      <c r="BC83" s="2102"/>
      <c r="BD83" s="2102"/>
      <c r="BE83" s="2102"/>
      <c r="BF83" s="2102"/>
      <c r="BG83" s="2102"/>
      <c r="BH83" s="2102" t="str">
        <f>附表!D76</f>
        <v>已使用0美元</v>
      </c>
      <c r="BI83" s="2102"/>
      <c r="BJ83" s="2102"/>
      <c r="BK83" s="2102"/>
      <c r="BL83" s="2102"/>
      <c r="BM83" s="2102"/>
      <c r="BN83" s="2102" t="str">
        <f>附表!D75</f>
        <v>本次任务携带0.6美元</v>
      </c>
      <c r="BO83" s="2102"/>
      <c r="BP83" s="2102"/>
      <c r="BQ83" s="2102"/>
      <c r="BR83" s="2102"/>
      <c r="BS83" s="2102"/>
      <c r="BT83" s="2102"/>
      <c r="BV83" s="1334"/>
      <c r="BW83" s="2105"/>
      <c r="BX83" s="1335"/>
      <c r="BY83" s="2075" t="s">
        <v>102</v>
      </c>
      <c r="BZ83" s="2076"/>
      <c r="CA83" s="2103" t="s">
        <v>261</v>
      </c>
      <c r="CB83" s="2070"/>
      <c r="CC83" s="2099"/>
      <c r="CD83" s="2100"/>
      <c r="CE83" s="2100"/>
      <c r="CF83" s="2100"/>
      <c r="CG83" s="2100"/>
      <c r="CH83" s="2100"/>
      <c r="CI83" s="2100"/>
      <c r="CJ83" s="2100"/>
      <c r="CK83" s="2100"/>
      <c r="CL83" s="2100"/>
      <c r="CM83" s="2100"/>
      <c r="CN83" s="2100"/>
      <c r="CO83" s="2100"/>
      <c r="CP83" s="2101"/>
      <c r="CQ83" s="1550"/>
      <c r="CR83" s="1551"/>
      <c r="CT83" s="1405"/>
      <c r="CU83" s="1406"/>
      <c r="CV83" s="1406"/>
      <c r="CW83" s="1406"/>
      <c r="CX83" s="1406"/>
      <c r="CY83" s="1406"/>
      <c r="CZ83" s="1406"/>
      <c r="DA83" s="1406"/>
      <c r="DB83" s="1406"/>
      <c r="DC83" s="1406"/>
      <c r="DD83" s="1406"/>
      <c r="DE83" s="1406"/>
      <c r="DF83" s="1406"/>
      <c r="DG83" s="1406"/>
      <c r="DH83" s="1406"/>
      <c r="DI83" s="1406"/>
      <c r="DJ83" s="1406"/>
      <c r="DK83" s="1406"/>
      <c r="DL83" s="1406"/>
      <c r="DM83" s="1406"/>
      <c r="DN83" s="1406"/>
      <c r="DO83" s="1406"/>
      <c r="DP83" s="1406"/>
      <c r="DQ83" s="1407"/>
    </row>
    <row r="84" spans="2:121" ht="16.5" outlineLevel="2">
      <c r="B84" s="1219"/>
      <c r="C84" s="1220" t="s">
        <v>56</v>
      </c>
      <c r="D84" s="1221"/>
      <c r="E84" s="1219"/>
      <c r="F84" s="1222" t="s">
        <v>56</v>
      </c>
      <c r="G84" s="1221"/>
      <c r="H84" s="1219"/>
      <c r="I84" s="1220" t="s">
        <v>56</v>
      </c>
      <c r="J84" s="1221"/>
      <c r="K84" s="1219"/>
      <c r="L84" s="1222" t="s">
        <v>56</v>
      </c>
      <c r="M84" s="1221"/>
      <c r="N84" s="1219"/>
      <c r="O84" s="1220" t="s">
        <v>56</v>
      </c>
      <c r="P84" s="1221"/>
      <c r="Q84" s="1219"/>
      <c r="R84" s="1222" t="s">
        <v>56</v>
      </c>
      <c r="S84" s="1221"/>
      <c r="T84" s="1219"/>
      <c r="U84" s="1220" t="s">
        <v>56</v>
      </c>
      <c r="V84" s="1221"/>
      <c r="W84" s="1219"/>
      <c r="X84" s="1222" t="s">
        <v>56</v>
      </c>
      <c r="Y84" s="1221"/>
      <c r="Z84" s="1219"/>
      <c r="AA84" s="1220" t="s">
        <v>56</v>
      </c>
      <c r="AB84" s="1221"/>
      <c r="AC84" s="1219"/>
      <c r="AD84" s="1222" t="s">
        <v>56</v>
      </c>
      <c r="AE84" s="1221"/>
      <c r="AF84" s="1219"/>
      <c r="AG84" s="1220" t="s">
        <v>56</v>
      </c>
      <c r="AH84" s="1221"/>
      <c r="AI84" s="1219"/>
      <c r="AJ84" s="1222" t="s">
        <v>56</v>
      </c>
      <c r="AK84" s="1221"/>
      <c r="AL84" s="1219"/>
      <c r="AM84" s="1220" t="s">
        <v>56</v>
      </c>
      <c r="AN84" s="1221"/>
      <c r="AO84" s="1219"/>
      <c r="AP84" s="1222" t="s">
        <v>56</v>
      </c>
      <c r="AQ84" s="1223"/>
      <c r="AR84" s="2057">
        <f t="shared" si="23"/>
        <v>0</v>
      </c>
      <c r="AS84" s="2058"/>
      <c r="AT84" s="2059">
        <f t="shared" si="20"/>
        <v>1</v>
      </c>
      <c r="AU84" s="2060"/>
      <c r="AV84" s="2061" t="str">
        <f t="shared" si="18"/>
        <v>精神分析</v>
      </c>
      <c r="AW84" s="2062"/>
      <c r="AX84" s="2063"/>
      <c r="AY84" s="2064">
        <f t="shared" si="19"/>
        <v>0</v>
      </c>
      <c r="AZ84" s="2065"/>
      <c r="BA84" s="1913" t="s">
        <v>264</v>
      </c>
      <c r="BB84" s="1914"/>
      <c r="BC84" s="1914"/>
      <c r="BD84" s="1914"/>
      <c r="BE84" s="1914"/>
      <c r="BF84" s="1914"/>
      <c r="BG84" s="1914"/>
      <c r="BH84" s="1914"/>
      <c r="BI84" s="1914"/>
      <c r="BJ84" s="1914"/>
      <c r="BK84" s="1914"/>
      <c r="BL84" s="1914"/>
      <c r="BM84" s="1914"/>
      <c r="BN84" s="1914"/>
      <c r="BO84" s="1915"/>
      <c r="BP84" s="2079" t="str">
        <f>附表!K78</f>
        <v>未携带武器！</v>
      </c>
      <c r="BQ84" s="2080"/>
      <c r="BR84" s="2080"/>
      <c r="BS84" s="2080"/>
      <c r="BT84" s="2081"/>
      <c r="BV84" s="1449" t="s">
        <v>265</v>
      </c>
      <c r="BW84" s="1450"/>
      <c r="BX84" s="1451"/>
      <c r="BY84" s="2082" t="s">
        <v>254</v>
      </c>
      <c r="BZ84" s="2083"/>
      <c r="CA84" s="2047" t="s">
        <v>266</v>
      </c>
      <c r="CB84" s="2048"/>
      <c r="CC84" s="2049"/>
      <c r="CD84" s="2049"/>
      <c r="CE84" s="2049"/>
      <c r="CF84" s="2049"/>
      <c r="CG84" s="2049"/>
      <c r="CH84" s="2049"/>
      <c r="CI84" s="2049"/>
      <c r="CJ84" s="2049"/>
      <c r="CK84" s="2049"/>
      <c r="CL84" s="2049"/>
      <c r="CM84" s="2049"/>
      <c r="CN84" s="2049"/>
      <c r="CO84" s="2049"/>
      <c r="CP84" s="2050"/>
      <c r="CQ84" s="1447" t="s">
        <v>102</v>
      </c>
      <c r="CR84" s="1448"/>
      <c r="CT84" s="1405"/>
      <c r="CU84" s="1406"/>
      <c r="CV84" s="1406"/>
      <c r="CW84" s="1406"/>
      <c r="CX84" s="1406"/>
      <c r="CY84" s="1406"/>
      <c r="CZ84" s="1406"/>
      <c r="DA84" s="1406"/>
      <c r="DB84" s="1406"/>
      <c r="DC84" s="1406"/>
      <c r="DD84" s="1406"/>
      <c r="DE84" s="1406"/>
      <c r="DF84" s="1406"/>
      <c r="DG84" s="1406"/>
      <c r="DH84" s="1406"/>
      <c r="DI84" s="1406"/>
      <c r="DJ84" s="1406"/>
      <c r="DK84" s="1406"/>
      <c r="DL84" s="1406"/>
      <c r="DM84" s="1406"/>
      <c r="DN84" s="1406"/>
      <c r="DO84" s="1406"/>
      <c r="DP84" s="1406"/>
      <c r="DQ84" s="1407"/>
    </row>
    <row r="85" spans="2:121" ht="16.5" outlineLevel="2">
      <c r="B85" s="1224"/>
      <c r="C85" s="1225" t="s">
        <v>56</v>
      </c>
      <c r="D85" s="1226"/>
      <c r="E85" s="1224"/>
      <c r="F85" s="1225" t="s">
        <v>56</v>
      </c>
      <c r="G85" s="1226"/>
      <c r="H85" s="1224"/>
      <c r="I85" s="1225" t="s">
        <v>56</v>
      </c>
      <c r="J85" s="1226"/>
      <c r="K85" s="1224"/>
      <c r="L85" s="1225" t="s">
        <v>56</v>
      </c>
      <c r="M85" s="1226"/>
      <c r="N85" s="1224"/>
      <c r="O85" s="1225" t="s">
        <v>56</v>
      </c>
      <c r="P85" s="1226"/>
      <c r="Q85" s="1224"/>
      <c r="R85" s="1225" t="s">
        <v>56</v>
      </c>
      <c r="S85" s="1226"/>
      <c r="T85" s="1224"/>
      <c r="U85" s="1225" t="s">
        <v>56</v>
      </c>
      <c r="V85" s="1226"/>
      <c r="W85" s="1224"/>
      <c r="X85" s="1225" t="s">
        <v>56</v>
      </c>
      <c r="Y85" s="1226"/>
      <c r="Z85" s="1224"/>
      <c r="AA85" s="1225" t="s">
        <v>56</v>
      </c>
      <c r="AB85" s="1226"/>
      <c r="AC85" s="1224"/>
      <c r="AD85" s="1225" t="s">
        <v>56</v>
      </c>
      <c r="AE85" s="1226"/>
      <c r="AF85" s="1224"/>
      <c r="AG85" s="1225" t="s">
        <v>56</v>
      </c>
      <c r="AH85" s="1226"/>
      <c r="AI85" s="1224"/>
      <c r="AJ85" s="1225" t="s">
        <v>56</v>
      </c>
      <c r="AK85" s="1226"/>
      <c r="AL85" s="1224"/>
      <c r="AM85" s="1225" t="s">
        <v>56</v>
      </c>
      <c r="AN85" s="1226"/>
      <c r="AO85" s="1224"/>
      <c r="AP85" s="1225" t="s">
        <v>56</v>
      </c>
      <c r="AQ85" s="1227"/>
      <c r="AR85" s="2084">
        <f t="shared" si="23"/>
        <v>0</v>
      </c>
      <c r="AS85" s="2085"/>
      <c r="AT85" s="2086">
        <f t="shared" si="20"/>
        <v>1</v>
      </c>
      <c r="AU85" s="2087"/>
      <c r="AV85" s="2088" t="str">
        <f t="shared" si="18"/>
        <v>医学</v>
      </c>
      <c r="AW85" s="2089"/>
      <c r="AX85" s="2090"/>
      <c r="AY85" s="2091">
        <f t="shared" si="19"/>
        <v>0</v>
      </c>
      <c r="AZ85" s="2092"/>
      <c r="BA85" s="2051" t="str">
        <f>IF(BF69="","",BF69)</f>
        <v/>
      </c>
      <c r="BB85" s="2052"/>
      <c r="BC85" s="2052"/>
      <c r="BD85" s="2052"/>
      <c r="BE85" s="2052"/>
      <c r="BF85" s="2052"/>
      <c r="BG85" s="2052"/>
      <c r="BH85" s="2052"/>
      <c r="BI85" s="2052"/>
      <c r="BJ85" s="2053"/>
      <c r="BK85" s="2054" t="str">
        <f>IF(BA85="","",IF(BA69="","未取名！",BA69))</f>
        <v/>
      </c>
      <c r="BL85" s="2055"/>
      <c r="BM85" s="2055"/>
      <c r="BN85" s="2055"/>
      <c r="BO85" s="2055"/>
      <c r="BP85" s="2055"/>
      <c r="BQ85" s="2055"/>
      <c r="BR85" s="2056"/>
      <c r="BS85" s="1762"/>
      <c r="BT85" s="1763"/>
      <c r="BV85" s="1452"/>
      <c r="BW85" s="1453"/>
      <c r="BX85" s="1454"/>
      <c r="BY85" s="2093" t="s">
        <v>102</v>
      </c>
      <c r="BZ85" s="2094"/>
      <c r="CA85" s="2095" t="s">
        <v>261</v>
      </c>
      <c r="CB85" s="2049"/>
      <c r="CC85" s="2049"/>
      <c r="CD85" s="2049"/>
      <c r="CE85" s="2049"/>
      <c r="CF85" s="2049"/>
      <c r="CG85" s="2049"/>
      <c r="CH85" s="2049"/>
      <c r="CI85" s="2049"/>
      <c r="CJ85" s="2049"/>
      <c r="CK85" s="2049"/>
      <c r="CL85" s="2049"/>
      <c r="CM85" s="2049"/>
      <c r="CN85" s="2049"/>
      <c r="CO85" s="2049"/>
      <c r="CP85" s="2050"/>
      <c r="CQ85" s="1447"/>
      <c r="CR85" s="1448"/>
      <c r="CT85" s="1405"/>
      <c r="CU85" s="1406"/>
      <c r="CV85" s="1406"/>
      <c r="CW85" s="1406"/>
      <c r="CX85" s="1406"/>
      <c r="CY85" s="1406"/>
      <c r="CZ85" s="1406"/>
      <c r="DA85" s="1406"/>
      <c r="DB85" s="1406"/>
      <c r="DC85" s="1406"/>
      <c r="DD85" s="1406"/>
      <c r="DE85" s="1406"/>
      <c r="DF85" s="1406"/>
      <c r="DG85" s="1406"/>
      <c r="DH85" s="1406"/>
      <c r="DI85" s="1406"/>
      <c r="DJ85" s="1406"/>
      <c r="DK85" s="1406"/>
      <c r="DL85" s="1406"/>
      <c r="DM85" s="1406"/>
      <c r="DN85" s="1406"/>
      <c r="DO85" s="1406"/>
      <c r="DP85" s="1406"/>
      <c r="DQ85" s="1407"/>
    </row>
    <row r="86" spans="2:121" ht="16.5" outlineLevel="2">
      <c r="B86" s="1219"/>
      <c r="C86" s="1220" t="s">
        <v>56</v>
      </c>
      <c r="D86" s="1221"/>
      <c r="E86" s="1219"/>
      <c r="F86" s="1222" t="s">
        <v>56</v>
      </c>
      <c r="G86" s="1221"/>
      <c r="H86" s="1219"/>
      <c r="I86" s="1220" t="s">
        <v>56</v>
      </c>
      <c r="J86" s="1221"/>
      <c r="K86" s="1219"/>
      <c r="L86" s="1222" t="s">
        <v>56</v>
      </c>
      <c r="M86" s="1221"/>
      <c r="N86" s="1219"/>
      <c r="O86" s="1220" t="s">
        <v>56</v>
      </c>
      <c r="P86" s="1221"/>
      <c r="Q86" s="1219"/>
      <c r="R86" s="1222" t="s">
        <v>56</v>
      </c>
      <c r="S86" s="1221"/>
      <c r="T86" s="1219"/>
      <c r="U86" s="1220" t="s">
        <v>56</v>
      </c>
      <c r="V86" s="1221"/>
      <c r="W86" s="1219"/>
      <c r="X86" s="1222" t="s">
        <v>56</v>
      </c>
      <c r="Y86" s="1221"/>
      <c r="Z86" s="1219"/>
      <c r="AA86" s="1220" t="s">
        <v>56</v>
      </c>
      <c r="AB86" s="1221"/>
      <c r="AC86" s="1219"/>
      <c r="AD86" s="1222" t="s">
        <v>56</v>
      </c>
      <c r="AE86" s="1221"/>
      <c r="AF86" s="1219"/>
      <c r="AG86" s="1220" t="s">
        <v>56</v>
      </c>
      <c r="AH86" s="1221"/>
      <c r="AI86" s="1219"/>
      <c r="AJ86" s="1222" t="s">
        <v>56</v>
      </c>
      <c r="AK86" s="1221"/>
      <c r="AL86" s="1219"/>
      <c r="AM86" s="1220" t="s">
        <v>56</v>
      </c>
      <c r="AN86" s="1221"/>
      <c r="AO86" s="1219"/>
      <c r="AP86" s="1222" t="s">
        <v>56</v>
      </c>
      <c r="AQ86" s="1223"/>
      <c r="AR86" s="2057">
        <f t="shared" si="23"/>
        <v>0</v>
      </c>
      <c r="AS86" s="2058"/>
      <c r="AT86" s="2059">
        <f t="shared" si="20"/>
        <v>30</v>
      </c>
      <c r="AU86" s="2060"/>
      <c r="AV86" s="2061" t="str">
        <f t="shared" si="18"/>
        <v>急救</v>
      </c>
      <c r="AW86" s="2062"/>
      <c r="AX86" s="2063"/>
      <c r="AY86" s="2064">
        <f t="shared" si="19"/>
        <v>0</v>
      </c>
      <c r="AZ86" s="2065"/>
      <c r="BA86" s="2041" t="str">
        <f>IF(BF70="","",BF70)</f>
        <v/>
      </c>
      <c r="BB86" s="2042"/>
      <c r="BC86" s="2042"/>
      <c r="BD86" s="2042"/>
      <c r="BE86" s="2042"/>
      <c r="BF86" s="2042"/>
      <c r="BG86" s="2042"/>
      <c r="BH86" s="2042"/>
      <c r="BI86" s="2042"/>
      <c r="BJ86" s="2043"/>
      <c r="BK86" s="2044" t="str">
        <f>IF(BA86="","",IF(BA70="","未取名！",BA70))</f>
        <v/>
      </c>
      <c r="BL86" s="2045"/>
      <c r="BM86" s="2045"/>
      <c r="BN86" s="2045"/>
      <c r="BO86" s="2045"/>
      <c r="BP86" s="2045"/>
      <c r="BQ86" s="2045"/>
      <c r="BR86" s="2046"/>
      <c r="BS86" s="1708"/>
      <c r="BT86" s="1709"/>
      <c r="BV86" s="1461" t="s">
        <v>267</v>
      </c>
      <c r="BW86" s="1462"/>
      <c r="BX86" s="1463"/>
      <c r="BY86" s="2066" t="s">
        <v>254</v>
      </c>
      <c r="BZ86" s="2067"/>
      <c r="CA86" s="2068" t="s">
        <v>268</v>
      </c>
      <c r="CB86" s="2069"/>
      <c r="CC86" s="2070"/>
      <c r="CD86" s="2070"/>
      <c r="CE86" s="2070"/>
      <c r="CF86" s="2070"/>
      <c r="CG86" s="2070"/>
      <c r="CH86" s="2070"/>
      <c r="CI86" s="2070"/>
      <c r="CJ86" s="2070"/>
      <c r="CK86" s="2070"/>
      <c r="CL86" s="2070"/>
      <c r="CM86" s="2070"/>
      <c r="CN86" s="2070"/>
      <c r="CO86" s="2070"/>
      <c r="CP86" s="2071"/>
      <c r="CQ86" s="1550" t="s">
        <v>102</v>
      </c>
      <c r="CR86" s="1551"/>
      <c r="CS86" s="792"/>
      <c r="CT86" s="1405"/>
      <c r="CU86" s="1406"/>
      <c r="CV86" s="1406"/>
      <c r="CW86" s="1406"/>
      <c r="CX86" s="1406"/>
      <c r="CY86" s="1406"/>
      <c r="CZ86" s="1406"/>
      <c r="DA86" s="1406"/>
      <c r="DB86" s="1406"/>
      <c r="DC86" s="1406"/>
      <c r="DD86" s="1406"/>
      <c r="DE86" s="1406"/>
      <c r="DF86" s="1406"/>
      <c r="DG86" s="1406"/>
      <c r="DH86" s="1406"/>
      <c r="DI86" s="1406"/>
      <c r="DJ86" s="1406"/>
      <c r="DK86" s="1406"/>
      <c r="DL86" s="1406"/>
      <c r="DM86" s="1406"/>
      <c r="DN86" s="1406"/>
      <c r="DO86" s="1406"/>
      <c r="DP86" s="1406"/>
      <c r="DQ86" s="1407"/>
    </row>
    <row r="87" spans="2:121" ht="16.5" outlineLevel="2">
      <c r="B87" s="1133"/>
      <c r="C87" s="1134" t="s">
        <v>56</v>
      </c>
      <c r="D87" s="1135"/>
      <c r="E87" s="1133"/>
      <c r="F87" s="1136" t="s">
        <v>56</v>
      </c>
      <c r="G87" s="1135"/>
      <c r="H87" s="1133"/>
      <c r="I87" s="1134" t="s">
        <v>56</v>
      </c>
      <c r="J87" s="1135"/>
      <c r="K87" s="1133"/>
      <c r="L87" s="1136" t="s">
        <v>56</v>
      </c>
      <c r="M87" s="1135"/>
      <c r="N87" s="1133"/>
      <c r="O87" s="1134" t="s">
        <v>56</v>
      </c>
      <c r="P87" s="1135"/>
      <c r="Q87" s="1133"/>
      <c r="R87" s="1136" t="s">
        <v>56</v>
      </c>
      <c r="S87" s="1135"/>
      <c r="T87" s="1133"/>
      <c r="U87" s="1134" t="s">
        <v>56</v>
      </c>
      <c r="V87" s="1135"/>
      <c r="W87" s="1133"/>
      <c r="X87" s="1136" t="s">
        <v>56</v>
      </c>
      <c r="Y87" s="1135"/>
      <c r="Z87" s="1133"/>
      <c r="AA87" s="1134" t="s">
        <v>56</v>
      </c>
      <c r="AB87" s="1135"/>
      <c r="AC87" s="1133"/>
      <c r="AD87" s="1136" t="s">
        <v>56</v>
      </c>
      <c r="AE87" s="1135"/>
      <c r="AF87" s="1133"/>
      <c r="AG87" s="1134" t="s">
        <v>56</v>
      </c>
      <c r="AH87" s="1135"/>
      <c r="AI87" s="1133"/>
      <c r="AJ87" s="1136" t="s">
        <v>56</v>
      </c>
      <c r="AK87" s="1135"/>
      <c r="AL87" s="1133"/>
      <c r="AM87" s="1134" t="s">
        <v>56</v>
      </c>
      <c r="AN87" s="1135"/>
      <c r="AO87" s="1133"/>
      <c r="AP87" s="1136" t="s">
        <v>56</v>
      </c>
      <c r="AQ87" s="1137"/>
      <c r="AR87" s="1991">
        <f t="shared" si="23"/>
        <v>0</v>
      </c>
      <c r="AS87" s="1992"/>
      <c r="AT87" s="1993">
        <f t="shared" si="20"/>
        <v>1</v>
      </c>
      <c r="AU87" s="1994"/>
      <c r="AV87" s="2038" t="str">
        <f>IF(CC47=0,"驾驶:","驾:"&amp;CC47)</f>
        <v>驾驶:</v>
      </c>
      <c r="AW87" s="2039"/>
      <c r="AX87" s="2040"/>
      <c r="AY87" s="1998">
        <f t="shared" si="19"/>
        <v>0</v>
      </c>
      <c r="AZ87" s="2029"/>
      <c r="BA87" s="2051" t="str">
        <f>IF(BF71="","",BF71)</f>
        <v/>
      </c>
      <c r="BB87" s="2052"/>
      <c r="BC87" s="2052"/>
      <c r="BD87" s="2052"/>
      <c r="BE87" s="2052"/>
      <c r="BF87" s="2052"/>
      <c r="BG87" s="2052"/>
      <c r="BH87" s="2052"/>
      <c r="BI87" s="2052"/>
      <c r="BJ87" s="2053"/>
      <c r="BK87" s="2072" t="str">
        <f>IF(BA87="","",IF(BA71="","未取名！",BA71))</f>
        <v/>
      </c>
      <c r="BL87" s="2073"/>
      <c r="BM87" s="2073"/>
      <c r="BN87" s="2073"/>
      <c r="BO87" s="2073"/>
      <c r="BP87" s="2073"/>
      <c r="BQ87" s="2073"/>
      <c r="BR87" s="2074"/>
      <c r="BS87" s="1722"/>
      <c r="BT87" s="1723"/>
      <c r="BV87" s="1464"/>
      <c r="BW87" s="1465"/>
      <c r="BX87" s="1466"/>
      <c r="BY87" s="2075" t="s">
        <v>102</v>
      </c>
      <c r="BZ87" s="2076"/>
      <c r="CA87" s="2077" t="s">
        <v>258</v>
      </c>
      <c r="CB87" s="2078"/>
      <c r="CC87" s="2070"/>
      <c r="CD87" s="2070"/>
      <c r="CE87" s="2070"/>
      <c r="CF87" s="2070"/>
      <c r="CG87" s="2070"/>
      <c r="CH87" s="2070"/>
      <c r="CI87" s="2070"/>
      <c r="CJ87" s="2070"/>
      <c r="CK87" s="2070"/>
      <c r="CL87" s="2070"/>
      <c r="CM87" s="2070"/>
      <c r="CN87" s="2070"/>
      <c r="CO87" s="2070"/>
      <c r="CP87" s="2071"/>
      <c r="CQ87" s="1550"/>
      <c r="CR87" s="1551"/>
      <c r="CS87" s="792"/>
      <c r="CT87" s="1405"/>
      <c r="CU87" s="1406"/>
      <c r="CV87" s="1406"/>
      <c r="CW87" s="1406"/>
      <c r="CX87" s="1406"/>
      <c r="CY87" s="1406"/>
      <c r="CZ87" s="1406"/>
      <c r="DA87" s="1406"/>
      <c r="DB87" s="1406"/>
      <c r="DC87" s="1406"/>
      <c r="DD87" s="1406"/>
      <c r="DE87" s="1406"/>
      <c r="DF87" s="1406"/>
      <c r="DG87" s="1406"/>
      <c r="DH87" s="1406"/>
      <c r="DI87" s="1406"/>
      <c r="DJ87" s="1406"/>
      <c r="DK87" s="1406"/>
      <c r="DL87" s="1406"/>
      <c r="DM87" s="1406"/>
      <c r="DN87" s="1406"/>
      <c r="DO87" s="1406"/>
      <c r="DP87" s="1406"/>
      <c r="DQ87" s="1407"/>
    </row>
    <row r="88" spans="2:121" ht="16.5" outlineLevel="2">
      <c r="B88" s="1138"/>
      <c r="C88" s="1139" t="s">
        <v>56</v>
      </c>
      <c r="D88" s="1140"/>
      <c r="E88" s="1138"/>
      <c r="F88" s="1141" t="s">
        <v>56</v>
      </c>
      <c r="G88" s="1140"/>
      <c r="H88" s="1138"/>
      <c r="I88" s="1139" t="s">
        <v>56</v>
      </c>
      <c r="J88" s="1140"/>
      <c r="K88" s="1138"/>
      <c r="L88" s="1141" t="s">
        <v>56</v>
      </c>
      <c r="M88" s="1140"/>
      <c r="N88" s="1138"/>
      <c r="O88" s="1139" t="s">
        <v>56</v>
      </c>
      <c r="P88" s="1140"/>
      <c r="Q88" s="1138"/>
      <c r="R88" s="1141" t="s">
        <v>56</v>
      </c>
      <c r="S88" s="1140"/>
      <c r="T88" s="1138"/>
      <c r="U88" s="1139" t="s">
        <v>56</v>
      </c>
      <c r="V88" s="1140"/>
      <c r="W88" s="1138"/>
      <c r="X88" s="1141" t="s">
        <v>56</v>
      </c>
      <c r="Y88" s="1140"/>
      <c r="Z88" s="1138"/>
      <c r="AA88" s="1139" t="s">
        <v>56</v>
      </c>
      <c r="AB88" s="1140"/>
      <c r="AC88" s="1138"/>
      <c r="AD88" s="1141" t="s">
        <v>56</v>
      </c>
      <c r="AE88" s="1140"/>
      <c r="AF88" s="1138"/>
      <c r="AG88" s="1139" t="s">
        <v>56</v>
      </c>
      <c r="AH88" s="1140"/>
      <c r="AI88" s="1138"/>
      <c r="AJ88" s="1141" t="s">
        <v>56</v>
      </c>
      <c r="AK88" s="1140"/>
      <c r="AL88" s="1138"/>
      <c r="AM88" s="1139" t="s">
        <v>56</v>
      </c>
      <c r="AN88" s="1140"/>
      <c r="AO88" s="1138"/>
      <c r="AP88" s="1141" t="s">
        <v>56</v>
      </c>
      <c r="AQ88" s="1142"/>
      <c r="AR88" s="1991">
        <f t="shared" si="23"/>
        <v>0</v>
      </c>
      <c r="AS88" s="1992"/>
      <c r="AT88" s="2002">
        <f t="shared" si="20"/>
        <v>1</v>
      </c>
      <c r="AU88" s="2003"/>
      <c r="AV88" s="2038" t="str">
        <f>IF(CC48=0,"驾驶:","驾:"&amp;CC48)</f>
        <v>驾驶:</v>
      </c>
      <c r="AW88" s="2039"/>
      <c r="AX88" s="2040"/>
      <c r="AY88" s="1998">
        <f t="shared" si="19"/>
        <v>0</v>
      </c>
      <c r="AZ88" s="2029"/>
      <c r="BA88" s="2041" t="str">
        <f>IF(BF72="","",BF72)</f>
        <v/>
      </c>
      <c r="BB88" s="2042"/>
      <c r="BC88" s="2042"/>
      <c r="BD88" s="2042"/>
      <c r="BE88" s="2042"/>
      <c r="BF88" s="2042"/>
      <c r="BG88" s="2042"/>
      <c r="BH88" s="2042"/>
      <c r="BI88" s="2042"/>
      <c r="BJ88" s="2043"/>
      <c r="BK88" s="2044" t="str">
        <f>IF(BA88="","",IF(BA72="","未取名！",BA72))</f>
        <v/>
      </c>
      <c r="BL88" s="2045"/>
      <c r="BM88" s="2045"/>
      <c r="BN88" s="2045"/>
      <c r="BO88" s="2045"/>
      <c r="BP88" s="2045"/>
      <c r="BQ88" s="2045"/>
      <c r="BR88" s="2046"/>
      <c r="BS88" s="1708"/>
      <c r="BT88" s="1709"/>
      <c r="BV88" s="1467" t="s">
        <v>269</v>
      </c>
      <c r="BW88" s="1468"/>
      <c r="BX88" s="1468"/>
      <c r="BY88" s="1468"/>
      <c r="BZ88" s="1469"/>
      <c r="CA88" s="2047" t="s">
        <v>270</v>
      </c>
      <c r="CB88" s="2048"/>
      <c r="CC88" s="2049"/>
      <c r="CD88" s="2049"/>
      <c r="CE88" s="2049"/>
      <c r="CF88" s="2049"/>
      <c r="CG88" s="2049"/>
      <c r="CH88" s="2049"/>
      <c r="CI88" s="2049"/>
      <c r="CJ88" s="2049"/>
      <c r="CK88" s="2049"/>
      <c r="CL88" s="2049"/>
      <c r="CM88" s="2049"/>
      <c r="CN88" s="2049"/>
      <c r="CO88" s="2049"/>
      <c r="CP88" s="2050"/>
      <c r="CQ88" s="1447" t="s">
        <v>102</v>
      </c>
      <c r="CR88" s="1448"/>
      <c r="CS88" s="792"/>
      <c r="CT88" s="1405"/>
      <c r="CU88" s="1406"/>
      <c r="CV88" s="1406"/>
      <c r="CW88" s="1406"/>
      <c r="CX88" s="1406"/>
      <c r="CY88" s="1406"/>
      <c r="CZ88" s="1406"/>
      <c r="DA88" s="1406"/>
      <c r="DB88" s="1406"/>
      <c r="DC88" s="1406"/>
      <c r="DD88" s="1406"/>
      <c r="DE88" s="1406"/>
      <c r="DF88" s="1406"/>
      <c r="DG88" s="1406"/>
      <c r="DH88" s="1406"/>
      <c r="DI88" s="1406"/>
      <c r="DJ88" s="1406"/>
      <c r="DK88" s="1406"/>
      <c r="DL88" s="1406"/>
      <c r="DM88" s="1406"/>
      <c r="DN88" s="1406"/>
      <c r="DO88" s="1406"/>
      <c r="DP88" s="1406"/>
      <c r="DQ88" s="1407"/>
    </row>
    <row r="89" spans="2:121" ht="16.5" outlineLevel="2">
      <c r="B89" s="1133"/>
      <c r="C89" s="1134" t="s">
        <v>56</v>
      </c>
      <c r="D89" s="1135"/>
      <c r="E89" s="1133"/>
      <c r="F89" s="1136" t="s">
        <v>56</v>
      </c>
      <c r="G89" s="1135"/>
      <c r="H89" s="1133"/>
      <c r="I89" s="1134" t="s">
        <v>56</v>
      </c>
      <c r="J89" s="1135"/>
      <c r="K89" s="1133"/>
      <c r="L89" s="1136" t="s">
        <v>56</v>
      </c>
      <c r="M89" s="1135"/>
      <c r="N89" s="1133"/>
      <c r="O89" s="1134" t="s">
        <v>56</v>
      </c>
      <c r="P89" s="1135"/>
      <c r="Q89" s="1133"/>
      <c r="R89" s="1136" t="s">
        <v>56</v>
      </c>
      <c r="S89" s="1135"/>
      <c r="T89" s="1133"/>
      <c r="U89" s="1134" t="s">
        <v>56</v>
      </c>
      <c r="V89" s="1135"/>
      <c r="W89" s="1133"/>
      <c r="X89" s="1136" t="s">
        <v>56</v>
      </c>
      <c r="Y89" s="1135"/>
      <c r="Z89" s="1133"/>
      <c r="AA89" s="1134" t="s">
        <v>56</v>
      </c>
      <c r="AB89" s="1135"/>
      <c r="AC89" s="1133"/>
      <c r="AD89" s="1136" t="s">
        <v>56</v>
      </c>
      <c r="AE89" s="1135"/>
      <c r="AF89" s="1133"/>
      <c r="AG89" s="1134" t="s">
        <v>56</v>
      </c>
      <c r="AH89" s="1135"/>
      <c r="AI89" s="1133"/>
      <c r="AJ89" s="1136" t="s">
        <v>56</v>
      </c>
      <c r="AK89" s="1135"/>
      <c r="AL89" s="1133"/>
      <c r="AM89" s="1134" t="s">
        <v>56</v>
      </c>
      <c r="AN89" s="1135"/>
      <c r="AO89" s="1133"/>
      <c r="AP89" s="1136" t="s">
        <v>56</v>
      </c>
      <c r="AQ89" s="1137"/>
      <c r="AR89" s="1991">
        <f t="shared" si="23"/>
        <v>0</v>
      </c>
      <c r="AS89" s="1992"/>
      <c r="AT89" s="1993">
        <f t="shared" si="20"/>
        <v>20</v>
      </c>
      <c r="AU89" s="1994"/>
      <c r="AV89" s="1995" t="str">
        <f t="shared" si="18"/>
        <v>汽车驾驶</v>
      </c>
      <c r="AW89" s="1996"/>
      <c r="AX89" s="1997"/>
      <c r="AY89" s="1998">
        <f t="shared" si="19"/>
        <v>0</v>
      </c>
      <c r="AZ89" s="2029"/>
      <c r="BA89" s="2051" t="str">
        <f>IF(BF73="","",BF73)</f>
        <v/>
      </c>
      <c r="BB89" s="2052"/>
      <c r="BC89" s="2052"/>
      <c r="BD89" s="2052"/>
      <c r="BE89" s="2052"/>
      <c r="BF89" s="2052"/>
      <c r="BG89" s="2052"/>
      <c r="BH89" s="2052"/>
      <c r="BI89" s="2052"/>
      <c r="BJ89" s="2053"/>
      <c r="BK89" s="2054" t="str">
        <f>IF(BA89="","",IF(BA73="","未取名！",BA73))</f>
        <v/>
      </c>
      <c r="BL89" s="2055"/>
      <c r="BM89" s="2055"/>
      <c r="BN89" s="2055"/>
      <c r="BO89" s="2055"/>
      <c r="BP89" s="2055"/>
      <c r="BQ89" s="2055"/>
      <c r="BR89" s="2056"/>
      <c r="BS89" s="1924"/>
      <c r="BT89" s="1925"/>
      <c r="BV89" s="1470"/>
      <c r="BW89" s="1471"/>
      <c r="BX89" s="1471"/>
      <c r="BY89" s="1471"/>
      <c r="BZ89" s="1472"/>
      <c r="CA89" s="2047" t="s">
        <v>271</v>
      </c>
      <c r="CB89" s="2048"/>
      <c r="CC89" s="2049"/>
      <c r="CD89" s="2049"/>
      <c r="CE89" s="2049"/>
      <c r="CF89" s="2049"/>
      <c r="CG89" s="2049"/>
      <c r="CH89" s="2049"/>
      <c r="CI89" s="2049"/>
      <c r="CJ89" s="2049"/>
      <c r="CK89" s="2049"/>
      <c r="CL89" s="2049"/>
      <c r="CM89" s="2049"/>
      <c r="CN89" s="2049"/>
      <c r="CO89" s="2049"/>
      <c r="CP89" s="2050"/>
      <c r="CQ89" s="1447"/>
      <c r="CR89" s="1448"/>
      <c r="CS89" s="792"/>
      <c r="CT89" s="1405"/>
      <c r="CU89" s="1406"/>
      <c r="CV89" s="1406"/>
      <c r="CW89" s="1406"/>
      <c r="CX89" s="1406"/>
      <c r="CY89" s="1406"/>
      <c r="CZ89" s="1406"/>
      <c r="DA89" s="1406"/>
      <c r="DB89" s="1406"/>
      <c r="DC89" s="1406"/>
      <c r="DD89" s="1406"/>
      <c r="DE89" s="1406"/>
      <c r="DF89" s="1406"/>
      <c r="DG89" s="1406"/>
      <c r="DH89" s="1406"/>
      <c r="DI89" s="1406"/>
      <c r="DJ89" s="1406"/>
      <c r="DK89" s="1406"/>
      <c r="DL89" s="1406"/>
      <c r="DM89" s="1406"/>
      <c r="DN89" s="1406"/>
      <c r="DO89" s="1406"/>
      <c r="DP89" s="1406"/>
      <c r="DQ89" s="1407"/>
    </row>
    <row r="90" spans="2:121" ht="16.5" outlineLevel="2">
      <c r="B90" s="1138"/>
      <c r="C90" s="1139" t="s">
        <v>56</v>
      </c>
      <c r="D90" s="1140"/>
      <c r="E90" s="1138"/>
      <c r="F90" s="1141" t="s">
        <v>56</v>
      </c>
      <c r="G90" s="1140"/>
      <c r="H90" s="1138"/>
      <c r="I90" s="1139" t="s">
        <v>56</v>
      </c>
      <c r="J90" s="1140"/>
      <c r="K90" s="1138"/>
      <c r="L90" s="1141" t="s">
        <v>56</v>
      </c>
      <c r="M90" s="1140"/>
      <c r="N90" s="1138"/>
      <c r="O90" s="1139" t="s">
        <v>56</v>
      </c>
      <c r="P90" s="1140"/>
      <c r="Q90" s="1138"/>
      <c r="R90" s="1141" t="s">
        <v>56</v>
      </c>
      <c r="S90" s="1140"/>
      <c r="T90" s="1138"/>
      <c r="U90" s="1139" t="s">
        <v>56</v>
      </c>
      <c r="V90" s="1140"/>
      <c r="W90" s="1138"/>
      <c r="X90" s="1141" t="s">
        <v>56</v>
      </c>
      <c r="Y90" s="1140"/>
      <c r="Z90" s="1138"/>
      <c r="AA90" s="1139" t="s">
        <v>56</v>
      </c>
      <c r="AB90" s="1140"/>
      <c r="AC90" s="1138"/>
      <c r="AD90" s="1141" t="s">
        <v>56</v>
      </c>
      <c r="AE90" s="1140"/>
      <c r="AF90" s="1138"/>
      <c r="AG90" s="1139" t="s">
        <v>56</v>
      </c>
      <c r="AH90" s="1140"/>
      <c r="AI90" s="1138"/>
      <c r="AJ90" s="1141" t="s">
        <v>56</v>
      </c>
      <c r="AK90" s="1140"/>
      <c r="AL90" s="1138"/>
      <c r="AM90" s="1139" t="s">
        <v>56</v>
      </c>
      <c r="AN90" s="1140"/>
      <c r="AO90" s="1138"/>
      <c r="AP90" s="1141" t="s">
        <v>56</v>
      </c>
      <c r="AQ90" s="1142"/>
      <c r="AR90" s="1991">
        <f t="shared" si="23"/>
        <v>0</v>
      </c>
      <c r="AS90" s="1992"/>
      <c r="AT90" s="2002">
        <f t="shared" si="20"/>
        <v>5</v>
      </c>
      <c r="AU90" s="2003"/>
      <c r="AV90" s="1995" t="str">
        <f t="shared" si="18"/>
        <v>骑术</v>
      </c>
      <c r="AW90" s="1996"/>
      <c r="AX90" s="1997"/>
      <c r="AY90" s="1998">
        <f t="shared" si="19"/>
        <v>0</v>
      </c>
      <c r="AZ90" s="2029"/>
      <c r="BA90" s="1913" t="s">
        <v>272</v>
      </c>
      <c r="BB90" s="1914"/>
      <c r="BC90" s="1914"/>
      <c r="BD90" s="1914"/>
      <c r="BE90" s="1914"/>
      <c r="BF90" s="1914"/>
      <c r="BG90" s="1914"/>
      <c r="BH90" s="1914"/>
      <c r="BI90" s="1914"/>
      <c r="BJ90" s="1915"/>
      <c r="BK90" s="1916" t="s">
        <v>273</v>
      </c>
      <c r="BL90" s="1914"/>
      <c r="BM90" s="1914"/>
      <c r="BN90" s="1914"/>
      <c r="BO90" s="1915"/>
      <c r="BP90" s="1916" t="s">
        <v>274</v>
      </c>
      <c r="BQ90" s="1914"/>
      <c r="BR90" s="1915"/>
      <c r="BS90" s="1916" t="s">
        <v>275</v>
      </c>
      <c r="BT90" s="1917"/>
      <c r="BV90" s="1485" t="s">
        <v>276</v>
      </c>
      <c r="BW90" s="1486"/>
      <c r="BX90" s="1486"/>
      <c r="BY90" s="1486"/>
      <c r="BZ90" s="1486"/>
      <c r="CA90" s="2030" t="s">
        <v>277</v>
      </c>
      <c r="CB90" s="2031"/>
      <c r="CC90" s="2032"/>
      <c r="CD90" s="2032"/>
      <c r="CE90" s="2032"/>
      <c r="CF90" s="2032"/>
      <c r="CG90" s="2032"/>
      <c r="CH90" s="2032"/>
      <c r="CI90" s="2032"/>
      <c r="CJ90" s="2032"/>
      <c r="CK90" s="2032"/>
      <c r="CL90" s="2032"/>
      <c r="CM90" s="2032"/>
      <c r="CN90" s="2032"/>
      <c r="CO90" s="2032"/>
      <c r="CP90" s="2032"/>
      <c r="CQ90" s="1556" t="s">
        <v>102</v>
      </c>
      <c r="CR90" s="1557"/>
      <c r="CS90" s="792"/>
      <c r="CT90" s="1405"/>
      <c r="CU90" s="1406"/>
      <c r="CV90" s="1406"/>
      <c r="CW90" s="1406"/>
      <c r="CX90" s="1406"/>
      <c r="CY90" s="1406"/>
      <c r="CZ90" s="1406"/>
      <c r="DA90" s="1406"/>
      <c r="DB90" s="1406"/>
      <c r="DC90" s="1406"/>
      <c r="DD90" s="1406"/>
      <c r="DE90" s="1406"/>
      <c r="DF90" s="1406"/>
      <c r="DG90" s="1406"/>
      <c r="DH90" s="1406"/>
      <c r="DI90" s="1406"/>
      <c r="DJ90" s="1406"/>
      <c r="DK90" s="1406"/>
      <c r="DL90" s="1406"/>
      <c r="DM90" s="1406"/>
      <c r="DN90" s="1406"/>
      <c r="DO90" s="1406"/>
      <c r="DP90" s="1406"/>
      <c r="DQ90" s="1407"/>
    </row>
    <row r="91" spans="2:121" ht="16.5" outlineLevel="2">
      <c r="B91" s="1133"/>
      <c r="C91" s="1134" t="s">
        <v>56</v>
      </c>
      <c r="D91" s="1135"/>
      <c r="E91" s="1133"/>
      <c r="F91" s="1136" t="s">
        <v>56</v>
      </c>
      <c r="G91" s="1135"/>
      <c r="H91" s="1133"/>
      <c r="I91" s="1134" t="s">
        <v>56</v>
      </c>
      <c r="J91" s="1135"/>
      <c r="K91" s="1133"/>
      <c r="L91" s="1136" t="s">
        <v>56</v>
      </c>
      <c r="M91" s="1135"/>
      <c r="N91" s="1133"/>
      <c r="O91" s="1134" t="s">
        <v>56</v>
      </c>
      <c r="P91" s="1135"/>
      <c r="Q91" s="1133"/>
      <c r="R91" s="1136" t="s">
        <v>56</v>
      </c>
      <c r="S91" s="1135"/>
      <c r="T91" s="1133"/>
      <c r="U91" s="1134" t="s">
        <v>56</v>
      </c>
      <c r="V91" s="1135"/>
      <c r="W91" s="1133"/>
      <c r="X91" s="1136" t="s">
        <v>56</v>
      </c>
      <c r="Y91" s="1135"/>
      <c r="Z91" s="1133"/>
      <c r="AA91" s="1134" t="s">
        <v>56</v>
      </c>
      <c r="AB91" s="1135"/>
      <c r="AC91" s="1133"/>
      <c r="AD91" s="1136" t="s">
        <v>56</v>
      </c>
      <c r="AE91" s="1135"/>
      <c r="AF91" s="1133"/>
      <c r="AG91" s="1134" t="s">
        <v>56</v>
      </c>
      <c r="AH91" s="1135"/>
      <c r="AI91" s="1133"/>
      <c r="AJ91" s="1136" t="s">
        <v>56</v>
      </c>
      <c r="AK91" s="1135"/>
      <c r="AL91" s="1133"/>
      <c r="AM91" s="1134" t="s">
        <v>56</v>
      </c>
      <c r="AN91" s="1135"/>
      <c r="AO91" s="1133"/>
      <c r="AP91" s="1136" t="s">
        <v>56</v>
      </c>
      <c r="AQ91" s="1137"/>
      <c r="AR91" s="1991">
        <f t="shared" si="23"/>
        <v>0</v>
      </c>
      <c r="AS91" s="1992"/>
      <c r="AT91" s="1993">
        <f t="shared" si="20"/>
        <v>5</v>
      </c>
      <c r="AU91" s="1994"/>
      <c r="AV91" s="1995" t="str">
        <f t="shared" si="18"/>
        <v>动物驯养</v>
      </c>
      <c r="AW91" s="1996"/>
      <c r="AX91" s="1997"/>
      <c r="AY91" s="1998">
        <f t="shared" si="19"/>
        <v>0</v>
      </c>
      <c r="AZ91" s="2029"/>
      <c r="BA91" s="2016"/>
      <c r="BB91" s="2017"/>
      <c r="BC91" s="2017"/>
      <c r="BD91" s="2017"/>
      <c r="BE91" s="2017"/>
      <c r="BF91" s="2017"/>
      <c r="BG91" s="2017"/>
      <c r="BH91" s="2017"/>
      <c r="BI91" s="2017"/>
      <c r="BJ91" s="2018"/>
      <c r="BK91" s="2033"/>
      <c r="BL91" s="2033"/>
      <c r="BM91" s="2033"/>
      <c r="BN91" s="2033"/>
      <c r="BO91" s="2033"/>
      <c r="BP91" s="2000"/>
      <c r="BQ91" s="2000"/>
      <c r="BR91" s="2000"/>
      <c r="BS91" s="2000"/>
      <c r="BT91" s="2001"/>
      <c r="BV91" s="1487"/>
      <c r="BW91" s="1488"/>
      <c r="BX91" s="1488"/>
      <c r="BY91" s="1488"/>
      <c r="BZ91" s="1488"/>
      <c r="CA91" s="2034" t="s">
        <v>278</v>
      </c>
      <c r="CB91" s="2035"/>
      <c r="CC91" s="2036"/>
      <c r="CD91" s="2037"/>
      <c r="CE91" s="2037"/>
      <c r="CF91" s="2037"/>
      <c r="CG91" s="2037"/>
      <c r="CH91" s="2036"/>
      <c r="CI91" s="2036"/>
      <c r="CJ91" s="2036"/>
      <c r="CK91" s="2036"/>
      <c r="CL91" s="2036"/>
      <c r="CM91" s="2036"/>
      <c r="CN91" s="2036"/>
      <c r="CO91" s="2037"/>
      <c r="CP91" s="2037"/>
      <c r="CQ91" s="1558"/>
      <c r="CR91" s="1559"/>
      <c r="CS91" s="792"/>
      <c r="CT91" s="1408"/>
      <c r="CU91" s="1409"/>
      <c r="CV91" s="1409"/>
      <c r="CW91" s="1409"/>
      <c r="CX91" s="1409"/>
      <c r="CY91" s="1409"/>
      <c r="CZ91" s="1409"/>
      <c r="DA91" s="1409"/>
      <c r="DB91" s="1409"/>
      <c r="DC91" s="1409"/>
      <c r="DD91" s="1409"/>
      <c r="DE91" s="1409"/>
      <c r="DF91" s="1409"/>
      <c r="DG91" s="1409"/>
      <c r="DH91" s="1409"/>
      <c r="DI91" s="1409"/>
      <c r="DJ91" s="1409"/>
      <c r="DK91" s="1409"/>
      <c r="DL91" s="1409"/>
      <c r="DM91" s="1409"/>
      <c r="DN91" s="1409"/>
      <c r="DO91" s="1409"/>
      <c r="DP91" s="1409"/>
      <c r="DQ91" s="1410"/>
    </row>
    <row r="92" spans="2:121" ht="16.5" outlineLevel="2">
      <c r="B92" s="1138"/>
      <c r="C92" s="1139" t="s">
        <v>56</v>
      </c>
      <c r="D92" s="1140"/>
      <c r="E92" s="1138"/>
      <c r="F92" s="1141" t="s">
        <v>56</v>
      </c>
      <c r="G92" s="1140"/>
      <c r="H92" s="1138"/>
      <c r="I92" s="1139" t="s">
        <v>56</v>
      </c>
      <c r="J92" s="1140"/>
      <c r="K92" s="1138"/>
      <c r="L92" s="1141" t="s">
        <v>56</v>
      </c>
      <c r="M92" s="1140"/>
      <c r="N92" s="1138"/>
      <c r="O92" s="1139" t="s">
        <v>56</v>
      </c>
      <c r="P92" s="1140"/>
      <c r="Q92" s="1138"/>
      <c r="R92" s="1141" t="s">
        <v>56</v>
      </c>
      <c r="S92" s="1140"/>
      <c r="T92" s="1138"/>
      <c r="U92" s="1139" t="s">
        <v>56</v>
      </c>
      <c r="V92" s="1140"/>
      <c r="W92" s="1138"/>
      <c r="X92" s="1141" t="s">
        <v>56</v>
      </c>
      <c r="Y92" s="1140"/>
      <c r="Z92" s="1138"/>
      <c r="AA92" s="1139" t="s">
        <v>56</v>
      </c>
      <c r="AB92" s="1140"/>
      <c r="AC92" s="1138"/>
      <c r="AD92" s="1141" t="s">
        <v>56</v>
      </c>
      <c r="AE92" s="1140"/>
      <c r="AF92" s="1138"/>
      <c r="AG92" s="1139" t="s">
        <v>56</v>
      </c>
      <c r="AH92" s="1140"/>
      <c r="AI92" s="1138"/>
      <c r="AJ92" s="1141" t="s">
        <v>56</v>
      </c>
      <c r="AK92" s="1140"/>
      <c r="AL92" s="1138"/>
      <c r="AM92" s="1139" t="s">
        <v>56</v>
      </c>
      <c r="AN92" s="1140"/>
      <c r="AO92" s="1138"/>
      <c r="AP92" s="1141" t="s">
        <v>56</v>
      </c>
      <c r="AQ92" s="1142"/>
      <c r="AR92" s="1991">
        <f t="shared" si="23"/>
        <v>0</v>
      </c>
      <c r="AS92" s="1992"/>
      <c r="AT92" s="2002">
        <f t="shared" si="20"/>
        <v>1</v>
      </c>
      <c r="AU92" s="2003"/>
      <c r="AV92" s="1995" t="str">
        <f t="shared" si="18"/>
        <v>潜水</v>
      </c>
      <c r="AW92" s="1996"/>
      <c r="AX92" s="1997"/>
      <c r="AY92" s="1998">
        <f t="shared" si="19"/>
        <v>0</v>
      </c>
      <c r="AZ92" s="1999"/>
      <c r="BA92" s="2004"/>
      <c r="BB92" s="2005"/>
      <c r="BC92" s="2005"/>
      <c r="BD92" s="2005"/>
      <c r="BE92" s="2005"/>
      <c r="BF92" s="2005"/>
      <c r="BG92" s="2005"/>
      <c r="BH92" s="2005"/>
      <c r="BI92" s="2005"/>
      <c r="BJ92" s="2006"/>
      <c r="BK92" s="1708"/>
      <c r="BL92" s="1708"/>
      <c r="BM92" s="1708"/>
      <c r="BN92" s="1708"/>
      <c r="BO92" s="1708"/>
      <c r="BP92" s="1708"/>
      <c r="BQ92" s="1708"/>
      <c r="BR92" s="1708"/>
      <c r="BS92" s="1708"/>
      <c r="BT92" s="1709"/>
      <c r="BV92" s="1514" t="s">
        <v>279</v>
      </c>
      <c r="BW92" s="1515"/>
      <c r="BX92" s="1515"/>
      <c r="BY92" s="1515"/>
      <c r="BZ92" s="1515"/>
      <c r="CA92" s="1528"/>
      <c r="CB92" s="1528"/>
      <c r="CC92" s="1528"/>
      <c r="CD92" s="1529" t="s">
        <v>76</v>
      </c>
      <c r="CE92" s="1524"/>
      <c r="CF92" s="1531"/>
      <c r="CG92" s="1531"/>
      <c r="CH92" s="1420" t="s">
        <v>80</v>
      </c>
      <c r="CI92" s="1420"/>
      <c r="CJ92" s="1420"/>
      <c r="CK92" s="1420"/>
      <c r="CL92" s="1420"/>
      <c r="CM92" s="1420" t="s">
        <v>81</v>
      </c>
      <c r="CN92" s="1420"/>
      <c r="CO92" s="1523" t="s">
        <v>58</v>
      </c>
      <c r="CP92" s="1524"/>
      <c r="CQ92" s="1526" t="str">
        <f>IF(BF17="","时间未填",IF(CA92="","诞辰未填",BF17-CA92))</f>
        <v>时间未填</v>
      </c>
      <c r="CR92" s="1527"/>
      <c r="CS92" s="792"/>
      <c r="CT92" s="2013" t="s">
        <v>280</v>
      </c>
      <c r="CU92" s="2014"/>
      <c r="CV92" s="2014"/>
      <c r="CW92" s="2014"/>
      <c r="CX92" s="2014"/>
      <c r="CY92" s="2014"/>
      <c r="CZ92" s="2014"/>
      <c r="DA92" s="2014"/>
      <c r="DB92" s="2014"/>
      <c r="DC92" s="2014"/>
      <c r="DD92" s="2014"/>
      <c r="DE92" s="2014"/>
      <c r="DF92" s="2014"/>
      <c r="DG92" s="2014"/>
      <c r="DH92" s="2014"/>
      <c r="DI92" s="2014"/>
      <c r="DJ92" s="2014"/>
      <c r="DK92" s="2014"/>
      <c r="DL92" s="2014"/>
      <c r="DM92" s="2014"/>
      <c r="DN92" s="2014"/>
      <c r="DO92" s="2014"/>
      <c r="DP92" s="2014"/>
      <c r="DQ92" s="2015"/>
    </row>
    <row r="93" spans="2:121" ht="16.5" outlineLevel="2">
      <c r="B93" s="1133"/>
      <c r="C93" s="1134" t="s">
        <v>56</v>
      </c>
      <c r="D93" s="1135"/>
      <c r="E93" s="1133"/>
      <c r="F93" s="1136" t="s">
        <v>56</v>
      </c>
      <c r="G93" s="1135"/>
      <c r="H93" s="1133"/>
      <c r="I93" s="1134" t="s">
        <v>56</v>
      </c>
      <c r="J93" s="1135"/>
      <c r="K93" s="1133"/>
      <c r="L93" s="1136" t="s">
        <v>56</v>
      </c>
      <c r="M93" s="1135"/>
      <c r="N93" s="1133"/>
      <c r="O93" s="1134" t="s">
        <v>56</v>
      </c>
      <c r="P93" s="1135"/>
      <c r="Q93" s="1133"/>
      <c r="R93" s="1136" t="s">
        <v>56</v>
      </c>
      <c r="S93" s="1135"/>
      <c r="T93" s="1133"/>
      <c r="U93" s="1134" t="s">
        <v>56</v>
      </c>
      <c r="V93" s="1135"/>
      <c r="W93" s="1133"/>
      <c r="X93" s="1136" t="s">
        <v>56</v>
      </c>
      <c r="Y93" s="1135"/>
      <c r="Z93" s="1133"/>
      <c r="AA93" s="1134" t="s">
        <v>56</v>
      </c>
      <c r="AB93" s="1135"/>
      <c r="AC93" s="1133"/>
      <c r="AD93" s="1136" t="s">
        <v>56</v>
      </c>
      <c r="AE93" s="1135"/>
      <c r="AF93" s="1133"/>
      <c r="AG93" s="1134" t="s">
        <v>56</v>
      </c>
      <c r="AH93" s="1135"/>
      <c r="AI93" s="1133"/>
      <c r="AJ93" s="1136" t="s">
        <v>56</v>
      </c>
      <c r="AK93" s="1135"/>
      <c r="AL93" s="1133"/>
      <c r="AM93" s="1134" t="s">
        <v>56</v>
      </c>
      <c r="AN93" s="1135"/>
      <c r="AO93" s="1133"/>
      <c r="AP93" s="1136" t="s">
        <v>56</v>
      </c>
      <c r="AQ93" s="1137"/>
      <c r="AR93" s="1991">
        <f t="shared" si="23"/>
        <v>0</v>
      </c>
      <c r="AS93" s="1992"/>
      <c r="AT93" s="1993">
        <f t="shared" si="20"/>
        <v>1</v>
      </c>
      <c r="AU93" s="1994"/>
      <c r="AV93" s="1995" t="str">
        <f t="shared" si="18"/>
        <v>读唇</v>
      </c>
      <c r="AW93" s="1996"/>
      <c r="AX93" s="1997"/>
      <c r="AY93" s="1998">
        <f t="shared" si="19"/>
        <v>0</v>
      </c>
      <c r="AZ93" s="1999"/>
      <c r="BA93" s="2016"/>
      <c r="BB93" s="2017"/>
      <c r="BC93" s="2017"/>
      <c r="BD93" s="2017"/>
      <c r="BE93" s="2017"/>
      <c r="BF93" s="2017"/>
      <c r="BG93" s="2017"/>
      <c r="BH93" s="2017"/>
      <c r="BI93" s="2017"/>
      <c r="BJ93" s="2018"/>
      <c r="BK93" s="2000"/>
      <c r="BL93" s="2000"/>
      <c r="BM93" s="2000"/>
      <c r="BN93" s="2000"/>
      <c r="BO93" s="2000"/>
      <c r="BP93" s="2000"/>
      <c r="BQ93" s="2000"/>
      <c r="BR93" s="2000"/>
      <c r="BS93" s="1722"/>
      <c r="BT93" s="1723"/>
      <c r="BV93" s="1514"/>
      <c r="BW93" s="1515"/>
      <c r="BX93" s="1515"/>
      <c r="BY93" s="1515"/>
      <c r="BZ93" s="1515"/>
      <c r="CA93" s="1488"/>
      <c r="CB93" s="1488"/>
      <c r="CC93" s="1488"/>
      <c r="CD93" s="1530"/>
      <c r="CE93" s="1525"/>
      <c r="CF93" s="1532"/>
      <c r="CG93" s="1532"/>
      <c r="CH93" s="1522"/>
      <c r="CI93" s="1522"/>
      <c r="CJ93" s="1522"/>
      <c r="CK93" s="1522"/>
      <c r="CL93" s="1522"/>
      <c r="CM93" s="1522"/>
      <c r="CN93" s="1522"/>
      <c r="CO93" s="1522"/>
      <c r="CP93" s="1525"/>
      <c r="CQ93" s="1526"/>
      <c r="CR93" s="1527"/>
      <c r="CS93" s="792"/>
      <c r="CT93" s="2019" t="s">
        <v>281</v>
      </c>
      <c r="CU93" s="2020"/>
      <c r="CV93" s="2020"/>
      <c r="CW93" s="2020"/>
      <c r="CX93" s="2021"/>
      <c r="CY93" s="2022" t="s">
        <v>282</v>
      </c>
      <c r="CZ93" s="2023"/>
      <c r="DA93" s="2023"/>
      <c r="DB93" s="2023"/>
      <c r="DC93" s="2023"/>
      <c r="DD93" s="2023"/>
      <c r="DE93" s="2024"/>
      <c r="DF93" s="2025" t="str">
        <f>IF(CY93=附表!AT29,"要搜索的年份：","当前年份"&amp;BF17&amp;"年")</f>
        <v>当前年份年</v>
      </c>
      <c r="DG93" s="2020"/>
      <c r="DH93" s="2020"/>
      <c r="DI93" s="2020"/>
      <c r="DJ93" s="2021"/>
      <c r="DK93" s="2026">
        <v>1924</v>
      </c>
      <c r="DL93" s="2027"/>
      <c r="DM93" s="2027"/>
      <c r="DN93" s="2027"/>
      <c r="DO93" s="2027"/>
      <c r="DP93" s="2027"/>
      <c r="DQ93" s="2028"/>
    </row>
    <row r="94" spans="2:121" ht="16.5" outlineLevel="2">
      <c r="B94" s="1138"/>
      <c r="C94" s="1139" t="s">
        <v>56</v>
      </c>
      <c r="D94" s="1140"/>
      <c r="E94" s="1138"/>
      <c r="F94" s="1141" t="s">
        <v>56</v>
      </c>
      <c r="G94" s="1140"/>
      <c r="H94" s="1138"/>
      <c r="I94" s="1139" t="s">
        <v>56</v>
      </c>
      <c r="J94" s="1140"/>
      <c r="K94" s="1138"/>
      <c r="L94" s="1141" t="s">
        <v>56</v>
      </c>
      <c r="M94" s="1140"/>
      <c r="N94" s="1138"/>
      <c r="O94" s="1139" t="s">
        <v>56</v>
      </c>
      <c r="P94" s="1140"/>
      <c r="Q94" s="1138"/>
      <c r="R94" s="1141" t="s">
        <v>56</v>
      </c>
      <c r="S94" s="1140"/>
      <c r="T94" s="1138"/>
      <c r="U94" s="1139" t="s">
        <v>56</v>
      </c>
      <c r="V94" s="1140"/>
      <c r="W94" s="1138"/>
      <c r="X94" s="1141" t="s">
        <v>56</v>
      </c>
      <c r="Y94" s="1140"/>
      <c r="Z94" s="1138"/>
      <c r="AA94" s="1139" t="s">
        <v>56</v>
      </c>
      <c r="AB94" s="1140"/>
      <c r="AC94" s="1138"/>
      <c r="AD94" s="1141" t="s">
        <v>56</v>
      </c>
      <c r="AE94" s="1140"/>
      <c r="AF94" s="1138"/>
      <c r="AG94" s="1139" t="s">
        <v>56</v>
      </c>
      <c r="AH94" s="1140"/>
      <c r="AI94" s="1138"/>
      <c r="AJ94" s="1141" t="s">
        <v>56</v>
      </c>
      <c r="AK94" s="1140"/>
      <c r="AL94" s="1138"/>
      <c r="AM94" s="1139" t="s">
        <v>56</v>
      </c>
      <c r="AN94" s="1140"/>
      <c r="AO94" s="1138"/>
      <c r="AP94" s="1141" t="s">
        <v>56</v>
      </c>
      <c r="AQ94" s="1142"/>
      <c r="AR94" s="1991">
        <f t="shared" si="23"/>
        <v>0</v>
      </c>
      <c r="AS94" s="1992"/>
      <c r="AT94" s="2002">
        <f t="shared" si="20"/>
        <v>1</v>
      </c>
      <c r="AU94" s="2003"/>
      <c r="AV94" s="1995" t="str">
        <f t="shared" si="18"/>
        <v>催眠</v>
      </c>
      <c r="AW94" s="1996"/>
      <c r="AX94" s="1997"/>
      <c r="AY94" s="1998">
        <f t="shared" si="19"/>
        <v>0</v>
      </c>
      <c r="AZ94" s="1999"/>
      <c r="BA94" s="2004"/>
      <c r="BB94" s="2005"/>
      <c r="BC94" s="2005"/>
      <c r="BD94" s="2005"/>
      <c r="BE94" s="2005"/>
      <c r="BF94" s="2005"/>
      <c r="BG94" s="2005"/>
      <c r="BH94" s="2005"/>
      <c r="BI94" s="2005"/>
      <c r="BJ94" s="2006"/>
      <c r="BK94" s="1708"/>
      <c r="BL94" s="1708"/>
      <c r="BM94" s="1708"/>
      <c r="BN94" s="1708"/>
      <c r="BO94" s="1708"/>
      <c r="BP94" s="1708"/>
      <c r="BQ94" s="1708"/>
      <c r="BR94" s="1708"/>
      <c r="BS94" s="1708"/>
      <c r="BT94" s="1709"/>
      <c r="BV94" s="1516"/>
      <c r="BW94" s="1517"/>
      <c r="BX94" s="1517"/>
      <c r="BY94" s="1517"/>
      <c r="BZ94" s="1517"/>
      <c r="CA94" s="1517"/>
      <c r="CB94" s="1517"/>
      <c r="CC94" s="1517"/>
      <c r="CD94" s="1517"/>
      <c r="CE94" s="1517"/>
      <c r="CF94" s="1517"/>
      <c r="CG94" s="1517"/>
      <c r="CH94" s="1517"/>
      <c r="CI94" s="1517"/>
      <c r="CJ94" s="1517"/>
      <c r="CK94" s="1517"/>
      <c r="CL94" s="1517"/>
      <c r="CM94" s="1517"/>
      <c r="CN94" s="1517"/>
      <c r="CO94" s="1517"/>
      <c r="CP94" s="1517"/>
      <c r="CQ94" s="1517"/>
      <c r="CR94" s="1518"/>
      <c r="CS94" s="792"/>
      <c r="CT94" s="1411" t="e">
        <f>附表!BA14</f>
        <v>#N/A</v>
      </c>
      <c r="CU94" s="1412"/>
      <c r="CV94" s="1412"/>
      <c r="CW94" s="1412"/>
      <c r="CX94" s="1412"/>
      <c r="CY94" s="1412"/>
      <c r="CZ94" s="1412"/>
      <c r="DA94" s="1412"/>
      <c r="DB94" s="1412"/>
      <c r="DC94" s="1412"/>
      <c r="DD94" s="1412"/>
      <c r="DE94" s="1412"/>
      <c r="DF94" s="1412"/>
      <c r="DG94" s="1412"/>
      <c r="DH94" s="1412"/>
      <c r="DI94" s="1412"/>
      <c r="DJ94" s="1412"/>
      <c r="DK94" s="1412"/>
      <c r="DL94" s="1412"/>
      <c r="DM94" s="1412"/>
      <c r="DN94" s="1412"/>
      <c r="DO94" s="1412"/>
      <c r="DP94" s="1412"/>
      <c r="DQ94" s="1413"/>
    </row>
    <row r="95" spans="2:121" ht="16.5" outlineLevel="2">
      <c r="B95" s="1133"/>
      <c r="C95" s="1134" t="s">
        <v>56</v>
      </c>
      <c r="D95" s="1135"/>
      <c r="E95" s="1133"/>
      <c r="F95" s="1136" t="s">
        <v>56</v>
      </c>
      <c r="G95" s="1135"/>
      <c r="H95" s="1133"/>
      <c r="I95" s="1134" t="s">
        <v>56</v>
      </c>
      <c r="J95" s="1135"/>
      <c r="K95" s="1133"/>
      <c r="L95" s="1136" t="s">
        <v>56</v>
      </c>
      <c r="M95" s="1135"/>
      <c r="N95" s="1133"/>
      <c r="O95" s="1134" t="s">
        <v>56</v>
      </c>
      <c r="P95" s="1135"/>
      <c r="Q95" s="1133"/>
      <c r="R95" s="1136" t="s">
        <v>56</v>
      </c>
      <c r="S95" s="1135"/>
      <c r="T95" s="1133"/>
      <c r="U95" s="1134" t="s">
        <v>56</v>
      </c>
      <c r="V95" s="1135"/>
      <c r="W95" s="1133"/>
      <c r="X95" s="1136" t="s">
        <v>56</v>
      </c>
      <c r="Y95" s="1135"/>
      <c r="Z95" s="1133"/>
      <c r="AA95" s="1134" t="s">
        <v>56</v>
      </c>
      <c r="AB95" s="1135"/>
      <c r="AC95" s="1133"/>
      <c r="AD95" s="1136" t="s">
        <v>56</v>
      </c>
      <c r="AE95" s="1135"/>
      <c r="AF95" s="1133"/>
      <c r="AG95" s="1134" t="s">
        <v>56</v>
      </c>
      <c r="AH95" s="1135"/>
      <c r="AI95" s="1133"/>
      <c r="AJ95" s="1136" t="s">
        <v>56</v>
      </c>
      <c r="AK95" s="1135"/>
      <c r="AL95" s="1133"/>
      <c r="AM95" s="1134" t="s">
        <v>56</v>
      </c>
      <c r="AN95" s="1135"/>
      <c r="AO95" s="1133"/>
      <c r="AP95" s="1136" t="s">
        <v>56</v>
      </c>
      <c r="AQ95" s="1137"/>
      <c r="AR95" s="1991">
        <f t="shared" si="23"/>
        <v>0</v>
      </c>
      <c r="AS95" s="1992"/>
      <c r="AT95" s="1993">
        <f t="shared" si="20"/>
        <v>1</v>
      </c>
      <c r="AU95" s="1994"/>
      <c r="AV95" s="1995" t="str">
        <f>IF(CD55=0,"自定义:","自:"&amp;CD55)</f>
        <v>自定义:</v>
      </c>
      <c r="AW95" s="1996"/>
      <c r="AX95" s="1997"/>
      <c r="AY95" s="1998">
        <f t="shared" si="19"/>
        <v>0</v>
      </c>
      <c r="AZ95" s="1999"/>
      <c r="BA95" s="2007"/>
      <c r="BB95" s="2008"/>
      <c r="BC95" s="2008"/>
      <c r="BD95" s="2008"/>
      <c r="BE95" s="2008"/>
      <c r="BF95" s="2008"/>
      <c r="BG95" s="2008"/>
      <c r="BH95" s="2008"/>
      <c r="BI95" s="2008"/>
      <c r="BJ95" s="2009"/>
      <c r="BK95" s="1924"/>
      <c r="BL95" s="1924"/>
      <c r="BM95" s="1924"/>
      <c r="BN95" s="1924"/>
      <c r="BO95" s="1924"/>
      <c r="BP95" s="1924"/>
      <c r="BQ95" s="1924"/>
      <c r="BR95" s="1924"/>
      <c r="BS95" s="1924"/>
      <c r="BT95" s="1925"/>
      <c r="BV95" s="1516"/>
      <c r="BW95" s="1517"/>
      <c r="BX95" s="1517"/>
      <c r="BY95" s="1517"/>
      <c r="BZ95" s="1517"/>
      <c r="CA95" s="1517"/>
      <c r="CB95" s="1517"/>
      <c r="CC95" s="1517"/>
      <c r="CD95" s="1517"/>
      <c r="CE95" s="1517"/>
      <c r="CF95" s="1517"/>
      <c r="CG95" s="1517"/>
      <c r="CH95" s="1517"/>
      <c r="CI95" s="1517"/>
      <c r="CJ95" s="1517"/>
      <c r="CK95" s="1517"/>
      <c r="CL95" s="1517"/>
      <c r="CM95" s="1517"/>
      <c r="CN95" s="1517"/>
      <c r="CO95" s="1517"/>
      <c r="CP95" s="1517"/>
      <c r="CQ95" s="1517"/>
      <c r="CR95" s="1518"/>
      <c r="CS95" s="792"/>
      <c r="CT95" s="1414"/>
      <c r="CU95" s="1415"/>
      <c r="CV95" s="1415"/>
      <c r="CW95" s="1415"/>
      <c r="CX95" s="1415"/>
      <c r="CY95" s="1415"/>
      <c r="CZ95" s="1415"/>
      <c r="DA95" s="1415"/>
      <c r="DB95" s="1415"/>
      <c r="DC95" s="1415"/>
      <c r="DD95" s="1415"/>
      <c r="DE95" s="1415"/>
      <c r="DF95" s="1415"/>
      <c r="DG95" s="1415"/>
      <c r="DH95" s="1415"/>
      <c r="DI95" s="1415"/>
      <c r="DJ95" s="1415"/>
      <c r="DK95" s="1415"/>
      <c r="DL95" s="1415"/>
      <c r="DM95" s="1415"/>
      <c r="DN95" s="1415"/>
      <c r="DO95" s="1415"/>
      <c r="DP95" s="1415"/>
      <c r="DQ95" s="1416"/>
    </row>
    <row r="96" spans="2:121" ht="16.5" outlineLevel="2">
      <c r="B96" s="1138"/>
      <c r="C96" s="1139" t="s">
        <v>56</v>
      </c>
      <c r="D96" s="1140"/>
      <c r="E96" s="1138"/>
      <c r="F96" s="1141" t="s">
        <v>56</v>
      </c>
      <c r="G96" s="1140"/>
      <c r="H96" s="1138"/>
      <c r="I96" s="1139" t="s">
        <v>56</v>
      </c>
      <c r="J96" s="1140"/>
      <c r="K96" s="1138"/>
      <c r="L96" s="1141" t="s">
        <v>56</v>
      </c>
      <c r="M96" s="1140"/>
      <c r="N96" s="1138"/>
      <c r="O96" s="1139" t="s">
        <v>56</v>
      </c>
      <c r="P96" s="1140"/>
      <c r="Q96" s="1138"/>
      <c r="R96" s="1141" t="s">
        <v>56</v>
      </c>
      <c r="S96" s="1140"/>
      <c r="T96" s="1138"/>
      <c r="U96" s="1139" t="s">
        <v>56</v>
      </c>
      <c r="V96" s="1140"/>
      <c r="W96" s="1138"/>
      <c r="X96" s="1141" t="s">
        <v>56</v>
      </c>
      <c r="Y96" s="1140"/>
      <c r="Z96" s="1138"/>
      <c r="AA96" s="1139" t="s">
        <v>56</v>
      </c>
      <c r="AB96" s="1140"/>
      <c r="AC96" s="1138"/>
      <c r="AD96" s="1141" t="s">
        <v>56</v>
      </c>
      <c r="AE96" s="1140"/>
      <c r="AF96" s="1138"/>
      <c r="AG96" s="1139" t="s">
        <v>56</v>
      </c>
      <c r="AH96" s="1140"/>
      <c r="AI96" s="1138"/>
      <c r="AJ96" s="1141" t="s">
        <v>56</v>
      </c>
      <c r="AK96" s="1140"/>
      <c r="AL96" s="1138"/>
      <c r="AM96" s="1139" t="s">
        <v>56</v>
      </c>
      <c r="AN96" s="1140"/>
      <c r="AO96" s="1138"/>
      <c r="AP96" s="1141" t="s">
        <v>56</v>
      </c>
      <c r="AQ96" s="1142"/>
      <c r="AR96" s="1991">
        <f t="shared" si="23"/>
        <v>0</v>
      </c>
      <c r="AS96" s="1992"/>
      <c r="AT96" s="2002">
        <f t="shared" si="20"/>
        <v>1</v>
      </c>
      <c r="AU96" s="2003"/>
      <c r="AV96" s="1995" t="str">
        <f>IF(CD56=0,"自定义:","自:"&amp;CD56)</f>
        <v>自定义:</v>
      </c>
      <c r="AW96" s="1996"/>
      <c r="AX96" s="1997"/>
      <c r="AY96" s="1998">
        <f t="shared" si="19"/>
        <v>0</v>
      </c>
      <c r="AZ96" s="1999"/>
      <c r="BA96" s="2010" t="str">
        <f>附表!O70</f>
        <v>手无寸铁！</v>
      </c>
      <c r="BB96" s="2011"/>
      <c r="BC96" s="2011"/>
      <c r="BD96" s="2011"/>
      <c r="BE96" s="2011"/>
      <c r="BF96" s="2011"/>
      <c r="BG96" s="2011"/>
      <c r="BH96" s="2011"/>
      <c r="BI96" s="2011"/>
      <c r="BJ96" s="2011"/>
      <c r="BK96" s="2011" t="str">
        <f>附表!K89</f>
        <v>没携带弹药？或许是不需要</v>
      </c>
      <c r="BL96" s="2011"/>
      <c r="BM96" s="2011"/>
      <c r="BN96" s="2011"/>
      <c r="BO96" s="2011"/>
      <c r="BP96" s="2011"/>
      <c r="BQ96" s="2011"/>
      <c r="BR96" s="2011"/>
      <c r="BS96" s="2011"/>
      <c r="BT96" s="2012"/>
      <c r="BV96" s="1516"/>
      <c r="BW96" s="1517"/>
      <c r="BX96" s="1517"/>
      <c r="BY96" s="1517"/>
      <c r="BZ96" s="1517"/>
      <c r="CA96" s="1517"/>
      <c r="CB96" s="1517"/>
      <c r="CC96" s="1517"/>
      <c r="CD96" s="1517"/>
      <c r="CE96" s="1517"/>
      <c r="CF96" s="1517"/>
      <c r="CG96" s="1517"/>
      <c r="CH96" s="1517"/>
      <c r="CI96" s="1517"/>
      <c r="CJ96" s="1517"/>
      <c r="CK96" s="1517"/>
      <c r="CL96" s="1517"/>
      <c r="CM96" s="1517"/>
      <c r="CN96" s="1517"/>
      <c r="CO96" s="1517"/>
      <c r="CP96" s="1517"/>
      <c r="CQ96" s="1517"/>
      <c r="CR96" s="1518"/>
      <c r="CS96" s="792"/>
      <c r="CT96" s="1414"/>
      <c r="CU96" s="1415"/>
      <c r="CV96" s="1415"/>
      <c r="CW96" s="1415"/>
      <c r="CX96" s="1415"/>
      <c r="CY96" s="1415"/>
      <c r="CZ96" s="1415"/>
      <c r="DA96" s="1415"/>
      <c r="DB96" s="1415"/>
      <c r="DC96" s="1415"/>
      <c r="DD96" s="1415"/>
      <c r="DE96" s="1415"/>
      <c r="DF96" s="1415"/>
      <c r="DG96" s="1415"/>
      <c r="DH96" s="1415"/>
      <c r="DI96" s="1415"/>
      <c r="DJ96" s="1415"/>
      <c r="DK96" s="1415"/>
      <c r="DL96" s="1415"/>
      <c r="DM96" s="1415"/>
      <c r="DN96" s="1415"/>
      <c r="DO96" s="1415"/>
      <c r="DP96" s="1415"/>
      <c r="DQ96" s="1416"/>
    </row>
    <row r="97" spans="2:121" ht="16.5" outlineLevel="2">
      <c r="B97" s="1133"/>
      <c r="C97" s="1134" t="s">
        <v>56</v>
      </c>
      <c r="D97" s="1135"/>
      <c r="E97" s="1133"/>
      <c r="F97" s="1136" t="s">
        <v>56</v>
      </c>
      <c r="G97" s="1135"/>
      <c r="H97" s="1133"/>
      <c r="I97" s="1134" t="s">
        <v>56</v>
      </c>
      <c r="J97" s="1135"/>
      <c r="K97" s="1133"/>
      <c r="L97" s="1136" t="s">
        <v>56</v>
      </c>
      <c r="M97" s="1135"/>
      <c r="N97" s="1133"/>
      <c r="O97" s="1134" t="s">
        <v>56</v>
      </c>
      <c r="P97" s="1135"/>
      <c r="Q97" s="1133"/>
      <c r="R97" s="1136" t="s">
        <v>56</v>
      </c>
      <c r="S97" s="1135"/>
      <c r="T97" s="1133"/>
      <c r="U97" s="1134" t="s">
        <v>56</v>
      </c>
      <c r="V97" s="1135"/>
      <c r="W97" s="1133"/>
      <c r="X97" s="1136" t="s">
        <v>56</v>
      </c>
      <c r="Y97" s="1135"/>
      <c r="Z97" s="1133"/>
      <c r="AA97" s="1134" t="s">
        <v>56</v>
      </c>
      <c r="AB97" s="1135"/>
      <c r="AC97" s="1133"/>
      <c r="AD97" s="1136" t="s">
        <v>56</v>
      </c>
      <c r="AE97" s="1135"/>
      <c r="AF97" s="1133"/>
      <c r="AG97" s="1134" t="s">
        <v>56</v>
      </c>
      <c r="AH97" s="1135"/>
      <c r="AI97" s="1133"/>
      <c r="AJ97" s="1136" t="s">
        <v>56</v>
      </c>
      <c r="AK97" s="1135"/>
      <c r="AL97" s="1133"/>
      <c r="AM97" s="1134" t="s">
        <v>56</v>
      </c>
      <c r="AN97" s="1135"/>
      <c r="AO97" s="1133"/>
      <c r="AP97" s="1136" t="s">
        <v>56</v>
      </c>
      <c r="AQ97" s="1137"/>
      <c r="AR97" s="1991">
        <f t="shared" si="23"/>
        <v>0</v>
      </c>
      <c r="AS97" s="1992"/>
      <c r="AT97" s="1993">
        <f t="shared" si="20"/>
        <v>1</v>
      </c>
      <c r="AU97" s="1994"/>
      <c r="AV97" s="1995" t="str">
        <f t="shared" si="18"/>
        <v>炮术</v>
      </c>
      <c r="AW97" s="1996"/>
      <c r="AX97" s="1997"/>
      <c r="AY97" s="1998">
        <f t="shared" si="19"/>
        <v>0</v>
      </c>
      <c r="AZ97" s="1999"/>
      <c r="BA97" s="1740" t="s">
        <v>283</v>
      </c>
      <c r="BB97" s="1741"/>
      <c r="BC97" s="1741"/>
      <c r="BD97" s="1741"/>
      <c r="BE97" s="1741"/>
      <c r="BF97" s="1741"/>
      <c r="BG97" s="1741"/>
      <c r="BH97" s="1741"/>
      <c r="BI97" s="1741"/>
      <c r="BJ97" s="1741"/>
      <c r="BK97" s="1741"/>
      <c r="BL97" s="1741"/>
      <c r="BM97" s="1741"/>
      <c r="BN97" s="1741"/>
      <c r="BO97" s="1741"/>
      <c r="BP97" s="1741"/>
      <c r="BQ97" s="1741"/>
      <c r="BR97" s="1741"/>
      <c r="BS97" s="1741"/>
      <c r="BT97" s="1742"/>
      <c r="BV97" s="1516"/>
      <c r="BW97" s="1517"/>
      <c r="BX97" s="1517"/>
      <c r="BY97" s="1517"/>
      <c r="BZ97" s="1517"/>
      <c r="CA97" s="1517"/>
      <c r="CB97" s="1517"/>
      <c r="CC97" s="1517"/>
      <c r="CD97" s="1517"/>
      <c r="CE97" s="1517"/>
      <c r="CF97" s="1517"/>
      <c r="CG97" s="1517"/>
      <c r="CH97" s="1517"/>
      <c r="CI97" s="1517"/>
      <c r="CJ97" s="1517"/>
      <c r="CK97" s="1517"/>
      <c r="CL97" s="1517"/>
      <c r="CM97" s="1517"/>
      <c r="CN97" s="1517"/>
      <c r="CO97" s="1517"/>
      <c r="CP97" s="1517"/>
      <c r="CQ97" s="1517"/>
      <c r="CR97" s="1518"/>
      <c r="CS97" s="792"/>
      <c r="CT97" s="1414"/>
      <c r="CU97" s="1415"/>
      <c r="CV97" s="1415"/>
      <c r="CW97" s="1415"/>
      <c r="CX97" s="1415"/>
      <c r="CY97" s="1415"/>
      <c r="CZ97" s="1415"/>
      <c r="DA97" s="1415"/>
      <c r="DB97" s="1415"/>
      <c r="DC97" s="1415"/>
      <c r="DD97" s="1415"/>
      <c r="DE97" s="1415"/>
      <c r="DF97" s="1415"/>
      <c r="DG97" s="1415"/>
      <c r="DH97" s="1415"/>
      <c r="DI97" s="1415"/>
      <c r="DJ97" s="1415"/>
      <c r="DK97" s="1415"/>
      <c r="DL97" s="1415"/>
      <c r="DM97" s="1415"/>
      <c r="DN97" s="1415"/>
      <c r="DO97" s="1415"/>
      <c r="DP97" s="1415"/>
      <c r="DQ97" s="1416"/>
    </row>
    <row r="98" spans="2:121" ht="16.5" outlineLevel="2">
      <c r="B98" s="1228"/>
      <c r="C98" s="1229" t="s">
        <v>56</v>
      </c>
      <c r="D98" s="1230"/>
      <c r="E98" s="1228"/>
      <c r="F98" s="1231" t="s">
        <v>56</v>
      </c>
      <c r="G98" s="1230"/>
      <c r="H98" s="1228"/>
      <c r="I98" s="1229" t="s">
        <v>56</v>
      </c>
      <c r="J98" s="1230"/>
      <c r="K98" s="1228"/>
      <c r="L98" s="1231" t="s">
        <v>56</v>
      </c>
      <c r="M98" s="1230"/>
      <c r="N98" s="1228"/>
      <c r="O98" s="1229" t="s">
        <v>56</v>
      </c>
      <c r="P98" s="1230"/>
      <c r="Q98" s="1228"/>
      <c r="R98" s="1231" t="s">
        <v>56</v>
      </c>
      <c r="S98" s="1230"/>
      <c r="T98" s="1228"/>
      <c r="U98" s="1229" t="s">
        <v>56</v>
      </c>
      <c r="V98" s="1230"/>
      <c r="W98" s="1228"/>
      <c r="X98" s="1231" t="s">
        <v>56</v>
      </c>
      <c r="Y98" s="1230"/>
      <c r="Z98" s="1228"/>
      <c r="AA98" s="1229" t="s">
        <v>56</v>
      </c>
      <c r="AB98" s="1230"/>
      <c r="AC98" s="1228"/>
      <c r="AD98" s="1231" t="s">
        <v>56</v>
      </c>
      <c r="AE98" s="1230"/>
      <c r="AF98" s="1228"/>
      <c r="AG98" s="1229" t="s">
        <v>56</v>
      </c>
      <c r="AH98" s="1230"/>
      <c r="AI98" s="1228"/>
      <c r="AJ98" s="1231" t="s">
        <v>56</v>
      </c>
      <c r="AK98" s="1230"/>
      <c r="AL98" s="1228"/>
      <c r="AM98" s="1229" t="s">
        <v>56</v>
      </c>
      <c r="AN98" s="1230"/>
      <c r="AO98" s="1228"/>
      <c r="AP98" s="1231" t="s">
        <v>56</v>
      </c>
      <c r="AQ98" s="1232"/>
      <c r="AR98" s="1973">
        <f t="shared" si="23"/>
        <v>0</v>
      </c>
      <c r="AS98" s="1974"/>
      <c r="AT98" s="1975">
        <f t="shared" si="20"/>
        <v>20</v>
      </c>
      <c r="AU98" s="1976"/>
      <c r="AV98" s="1977" t="str">
        <f t="shared" si="18"/>
        <v>投掷</v>
      </c>
      <c r="AW98" s="1978"/>
      <c r="AX98" s="1979"/>
      <c r="AY98" s="1980">
        <f t="shared" si="19"/>
        <v>0</v>
      </c>
      <c r="AZ98" s="1981"/>
      <c r="BA98" s="1747" t="s">
        <v>284</v>
      </c>
      <c r="BB98" s="1748"/>
      <c r="BC98" s="1748" t="s">
        <v>285</v>
      </c>
      <c r="BD98" s="1748"/>
      <c r="BE98" s="1749" t="s">
        <v>286</v>
      </c>
      <c r="BF98" s="1750"/>
      <c r="BG98" s="1750"/>
      <c r="BH98" s="1750"/>
      <c r="BI98" s="1750"/>
      <c r="BJ98" s="1751"/>
      <c r="BK98" s="1749" t="s">
        <v>275</v>
      </c>
      <c r="BL98" s="1751"/>
      <c r="BM98" s="1750" t="s">
        <v>287</v>
      </c>
      <c r="BN98" s="1750"/>
      <c r="BO98" s="1750"/>
      <c r="BP98" s="1750"/>
      <c r="BQ98" s="1750"/>
      <c r="BR98" s="1751"/>
      <c r="BS98" s="1749" t="s">
        <v>275</v>
      </c>
      <c r="BT98" s="1752"/>
      <c r="BV98" s="1516"/>
      <c r="BW98" s="1517"/>
      <c r="BX98" s="1517"/>
      <c r="BY98" s="1517"/>
      <c r="BZ98" s="1517"/>
      <c r="CA98" s="1517"/>
      <c r="CB98" s="1517"/>
      <c r="CC98" s="1517"/>
      <c r="CD98" s="1517"/>
      <c r="CE98" s="1517"/>
      <c r="CF98" s="1517"/>
      <c r="CG98" s="1517"/>
      <c r="CH98" s="1517"/>
      <c r="CI98" s="1517"/>
      <c r="CJ98" s="1517"/>
      <c r="CK98" s="1517"/>
      <c r="CL98" s="1517"/>
      <c r="CM98" s="1517"/>
      <c r="CN98" s="1517"/>
      <c r="CO98" s="1517"/>
      <c r="CP98" s="1517"/>
      <c r="CQ98" s="1517"/>
      <c r="CR98" s="1518"/>
      <c r="CS98" s="792"/>
      <c r="CT98" s="1414"/>
      <c r="CU98" s="1415"/>
      <c r="CV98" s="1415"/>
      <c r="CW98" s="1415"/>
      <c r="CX98" s="1415"/>
      <c r="CY98" s="1415"/>
      <c r="CZ98" s="1415"/>
      <c r="DA98" s="1415"/>
      <c r="DB98" s="1415"/>
      <c r="DC98" s="1415"/>
      <c r="DD98" s="1415"/>
      <c r="DE98" s="1415"/>
      <c r="DF98" s="1415"/>
      <c r="DG98" s="1415"/>
      <c r="DH98" s="1415"/>
      <c r="DI98" s="1415"/>
      <c r="DJ98" s="1415"/>
      <c r="DK98" s="1415"/>
      <c r="DL98" s="1415"/>
      <c r="DM98" s="1415"/>
      <c r="DN98" s="1415"/>
      <c r="DO98" s="1415"/>
      <c r="DP98" s="1415"/>
      <c r="DQ98" s="1416"/>
    </row>
    <row r="99" spans="2:121" ht="16.5" outlineLevel="2">
      <c r="B99" s="1233"/>
      <c r="C99" s="1234" t="s">
        <v>56</v>
      </c>
      <c r="D99" s="1235"/>
      <c r="E99" s="1233"/>
      <c r="F99" s="1236" t="s">
        <v>56</v>
      </c>
      <c r="G99" s="1235"/>
      <c r="H99" s="1233"/>
      <c r="I99" s="1234" t="s">
        <v>56</v>
      </c>
      <c r="J99" s="1235"/>
      <c r="K99" s="1233"/>
      <c r="L99" s="1236" t="s">
        <v>56</v>
      </c>
      <c r="M99" s="1235"/>
      <c r="N99" s="1233"/>
      <c r="O99" s="1234" t="s">
        <v>56</v>
      </c>
      <c r="P99" s="1235"/>
      <c r="Q99" s="1233"/>
      <c r="R99" s="1236" t="s">
        <v>56</v>
      </c>
      <c r="S99" s="1235"/>
      <c r="T99" s="1233"/>
      <c r="U99" s="1234" t="s">
        <v>56</v>
      </c>
      <c r="V99" s="1235"/>
      <c r="W99" s="1233"/>
      <c r="X99" s="1236" t="s">
        <v>56</v>
      </c>
      <c r="Y99" s="1235"/>
      <c r="Z99" s="1233"/>
      <c r="AA99" s="1234" t="s">
        <v>56</v>
      </c>
      <c r="AB99" s="1235"/>
      <c r="AC99" s="1233"/>
      <c r="AD99" s="1236" t="s">
        <v>56</v>
      </c>
      <c r="AE99" s="1235"/>
      <c r="AF99" s="1233"/>
      <c r="AG99" s="1234" t="s">
        <v>56</v>
      </c>
      <c r="AH99" s="1235"/>
      <c r="AI99" s="1233"/>
      <c r="AJ99" s="1236" t="s">
        <v>56</v>
      </c>
      <c r="AK99" s="1235"/>
      <c r="AL99" s="1233"/>
      <c r="AM99" s="1234" t="s">
        <v>56</v>
      </c>
      <c r="AN99" s="1235"/>
      <c r="AO99" s="1233"/>
      <c r="AP99" s="1236" t="s">
        <v>56</v>
      </c>
      <c r="AQ99" s="1237"/>
      <c r="AR99" s="1982">
        <f t="shared" si="23"/>
        <v>0</v>
      </c>
      <c r="AS99" s="1983"/>
      <c r="AT99" s="1984">
        <f t="shared" si="20"/>
        <v>20</v>
      </c>
      <c r="AU99" s="1985"/>
      <c r="AV99" s="1986" t="str">
        <f t="shared" ref="AV99:AV104" si="24">IF(CC59=0,"射击:","射击:"&amp;CC59)</f>
        <v>射击:手枪</v>
      </c>
      <c r="AW99" s="1987"/>
      <c r="AX99" s="1988"/>
      <c r="AY99" s="1989">
        <f t="shared" si="19"/>
        <v>0</v>
      </c>
      <c r="AZ99" s="1990"/>
      <c r="BA99" s="1679" t="s">
        <v>288</v>
      </c>
      <c r="BB99" s="1680"/>
      <c r="BC99" s="1935" t="s">
        <v>289</v>
      </c>
      <c r="BD99" s="1936"/>
      <c r="BE99" s="2000"/>
      <c r="BF99" s="2000"/>
      <c r="BG99" s="2000"/>
      <c r="BH99" s="2000"/>
      <c r="BI99" s="2000"/>
      <c r="BJ99" s="2000"/>
      <c r="BK99" s="2000"/>
      <c r="BL99" s="2000"/>
      <c r="BM99" s="2000"/>
      <c r="BN99" s="2000"/>
      <c r="BO99" s="2000"/>
      <c r="BP99" s="2000"/>
      <c r="BQ99" s="2000"/>
      <c r="BR99" s="2000"/>
      <c r="BS99" s="2000"/>
      <c r="BT99" s="2001"/>
      <c r="BV99" s="1516"/>
      <c r="BW99" s="1517"/>
      <c r="BX99" s="1517"/>
      <c r="BY99" s="1517"/>
      <c r="BZ99" s="1517"/>
      <c r="CA99" s="1517"/>
      <c r="CB99" s="1517"/>
      <c r="CC99" s="1517"/>
      <c r="CD99" s="1517"/>
      <c r="CE99" s="1517"/>
      <c r="CF99" s="1517"/>
      <c r="CG99" s="1517"/>
      <c r="CH99" s="1517"/>
      <c r="CI99" s="1517"/>
      <c r="CJ99" s="1517"/>
      <c r="CK99" s="1517"/>
      <c r="CL99" s="1517"/>
      <c r="CM99" s="1517"/>
      <c r="CN99" s="1517"/>
      <c r="CO99" s="1517"/>
      <c r="CP99" s="1517"/>
      <c r="CQ99" s="1517"/>
      <c r="CR99" s="1518"/>
      <c r="CS99" s="792"/>
      <c r="CT99" s="1414"/>
      <c r="CU99" s="1415"/>
      <c r="CV99" s="1415"/>
      <c r="CW99" s="1415"/>
      <c r="CX99" s="1415"/>
      <c r="CY99" s="1415"/>
      <c r="CZ99" s="1415"/>
      <c r="DA99" s="1415"/>
      <c r="DB99" s="1415"/>
      <c r="DC99" s="1415"/>
      <c r="DD99" s="1415"/>
      <c r="DE99" s="1415"/>
      <c r="DF99" s="1415"/>
      <c r="DG99" s="1415"/>
      <c r="DH99" s="1415"/>
      <c r="DI99" s="1415"/>
      <c r="DJ99" s="1415"/>
      <c r="DK99" s="1415"/>
      <c r="DL99" s="1415"/>
      <c r="DM99" s="1415"/>
      <c r="DN99" s="1415"/>
      <c r="DO99" s="1415"/>
      <c r="DP99" s="1415"/>
      <c r="DQ99" s="1416"/>
    </row>
    <row r="100" spans="2:121" ht="16.5" outlineLevel="2">
      <c r="B100" s="1228"/>
      <c r="C100" s="1229" t="s">
        <v>56</v>
      </c>
      <c r="D100" s="1230"/>
      <c r="E100" s="1228"/>
      <c r="F100" s="1231" t="s">
        <v>56</v>
      </c>
      <c r="G100" s="1230"/>
      <c r="H100" s="1228"/>
      <c r="I100" s="1229" t="s">
        <v>56</v>
      </c>
      <c r="J100" s="1230"/>
      <c r="K100" s="1228"/>
      <c r="L100" s="1231" t="s">
        <v>56</v>
      </c>
      <c r="M100" s="1230"/>
      <c r="N100" s="1228"/>
      <c r="O100" s="1229" t="s">
        <v>56</v>
      </c>
      <c r="P100" s="1230"/>
      <c r="Q100" s="1228"/>
      <c r="R100" s="1231" t="s">
        <v>56</v>
      </c>
      <c r="S100" s="1230"/>
      <c r="T100" s="1228"/>
      <c r="U100" s="1229" t="s">
        <v>56</v>
      </c>
      <c r="V100" s="1230"/>
      <c r="W100" s="1228"/>
      <c r="X100" s="1231" t="s">
        <v>56</v>
      </c>
      <c r="Y100" s="1230"/>
      <c r="Z100" s="1228"/>
      <c r="AA100" s="1229" t="s">
        <v>56</v>
      </c>
      <c r="AB100" s="1230"/>
      <c r="AC100" s="1228"/>
      <c r="AD100" s="1231" t="s">
        <v>56</v>
      </c>
      <c r="AE100" s="1230"/>
      <c r="AF100" s="1228"/>
      <c r="AG100" s="1229" t="s">
        <v>56</v>
      </c>
      <c r="AH100" s="1230"/>
      <c r="AI100" s="1228"/>
      <c r="AJ100" s="1231" t="s">
        <v>56</v>
      </c>
      <c r="AK100" s="1230"/>
      <c r="AL100" s="1228"/>
      <c r="AM100" s="1229" t="s">
        <v>56</v>
      </c>
      <c r="AN100" s="1230"/>
      <c r="AO100" s="1228"/>
      <c r="AP100" s="1231" t="s">
        <v>56</v>
      </c>
      <c r="AQ100" s="1232"/>
      <c r="AR100" s="1973">
        <f t="shared" si="23"/>
        <v>0</v>
      </c>
      <c r="AS100" s="1974"/>
      <c r="AT100" s="1975">
        <f t="shared" si="20"/>
        <v>0</v>
      </c>
      <c r="AU100" s="1976"/>
      <c r="AV100" s="1977" t="str">
        <f t="shared" si="24"/>
        <v>射击:</v>
      </c>
      <c r="AW100" s="1978"/>
      <c r="AX100" s="1979"/>
      <c r="AY100" s="1980">
        <f t="shared" si="19"/>
        <v>0</v>
      </c>
      <c r="AZ100" s="1981"/>
      <c r="BA100" s="1706" t="s">
        <v>288</v>
      </c>
      <c r="BB100" s="1707"/>
      <c r="BC100" s="1918" t="s">
        <v>289</v>
      </c>
      <c r="BD100" s="1919"/>
      <c r="BE100" s="1708"/>
      <c r="BF100" s="1708"/>
      <c r="BG100" s="1708"/>
      <c r="BH100" s="1708"/>
      <c r="BI100" s="1708"/>
      <c r="BJ100" s="1708"/>
      <c r="BK100" s="1708"/>
      <c r="BL100" s="1708"/>
      <c r="BM100" s="1708"/>
      <c r="BN100" s="1708"/>
      <c r="BO100" s="1708"/>
      <c r="BP100" s="1708"/>
      <c r="BQ100" s="1708"/>
      <c r="BR100" s="1708"/>
      <c r="BS100" s="1708"/>
      <c r="BT100" s="1709"/>
      <c r="BV100" s="1516"/>
      <c r="BW100" s="1517"/>
      <c r="BX100" s="1517"/>
      <c r="BY100" s="1517"/>
      <c r="BZ100" s="1517"/>
      <c r="CA100" s="1517"/>
      <c r="CB100" s="1517"/>
      <c r="CC100" s="1517"/>
      <c r="CD100" s="1517"/>
      <c r="CE100" s="1517"/>
      <c r="CF100" s="1517"/>
      <c r="CG100" s="1517"/>
      <c r="CH100" s="1517"/>
      <c r="CI100" s="1517"/>
      <c r="CJ100" s="1517"/>
      <c r="CK100" s="1517"/>
      <c r="CL100" s="1517"/>
      <c r="CM100" s="1517"/>
      <c r="CN100" s="1517"/>
      <c r="CO100" s="1517"/>
      <c r="CP100" s="1517"/>
      <c r="CQ100" s="1517"/>
      <c r="CR100" s="1518"/>
      <c r="CS100" s="792"/>
      <c r="CT100" s="1414"/>
      <c r="CU100" s="1415"/>
      <c r="CV100" s="1415"/>
      <c r="CW100" s="1415"/>
      <c r="CX100" s="1415"/>
      <c r="CY100" s="1415"/>
      <c r="CZ100" s="1415"/>
      <c r="DA100" s="1415"/>
      <c r="DB100" s="1415"/>
      <c r="DC100" s="1415"/>
      <c r="DD100" s="1415"/>
      <c r="DE100" s="1415"/>
      <c r="DF100" s="1415"/>
      <c r="DG100" s="1415"/>
      <c r="DH100" s="1415"/>
      <c r="DI100" s="1415"/>
      <c r="DJ100" s="1415"/>
      <c r="DK100" s="1415"/>
      <c r="DL100" s="1415"/>
      <c r="DM100" s="1415"/>
      <c r="DN100" s="1415"/>
      <c r="DO100" s="1415"/>
      <c r="DP100" s="1415"/>
      <c r="DQ100" s="1416"/>
    </row>
    <row r="101" spans="2:121" ht="16.5" outlineLevel="2">
      <c r="B101" s="1233"/>
      <c r="C101" s="1234" t="s">
        <v>56</v>
      </c>
      <c r="D101" s="1235"/>
      <c r="E101" s="1233"/>
      <c r="F101" s="1236" t="s">
        <v>56</v>
      </c>
      <c r="G101" s="1235"/>
      <c r="H101" s="1233"/>
      <c r="I101" s="1234" t="s">
        <v>56</v>
      </c>
      <c r="J101" s="1235"/>
      <c r="K101" s="1233"/>
      <c r="L101" s="1236" t="s">
        <v>56</v>
      </c>
      <c r="M101" s="1235"/>
      <c r="N101" s="1233"/>
      <c r="O101" s="1234" t="s">
        <v>56</v>
      </c>
      <c r="P101" s="1235"/>
      <c r="Q101" s="1233"/>
      <c r="R101" s="1236" t="s">
        <v>56</v>
      </c>
      <c r="S101" s="1235"/>
      <c r="T101" s="1233"/>
      <c r="U101" s="1234" t="s">
        <v>56</v>
      </c>
      <c r="V101" s="1235"/>
      <c r="W101" s="1233"/>
      <c r="X101" s="1236" t="s">
        <v>56</v>
      </c>
      <c r="Y101" s="1235"/>
      <c r="Z101" s="1233"/>
      <c r="AA101" s="1234" t="s">
        <v>56</v>
      </c>
      <c r="AB101" s="1235"/>
      <c r="AC101" s="1233"/>
      <c r="AD101" s="1236" t="s">
        <v>56</v>
      </c>
      <c r="AE101" s="1235"/>
      <c r="AF101" s="1233"/>
      <c r="AG101" s="1234" t="s">
        <v>56</v>
      </c>
      <c r="AH101" s="1235"/>
      <c r="AI101" s="1233"/>
      <c r="AJ101" s="1236" t="s">
        <v>56</v>
      </c>
      <c r="AK101" s="1235"/>
      <c r="AL101" s="1233"/>
      <c r="AM101" s="1234" t="s">
        <v>56</v>
      </c>
      <c r="AN101" s="1235"/>
      <c r="AO101" s="1233"/>
      <c r="AP101" s="1236" t="s">
        <v>56</v>
      </c>
      <c r="AQ101" s="1237"/>
      <c r="AR101" s="1982">
        <f t="shared" si="23"/>
        <v>0</v>
      </c>
      <c r="AS101" s="1983"/>
      <c r="AT101" s="1984">
        <f t="shared" si="20"/>
        <v>0</v>
      </c>
      <c r="AU101" s="1985"/>
      <c r="AV101" s="1986" t="str">
        <f t="shared" si="24"/>
        <v>射击:</v>
      </c>
      <c r="AW101" s="1987"/>
      <c r="AX101" s="1988"/>
      <c r="AY101" s="1989">
        <f t="shared" si="19"/>
        <v>0</v>
      </c>
      <c r="AZ101" s="1990"/>
      <c r="BA101" s="1679" t="s">
        <v>288</v>
      </c>
      <c r="BB101" s="1680"/>
      <c r="BC101" s="1935" t="s">
        <v>290</v>
      </c>
      <c r="BD101" s="1936"/>
      <c r="BE101" s="1722"/>
      <c r="BF101" s="1722"/>
      <c r="BG101" s="1722"/>
      <c r="BH101" s="1722"/>
      <c r="BI101" s="1722"/>
      <c r="BJ101" s="1722"/>
      <c r="BK101" s="1722"/>
      <c r="BL101" s="1722"/>
      <c r="BM101" s="1722"/>
      <c r="BN101" s="1722"/>
      <c r="BO101" s="1722"/>
      <c r="BP101" s="1722"/>
      <c r="BQ101" s="1722"/>
      <c r="BR101" s="1722"/>
      <c r="BS101" s="1722"/>
      <c r="BT101" s="1723"/>
      <c r="BV101" s="1516"/>
      <c r="BW101" s="1517"/>
      <c r="BX101" s="1517"/>
      <c r="BY101" s="1517"/>
      <c r="BZ101" s="1517"/>
      <c r="CA101" s="1517"/>
      <c r="CB101" s="1517"/>
      <c r="CC101" s="1517"/>
      <c r="CD101" s="1517"/>
      <c r="CE101" s="1517"/>
      <c r="CF101" s="1517"/>
      <c r="CG101" s="1517"/>
      <c r="CH101" s="1517"/>
      <c r="CI101" s="1517"/>
      <c r="CJ101" s="1517"/>
      <c r="CK101" s="1517"/>
      <c r="CL101" s="1517"/>
      <c r="CM101" s="1517"/>
      <c r="CN101" s="1517"/>
      <c r="CO101" s="1517"/>
      <c r="CP101" s="1517"/>
      <c r="CQ101" s="1517"/>
      <c r="CR101" s="1518"/>
      <c r="CS101" s="792"/>
      <c r="CT101" s="1414"/>
      <c r="CU101" s="1415"/>
      <c r="CV101" s="1415"/>
      <c r="CW101" s="1415"/>
      <c r="CX101" s="1415"/>
      <c r="CY101" s="1415"/>
      <c r="CZ101" s="1415"/>
      <c r="DA101" s="1415"/>
      <c r="DB101" s="1415"/>
      <c r="DC101" s="1415"/>
      <c r="DD101" s="1415"/>
      <c r="DE101" s="1415"/>
      <c r="DF101" s="1415"/>
      <c r="DG101" s="1415"/>
      <c r="DH101" s="1415"/>
      <c r="DI101" s="1415"/>
      <c r="DJ101" s="1415"/>
      <c r="DK101" s="1415"/>
      <c r="DL101" s="1415"/>
      <c r="DM101" s="1415"/>
      <c r="DN101" s="1415"/>
      <c r="DO101" s="1415"/>
      <c r="DP101" s="1415"/>
      <c r="DQ101" s="1416"/>
    </row>
    <row r="102" spans="2:121" ht="16.5" outlineLevel="2">
      <c r="B102" s="1228"/>
      <c r="C102" s="1229" t="s">
        <v>56</v>
      </c>
      <c r="D102" s="1230"/>
      <c r="E102" s="1228"/>
      <c r="F102" s="1231" t="s">
        <v>56</v>
      </c>
      <c r="G102" s="1230"/>
      <c r="H102" s="1228"/>
      <c r="I102" s="1229" t="s">
        <v>56</v>
      </c>
      <c r="J102" s="1230"/>
      <c r="K102" s="1228"/>
      <c r="L102" s="1231" t="s">
        <v>56</v>
      </c>
      <c r="M102" s="1230"/>
      <c r="N102" s="1228"/>
      <c r="O102" s="1229" t="s">
        <v>56</v>
      </c>
      <c r="P102" s="1230"/>
      <c r="Q102" s="1228"/>
      <c r="R102" s="1231" t="s">
        <v>56</v>
      </c>
      <c r="S102" s="1230"/>
      <c r="T102" s="1228"/>
      <c r="U102" s="1229" t="s">
        <v>56</v>
      </c>
      <c r="V102" s="1230"/>
      <c r="W102" s="1228"/>
      <c r="X102" s="1231" t="s">
        <v>56</v>
      </c>
      <c r="Y102" s="1230"/>
      <c r="Z102" s="1228"/>
      <c r="AA102" s="1229" t="s">
        <v>56</v>
      </c>
      <c r="AB102" s="1230"/>
      <c r="AC102" s="1228"/>
      <c r="AD102" s="1231" t="s">
        <v>56</v>
      </c>
      <c r="AE102" s="1230"/>
      <c r="AF102" s="1228"/>
      <c r="AG102" s="1229" t="s">
        <v>56</v>
      </c>
      <c r="AH102" s="1230"/>
      <c r="AI102" s="1228"/>
      <c r="AJ102" s="1231" t="s">
        <v>56</v>
      </c>
      <c r="AK102" s="1230"/>
      <c r="AL102" s="1228"/>
      <c r="AM102" s="1229" t="s">
        <v>56</v>
      </c>
      <c r="AN102" s="1230"/>
      <c r="AO102" s="1228"/>
      <c r="AP102" s="1231" t="s">
        <v>56</v>
      </c>
      <c r="AQ102" s="1232"/>
      <c r="AR102" s="1973">
        <f t="shared" si="23"/>
        <v>0</v>
      </c>
      <c r="AS102" s="1974"/>
      <c r="AT102" s="1975">
        <f t="shared" si="20"/>
        <v>0</v>
      </c>
      <c r="AU102" s="1976"/>
      <c r="AV102" s="1977" t="str">
        <f t="shared" si="24"/>
        <v>射击:</v>
      </c>
      <c r="AW102" s="1978"/>
      <c r="AX102" s="1979"/>
      <c r="AY102" s="1980">
        <f t="shared" si="19"/>
        <v>0</v>
      </c>
      <c r="AZ102" s="1981"/>
      <c r="BA102" s="1706" t="s">
        <v>288</v>
      </c>
      <c r="BB102" s="1707"/>
      <c r="BC102" s="1918" t="s">
        <v>290</v>
      </c>
      <c r="BD102" s="1919"/>
      <c r="BE102" s="1708"/>
      <c r="BF102" s="1708"/>
      <c r="BG102" s="1708"/>
      <c r="BH102" s="1708"/>
      <c r="BI102" s="1708"/>
      <c r="BJ102" s="1708"/>
      <c r="BK102" s="1708"/>
      <c r="BL102" s="1708"/>
      <c r="BM102" s="1708"/>
      <c r="BN102" s="1708"/>
      <c r="BO102" s="1708"/>
      <c r="BP102" s="1708"/>
      <c r="BQ102" s="1708"/>
      <c r="BR102" s="1708"/>
      <c r="BS102" s="1708"/>
      <c r="BT102" s="1709"/>
      <c r="BV102" s="1516"/>
      <c r="BW102" s="1517"/>
      <c r="BX102" s="1517"/>
      <c r="BY102" s="1517"/>
      <c r="BZ102" s="1517"/>
      <c r="CA102" s="1517"/>
      <c r="CB102" s="1517"/>
      <c r="CC102" s="1517"/>
      <c r="CD102" s="1517"/>
      <c r="CE102" s="1517"/>
      <c r="CF102" s="1517"/>
      <c r="CG102" s="1517"/>
      <c r="CH102" s="1517"/>
      <c r="CI102" s="1517"/>
      <c r="CJ102" s="1517"/>
      <c r="CK102" s="1517"/>
      <c r="CL102" s="1517"/>
      <c r="CM102" s="1517"/>
      <c r="CN102" s="1517"/>
      <c r="CO102" s="1517"/>
      <c r="CP102" s="1517"/>
      <c r="CQ102" s="1517"/>
      <c r="CR102" s="1518"/>
      <c r="CS102" s="792"/>
      <c r="CT102" s="1414"/>
      <c r="CU102" s="1415"/>
      <c r="CV102" s="1415"/>
      <c r="CW102" s="1415"/>
      <c r="CX102" s="1415"/>
      <c r="CY102" s="1415"/>
      <c r="CZ102" s="1415"/>
      <c r="DA102" s="1415"/>
      <c r="DB102" s="1415"/>
      <c r="DC102" s="1415"/>
      <c r="DD102" s="1415"/>
      <c r="DE102" s="1415"/>
      <c r="DF102" s="1415"/>
      <c r="DG102" s="1415"/>
      <c r="DH102" s="1415"/>
      <c r="DI102" s="1415"/>
      <c r="DJ102" s="1415"/>
      <c r="DK102" s="1415"/>
      <c r="DL102" s="1415"/>
      <c r="DM102" s="1415"/>
      <c r="DN102" s="1415"/>
      <c r="DO102" s="1415"/>
      <c r="DP102" s="1415"/>
      <c r="DQ102" s="1416"/>
    </row>
    <row r="103" spans="2:121" ht="16.5" outlineLevel="2">
      <c r="B103" s="1233"/>
      <c r="C103" s="1234" t="s">
        <v>56</v>
      </c>
      <c r="D103" s="1235"/>
      <c r="E103" s="1233"/>
      <c r="F103" s="1236" t="s">
        <v>56</v>
      </c>
      <c r="G103" s="1235"/>
      <c r="H103" s="1233"/>
      <c r="I103" s="1234" t="s">
        <v>56</v>
      </c>
      <c r="J103" s="1235"/>
      <c r="K103" s="1233"/>
      <c r="L103" s="1236" t="s">
        <v>56</v>
      </c>
      <c r="M103" s="1235"/>
      <c r="N103" s="1233"/>
      <c r="O103" s="1234" t="s">
        <v>56</v>
      </c>
      <c r="P103" s="1235"/>
      <c r="Q103" s="1233"/>
      <c r="R103" s="1236" t="s">
        <v>56</v>
      </c>
      <c r="S103" s="1235"/>
      <c r="T103" s="1233"/>
      <c r="U103" s="1234" t="s">
        <v>56</v>
      </c>
      <c r="V103" s="1235"/>
      <c r="W103" s="1233"/>
      <c r="X103" s="1236" t="s">
        <v>56</v>
      </c>
      <c r="Y103" s="1235"/>
      <c r="Z103" s="1233"/>
      <c r="AA103" s="1234" t="s">
        <v>56</v>
      </c>
      <c r="AB103" s="1235"/>
      <c r="AC103" s="1233"/>
      <c r="AD103" s="1236" t="s">
        <v>56</v>
      </c>
      <c r="AE103" s="1235"/>
      <c r="AF103" s="1233"/>
      <c r="AG103" s="1234" t="s">
        <v>56</v>
      </c>
      <c r="AH103" s="1235"/>
      <c r="AI103" s="1233"/>
      <c r="AJ103" s="1236" t="s">
        <v>56</v>
      </c>
      <c r="AK103" s="1235"/>
      <c r="AL103" s="1233"/>
      <c r="AM103" s="1234" t="s">
        <v>56</v>
      </c>
      <c r="AN103" s="1235"/>
      <c r="AO103" s="1233"/>
      <c r="AP103" s="1236" t="s">
        <v>56</v>
      </c>
      <c r="AQ103" s="1237"/>
      <c r="AR103" s="1982">
        <f t="shared" si="23"/>
        <v>0</v>
      </c>
      <c r="AS103" s="1983"/>
      <c r="AT103" s="1984">
        <f t="shared" si="20"/>
        <v>0</v>
      </c>
      <c r="AU103" s="1985"/>
      <c r="AV103" s="1986" t="str">
        <f t="shared" si="24"/>
        <v>射击:</v>
      </c>
      <c r="AW103" s="1987"/>
      <c r="AX103" s="1988"/>
      <c r="AY103" s="1989">
        <f t="shared" si="19"/>
        <v>0</v>
      </c>
      <c r="AZ103" s="1990"/>
      <c r="BA103" s="1679" t="s">
        <v>288</v>
      </c>
      <c r="BB103" s="1680"/>
      <c r="BC103" s="1935" t="s">
        <v>290</v>
      </c>
      <c r="BD103" s="1936"/>
      <c r="BE103" s="1722"/>
      <c r="BF103" s="1722"/>
      <c r="BG103" s="1722"/>
      <c r="BH103" s="1722"/>
      <c r="BI103" s="1722"/>
      <c r="BJ103" s="1722"/>
      <c r="BK103" s="1722"/>
      <c r="BL103" s="1722"/>
      <c r="BM103" s="1722"/>
      <c r="BN103" s="1722"/>
      <c r="BO103" s="1722"/>
      <c r="BP103" s="1722"/>
      <c r="BQ103" s="1722"/>
      <c r="BR103" s="1722"/>
      <c r="BS103" s="1722"/>
      <c r="BT103" s="1723"/>
      <c r="BV103" s="1516"/>
      <c r="BW103" s="1517"/>
      <c r="BX103" s="1517"/>
      <c r="BY103" s="1517"/>
      <c r="BZ103" s="1517"/>
      <c r="CA103" s="1517"/>
      <c r="CB103" s="1517"/>
      <c r="CC103" s="1517"/>
      <c r="CD103" s="1517"/>
      <c r="CE103" s="1517"/>
      <c r="CF103" s="1517"/>
      <c r="CG103" s="1517"/>
      <c r="CH103" s="1517"/>
      <c r="CI103" s="1517"/>
      <c r="CJ103" s="1517"/>
      <c r="CK103" s="1517"/>
      <c r="CL103" s="1517"/>
      <c r="CM103" s="1517"/>
      <c r="CN103" s="1517"/>
      <c r="CO103" s="1517"/>
      <c r="CP103" s="1517"/>
      <c r="CQ103" s="1517"/>
      <c r="CR103" s="1518"/>
      <c r="CS103" s="792"/>
      <c r="CT103" s="1414"/>
      <c r="CU103" s="1415"/>
      <c r="CV103" s="1415"/>
      <c r="CW103" s="1415"/>
      <c r="CX103" s="1415"/>
      <c r="CY103" s="1415"/>
      <c r="CZ103" s="1415"/>
      <c r="DA103" s="1415"/>
      <c r="DB103" s="1415"/>
      <c r="DC103" s="1415"/>
      <c r="DD103" s="1415"/>
      <c r="DE103" s="1415"/>
      <c r="DF103" s="1415"/>
      <c r="DG103" s="1415"/>
      <c r="DH103" s="1415"/>
      <c r="DI103" s="1415"/>
      <c r="DJ103" s="1415"/>
      <c r="DK103" s="1415"/>
      <c r="DL103" s="1415"/>
      <c r="DM103" s="1415"/>
      <c r="DN103" s="1415"/>
      <c r="DO103" s="1415"/>
      <c r="DP103" s="1415"/>
      <c r="DQ103" s="1416"/>
    </row>
    <row r="104" spans="2:121" ht="16.5" outlineLevel="2">
      <c r="B104" s="1238"/>
      <c r="C104" s="1229" t="s">
        <v>56</v>
      </c>
      <c r="D104" s="1239"/>
      <c r="E104" s="1238"/>
      <c r="F104" s="1240" t="s">
        <v>56</v>
      </c>
      <c r="G104" s="1239"/>
      <c r="H104" s="1238"/>
      <c r="I104" s="1229" t="s">
        <v>56</v>
      </c>
      <c r="J104" s="1239"/>
      <c r="K104" s="1238"/>
      <c r="L104" s="1240" t="s">
        <v>56</v>
      </c>
      <c r="M104" s="1239"/>
      <c r="N104" s="1238"/>
      <c r="O104" s="1229" t="s">
        <v>56</v>
      </c>
      <c r="P104" s="1239"/>
      <c r="Q104" s="1238"/>
      <c r="R104" s="1240" t="s">
        <v>56</v>
      </c>
      <c r="S104" s="1239"/>
      <c r="T104" s="1238"/>
      <c r="U104" s="1229" t="s">
        <v>56</v>
      </c>
      <c r="V104" s="1239"/>
      <c r="W104" s="1238"/>
      <c r="X104" s="1240" t="s">
        <v>56</v>
      </c>
      <c r="Y104" s="1239"/>
      <c r="Z104" s="1238"/>
      <c r="AA104" s="1229" t="s">
        <v>56</v>
      </c>
      <c r="AB104" s="1239"/>
      <c r="AC104" s="1238"/>
      <c r="AD104" s="1240" t="s">
        <v>56</v>
      </c>
      <c r="AE104" s="1239"/>
      <c r="AF104" s="1238"/>
      <c r="AG104" s="1229" t="s">
        <v>56</v>
      </c>
      <c r="AH104" s="1239"/>
      <c r="AI104" s="1238"/>
      <c r="AJ104" s="1240" t="s">
        <v>56</v>
      </c>
      <c r="AK104" s="1239"/>
      <c r="AL104" s="1238"/>
      <c r="AM104" s="1229" t="s">
        <v>56</v>
      </c>
      <c r="AN104" s="1239"/>
      <c r="AO104" s="1238"/>
      <c r="AP104" s="1240" t="s">
        <v>56</v>
      </c>
      <c r="AQ104" s="1241"/>
      <c r="AR104" s="1958">
        <f t="shared" si="23"/>
        <v>0</v>
      </c>
      <c r="AS104" s="1959"/>
      <c r="AT104" s="1960">
        <f t="shared" si="20"/>
        <v>0</v>
      </c>
      <c r="AU104" s="1961"/>
      <c r="AV104" s="1962" t="str">
        <f t="shared" si="24"/>
        <v>射击:</v>
      </c>
      <c r="AW104" s="1963"/>
      <c r="AX104" s="1964"/>
      <c r="AY104" s="1965">
        <f t="shared" si="19"/>
        <v>0</v>
      </c>
      <c r="AZ104" s="1966"/>
      <c r="BA104" s="1706" t="s">
        <v>291</v>
      </c>
      <c r="BB104" s="1707"/>
      <c r="BC104" s="1918" t="s">
        <v>292</v>
      </c>
      <c r="BD104" s="1919"/>
      <c r="BE104" s="1708"/>
      <c r="BF104" s="1708"/>
      <c r="BG104" s="1708"/>
      <c r="BH104" s="1708"/>
      <c r="BI104" s="1708"/>
      <c r="BJ104" s="1708"/>
      <c r="BK104" s="1708"/>
      <c r="BL104" s="1708"/>
      <c r="BM104" s="1708"/>
      <c r="BN104" s="1708"/>
      <c r="BO104" s="1708"/>
      <c r="BP104" s="1708"/>
      <c r="BQ104" s="1708"/>
      <c r="BR104" s="1708"/>
      <c r="BS104" s="1708"/>
      <c r="BT104" s="1709"/>
      <c r="BV104" s="1516"/>
      <c r="BW104" s="1517"/>
      <c r="BX104" s="1517"/>
      <c r="BY104" s="1517"/>
      <c r="BZ104" s="1517"/>
      <c r="CA104" s="1517"/>
      <c r="CB104" s="1517"/>
      <c r="CC104" s="1517"/>
      <c r="CD104" s="1517"/>
      <c r="CE104" s="1517"/>
      <c r="CF104" s="1517"/>
      <c r="CG104" s="1517"/>
      <c r="CH104" s="1517"/>
      <c r="CI104" s="1517"/>
      <c r="CJ104" s="1517"/>
      <c r="CK104" s="1517"/>
      <c r="CL104" s="1517"/>
      <c r="CM104" s="1517"/>
      <c r="CN104" s="1517"/>
      <c r="CO104" s="1517"/>
      <c r="CP104" s="1517"/>
      <c r="CQ104" s="1517"/>
      <c r="CR104" s="1518"/>
      <c r="CS104" s="792"/>
      <c r="CT104" s="1414"/>
      <c r="CU104" s="1415"/>
      <c r="CV104" s="1415"/>
      <c r="CW104" s="1415"/>
      <c r="CX104" s="1415"/>
      <c r="CY104" s="1415"/>
      <c r="CZ104" s="1415"/>
      <c r="DA104" s="1415"/>
      <c r="DB104" s="1415"/>
      <c r="DC104" s="1415"/>
      <c r="DD104" s="1415"/>
      <c r="DE104" s="1415"/>
      <c r="DF104" s="1415"/>
      <c r="DG104" s="1415"/>
      <c r="DH104" s="1415"/>
      <c r="DI104" s="1415"/>
      <c r="DJ104" s="1415"/>
      <c r="DK104" s="1415"/>
      <c r="DL104" s="1415"/>
      <c r="DM104" s="1415"/>
      <c r="DN104" s="1415"/>
      <c r="DO104" s="1415"/>
      <c r="DP104" s="1415"/>
      <c r="DQ104" s="1416"/>
    </row>
    <row r="105" spans="2:121" ht="14.5" outlineLevel="2">
      <c r="BA105" s="1679" t="s">
        <v>288</v>
      </c>
      <c r="BB105" s="1680"/>
      <c r="BC105" s="1935" t="s">
        <v>289</v>
      </c>
      <c r="BD105" s="1936"/>
      <c r="BE105" s="1722"/>
      <c r="BF105" s="1722"/>
      <c r="BG105" s="1722"/>
      <c r="BH105" s="1722"/>
      <c r="BI105" s="1722"/>
      <c r="BJ105" s="1722"/>
      <c r="BK105" s="1722"/>
      <c r="BL105" s="1722"/>
      <c r="BM105" s="1722"/>
      <c r="BN105" s="1722"/>
      <c r="BO105" s="1722"/>
      <c r="BP105" s="1722"/>
      <c r="BQ105" s="1722"/>
      <c r="BR105" s="1722"/>
      <c r="BS105" s="1722"/>
      <c r="BT105" s="1723"/>
      <c r="BV105" s="1516"/>
      <c r="BW105" s="1517"/>
      <c r="BX105" s="1517"/>
      <c r="BY105" s="1517"/>
      <c r="BZ105" s="1517"/>
      <c r="CA105" s="1517"/>
      <c r="CB105" s="1517"/>
      <c r="CC105" s="1517"/>
      <c r="CD105" s="1517"/>
      <c r="CE105" s="1517"/>
      <c r="CF105" s="1517"/>
      <c r="CG105" s="1517"/>
      <c r="CH105" s="1517"/>
      <c r="CI105" s="1517"/>
      <c r="CJ105" s="1517"/>
      <c r="CK105" s="1517"/>
      <c r="CL105" s="1517"/>
      <c r="CM105" s="1517"/>
      <c r="CN105" s="1517"/>
      <c r="CO105" s="1517"/>
      <c r="CP105" s="1517"/>
      <c r="CQ105" s="1517"/>
      <c r="CR105" s="1518"/>
      <c r="CS105" s="792"/>
      <c r="CT105" s="1414"/>
      <c r="CU105" s="1415"/>
      <c r="CV105" s="1415"/>
      <c r="CW105" s="1415"/>
      <c r="CX105" s="1415"/>
      <c r="CY105" s="1415"/>
      <c r="CZ105" s="1415"/>
      <c r="DA105" s="1415"/>
      <c r="DB105" s="1415"/>
      <c r="DC105" s="1415"/>
      <c r="DD105" s="1415"/>
      <c r="DE105" s="1415"/>
      <c r="DF105" s="1415"/>
      <c r="DG105" s="1415"/>
      <c r="DH105" s="1415"/>
      <c r="DI105" s="1415"/>
      <c r="DJ105" s="1415"/>
      <c r="DK105" s="1415"/>
      <c r="DL105" s="1415"/>
      <c r="DM105" s="1415"/>
      <c r="DN105" s="1415"/>
      <c r="DO105" s="1415"/>
      <c r="DP105" s="1415"/>
      <c r="DQ105" s="1416"/>
    </row>
    <row r="106" spans="2:121" ht="16.5" outlineLevel="2">
      <c r="C106" s="1740" t="s">
        <v>293</v>
      </c>
      <c r="D106" s="1741"/>
      <c r="E106" s="1741"/>
      <c r="F106" s="1741"/>
      <c r="G106" s="1741"/>
      <c r="H106" s="1741"/>
      <c r="I106" s="1741"/>
      <c r="J106" s="1741"/>
      <c r="K106" s="1741"/>
      <c r="L106" s="1741"/>
      <c r="M106" s="1741"/>
      <c r="N106" s="1741"/>
      <c r="O106" s="1741"/>
      <c r="P106" s="1741"/>
      <c r="Q106" s="1741"/>
      <c r="R106" s="1741"/>
      <c r="S106" s="1741"/>
      <c r="T106" s="1741"/>
      <c r="U106" s="1741"/>
      <c r="V106" s="1742"/>
      <c r="X106" s="1967" t="s">
        <v>294</v>
      </c>
      <c r="Y106" s="1968"/>
      <c r="Z106" s="1968"/>
      <c r="AA106" s="1968"/>
      <c r="AB106" s="1968"/>
      <c r="AC106" s="1968"/>
      <c r="AD106" s="1968"/>
      <c r="AE106" s="1969"/>
      <c r="AF106" s="1970" t="s">
        <v>295</v>
      </c>
      <c r="AG106" s="1971"/>
      <c r="AH106" s="1971"/>
      <c r="AI106" s="1971"/>
      <c r="AJ106" s="1971"/>
      <c r="AK106" s="1971"/>
      <c r="AL106" s="1971"/>
      <c r="AM106" s="1972"/>
      <c r="BA106" s="1706"/>
      <c r="BB106" s="1707"/>
      <c r="BC106" s="1918"/>
      <c r="BD106" s="1919"/>
      <c r="BE106" s="1708"/>
      <c r="BF106" s="1708"/>
      <c r="BG106" s="1708"/>
      <c r="BH106" s="1708"/>
      <c r="BI106" s="1708"/>
      <c r="BJ106" s="1708"/>
      <c r="BK106" s="1708"/>
      <c r="BL106" s="1708"/>
      <c r="BM106" s="1708"/>
      <c r="BN106" s="1708"/>
      <c r="BO106" s="1708"/>
      <c r="BP106" s="1708"/>
      <c r="BQ106" s="1708"/>
      <c r="BR106" s="1708"/>
      <c r="BS106" s="1708"/>
      <c r="BT106" s="1709"/>
      <c r="BV106" s="1516"/>
      <c r="BW106" s="1517"/>
      <c r="BX106" s="1517"/>
      <c r="BY106" s="1517"/>
      <c r="BZ106" s="1517"/>
      <c r="CA106" s="1517"/>
      <c r="CB106" s="1517"/>
      <c r="CC106" s="1517"/>
      <c r="CD106" s="1517"/>
      <c r="CE106" s="1517"/>
      <c r="CF106" s="1517"/>
      <c r="CG106" s="1517"/>
      <c r="CH106" s="1517"/>
      <c r="CI106" s="1517"/>
      <c r="CJ106" s="1517"/>
      <c r="CK106" s="1517"/>
      <c r="CL106" s="1517"/>
      <c r="CM106" s="1517"/>
      <c r="CN106" s="1517"/>
      <c r="CO106" s="1517"/>
      <c r="CP106" s="1517"/>
      <c r="CQ106" s="1517"/>
      <c r="CR106" s="1518"/>
      <c r="CS106" s="792"/>
      <c r="CT106" s="1417"/>
      <c r="CU106" s="1418"/>
      <c r="CV106" s="1418"/>
      <c r="CW106" s="1418"/>
      <c r="CX106" s="1418"/>
      <c r="CY106" s="1418"/>
      <c r="CZ106" s="1418"/>
      <c r="DA106" s="1418"/>
      <c r="DB106" s="1418"/>
      <c r="DC106" s="1418"/>
      <c r="DD106" s="1418"/>
      <c r="DE106" s="1418"/>
      <c r="DF106" s="1418"/>
      <c r="DG106" s="1418"/>
      <c r="DH106" s="1418"/>
      <c r="DI106" s="1418"/>
      <c r="DJ106" s="1418"/>
      <c r="DK106" s="1418"/>
      <c r="DL106" s="1418"/>
      <c r="DM106" s="1418"/>
      <c r="DN106" s="1418"/>
      <c r="DO106" s="1418"/>
      <c r="DP106" s="1418"/>
      <c r="DQ106" s="1419"/>
    </row>
    <row r="107" spans="2:121" ht="16.5" outlineLevel="2">
      <c r="C107" s="1426" t="s">
        <v>296</v>
      </c>
      <c r="D107" s="1427"/>
      <c r="E107" s="1427"/>
      <c r="F107" s="1427"/>
      <c r="G107" s="1429" t="s">
        <v>297</v>
      </c>
      <c r="H107" s="1429"/>
      <c r="I107" s="1429"/>
      <c r="J107" s="1429"/>
      <c r="K107" s="1429"/>
      <c r="L107" s="1429"/>
      <c r="M107" s="1429" t="s">
        <v>298</v>
      </c>
      <c r="N107" s="1429"/>
      <c r="O107" s="1429" t="s">
        <v>299</v>
      </c>
      <c r="P107" s="1429"/>
      <c r="Q107" s="1429" t="s">
        <v>300</v>
      </c>
      <c r="R107" s="1429"/>
      <c r="S107" s="1429" t="s">
        <v>301</v>
      </c>
      <c r="T107" s="1429"/>
      <c r="U107" s="1429" t="s">
        <v>302</v>
      </c>
      <c r="V107" s="1954"/>
      <c r="X107" s="1909" t="s">
        <v>303</v>
      </c>
      <c r="Y107" s="1910"/>
      <c r="Z107" s="1910"/>
      <c r="AA107" s="1910"/>
      <c r="AB107" s="1910"/>
      <c r="AC107" s="1910"/>
      <c r="AD107" s="1911" t="s">
        <v>304</v>
      </c>
      <c r="AE107" s="1912"/>
      <c r="AF107" s="1955" t="s">
        <v>305</v>
      </c>
      <c r="AG107" s="1947"/>
      <c r="AH107" s="1947"/>
      <c r="AI107" s="1947"/>
      <c r="AJ107" s="1947"/>
      <c r="AK107" s="1947"/>
      <c r="AL107" s="1947"/>
      <c r="AM107" s="1950"/>
      <c r="BA107" s="1679"/>
      <c r="BB107" s="1680"/>
      <c r="BC107" s="1935"/>
      <c r="BD107" s="1936"/>
      <c r="BE107" s="1681"/>
      <c r="BF107" s="1681"/>
      <c r="BG107" s="1681"/>
      <c r="BH107" s="1681"/>
      <c r="BI107" s="1681"/>
      <c r="BJ107" s="1681"/>
      <c r="BK107" s="1681"/>
      <c r="BL107" s="1681"/>
      <c r="BM107" s="1681"/>
      <c r="BN107" s="1681"/>
      <c r="BO107" s="1681"/>
      <c r="BP107" s="1681"/>
      <c r="BQ107" s="1681"/>
      <c r="BR107" s="1681"/>
      <c r="BS107" s="1681"/>
      <c r="BT107" s="1682"/>
      <c r="BV107" s="1516"/>
      <c r="BW107" s="1517"/>
      <c r="BX107" s="1517"/>
      <c r="BY107" s="1517"/>
      <c r="BZ107" s="1517"/>
      <c r="CA107" s="1517"/>
      <c r="CB107" s="1517"/>
      <c r="CC107" s="1517"/>
      <c r="CD107" s="1517"/>
      <c r="CE107" s="1517"/>
      <c r="CF107" s="1517"/>
      <c r="CG107" s="1517"/>
      <c r="CH107" s="1517"/>
      <c r="CI107" s="1517"/>
      <c r="CJ107" s="1517"/>
      <c r="CK107" s="1517"/>
      <c r="CL107" s="1517"/>
      <c r="CM107" s="1517"/>
      <c r="CN107" s="1517"/>
      <c r="CO107" s="1517"/>
      <c r="CP107" s="1517"/>
      <c r="CQ107" s="1517"/>
      <c r="CR107" s="1518"/>
      <c r="CS107" s="792"/>
      <c r="CT107" s="1956" t="s">
        <v>306</v>
      </c>
      <c r="CU107" s="1938"/>
      <c r="CV107" s="1938"/>
      <c r="CW107" s="1938"/>
      <c r="CX107" s="1938"/>
      <c r="CY107" s="1938"/>
      <c r="CZ107" s="1938"/>
      <c r="DA107" s="1957"/>
      <c r="DB107" s="1937" t="s">
        <v>307</v>
      </c>
      <c r="DC107" s="1938"/>
      <c r="DD107" s="1938"/>
      <c r="DE107" s="1938"/>
      <c r="DF107" s="1938"/>
      <c r="DG107" s="1938"/>
      <c r="DH107" s="1938"/>
      <c r="DI107" s="1957"/>
      <c r="DJ107" s="1937" t="s">
        <v>308</v>
      </c>
      <c r="DK107" s="1938"/>
      <c r="DL107" s="1938"/>
      <c r="DM107" s="1938"/>
      <c r="DN107" s="1938"/>
      <c r="DO107" s="1938"/>
      <c r="DP107" s="1938"/>
      <c r="DQ107" s="1939"/>
    </row>
    <row r="108" spans="2:121" ht="16.5" outlineLevel="2">
      <c r="C108" s="1426"/>
      <c r="D108" s="1427"/>
      <c r="E108" s="1427"/>
      <c r="F108" s="1427"/>
      <c r="G108" s="1427" t="s">
        <v>309</v>
      </c>
      <c r="H108" s="1427"/>
      <c r="I108" s="1427"/>
      <c r="J108" s="1427"/>
      <c r="K108" s="1427"/>
      <c r="L108" s="1427"/>
      <c r="M108" s="1430" t="s">
        <v>310</v>
      </c>
      <c r="N108" s="1430"/>
      <c r="O108" s="1430" t="s">
        <v>311</v>
      </c>
      <c r="P108" s="1430"/>
      <c r="Q108" s="1430" t="s">
        <v>312</v>
      </c>
      <c r="R108" s="1430"/>
      <c r="S108" s="1430" t="s">
        <v>313</v>
      </c>
      <c r="T108" s="1430"/>
      <c r="U108" s="1441">
        <v>1</v>
      </c>
      <c r="V108" s="1442"/>
      <c r="X108" s="1905"/>
      <c r="Y108" s="1906"/>
      <c r="Z108" s="1906"/>
      <c r="AA108" s="1906"/>
      <c r="AB108" s="1906"/>
      <c r="AC108" s="1906"/>
      <c r="AD108" s="1907"/>
      <c r="AE108" s="1908"/>
      <c r="AF108" s="1940"/>
      <c r="AG108" s="1941"/>
      <c r="AH108" s="1941"/>
      <c r="AI108" s="1941"/>
      <c r="AJ108" s="1941"/>
      <c r="AK108" s="1941"/>
      <c r="AL108" s="1941"/>
      <c r="AM108" s="1942"/>
      <c r="BA108" s="1706"/>
      <c r="BB108" s="1707"/>
      <c r="BC108" s="1918"/>
      <c r="BD108" s="1919"/>
      <c r="BE108" s="1708"/>
      <c r="BF108" s="1708"/>
      <c r="BG108" s="1708"/>
      <c r="BH108" s="1708"/>
      <c r="BI108" s="1708"/>
      <c r="BJ108" s="1708"/>
      <c r="BK108" s="1708"/>
      <c r="BL108" s="1708"/>
      <c r="BM108" s="1708"/>
      <c r="BN108" s="1708"/>
      <c r="BO108" s="1708"/>
      <c r="BP108" s="1708"/>
      <c r="BQ108" s="1708"/>
      <c r="BR108" s="1708"/>
      <c r="BS108" s="1708"/>
      <c r="BT108" s="1709"/>
      <c r="BV108" s="1516"/>
      <c r="BW108" s="1517"/>
      <c r="BX108" s="1517"/>
      <c r="BY108" s="1517"/>
      <c r="BZ108" s="1517"/>
      <c r="CA108" s="1517"/>
      <c r="CB108" s="1517"/>
      <c r="CC108" s="1517"/>
      <c r="CD108" s="1517"/>
      <c r="CE108" s="1517"/>
      <c r="CF108" s="1517"/>
      <c r="CG108" s="1517"/>
      <c r="CH108" s="1517"/>
      <c r="CI108" s="1517"/>
      <c r="CJ108" s="1517"/>
      <c r="CK108" s="1517"/>
      <c r="CL108" s="1517"/>
      <c r="CM108" s="1517"/>
      <c r="CN108" s="1517"/>
      <c r="CO108" s="1517"/>
      <c r="CP108" s="1517"/>
      <c r="CQ108" s="1517"/>
      <c r="CR108" s="1518"/>
      <c r="CS108" s="792"/>
      <c r="CT108" s="1943" t="s">
        <v>314</v>
      </c>
      <c r="CU108" s="1944"/>
      <c r="CV108" s="1944"/>
      <c r="CW108" s="1944"/>
      <c r="CX108" s="1944"/>
      <c r="CY108" s="1944"/>
      <c r="CZ108" s="1944"/>
      <c r="DA108" s="1945"/>
      <c r="DB108" s="1943" t="s">
        <v>314</v>
      </c>
      <c r="DC108" s="1944"/>
      <c r="DD108" s="1944"/>
      <c r="DE108" s="1944"/>
      <c r="DF108" s="1944"/>
      <c r="DG108" s="1944"/>
      <c r="DH108" s="1944"/>
      <c r="DI108" s="1945"/>
      <c r="DJ108" s="1943" t="s">
        <v>314</v>
      </c>
      <c r="DK108" s="1944"/>
      <c r="DL108" s="1944"/>
      <c r="DM108" s="1944"/>
      <c r="DN108" s="1944"/>
      <c r="DO108" s="1944"/>
      <c r="DP108" s="1944"/>
      <c r="DQ108" s="1945"/>
    </row>
    <row r="109" spans="2:121" ht="16.5" outlineLevel="2">
      <c r="C109" s="1426"/>
      <c r="D109" s="1427"/>
      <c r="E109" s="1427"/>
      <c r="F109" s="1427"/>
      <c r="G109" s="1427"/>
      <c r="H109" s="1427"/>
      <c r="I109" s="1427"/>
      <c r="J109" s="1427"/>
      <c r="K109" s="1427"/>
      <c r="L109" s="1427"/>
      <c r="M109" s="1430"/>
      <c r="N109" s="1430"/>
      <c r="O109" s="1430"/>
      <c r="P109" s="1430"/>
      <c r="Q109" s="1430"/>
      <c r="R109" s="1430"/>
      <c r="S109" s="1430"/>
      <c r="T109" s="1430"/>
      <c r="U109" s="1441"/>
      <c r="V109" s="1442"/>
      <c r="X109" s="1909" t="s">
        <v>315</v>
      </c>
      <c r="Y109" s="1910"/>
      <c r="Z109" s="1910"/>
      <c r="AA109" s="1910"/>
      <c r="AB109" s="1910"/>
      <c r="AC109" s="1910"/>
      <c r="AD109" s="1911" t="s">
        <v>304</v>
      </c>
      <c r="AE109" s="1912"/>
      <c r="AF109" s="1946" t="s">
        <v>316</v>
      </c>
      <c r="AG109" s="1947"/>
      <c r="AH109" s="1947"/>
      <c r="AI109" s="1948"/>
      <c r="AJ109" s="1949" t="s">
        <v>317</v>
      </c>
      <c r="AK109" s="1947"/>
      <c r="AL109" s="1947"/>
      <c r="AM109" s="1950"/>
      <c r="BA109" s="1679"/>
      <c r="BB109" s="1680"/>
      <c r="BC109" s="1935"/>
      <c r="BD109" s="1936"/>
      <c r="BE109" s="1681"/>
      <c r="BF109" s="1681"/>
      <c r="BG109" s="1681"/>
      <c r="BH109" s="1681"/>
      <c r="BI109" s="1681"/>
      <c r="BJ109" s="1681"/>
      <c r="BK109" s="1681"/>
      <c r="BL109" s="1681"/>
      <c r="BM109" s="1681"/>
      <c r="BN109" s="1681"/>
      <c r="BO109" s="1681"/>
      <c r="BP109" s="1681"/>
      <c r="BQ109" s="1681"/>
      <c r="BR109" s="1681"/>
      <c r="BS109" s="1681"/>
      <c r="BT109" s="1682"/>
      <c r="BV109" s="1516"/>
      <c r="BW109" s="1517"/>
      <c r="BX109" s="1517"/>
      <c r="BY109" s="1517"/>
      <c r="BZ109" s="1517"/>
      <c r="CA109" s="1517"/>
      <c r="CB109" s="1517"/>
      <c r="CC109" s="1517"/>
      <c r="CD109" s="1517"/>
      <c r="CE109" s="1517"/>
      <c r="CF109" s="1517"/>
      <c r="CG109" s="1517"/>
      <c r="CH109" s="1517"/>
      <c r="CI109" s="1517"/>
      <c r="CJ109" s="1517"/>
      <c r="CK109" s="1517"/>
      <c r="CL109" s="1517"/>
      <c r="CM109" s="1517"/>
      <c r="CN109" s="1517"/>
      <c r="CO109" s="1517"/>
      <c r="CP109" s="1517"/>
      <c r="CQ109" s="1517"/>
      <c r="CR109" s="1518"/>
      <c r="CT109" s="1951" t="s">
        <v>318</v>
      </c>
      <c r="CU109" s="1952"/>
      <c r="CV109" s="1952"/>
      <c r="CW109" s="1952"/>
      <c r="CX109" s="1952"/>
      <c r="CY109" s="1952"/>
      <c r="CZ109" s="1952"/>
      <c r="DA109" s="1952"/>
      <c r="DB109" s="1952"/>
      <c r="DC109" s="1952"/>
      <c r="DD109" s="1952"/>
      <c r="DE109" s="1952"/>
      <c r="DF109" s="1952"/>
      <c r="DG109" s="1952"/>
      <c r="DH109" s="1952"/>
      <c r="DI109" s="1952"/>
      <c r="DJ109" s="1952"/>
      <c r="DK109" s="1952"/>
      <c r="DL109" s="1952"/>
      <c r="DM109" s="1952"/>
      <c r="DN109" s="1952"/>
      <c r="DO109" s="1952"/>
      <c r="DP109" s="1952"/>
      <c r="DQ109" s="1953"/>
    </row>
    <row r="110" spans="2:121" ht="16.5" outlineLevel="2">
      <c r="C110" s="1426" t="s">
        <v>319</v>
      </c>
      <c r="D110" s="1427"/>
      <c r="E110" s="1427"/>
      <c r="F110" s="1427"/>
      <c r="G110" s="1427"/>
      <c r="H110" s="1427"/>
      <c r="I110" s="1427"/>
      <c r="J110" s="1427"/>
      <c r="K110" s="1427"/>
      <c r="L110" s="1427"/>
      <c r="M110" s="1427"/>
      <c r="N110" s="1427"/>
      <c r="O110" s="1427"/>
      <c r="P110" s="1427"/>
      <c r="Q110" s="1427"/>
      <c r="R110" s="1427"/>
      <c r="S110" s="1427"/>
      <c r="T110" s="1427"/>
      <c r="U110" s="1427"/>
      <c r="V110" s="1435"/>
      <c r="X110" s="1905"/>
      <c r="Y110" s="1906"/>
      <c r="Z110" s="1906"/>
      <c r="AA110" s="1906"/>
      <c r="AB110" s="1906"/>
      <c r="AC110" s="1906"/>
      <c r="AD110" s="1907"/>
      <c r="AE110" s="1908"/>
      <c r="AF110" s="1926"/>
      <c r="AG110" s="1927"/>
      <c r="AH110" s="1927"/>
      <c r="AI110" s="1928"/>
      <c r="AJ110" s="1929"/>
      <c r="AK110" s="1930"/>
      <c r="AL110" s="1930"/>
      <c r="AM110" s="1931"/>
      <c r="BA110" s="1706"/>
      <c r="BB110" s="1707"/>
      <c r="BC110" s="1918"/>
      <c r="BD110" s="1919"/>
      <c r="BE110" s="1708"/>
      <c r="BF110" s="1708"/>
      <c r="BG110" s="1708"/>
      <c r="BH110" s="1708"/>
      <c r="BI110" s="1708"/>
      <c r="BJ110" s="1708"/>
      <c r="BK110" s="1708"/>
      <c r="BL110" s="1708"/>
      <c r="BM110" s="1708"/>
      <c r="BN110" s="1708"/>
      <c r="BO110" s="1708"/>
      <c r="BP110" s="1708"/>
      <c r="BQ110" s="1708"/>
      <c r="BR110" s="1708"/>
      <c r="BS110" s="1708"/>
      <c r="BT110" s="1709"/>
      <c r="BV110" s="1516"/>
      <c r="BW110" s="1517"/>
      <c r="BX110" s="1517"/>
      <c r="BY110" s="1517"/>
      <c r="BZ110" s="1517"/>
      <c r="CA110" s="1517"/>
      <c r="CB110" s="1517"/>
      <c r="CC110" s="1517"/>
      <c r="CD110" s="1517"/>
      <c r="CE110" s="1517"/>
      <c r="CF110" s="1517"/>
      <c r="CG110" s="1517"/>
      <c r="CH110" s="1517"/>
      <c r="CI110" s="1517"/>
      <c r="CJ110" s="1517"/>
      <c r="CK110" s="1517"/>
      <c r="CL110" s="1517"/>
      <c r="CM110" s="1517"/>
      <c r="CN110" s="1517"/>
      <c r="CO110" s="1517"/>
      <c r="CP110" s="1517"/>
      <c r="CQ110" s="1517"/>
      <c r="CR110" s="1518"/>
      <c r="CT110" s="1242"/>
      <c r="CU110" s="792"/>
      <c r="CV110" s="792"/>
      <c r="CW110" s="792"/>
      <c r="CX110" s="792"/>
      <c r="CY110" s="792"/>
      <c r="CZ110" s="792"/>
      <c r="DA110" s="792"/>
      <c r="DB110" s="792"/>
      <c r="DC110" s="792"/>
      <c r="DD110" s="792"/>
      <c r="DE110" s="792"/>
      <c r="DF110" s="792"/>
      <c r="DG110" s="792"/>
      <c r="DH110" s="792"/>
      <c r="DI110" s="792"/>
      <c r="DJ110" s="792"/>
      <c r="DK110" s="792"/>
      <c r="DL110" s="792"/>
      <c r="DM110" s="792"/>
      <c r="DN110" s="792"/>
      <c r="DO110" s="792"/>
      <c r="DP110" s="792"/>
      <c r="DQ110" s="1243"/>
    </row>
    <row r="111" spans="2:121" ht="16.5" outlineLevel="2">
      <c r="C111" s="1426"/>
      <c r="D111" s="1427"/>
      <c r="E111" s="1427"/>
      <c r="F111" s="1427"/>
      <c r="G111" s="1427"/>
      <c r="H111" s="1427"/>
      <c r="I111" s="1427"/>
      <c r="J111" s="1427"/>
      <c r="K111" s="1427"/>
      <c r="L111" s="1427"/>
      <c r="M111" s="1427"/>
      <c r="N111" s="1427"/>
      <c r="O111" s="1427"/>
      <c r="P111" s="1427"/>
      <c r="Q111" s="1427"/>
      <c r="R111" s="1427"/>
      <c r="S111" s="1427"/>
      <c r="T111" s="1427"/>
      <c r="U111" s="1427"/>
      <c r="V111" s="1435"/>
      <c r="X111" s="1909" t="s">
        <v>320</v>
      </c>
      <c r="Y111" s="1910"/>
      <c r="Z111" s="1910"/>
      <c r="AA111" s="1910"/>
      <c r="AB111" s="1910"/>
      <c r="AC111" s="1910"/>
      <c r="AD111" s="1911" t="s">
        <v>304</v>
      </c>
      <c r="AE111" s="1912"/>
      <c r="AF111" s="1932" t="s">
        <v>321</v>
      </c>
      <c r="AG111" s="1933"/>
      <c r="AH111" s="1933"/>
      <c r="AI111" s="1933"/>
      <c r="AJ111" s="1933"/>
      <c r="AK111" s="1933"/>
      <c r="AL111" s="1933"/>
      <c r="AM111" s="1934"/>
      <c r="BA111" s="1679"/>
      <c r="BB111" s="1680"/>
      <c r="BC111" s="1935"/>
      <c r="BD111" s="1936"/>
      <c r="BE111" s="1681"/>
      <c r="BF111" s="1681"/>
      <c r="BG111" s="1681"/>
      <c r="BH111" s="1681"/>
      <c r="BI111" s="1681"/>
      <c r="BJ111" s="1681"/>
      <c r="BK111" s="1681"/>
      <c r="BL111" s="1681"/>
      <c r="BM111" s="1681"/>
      <c r="BN111" s="1681"/>
      <c r="BO111" s="1681"/>
      <c r="BP111" s="1681"/>
      <c r="BQ111" s="1681"/>
      <c r="BR111" s="1681"/>
      <c r="BS111" s="1681"/>
      <c r="BT111" s="1682"/>
      <c r="BV111" s="1516"/>
      <c r="BW111" s="1517"/>
      <c r="BX111" s="1517"/>
      <c r="BY111" s="1517"/>
      <c r="BZ111" s="1517"/>
      <c r="CA111" s="1517"/>
      <c r="CB111" s="1517"/>
      <c r="CC111" s="1517"/>
      <c r="CD111" s="1517"/>
      <c r="CE111" s="1517"/>
      <c r="CF111" s="1517"/>
      <c r="CG111" s="1517"/>
      <c r="CH111" s="1517"/>
      <c r="CI111" s="1517"/>
      <c r="CJ111" s="1517"/>
      <c r="CK111" s="1517"/>
      <c r="CL111" s="1517"/>
      <c r="CM111" s="1517"/>
      <c r="CN111" s="1517"/>
      <c r="CO111" s="1517"/>
      <c r="CP111" s="1517"/>
      <c r="CQ111" s="1517"/>
      <c r="CR111" s="1518"/>
      <c r="CT111" s="1242"/>
      <c r="CU111" s="792"/>
      <c r="CV111" s="792"/>
      <c r="CW111" s="792"/>
      <c r="CX111" s="792"/>
      <c r="CY111" s="792"/>
      <c r="CZ111" s="792"/>
      <c r="DA111" s="792"/>
      <c r="DB111" s="792"/>
      <c r="DC111" s="792"/>
      <c r="DD111" s="792"/>
      <c r="DE111" s="792"/>
      <c r="DF111" s="792"/>
      <c r="DG111" s="792"/>
      <c r="DH111" s="792"/>
      <c r="DI111" s="792"/>
      <c r="DJ111" s="792"/>
      <c r="DK111" s="792"/>
      <c r="DL111" s="792"/>
      <c r="DM111" s="792"/>
      <c r="DN111" s="792"/>
      <c r="DO111" s="792"/>
      <c r="DP111" s="792"/>
      <c r="DQ111" s="1243"/>
    </row>
    <row r="112" spans="2:121" ht="16.5" outlineLevel="2">
      <c r="C112" s="1428" t="s">
        <v>322</v>
      </c>
      <c r="D112" s="1429"/>
      <c r="E112" s="1429"/>
      <c r="F112" s="1429"/>
      <c r="G112" s="1429"/>
      <c r="H112" s="1429"/>
      <c r="I112" s="1429"/>
      <c r="J112" s="1429"/>
      <c r="K112" s="1429"/>
      <c r="L112" s="1429"/>
      <c r="M112" s="1429" t="s">
        <v>323</v>
      </c>
      <c r="N112" s="1429"/>
      <c r="O112" s="1429"/>
      <c r="P112" s="1429"/>
      <c r="Q112" s="1429"/>
      <c r="R112" s="1429"/>
      <c r="S112" s="1429"/>
      <c r="T112" s="1429"/>
      <c r="U112" s="1429"/>
      <c r="V112" s="1904"/>
      <c r="X112" s="1905"/>
      <c r="Y112" s="1906"/>
      <c r="Z112" s="1906"/>
      <c r="AA112" s="1906"/>
      <c r="AB112" s="1906"/>
      <c r="AC112" s="1906"/>
      <c r="AD112" s="1907"/>
      <c r="AE112" s="1908"/>
      <c r="AF112" s="1767"/>
      <c r="AG112" s="1768"/>
      <c r="AH112" s="1768"/>
      <c r="AI112" s="1768"/>
      <c r="AJ112" s="1768"/>
      <c r="AK112" s="1768"/>
      <c r="AL112" s="1768"/>
      <c r="AM112" s="1774"/>
      <c r="BA112" s="1706"/>
      <c r="BB112" s="1707"/>
      <c r="BC112" s="1918"/>
      <c r="BD112" s="1919"/>
      <c r="BE112" s="1708"/>
      <c r="BF112" s="1708"/>
      <c r="BG112" s="1708"/>
      <c r="BH112" s="1708"/>
      <c r="BI112" s="1708"/>
      <c r="BJ112" s="1708"/>
      <c r="BK112" s="1708"/>
      <c r="BL112" s="1708"/>
      <c r="BM112" s="1708"/>
      <c r="BN112" s="1708"/>
      <c r="BO112" s="1708"/>
      <c r="BP112" s="1708"/>
      <c r="BQ112" s="1708"/>
      <c r="BR112" s="1708"/>
      <c r="BS112" s="1708"/>
      <c r="BT112" s="1709"/>
      <c r="BV112" s="1516"/>
      <c r="BW112" s="1517"/>
      <c r="BX112" s="1517"/>
      <c r="BY112" s="1517"/>
      <c r="BZ112" s="1517"/>
      <c r="CA112" s="1517"/>
      <c r="CB112" s="1517"/>
      <c r="CC112" s="1517"/>
      <c r="CD112" s="1517"/>
      <c r="CE112" s="1517"/>
      <c r="CF112" s="1517"/>
      <c r="CG112" s="1517"/>
      <c r="CH112" s="1517"/>
      <c r="CI112" s="1517"/>
      <c r="CJ112" s="1517"/>
      <c r="CK112" s="1517"/>
      <c r="CL112" s="1517"/>
      <c r="CM112" s="1517"/>
      <c r="CN112" s="1517"/>
      <c r="CO112" s="1517"/>
      <c r="CP112" s="1517"/>
      <c r="CQ112" s="1517"/>
      <c r="CR112" s="1518"/>
      <c r="CT112" s="1242"/>
      <c r="CU112" s="792"/>
      <c r="CV112" s="792"/>
      <c r="CW112" s="792"/>
      <c r="CX112" s="792"/>
      <c r="CY112" s="792"/>
      <c r="CZ112" s="792"/>
      <c r="DA112" s="792"/>
      <c r="DB112" s="792"/>
      <c r="DC112" s="792"/>
      <c r="DD112" s="792"/>
      <c r="DE112" s="792"/>
      <c r="DF112" s="792"/>
      <c r="DG112" s="792"/>
      <c r="DH112" s="792"/>
      <c r="DI112" s="792"/>
      <c r="DJ112" s="792"/>
      <c r="DK112" s="792"/>
      <c r="DL112" s="792"/>
      <c r="DM112" s="792"/>
      <c r="DN112" s="792"/>
      <c r="DO112" s="792"/>
      <c r="DP112" s="792"/>
      <c r="DQ112" s="1243"/>
    </row>
    <row r="113" spans="2:166" ht="16.5" outlineLevel="2">
      <c r="C113" s="1428" t="s">
        <v>271</v>
      </c>
      <c r="D113" s="1429"/>
      <c r="E113" s="1429" t="s">
        <v>324</v>
      </c>
      <c r="F113" s="1429"/>
      <c r="G113" s="1429"/>
      <c r="H113" s="1429"/>
      <c r="I113" s="1429"/>
      <c r="J113" s="1429"/>
      <c r="K113" s="1429"/>
      <c r="L113" s="1429"/>
      <c r="M113" s="1429"/>
      <c r="N113" s="1429"/>
      <c r="O113" s="1429"/>
      <c r="P113" s="1429"/>
      <c r="Q113" s="1429"/>
      <c r="R113" s="1429"/>
      <c r="S113" s="1429"/>
      <c r="T113" s="1429"/>
      <c r="U113" s="1429"/>
      <c r="V113" s="1904"/>
      <c r="W113" s="1244"/>
      <c r="X113" s="1909" t="s">
        <v>325</v>
      </c>
      <c r="Y113" s="1910"/>
      <c r="Z113" s="1910"/>
      <c r="AA113" s="1910"/>
      <c r="AB113" s="1910"/>
      <c r="AC113" s="1910"/>
      <c r="AD113" s="1911" t="s">
        <v>304</v>
      </c>
      <c r="AE113" s="1912"/>
      <c r="AF113" s="1767"/>
      <c r="AG113" s="1768"/>
      <c r="AH113" s="1768"/>
      <c r="AI113" s="1768"/>
      <c r="AJ113" s="1768"/>
      <c r="AK113" s="1768"/>
      <c r="AL113" s="1768"/>
      <c r="AM113" s="1774"/>
      <c r="BA113" s="1920"/>
      <c r="BB113" s="1921"/>
      <c r="BC113" s="1922"/>
      <c r="BD113" s="1923"/>
      <c r="BE113" s="1924"/>
      <c r="BF113" s="1924"/>
      <c r="BG113" s="1924"/>
      <c r="BH113" s="1924"/>
      <c r="BI113" s="1924"/>
      <c r="BJ113" s="1924"/>
      <c r="BK113" s="1924"/>
      <c r="BL113" s="1924"/>
      <c r="BM113" s="1924"/>
      <c r="BN113" s="1924"/>
      <c r="BO113" s="1924"/>
      <c r="BP113" s="1924"/>
      <c r="BQ113" s="1924"/>
      <c r="BR113" s="1924"/>
      <c r="BS113" s="1924"/>
      <c r="BT113" s="1925"/>
      <c r="BV113" s="1516"/>
      <c r="BW113" s="1517"/>
      <c r="BX113" s="1517"/>
      <c r="BY113" s="1517"/>
      <c r="BZ113" s="1517"/>
      <c r="CA113" s="1517"/>
      <c r="CB113" s="1517"/>
      <c r="CC113" s="1517"/>
      <c r="CD113" s="1517"/>
      <c r="CE113" s="1517"/>
      <c r="CF113" s="1517"/>
      <c r="CG113" s="1517"/>
      <c r="CH113" s="1517"/>
      <c r="CI113" s="1517"/>
      <c r="CJ113" s="1517"/>
      <c r="CK113" s="1517"/>
      <c r="CL113" s="1517"/>
      <c r="CM113" s="1517"/>
      <c r="CN113" s="1517"/>
      <c r="CO113" s="1517"/>
      <c r="CP113" s="1517"/>
      <c r="CQ113" s="1517"/>
      <c r="CR113" s="1518"/>
      <c r="CT113" s="1242"/>
      <c r="CU113" s="792"/>
      <c r="CV113" s="792"/>
      <c r="CW113" s="792"/>
      <c r="CX113" s="792"/>
      <c r="CY113" s="792"/>
      <c r="CZ113" s="792"/>
      <c r="DA113" s="792"/>
      <c r="DB113" s="792"/>
      <c r="DC113" s="792"/>
      <c r="DD113" s="792"/>
      <c r="DE113" s="792"/>
      <c r="DF113" s="792"/>
      <c r="DG113" s="792"/>
      <c r="DH113" s="792"/>
      <c r="DI113" s="792"/>
      <c r="DJ113" s="792"/>
      <c r="DK113" s="792"/>
      <c r="DL113" s="792"/>
      <c r="DM113" s="792"/>
      <c r="DN113" s="792"/>
      <c r="DO113" s="792"/>
      <c r="DP113" s="792"/>
      <c r="DQ113" s="1243"/>
    </row>
    <row r="114" spans="2:166" ht="16.5" outlineLevel="2">
      <c r="C114" s="1428" t="s">
        <v>326</v>
      </c>
      <c r="D114" s="1429"/>
      <c r="E114" s="1429" t="s">
        <v>327</v>
      </c>
      <c r="F114" s="1429"/>
      <c r="G114" s="1429"/>
      <c r="H114" s="1429"/>
      <c r="I114" s="1429"/>
      <c r="J114" s="1429"/>
      <c r="K114" s="1429"/>
      <c r="L114" s="1429"/>
      <c r="M114" s="1429"/>
      <c r="N114" s="1429"/>
      <c r="O114" s="1429"/>
      <c r="P114" s="1429"/>
      <c r="Q114" s="1429"/>
      <c r="R114" s="1429"/>
      <c r="S114" s="1429"/>
      <c r="T114" s="1429"/>
      <c r="U114" s="1429"/>
      <c r="V114" s="1904"/>
      <c r="X114" s="1905"/>
      <c r="Y114" s="1906"/>
      <c r="Z114" s="1906"/>
      <c r="AA114" s="1906"/>
      <c r="AB114" s="1906"/>
      <c r="AC114" s="1906"/>
      <c r="AD114" s="1907"/>
      <c r="AE114" s="1908"/>
      <c r="AF114" s="1767"/>
      <c r="AG114" s="1768"/>
      <c r="AH114" s="1768"/>
      <c r="AI114" s="1768"/>
      <c r="AJ114" s="1768"/>
      <c r="AK114" s="1768"/>
      <c r="AL114" s="1768"/>
      <c r="AM114" s="1774"/>
      <c r="BA114" s="1542" t="str">
        <f>"资产总和："&amp;IF(BK77="没有","没有任何",BK77)&amp;BR77</f>
        <v>资产总和：没有任何美元</v>
      </c>
      <c r="BB114" s="1542"/>
      <c r="BC114" s="1542"/>
      <c r="BD114" s="1542"/>
      <c r="BE114" s="1542"/>
      <c r="BF114" s="1542"/>
      <c r="BG114" s="1542"/>
      <c r="BH114" s="1542" t="str">
        <f>"已使用"&amp;SUM(BK117:BL128,BS117:BT128,BI132:BJ146,BS132:BT146)&amp;BR77</f>
        <v>已使用0美元</v>
      </c>
      <c r="BI114" s="1542"/>
      <c r="BJ114" s="1542"/>
      <c r="BK114" s="1542"/>
      <c r="BL114" s="1542"/>
      <c r="BM114" s="1542"/>
      <c r="BN114" s="1542" t="str">
        <f>IFERROR("富余"&amp;BK77-SUM(BK117:BL128,BS117:BT128,BI132:BJ146,BS132:BT146)&amp;BR77,"没有任何资产")</f>
        <v>没有任何资产</v>
      </c>
      <c r="BO114" s="1542"/>
      <c r="BP114" s="1542"/>
      <c r="BQ114" s="1542"/>
      <c r="BR114" s="1542"/>
      <c r="BS114" s="1542"/>
      <c r="BT114" s="1542"/>
      <c r="BV114" s="1516"/>
      <c r="BW114" s="1517"/>
      <c r="BX114" s="1517"/>
      <c r="BY114" s="1517"/>
      <c r="BZ114" s="1517"/>
      <c r="CA114" s="1517"/>
      <c r="CB114" s="1517"/>
      <c r="CC114" s="1517"/>
      <c r="CD114" s="1517"/>
      <c r="CE114" s="1517"/>
      <c r="CF114" s="1517"/>
      <c r="CG114" s="1517"/>
      <c r="CH114" s="1517"/>
      <c r="CI114" s="1517"/>
      <c r="CJ114" s="1517"/>
      <c r="CK114" s="1517"/>
      <c r="CL114" s="1517"/>
      <c r="CM114" s="1517"/>
      <c r="CN114" s="1517"/>
      <c r="CO114" s="1517"/>
      <c r="CP114" s="1517"/>
      <c r="CQ114" s="1517"/>
      <c r="CR114" s="1518"/>
      <c r="CT114" s="1242"/>
      <c r="CU114" s="792"/>
      <c r="CV114" s="792"/>
      <c r="CW114" s="792"/>
      <c r="CX114" s="792"/>
      <c r="CY114" s="792"/>
      <c r="CZ114" s="792"/>
      <c r="DA114" s="792"/>
      <c r="DB114" s="792"/>
      <c r="DC114" s="792"/>
      <c r="DD114" s="792"/>
      <c r="DE114" s="792"/>
      <c r="DF114" s="792"/>
      <c r="DG114" s="792"/>
      <c r="DH114" s="792"/>
      <c r="DI114" s="792"/>
      <c r="DJ114" s="792"/>
      <c r="DK114" s="792"/>
      <c r="DL114" s="792"/>
      <c r="DM114" s="792"/>
      <c r="DN114" s="792"/>
      <c r="DO114" s="792"/>
      <c r="DP114" s="792"/>
      <c r="DQ114" s="1243"/>
    </row>
    <row r="115" spans="2:166" ht="16.5" outlineLevel="2">
      <c r="C115" s="1428" t="s">
        <v>328</v>
      </c>
      <c r="D115" s="1429"/>
      <c r="E115" s="1427" t="s">
        <v>329</v>
      </c>
      <c r="F115" s="1427"/>
      <c r="G115" s="1427"/>
      <c r="H115" s="1427"/>
      <c r="I115" s="1427"/>
      <c r="J115" s="1427"/>
      <c r="K115" s="1427"/>
      <c r="L115" s="1427"/>
      <c r="M115" s="1427"/>
      <c r="N115" s="1427"/>
      <c r="O115" s="1427"/>
      <c r="P115" s="1427"/>
      <c r="Q115" s="1427"/>
      <c r="R115" s="1427"/>
      <c r="S115" s="1427"/>
      <c r="T115" s="1427"/>
      <c r="U115" s="1427"/>
      <c r="V115" s="1435"/>
      <c r="X115" s="1909" t="s">
        <v>330</v>
      </c>
      <c r="Y115" s="1910"/>
      <c r="Z115" s="1910"/>
      <c r="AA115" s="1910"/>
      <c r="AB115" s="1910"/>
      <c r="AC115" s="1910"/>
      <c r="AD115" s="1911" t="s">
        <v>304</v>
      </c>
      <c r="AE115" s="1912"/>
      <c r="AF115" s="1767"/>
      <c r="AG115" s="1768"/>
      <c r="AH115" s="1768"/>
      <c r="AI115" s="1768"/>
      <c r="AJ115" s="1768"/>
      <c r="AK115" s="1768"/>
      <c r="AL115" s="1768"/>
      <c r="AM115" s="1774"/>
      <c r="BA115" s="1913" t="s">
        <v>331</v>
      </c>
      <c r="BB115" s="1914"/>
      <c r="BC115" s="1914"/>
      <c r="BD115" s="1914"/>
      <c r="BE115" s="1914"/>
      <c r="BF115" s="1914"/>
      <c r="BG115" s="1914"/>
      <c r="BH115" s="1914"/>
      <c r="BI115" s="1914"/>
      <c r="BJ115" s="1914"/>
      <c r="BK115" s="1914"/>
      <c r="BL115" s="1915"/>
      <c r="BM115" s="1916" t="str">
        <f>附表!J92</f>
        <v>衣不蔽体！</v>
      </c>
      <c r="BN115" s="1914"/>
      <c r="BO115" s="1914"/>
      <c r="BP115" s="1914"/>
      <c r="BQ115" s="1914"/>
      <c r="BR115" s="1914"/>
      <c r="BS115" s="1914"/>
      <c r="BT115" s="1917"/>
      <c r="BV115" s="1519"/>
      <c r="BW115" s="1520"/>
      <c r="BX115" s="1520"/>
      <c r="BY115" s="1520"/>
      <c r="BZ115" s="1520"/>
      <c r="CA115" s="1520"/>
      <c r="CB115" s="1520"/>
      <c r="CC115" s="1520"/>
      <c r="CD115" s="1520"/>
      <c r="CE115" s="1520"/>
      <c r="CF115" s="1520"/>
      <c r="CG115" s="1520"/>
      <c r="CH115" s="1520"/>
      <c r="CI115" s="1520"/>
      <c r="CJ115" s="1520"/>
      <c r="CK115" s="1520"/>
      <c r="CL115" s="1520"/>
      <c r="CM115" s="1520"/>
      <c r="CN115" s="1520"/>
      <c r="CO115" s="1520"/>
      <c r="CP115" s="1520"/>
      <c r="CQ115" s="1520"/>
      <c r="CR115" s="1521"/>
      <c r="CT115" s="1245"/>
      <c r="CU115" s="1146"/>
      <c r="CV115" s="1146"/>
      <c r="CW115" s="1146"/>
      <c r="CX115" s="1146"/>
      <c r="CY115" s="1146"/>
      <c r="CZ115" s="1146"/>
      <c r="DA115" s="1146"/>
      <c r="DB115" s="1146"/>
      <c r="DC115" s="1146"/>
      <c r="DD115" s="1146"/>
      <c r="DE115" s="1146"/>
      <c r="DF115" s="1146"/>
      <c r="DG115" s="1146"/>
      <c r="DH115" s="1146"/>
      <c r="DI115" s="1146"/>
      <c r="DJ115" s="1146"/>
      <c r="DK115" s="1146"/>
      <c r="DL115" s="1146"/>
      <c r="DM115" s="1146"/>
      <c r="DN115" s="1146"/>
      <c r="DO115" s="1146"/>
      <c r="DP115" s="1146"/>
      <c r="DQ115" s="1246"/>
    </row>
    <row r="116" spans="2:166" ht="16.5" outlineLevel="2">
      <c r="C116" s="1428"/>
      <c r="D116" s="1429"/>
      <c r="E116" s="1427"/>
      <c r="F116" s="1427"/>
      <c r="G116" s="1427"/>
      <c r="H116" s="1427"/>
      <c r="I116" s="1427"/>
      <c r="J116" s="1427"/>
      <c r="K116" s="1427"/>
      <c r="L116" s="1427"/>
      <c r="M116" s="1427"/>
      <c r="N116" s="1427"/>
      <c r="O116" s="1427"/>
      <c r="P116" s="1427"/>
      <c r="Q116" s="1427"/>
      <c r="R116" s="1427"/>
      <c r="S116" s="1427"/>
      <c r="T116" s="1427"/>
      <c r="U116" s="1427"/>
      <c r="V116" s="1435"/>
      <c r="X116" s="1905"/>
      <c r="Y116" s="1906"/>
      <c r="Z116" s="1906"/>
      <c r="AA116" s="1906"/>
      <c r="AB116" s="1906"/>
      <c r="AC116" s="1906"/>
      <c r="AD116" s="1907"/>
      <c r="AE116" s="1908"/>
      <c r="AF116" s="1767"/>
      <c r="AG116" s="1768"/>
      <c r="AH116" s="1768"/>
      <c r="AI116" s="1768"/>
      <c r="AJ116" s="1768"/>
      <c r="AK116" s="1768"/>
      <c r="AL116" s="1768"/>
      <c r="AM116" s="1774"/>
      <c r="BA116" s="1747" t="s">
        <v>284</v>
      </c>
      <c r="BB116" s="1748"/>
      <c r="BC116" s="1748" t="s">
        <v>285</v>
      </c>
      <c r="BD116" s="1748"/>
      <c r="BE116" s="1749" t="s">
        <v>286</v>
      </c>
      <c r="BF116" s="1750"/>
      <c r="BG116" s="1750"/>
      <c r="BH116" s="1750"/>
      <c r="BI116" s="1750"/>
      <c r="BJ116" s="1751"/>
      <c r="BK116" s="1749" t="s">
        <v>275</v>
      </c>
      <c r="BL116" s="1751"/>
      <c r="BM116" s="1750" t="s">
        <v>332</v>
      </c>
      <c r="BN116" s="1750"/>
      <c r="BO116" s="1750"/>
      <c r="BP116" s="1750"/>
      <c r="BQ116" s="1750"/>
      <c r="BR116" s="1751"/>
      <c r="BS116" s="1749" t="s">
        <v>275</v>
      </c>
      <c r="BT116" s="1752"/>
      <c r="BV116" s="1247"/>
      <c r="BW116" s="1247"/>
      <c r="BX116" s="1248"/>
      <c r="BY116" s="1248"/>
      <c r="BZ116" s="1248"/>
      <c r="CA116" s="1248"/>
      <c r="CB116" s="1247"/>
      <c r="CC116" s="1247"/>
      <c r="CD116" s="1247"/>
      <c r="CE116" s="1247"/>
      <c r="CF116" s="1247"/>
      <c r="CG116" s="1247"/>
      <c r="CH116" s="1247"/>
      <c r="CI116" s="1247"/>
      <c r="CJ116" s="1247"/>
      <c r="CK116" s="1247"/>
      <c r="CL116" s="1247"/>
      <c r="CM116" s="1247"/>
      <c r="CN116" s="1247"/>
      <c r="CO116" s="1247"/>
      <c r="CP116" s="1247"/>
      <c r="CQ116" s="1247"/>
      <c r="CR116" s="1247"/>
      <c r="CT116" s="1886" t="s">
        <v>333</v>
      </c>
      <c r="CU116" s="1886"/>
      <c r="CV116" s="1886"/>
      <c r="CW116" s="1886"/>
      <c r="CX116" s="1886"/>
      <c r="CY116" s="1886"/>
      <c r="CZ116" s="1886"/>
      <c r="DA116" s="1886"/>
      <c r="DB116" s="1886"/>
      <c r="DC116" s="1886"/>
      <c r="DD116" s="1886"/>
      <c r="DE116" s="1886"/>
      <c r="DF116" s="1886"/>
      <c r="DG116" s="1886"/>
      <c r="DH116" s="1886"/>
      <c r="DI116" s="1886"/>
      <c r="DJ116" s="1886"/>
      <c r="DK116" s="1886"/>
      <c r="DL116" s="1886"/>
      <c r="DM116" s="1886"/>
      <c r="DN116" s="1886"/>
      <c r="DO116" s="1886"/>
      <c r="DP116" s="1886"/>
      <c r="DQ116" s="1886"/>
    </row>
    <row r="117" spans="2:166" ht="16.5" outlineLevel="1">
      <c r="C117" s="1887" t="s">
        <v>334</v>
      </c>
      <c r="D117" s="1888"/>
      <c r="E117" s="1888"/>
      <c r="F117" s="1888"/>
      <c r="G117" s="1888"/>
      <c r="H117" s="1888"/>
      <c r="I117" s="1888"/>
      <c r="J117" s="1888"/>
      <c r="K117" s="1888"/>
      <c r="L117" s="1888"/>
      <c r="M117" s="1888" t="s">
        <v>335</v>
      </c>
      <c r="N117" s="1888"/>
      <c r="O117" s="1888"/>
      <c r="P117" s="1888"/>
      <c r="Q117" s="1888"/>
      <c r="R117" s="1888"/>
      <c r="S117" s="1888"/>
      <c r="T117" s="1888"/>
      <c r="U117" s="1888"/>
      <c r="V117" s="1889"/>
      <c r="X117" s="1890" t="s">
        <v>336</v>
      </c>
      <c r="Y117" s="1891"/>
      <c r="Z117" s="1891"/>
      <c r="AA117" s="1891"/>
      <c r="AB117" s="1891"/>
      <c r="AC117" s="1891"/>
      <c r="AD117" s="1891"/>
      <c r="AE117" s="1892"/>
      <c r="AF117" s="1767"/>
      <c r="AG117" s="1768"/>
      <c r="AH117" s="1768"/>
      <c r="AI117" s="1768"/>
      <c r="AJ117" s="1768"/>
      <c r="AK117" s="1768"/>
      <c r="AL117" s="1768"/>
      <c r="AM117" s="1774"/>
      <c r="BA117" s="1806" t="s">
        <v>291</v>
      </c>
      <c r="BB117" s="1807"/>
      <c r="BC117" s="1808" t="s">
        <v>337</v>
      </c>
      <c r="BD117" s="1808"/>
      <c r="BE117" s="1893"/>
      <c r="BF117" s="1894"/>
      <c r="BG117" s="1894"/>
      <c r="BH117" s="1894"/>
      <c r="BI117" s="1894"/>
      <c r="BJ117" s="1894"/>
      <c r="BK117" s="1894"/>
      <c r="BL117" s="1894"/>
      <c r="BM117" s="1894"/>
      <c r="BN117" s="1894"/>
      <c r="BO117" s="1894"/>
      <c r="BP117" s="1894"/>
      <c r="BQ117" s="1894"/>
      <c r="BR117" s="1894"/>
      <c r="BS117" s="1894"/>
      <c r="BT117" s="1895"/>
      <c r="BV117" s="1896" t="s">
        <v>338</v>
      </c>
      <c r="BW117" s="1896"/>
      <c r="BX117" s="1897"/>
      <c r="BY117" s="1897"/>
      <c r="BZ117" s="1897"/>
      <c r="CA117" s="1897"/>
      <c r="CB117" s="1896"/>
      <c r="CC117" s="1896"/>
      <c r="CD117" s="1896"/>
      <c r="CE117" s="1896"/>
      <c r="CF117" s="1896"/>
      <c r="CG117" s="1896"/>
      <c r="CH117" s="1896"/>
      <c r="CI117" s="1896"/>
      <c r="CJ117" s="1896"/>
      <c r="CK117" s="1896"/>
      <c r="CL117" s="1896"/>
      <c r="CM117" s="1896"/>
      <c r="CN117" s="1896"/>
      <c r="CO117" s="1896"/>
      <c r="CP117" s="1896"/>
      <c r="CQ117" s="1896"/>
      <c r="CR117" s="1896"/>
      <c r="CS117" s="792"/>
      <c r="CT117" s="1896" t="s">
        <v>339</v>
      </c>
      <c r="CU117" s="1896"/>
      <c r="CV117" s="1896"/>
      <c r="CW117" s="1896"/>
      <c r="CX117" s="1896"/>
      <c r="CY117" s="1896"/>
      <c r="CZ117" s="1896"/>
      <c r="DA117" s="1896"/>
      <c r="DB117" s="1896"/>
      <c r="DC117" s="1896"/>
      <c r="DD117" s="1896"/>
      <c r="DE117" s="1896"/>
      <c r="DF117" s="1896"/>
      <c r="DG117" s="1896"/>
      <c r="DH117" s="1896"/>
      <c r="DI117" s="1896"/>
      <c r="DJ117" s="1896"/>
      <c r="DK117" s="1896"/>
      <c r="DL117" s="1896"/>
      <c r="DM117" s="1896"/>
      <c r="DN117" s="1896"/>
      <c r="DO117" s="1896"/>
      <c r="DP117" s="1896"/>
      <c r="EX117"/>
      <c r="EY117"/>
      <c r="EZ117"/>
      <c r="FA117"/>
      <c r="FB117"/>
      <c r="FC117"/>
      <c r="FD117"/>
      <c r="FE117"/>
      <c r="FF117"/>
      <c r="FG117"/>
      <c r="FH117"/>
      <c r="FI117"/>
      <c r="FJ117"/>
    </row>
    <row r="118" spans="2:166" ht="16.5" outlineLevel="1">
      <c r="C118" s="1898" t="s">
        <v>340</v>
      </c>
      <c r="D118" s="1899"/>
      <c r="E118" s="1899"/>
      <c r="F118" s="1899"/>
      <c r="G118" s="1899"/>
      <c r="H118" s="1899"/>
      <c r="I118" s="1899"/>
      <c r="J118" s="1899"/>
      <c r="K118" s="1899"/>
      <c r="L118" s="1899"/>
      <c r="M118" s="1899"/>
      <c r="N118" s="1899"/>
      <c r="O118" s="1899"/>
      <c r="P118" s="1899"/>
      <c r="Q118" s="1899"/>
      <c r="R118" s="1899"/>
      <c r="S118" s="1899"/>
      <c r="T118" s="1899"/>
      <c r="U118" s="1899"/>
      <c r="V118" s="1900"/>
      <c r="X118" s="1901" t="s">
        <v>341</v>
      </c>
      <c r="Y118" s="1902"/>
      <c r="Z118" s="1902"/>
      <c r="AA118" s="1902"/>
      <c r="AB118" s="1902"/>
      <c r="AC118" s="1902"/>
      <c r="AD118" s="1902"/>
      <c r="AE118" s="1903"/>
      <c r="AF118" s="1767"/>
      <c r="AG118" s="1768"/>
      <c r="AH118" s="1768"/>
      <c r="AI118" s="1768"/>
      <c r="AJ118" s="1768"/>
      <c r="AK118" s="1768"/>
      <c r="AL118" s="1768"/>
      <c r="AM118" s="1774"/>
      <c r="BA118" s="1782" t="s">
        <v>291</v>
      </c>
      <c r="BB118" s="1783"/>
      <c r="BC118" s="1784" t="s">
        <v>342</v>
      </c>
      <c r="BD118" s="1784"/>
      <c r="BE118" s="1824"/>
      <c r="BF118" s="1825"/>
      <c r="BG118" s="1825"/>
      <c r="BH118" s="1825"/>
      <c r="BI118" s="1825"/>
      <c r="BJ118" s="1825"/>
      <c r="BK118" s="1825"/>
      <c r="BL118" s="1825"/>
      <c r="BM118" s="1825"/>
      <c r="BN118" s="1825"/>
      <c r="BO118" s="1825"/>
      <c r="BP118" s="1825"/>
      <c r="BQ118" s="1825"/>
      <c r="BR118" s="1825"/>
      <c r="BS118" s="1825"/>
      <c r="BT118" s="1826"/>
      <c r="BV118" s="1724" t="s">
        <v>343</v>
      </c>
      <c r="BW118" s="1725"/>
      <c r="BX118" s="1725"/>
      <c r="BY118" s="1725"/>
      <c r="BZ118" s="1725"/>
      <c r="CA118" s="1725"/>
      <c r="CB118" s="1725"/>
      <c r="CC118" s="1725"/>
      <c r="CD118" s="1725"/>
      <c r="CE118" s="1725"/>
      <c r="CF118" s="1725"/>
      <c r="CG118" s="1725"/>
      <c r="CH118" s="1725"/>
      <c r="CI118" s="1725"/>
      <c r="CJ118" s="1725"/>
      <c r="CK118" s="1725"/>
      <c r="CL118" s="1725"/>
      <c r="CM118" s="1725"/>
      <c r="CN118" s="1725"/>
      <c r="CO118" s="1725"/>
      <c r="CP118" s="1725"/>
      <c r="CQ118" s="1725"/>
      <c r="CR118" s="1725"/>
      <c r="CS118" s="1726"/>
      <c r="CU118" s="1724" t="s">
        <v>343</v>
      </c>
      <c r="CV118" s="1725"/>
      <c r="CW118" s="1725"/>
      <c r="CX118" s="1725"/>
      <c r="CY118" s="1725"/>
      <c r="CZ118" s="1725"/>
      <c r="DA118" s="1725"/>
      <c r="DB118" s="1725"/>
      <c r="DC118" s="1725"/>
      <c r="DD118" s="1725"/>
      <c r="DE118" s="1725"/>
      <c r="DF118" s="1725"/>
      <c r="DG118" s="1725"/>
      <c r="DH118" s="1725"/>
      <c r="DI118" s="1725"/>
      <c r="DJ118" s="1725"/>
      <c r="DK118" s="1725"/>
      <c r="DL118" s="1725"/>
      <c r="DM118" s="1725"/>
      <c r="DN118" s="1725"/>
      <c r="DO118" s="1725"/>
      <c r="DP118" s="1725"/>
      <c r="DQ118" s="1725"/>
      <c r="DR118" s="1726"/>
      <c r="EX118"/>
      <c r="EY118"/>
      <c r="EZ118"/>
      <c r="FA118"/>
      <c r="FB118"/>
      <c r="FC118"/>
      <c r="FD118"/>
      <c r="FE118"/>
      <c r="FF118"/>
      <c r="FG118"/>
      <c r="FH118"/>
      <c r="FI118"/>
      <c r="FJ118"/>
    </row>
    <row r="119" spans="2:166" ht="16.5" outlineLevel="2">
      <c r="C119" s="1436" t="s">
        <v>344</v>
      </c>
      <c r="D119" s="1432"/>
      <c r="E119" s="1432"/>
      <c r="F119" s="1432"/>
      <c r="G119" s="1432"/>
      <c r="H119" s="1429" t="s">
        <v>297</v>
      </c>
      <c r="I119" s="1429"/>
      <c r="J119" s="1429"/>
      <c r="K119" s="1429"/>
      <c r="L119" s="1429"/>
      <c r="M119" s="1429"/>
      <c r="N119" s="1429"/>
      <c r="O119" s="1430" t="s">
        <v>298</v>
      </c>
      <c r="P119" s="1430"/>
      <c r="Q119" s="1430"/>
      <c r="R119" s="1430"/>
      <c r="S119" s="1430" t="s">
        <v>299</v>
      </c>
      <c r="T119" s="1430"/>
      <c r="U119" s="1430"/>
      <c r="V119" s="1431"/>
      <c r="X119" s="1732"/>
      <c r="Y119" s="1733"/>
      <c r="Z119" s="1733"/>
      <c r="AA119" s="1733"/>
      <c r="AB119" s="1733"/>
      <c r="AC119" s="1733"/>
      <c r="AD119" s="1733"/>
      <c r="AE119" s="1735"/>
      <c r="AF119" s="1770"/>
      <c r="AG119" s="1771"/>
      <c r="AH119" s="1771"/>
      <c r="AI119" s="1771"/>
      <c r="AJ119" s="1771"/>
      <c r="AK119" s="1771"/>
      <c r="AL119" s="1771"/>
      <c r="AM119" s="1775"/>
      <c r="BA119" s="1806" t="s">
        <v>291</v>
      </c>
      <c r="BB119" s="1807"/>
      <c r="BC119" s="1808" t="s">
        <v>345</v>
      </c>
      <c r="BD119" s="1808"/>
      <c r="BE119" s="1809"/>
      <c r="BF119" s="1810"/>
      <c r="BG119" s="1810"/>
      <c r="BH119" s="1810"/>
      <c r="BI119" s="1810"/>
      <c r="BJ119" s="1810"/>
      <c r="BK119" s="1810"/>
      <c r="BL119" s="1810"/>
      <c r="BM119" s="1810"/>
      <c r="BN119" s="1810"/>
      <c r="BO119" s="1810"/>
      <c r="BP119" s="1810"/>
      <c r="BQ119" s="1810"/>
      <c r="BR119" s="1810"/>
      <c r="BS119" s="1810"/>
      <c r="BT119" s="1811"/>
      <c r="BV119" s="1788" t="s">
        <v>346</v>
      </c>
      <c r="BW119" s="1789"/>
      <c r="BX119" s="1693"/>
      <c r="BY119" s="1693"/>
      <c r="BZ119" s="1693"/>
      <c r="CA119" s="1693"/>
      <c r="CB119" s="1789"/>
      <c r="CC119" s="1789"/>
      <c r="CD119" s="1878" t="s">
        <v>225</v>
      </c>
      <c r="CE119" s="1789"/>
      <c r="CF119" s="1789"/>
      <c r="CG119" s="1789"/>
      <c r="CH119" s="1879" t="s">
        <v>37</v>
      </c>
      <c r="CI119" s="1728"/>
      <c r="CJ119" s="1728"/>
      <c r="CK119" s="1728"/>
      <c r="CL119" s="1728"/>
      <c r="CM119" s="1728"/>
      <c r="CN119" s="1728"/>
      <c r="CO119" s="1728"/>
      <c r="CP119" s="1728"/>
      <c r="CQ119" s="1728"/>
      <c r="CR119" s="1728"/>
      <c r="CS119" s="1743"/>
      <c r="CU119" s="1788" t="s">
        <v>346</v>
      </c>
      <c r="CV119" s="1789"/>
      <c r="CW119" s="1693"/>
      <c r="CX119" s="1693"/>
      <c r="CY119" s="1693"/>
      <c r="CZ119" s="1693"/>
      <c r="DA119" s="1789"/>
      <c r="DB119" s="1789"/>
      <c r="DC119" s="1878" t="s">
        <v>225</v>
      </c>
      <c r="DD119" s="1789"/>
      <c r="DE119" s="1789"/>
      <c r="DF119" s="1789"/>
      <c r="DG119" s="1879" t="s">
        <v>37</v>
      </c>
      <c r="DH119" s="1728"/>
      <c r="DI119" s="1728"/>
      <c r="DJ119" s="1728"/>
      <c r="DK119" s="1728"/>
      <c r="DL119" s="1728"/>
      <c r="DM119" s="1728"/>
      <c r="DN119" s="1728"/>
      <c r="DO119" s="1728"/>
      <c r="DP119" s="1728"/>
      <c r="DQ119" s="1728"/>
      <c r="DR119" s="1743"/>
    </row>
    <row r="120" spans="2:166" ht="18" customHeight="1" outlineLevel="2">
      <c r="B120" s="1244"/>
      <c r="C120" s="1436"/>
      <c r="D120" s="1432"/>
      <c r="E120" s="1432"/>
      <c r="F120" s="1432"/>
      <c r="G120" s="1432"/>
      <c r="H120" s="1427" t="s">
        <v>347</v>
      </c>
      <c r="I120" s="1427"/>
      <c r="J120" s="1427"/>
      <c r="K120" s="1427"/>
      <c r="L120" s="1427"/>
      <c r="M120" s="1427"/>
      <c r="N120" s="1427"/>
      <c r="O120" s="1430" t="s">
        <v>348</v>
      </c>
      <c r="P120" s="1430"/>
      <c r="Q120" s="1430"/>
      <c r="R120" s="1430"/>
      <c r="S120" s="1430" t="s">
        <v>349</v>
      </c>
      <c r="T120" s="1430"/>
      <c r="U120" s="1430"/>
      <c r="V120" s="1431"/>
      <c r="X120" s="1880" t="s">
        <v>350</v>
      </c>
      <c r="Y120" s="1881"/>
      <c r="Z120" s="1881"/>
      <c r="AA120" s="1881"/>
      <c r="AB120" s="1881"/>
      <c r="AC120" s="1881"/>
      <c r="AD120" s="1881"/>
      <c r="AE120" s="1882"/>
      <c r="BA120" s="1782" t="s">
        <v>291</v>
      </c>
      <c r="BB120" s="1783"/>
      <c r="BC120" s="1784" t="s">
        <v>351</v>
      </c>
      <c r="BD120" s="1784"/>
      <c r="BE120" s="1824"/>
      <c r="BF120" s="1825"/>
      <c r="BG120" s="1825"/>
      <c r="BH120" s="1825"/>
      <c r="BI120" s="1825"/>
      <c r="BJ120" s="1825"/>
      <c r="BK120" s="1825"/>
      <c r="BL120" s="1825"/>
      <c r="BM120" s="1825"/>
      <c r="BN120" s="1825"/>
      <c r="BO120" s="1825"/>
      <c r="BP120" s="1825"/>
      <c r="BQ120" s="1825"/>
      <c r="BR120" s="1825"/>
      <c r="BS120" s="1825"/>
      <c r="BT120" s="1826"/>
      <c r="BV120" s="1883"/>
      <c r="BW120" s="1884"/>
      <c r="BX120" s="1666"/>
      <c r="BY120" s="1666"/>
      <c r="BZ120" s="1666"/>
      <c r="CA120" s="1666"/>
      <c r="CB120" s="1884"/>
      <c r="CC120" s="1884"/>
      <c r="CD120" s="1885" t="s">
        <v>352</v>
      </c>
      <c r="CE120" s="1884"/>
      <c r="CF120" s="1884"/>
      <c r="CG120" s="1884"/>
      <c r="CH120" s="1841" t="s">
        <v>226</v>
      </c>
      <c r="CI120" s="1671"/>
      <c r="CJ120" s="1865"/>
      <c r="CK120" s="1671" t="s">
        <v>353</v>
      </c>
      <c r="CL120" s="1671"/>
      <c r="CM120" s="1671"/>
      <c r="CN120" s="1842" t="s">
        <v>354</v>
      </c>
      <c r="CO120" s="1671"/>
      <c r="CP120" s="1865"/>
      <c r="CQ120" s="1850" t="s">
        <v>355</v>
      </c>
      <c r="CR120" s="1850"/>
      <c r="CS120" s="1866"/>
      <c r="CU120" s="1883"/>
      <c r="CV120" s="1884"/>
      <c r="CW120" s="1666"/>
      <c r="CX120" s="1666"/>
      <c r="CY120" s="1666"/>
      <c r="CZ120" s="1666"/>
      <c r="DA120" s="1884"/>
      <c r="DB120" s="1884"/>
      <c r="DC120" s="1885" t="s">
        <v>356</v>
      </c>
      <c r="DD120" s="1884"/>
      <c r="DE120" s="1884"/>
      <c r="DF120" s="1884"/>
      <c r="DG120" s="1841" t="s">
        <v>226</v>
      </c>
      <c r="DH120" s="1671"/>
      <c r="DI120" s="1865"/>
      <c r="DJ120" s="1671" t="s">
        <v>353</v>
      </c>
      <c r="DK120" s="1671"/>
      <c r="DL120" s="1671"/>
      <c r="DM120" s="1842" t="s">
        <v>354</v>
      </c>
      <c r="DN120" s="1671"/>
      <c r="DO120" s="1865"/>
      <c r="DP120" s="1850" t="s">
        <v>355</v>
      </c>
      <c r="DQ120" s="1850"/>
      <c r="DR120" s="1866"/>
      <c r="FA120"/>
      <c r="FB120"/>
      <c r="FC120"/>
      <c r="FD120"/>
    </row>
    <row r="121" spans="2:166" ht="18" customHeight="1" outlineLevel="2">
      <c r="C121" s="1436"/>
      <c r="D121" s="1432"/>
      <c r="E121" s="1432"/>
      <c r="F121" s="1432"/>
      <c r="G121" s="1432"/>
      <c r="H121" s="1427"/>
      <c r="I121" s="1427"/>
      <c r="J121" s="1427"/>
      <c r="K121" s="1427"/>
      <c r="L121" s="1427"/>
      <c r="M121" s="1427"/>
      <c r="N121" s="1427"/>
      <c r="O121" s="1430"/>
      <c r="P121" s="1430"/>
      <c r="Q121" s="1430"/>
      <c r="R121" s="1430"/>
      <c r="S121" s="1430"/>
      <c r="T121" s="1430"/>
      <c r="U121" s="1430"/>
      <c r="V121" s="1431"/>
      <c r="X121" s="1867" t="s">
        <v>357</v>
      </c>
      <c r="Y121" s="1868"/>
      <c r="Z121" s="1868"/>
      <c r="AA121" s="1868"/>
      <c r="AB121" s="1868"/>
      <c r="AC121" s="1868"/>
      <c r="AD121" s="1868"/>
      <c r="AE121" s="1869"/>
      <c r="BA121" s="1806" t="s">
        <v>288</v>
      </c>
      <c r="BB121" s="1807"/>
      <c r="BC121" s="1808" t="s">
        <v>358</v>
      </c>
      <c r="BD121" s="1808"/>
      <c r="BE121" s="1809"/>
      <c r="BF121" s="1810"/>
      <c r="BG121" s="1810"/>
      <c r="BH121" s="1810"/>
      <c r="BI121" s="1810"/>
      <c r="BJ121" s="1810"/>
      <c r="BK121" s="1810"/>
      <c r="BL121" s="1810"/>
      <c r="BM121" s="1810"/>
      <c r="BN121" s="1810"/>
      <c r="BO121" s="1810"/>
      <c r="BP121" s="1810"/>
      <c r="BQ121" s="1810"/>
      <c r="BR121" s="1810"/>
      <c r="BS121" s="1810"/>
      <c r="BT121" s="1811"/>
      <c r="BV121" s="1870" t="s">
        <v>359</v>
      </c>
      <c r="BW121" s="1871"/>
      <c r="BX121" s="1871"/>
      <c r="BY121" s="1871"/>
      <c r="BZ121" s="1871"/>
      <c r="CA121" s="1871"/>
      <c r="CB121" s="1871" t="s">
        <v>360</v>
      </c>
      <c r="CC121" s="1871"/>
      <c r="CD121" s="1871"/>
      <c r="CE121" s="1871">
        <f>IF(CD120="","",VLOOKUP(CD120,'防具表 载具表'!$Q$2:$U$64,3,FALSE))</f>
        <v>13</v>
      </c>
      <c r="CF121" s="1871"/>
      <c r="CG121" s="1872"/>
      <c r="CH121" s="1873" t="str">
        <f>IF(CD120="","",VLOOKUP(CD120,'防具表 载具表'!$Q$2:$U$64,2,FALSE))</f>
        <v>汽车驾驶</v>
      </c>
      <c r="CI121" s="1874"/>
      <c r="CJ121" s="1875"/>
      <c r="CK121" s="1876">
        <f>IF(CD120="","",VLOOKUP(CD120,'防具表 载具表'!$Q$2:$U$64,4,FALSE))</f>
        <v>4</v>
      </c>
      <c r="CL121" s="1876"/>
      <c r="CM121" s="1876"/>
      <c r="CN121" s="1840"/>
      <c r="CO121" s="1655"/>
      <c r="CP121" s="1877"/>
      <c r="CQ121" s="1316">
        <f>IF(CD120="","",VLOOKUP(CD120,'防具表 载具表'!$Q$2:$U$64,5,FALSE))</f>
        <v>1</v>
      </c>
      <c r="CR121" s="1316"/>
      <c r="CS121" s="1317"/>
      <c r="CU121" s="1870" t="s">
        <v>359</v>
      </c>
      <c r="CV121" s="1871"/>
      <c r="CW121" s="1871"/>
      <c r="CX121" s="1871"/>
      <c r="CY121" s="1871"/>
      <c r="CZ121" s="1871"/>
      <c r="DA121" s="1871" t="s">
        <v>360</v>
      </c>
      <c r="DB121" s="1871"/>
      <c r="DC121" s="1871"/>
      <c r="DD121" s="1871">
        <f>IF(DC120="","",VLOOKUP(DC120,'防具表 载具表'!$Q$2:$U$64,3,FALSE))</f>
        <v>14</v>
      </c>
      <c r="DE121" s="1871"/>
      <c r="DF121" s="1872"/>
      <c r="DG121" s="1873" t="str">
        <f>IF(DC120="","",VLOOKUP(DC120,'防具表 载具表'!$Q$2:$U$64,2,FALSE))</f>
        <v>汽车驾驶</v>
      </c>
      <c r="DH121" s="1874"/>
      <c r="DI121" s="1875"/>
      <c r="DJ121" s="1876">
        <f>IF(DC120="","",VLOOKUP(DC120,'防具表 载具表'!$Q$2:$U$64,4,FALSE))</f>
        <v>5</v>
      </c>
      <c r="DK121" s="1876"/>
      <c r="DL121" s="1876"/>
      <c r="DM121" s="1840"/>
      <c r="DN121" s="1655"/>
      <c r="DO121" s="1877"/>
      <c r="DP121" s="1316">
        <f>IF(DC120="","",VLOOKUP(DC120,'防具表 载具表'!$Q$2:$U$64,5,FALSE))</f>
        <v>2</v>
      </c>
      <c r="DQ121" s="1316"/>
      <c r="DR121" s="1317"/>
      <c r="FA121"/>
      <c r="FB121"/>
      <c r="FC121"/>
      <c r="FD121"/>
    </row>
    <row r="122" spans="2:166" ht="18" customHeight="1" outlineLevel="2">
      <c r="C122" s="1437" t="s">
        <v>361</v>
      </c>
      <c r="D122" s="1430"/>
      <c r="E122" s="1430"/>
      <c r="F122" s="1430"/>
      <c r="G122" s="1430"/>
      <c r="H122" s="1432" t="s">
        <v>362</v>
      </c>
      <c r="I122" s="1432"/>
      <c r="J122" s="1432"/>
      <c r="K122" s="1432"/>
      <c r="L122" s="1432"/>
      <c r="M122" s="1432"/>
      <c r="N122" s="1432"/>
      <c r="O122" s="1432" t="s">
        <v>363</v>
      </c>
      <c r="P122" s="1432"/>
      <c r="Q122" s="1432"/>
      <c r="R122" s="1432"/>
      <c r="S122" s="1432" t="s">
        <v>364</v>
      </c>
      <c r="T122" s="1432"/>
      <c r="U122" s="1432"/>
      <c r="V122" s="1433"/>
      <c r="X122" s="1860"/>
      <c r="Y122" s="1861"/>
      <c r="Z122" s="1861"/>
      <c r="AA122" s="1861"/>
      <c r="AB122" s="1862"/>
      <c r="AC122" s="1861"/>
      <c r="AD122" s="1861"/>
      <c r="AE122" s="1863"/>
      <c r="BA122" s="1782" t="s">
        <v>288</v>
      </c>
      <c r="BB122" s="1783"/>
      <c r="BC122" s="1784" t="s">
        <v>365</v>
      </c>
      <c r="BD122" s="1784"/>
      <c r="BE122" s="1824"/>
      <c r="BF122" s="1825"/>
      <c r="BG122" s="1825"/>
      <c r="BH122" s="1825"/>
      <c r="BI122" s="1825"/>
      <c r="BJ122" s="1825"/>
      <c r="BK122" s="1825"/>
      <c r="BL122" s="1825"/>
      <c r="BM122" s="1825"/>
      <c r="BN122" s="1825"/>
      <c r="BO122" s="1825"/>
      <c r="BP122" s="1825"/>
      <c r="BQ122" s="1825"/>
      <c r="BR122" s="1825"/>
      <c r="BS122" s="1825"/>
      <c r="BT122" s="1826"/>
      <c r="BV122" s="1864" t="s">
        <v>366</v>
      </c>
      <c r="BW122" s="1671"/>
      <c r="BX122" s="1669"/>
      <c r="BY122" s="1837"/>
      <c r="BZ122" s="1838"/>
      <c r="CA122" s="1839"/>
      <c r="CB122" s="1671" t="s">
        <v>367</v>
      </c>
      <c r="CC122" s="1671"/>
      <c r="CD122" s="1671"/>
      <c r="CE122" s="1840"/>
      <c r="CF122" s="1655"/>
      <c r="CG122" s="1655"/>
      <c r="CH122" s="1841" t="s">
        <v>368</v>
      </c>
      <c r="CI122" s="1671"/>
      <c r="CJ122" s="1671"/>
      <c r="CK122" s="1842" t="s">
        <v>369</v>
      </c>
      <c r="CL122" s="1671"/>
      <c r="CM122" s="1671"/>
      <c r="CN122" s="1843" t="s">
        <v>370</v>
      </c>
      <c r="CO122" s="1843"/>
      <c r="CP122" s="1843"/>
      <c r="CQ122" s="1843" t="s">
        <v>371</v>
      </c>
      <c r="CR122" s="1843"/>
      <c r="CS122" s="1844"/>
      <c r="CU122" s="1864" t="s">
        <v>366</v>
      </c>
      <c r="CV122" s="1671"/>
      <c r="CW122" s="1669"/>
      <c r="CX122" s="1837"/>
      <c r="CY122" s="1838"/>
      <c r="CZ122" s="1839"/>
      <c r="DA122" s="1671" t="s">
        <v>367</v>
      </c>
      <c r="DB122" s="1671"/>
      <c r="DC122" s="1671"/>
      <c r="DD122" s="1840"/>
      <c r="DE122" s="1655"/>
      <c r="DF122" s="1655"/>
      <c r="DG122" s="1841" t="s">
        <v>368</v>
      </c>
      <c r="DH122" s="1671"/>
      <c r="DI122" s="1671"/>
      <c r="DJ122" s="1842" t="s">
        <v>369</v>
      </c>
      <c r="DK122" s="1671"/>
      <c r="DL122" s="1671"/>
      <c r="DM122" s="1843" t="s">
        <v>370</v>
      </c>
      <c r="DN122" s="1843"/>
      <c r="DO122" s="1843"/>
      <c r="DP122" s="1843" t="s">
        <v>371</v>
      </c>
      <c r="DQ122" s="1843"/>
      <c r="DR122" s="1844"/>
    </row>
    <row r="123" spans="2:166" ht="18" customHeight="1" outlineLevel="2">
      <c r="C123" s="1437"/>
      <c r="D123" s="1430"/>
      <c r="E123" s="1430"/>
      <c r="F123" s="1430"/>
      <c r="G123" s="1430"/>
      <c r="H123" s="1432"/>
      <c r="I123" s="1432"/>
      <c r="J123" s="1432"/>
      <c r="K123" s="1432"/>
      <c r="L123" s="1432"/>
      <c r="M123" s="1432"/>
      <c r="N123" s="1432"/>
      <c r="O123" s="1432"/>
      <c r="P123" s="1432"/>
      <c r="Q123" s="1432"/>
      <c r="R123" s="1432"/>
      <c r="S123" s="1432"/>
      <c r="T123" s="1432"/>
      <c r="U123" s="1432"/>
      <c r="V123" s="1433"/>
      <c r="X123" s="1845" t="s">
        <v>372</v>
      </c>
      <c r="Y123" s="1846"/>
      <c r="Z123" s="1846"/>
      <c r="AA123" s="1846"/>
      <c r="AB123" s="1847" t="s">
        <v>373</v>
      </c>
      <c r="AC123" s="1846"/>
      <c r="AD123" s="1846"/>
      <c r="AE123" s="1848"/>
      <c r="BA123" s="1806" t="s">
        <v>291</v>
      </c>
      <c r="BB123" s="1807"/>
      <c r="BC123" s="1808" t="s">
        <v>374</v>
      </c>
      <c r="BD123" s="1808"/>
      <c r="BE123" s="1809"/>
      <c r="BF123" s="1810"/>
      <c r="BG123" s="1810"/>
      <c r="BH123" s="1810"/>
      <c r="BI123" s="1810"/>
      <c r="BJ123" s="1810"/>
      <c r="BK123" s="1810"/>
      <c r="BL123" s="1810"/>
      <c r="BM123" s="1810"/>
      <c r="BN123" s="1810"/>
      <c r="BO123" s="1810"/>
      <c r="BP123" s="1810"/>
      <c r="BQ123" s="1810"/>
      <c r="BR123" s="1810"/>
      <c r="BS123" s="1810"/>
      <c r="BT123" s="1811"/>
      <c r="BV123" s="1849" t="s">
        <v>375</v>
      </c>
      <c r="BW123" s="1850"/>
      <c r="BX123" s="1851"/>
      <c r="BY123" s="1852"/>
      <c r="BZ123" s="1853"/>
      <c r="CA123" s="1854"/>
      <c r="CB123" s="1850" t="s">
        <v>376</v>
      </c>
      <c r="CC123" s="1850"/>
      <c r="CD123" s="1850"/>
      <c r="CE123" s="1855"/>
      <c r="CF123" s="1316"/>
      <c r="CG123" s="1316"/>
      <c r="CH123" s="1793">
        <f>IFERROR(CK121*10,"")</f>
        <v>40</v>
      </c>
      <c r="CI123" s="1794"/>
      <c r="CJ123" s="1794"/>
      <c r="CK123" s="1249">
        <f>CK121</f>
        <v>4</v>
      </c>
      <c r="CL123" s="1856" t="s">
        <v>377</v>
      </c>
      <c r="CM123" s="1856"/>
      <c r="CN123" s="1857" t="str">
        <f>IF(CD120="","",VLOOKUP(CD120,'防具表 载具表'!$Q$2:$V$64,6,FALSE))</f>
        <v>3或4</v>
      </c>
      <c r="CO123" s="1857"/>
      <c r="CP123" s="1857"/>
      <c r="CQ123" s="1858"/>
      <c r="CR123" s="1858"/>
      <c r="CS123" s="1859"/>
      <c r="CU123" s="1849" t="s">
        <v>375</v>
      </c>
      <c r="CV123" s="1850"/>
      <c r="CW123" s="1851"/>
      <c r="CX123" s="1852"/>
      <c r="CY123" s="1853"/>
      <c r="CZ123" s="1854"/>
      <c r="DA123" s="1850" t="s">
        <v>376</v>
      </c>
      <c r="DB123" s="1850"/>
      <c r="DC123" s="1850"/>
      <c r="DD123" s="1855"/>
      <c r="DE123" s="1316"/>
      <c r="DF123" s="1316"/>
      <c r="DG123" s="1793">
        <f>IFERROR(DJ121*10,"")</f>
        <v>50</v>
      </c>
      <c r="DH123" s="1794"/>
      <c r="DI123" s="1794"/>
      <c r="DJ123" s="1249">
        <f>DJ121</f>
        <v>5</v>
      </c>
      <c r="DK123" s="1856" t="s">
        <v>377</v>
      </c>
      <c r="DL123" s="1856"/>
      <c r="DM123" s="1857">
        <f>IF(DC120="","",VLOOKUP(DC120,'防具表 载具表'!$Q$2:$V$64,6,FALSE))</f>
        <v>4</v>
      </c>
      <c r="DN123" s="1857"/>
      <c r="DO123" s="1857"/>
      <c r="DP123" s="1858"/>
      <c r="DQ123" s="1858"/>
      <c r="DR123" s="1859"/>
    </row>
    <row r="124" spans="2:166" ht="18" customHeight="1" outlineLevel="2">
      <c r="C124" s="1821" t="s">
        <v>378</v>
      </c>
      <c r="D124" s="1822"/>
      <c r="E124" s="1822"/>
      <c r="F124" s="1822" t="s">
        <v>379</v>
      </c>
      <c r="G124" s="1822"/>
      <c r="H124" s="1822"/>
      <c r="I124" s="1822"/>
      <c r="J124" s="1822"/>
      <c r="K124" s="1822"/>
      <c r="L124" s="1822"/>
      <c r="M124" s="1822"/>
      <c r="N124" s="1822"/>
      <c r="O124" s="1822"/>
      <c r="P124" s="1822"/>
      <c r="Q124" s="1822"/>
      <c r="R124" s="1822"/>
      <c r="S124" s="1822"/>
      <c r="T124" s="1822"/>
      <c r="U124" s="1822"/>
      <c r="V124" s="1823"/>
      <c r="X124" s="1764"/>
      <c r="Y124" s="1765"/>
      <c r="Z124" s="1765"/>
      <c r="AA124" s="1766"/>
      <c r="AB124" s="1765"/>
      <c r="AC124" s="1765"/>
      <c r="AD124" s="1765"/>
      <c r="AE124" s="1773"/>
      <c r="BA124" s="1782" t="s">
        <v>291</v>
      </c>
      <c r="BB124" s="1783"/>
      <c r="BC124" s="1784" t="s">
        <v>380</v>
      </c>
      <c r="BD124" s="1784"/>
      <c r="BE124" s="1824"/>
      <c r="BF124" s="1825"/>
      <c r="BG124" s="1825"/>
      <c r="BH124" s="1825"/>
      <c r="BI124" s="1825"/>
      <c r="BJ124" s="1825"/>
      <c r="BK124" s="1825"/>
      <c r="BL124" s="1825"/>
      <c r="BM124" s="1825"/>
      <c r="BN124" s="1825"/>
      <c r="BO124" s="1825"/>
      <c r="BP124" s="1825"/>
      <c r="BQ124" s="1825"/>
      <c r="BR124" s="1825"/>
      <c r="BS124" s="1825"/>
      <c r="BT124" s="1826"/>
      <c r="BV124" s="1836" t="s">
        <v>381</v>
      </c>
      <c r="BW124" s="1833"/>
      <c r="BX124" s="1833"/>
      <c r="BY124" s="1830" t="s">
        <v>102</v>
      </c>
      <c r="BZ124" s="1831"/>
      <c r="CA124" s="1832"/>
      <c r="CB124" s="1833" t="s">
        <v>382</v>
      </c>
      <c r="CC124" s="1833"/>
      <c r="CD124" s="1833"/>
      <c r="CE124" s="1830"/>
      <c r="CF124" s="1831"/>
      <c r="CG124" s="1832"/>
      <c r="CH124" s="1833" t="s">
        <v>383</v>
      </c>
      <c r="CI124" s="1833"/>
      <c r="CJ124" s="1833"/>
      <c r="CK124" s="1830"/>
      <c r="CL124" s="1831"/>
      <c r="CM124" s="1832"/>
      <c r="CN124" s="1833" t="s">
        <v>384</v>
      </c>
      <c r="CO124" s="1833"/>
      <c r="CP124" s="1833"/>
      <c r="CQ124" s="1834"/>
      <c r="CR124" s="1834"/>
      <c r="CS124" s="1835"/>
      <c r="CU124" s="1836" t="s">
        <v>381</v>
      </c>
      <c r="CV124" s="1833"/>
      <c r="CW124" s="1833"/>
      <c r="CX124" s="1830" t="s">
        <v>102</v>
      </c>
      <c r="CY124" s="1831"/>
      <c r="CZ124" s="1832"/>
      <c r="DA124" s="1833" t="s">
        <v>382</v>
      </c>
      <c r="DB124" s="1833"/>
      <c r="DC124" s="1833"/>
      <c r="DD124" s="1830"/>
      <c r="DE124" s="1831"/>
      <c r="DF124" s="1832"/>
      <c r="DG124" s="1833" t="s">
        <v>383</v>
      </c>
      <c r="DH124" s="1833"/>
      <c r="DI124" s="1833"/>
      <c r="DJ124" s="1830"/>
      <c r="DK124" s="1831"/>
      <c r="DL124" s="1832"/>
      <c r="DM124" s="1833" t="s">
        <v>384</v>
      </c>
      <c r="DN124" s="1833"/>
      <c r="DO124" s="1833"/>
      <c r="DP124" s="1834"/>
      <c r="DQ124" s="1834"/>
      <c r="DR124" s="1835"/>
    </row>
    <row r="125" spans="2:166" ht="18" customHeight="1" outlineLevel="2">
      <c r="C125" s="1821" t="s">
        <v>385</v>
      </c>
      <c r="D125" s="1822"/>
      <c r="E125" s="1822"/>
      <c r="F125" s="1822" t="s">
        <v>386</v>
      </c>
      <c r="G125" s="1822"/>
      <c r="H125" s="1822"/>
      <c r="I125" s="1822"/>
      <c r="J125" s="1822"/>
      <c r="K125" s="1822"/>
      <c r="L125" s="1822"/>
      <c r="M125" s="1822"/>
      <c r="N125" s="1822"/>
      <c r="O125" s="1822"/>
      <c r="P125" s="1822"/>
      <c r="Q125" s="1822"/>
      <c r="R125" s="1822"/>
      <c r="S125" s="1822"/>
      <c r="T125" s="1822"/>
      <c r="U125" s="1822"/>
      <c r="V125" s="1823"/>
      <c r="X125" s="1767"/>
      <c r="Y125" s="1768"/>
      <c r="Z125" s="1768"/>
      <c r="AA125" s="1769"/>
      <c r="AB125" s="1768"/>
      <c r="AC125" s="1768"/>
      <c r="AD125" s="1768"/>
      <c r="AE125" s="1774"/>
      <c r="BA125" s="1806" t="s">
        <v>288</v>
      </c>
      <c r="BB125" s="1807"/>
      <c r="BC125" s="1808" t="s">
        <v>289</v>
      </c>
      <c r="BD125" s="1808"/>
      <c r="BE125" s="1809"/>
      <c r="BF125" s="1810"/>
      <c r="BG125" s="1810"/>
      <c r="BH125" s="1810"/>
      <c r="BI125" s="1810"/>
      <c r="BJ125" s="1810"/>
      <c r="BK125" s="1810"/>
      <c r="BL125" s="1810"/>
      <c r="BM125" s="1810"/>
      <c r="BN125" s="1810"/>
      <c r="BO125" s="1810"/>
      <c r="BP125" s="1810"/>
      <c r="BQ125" s="1810"/>
      <c r="BR125" s="1810"/>
      <c r="BS125" s="1810"/>
      <c r="BT125" s="1811"/>
      <c r="BV125" s="1727" t="s">
        <v>387</v>
      </c>
      <c r="BW125" s="1728"/>
      <c r="BX125" s="1728"/>
      <c r="BY125" s="1728"/>
      <c r="BZ125" s="1728"/>
      <c r="CA125" s="1728"/>
      <c r="CB125" s="1728"/>
      <c r="CC125" s="1728"/>
      <c r="CD125" s="1728"/>
      <c r="CE125" s="1728"/>
      <c r="CF125" s="1728"/>
      <c r="CG125" s="1728"/>
      <c r="CH125" s="1728"/>
      <c r="CI125" s="1728"/>
      <c r="CJ125" s="1728"/>
      <c r="CK125" s="1728"/>
      <c r="CL125" s="1728"/>
      <c r="CM125" s="1728"/>
      <c r="CN125" s="1728"/>
      <c r="CO125" s="1728"/>
      <c r="CP125" s="1728"/>
      <c r="CQ125" s="1728"/>
      <c r="CR125" s="1728"/>
      <c r="CS125" s="1743"/>
      <c r="CU125" s="1727" t="s">
        <v>387</v>
      </c>
      <c r="CV125" s="1728"/>
      <c r="CW125" s="1728"/>
      <c r="CX125" s="1728"/>
      <c r="CY125" s="1728"/>
      <c r="CZ125" s="1728"/>
      <c r="DA125" s="1728"/>
      <c r="DB125" s="1728"/>
      <c r="DC125" s="1728"/>
      <c r="DD125" s="1728"/>
      <c r="DE125" s="1728"/>
      <c r="DF125" s="1728"/>
      <c r="DG125" s="1728"/>
      <c r="DH125" s="1728"/>
      <c r="DI125" s="1728"/>
      <c r="DJ125" s="1728"/>
      <c r="DK125" s="1728"/>
      <c r="DL125" s="1728"/>
      <c r="DM125" s="1728"/>
      <c r="DN125" s="1728"/>
      <c r="DO125" s="1728"/>
      <c r="DP125" s="1728"/>
      <c r="DQ125" s="1728"/>
      <c r="DR125" s="1743"/>
    </row>
    <row r="126" spans="2:166" ht="18" customHeight="1" outlineLevel="2">
      <c r="C126" s="1821" t="s">
        <v>388</v>
      </c>
      <c r="D126" s="1822"/>
      <c r="E126" s="1822"/>
      <c r="F126" s="1822" t="s">
        <v>389</v>
      </c>
      <c r="G126" s="1822"/>
      <c r="H126" s="1822"/>
      <c r="I126" s="1822"/>
      <c r="J126" s="1822"/>
      <c r="K126" s="1822"/>
      <c r="L126" s="1822"/>
      <c r="M126" s="1822"/>
      <c r="N126" s="1822"/>
      <c r="O126" s="1822"/>
      <c r="P126" s="1822"/>
      <c r="Q126" s="1822"/>
      <c r="R126" s="1822"/>
      <c r="S126" s="1822"/>
      <c r="T126" s="1822"/>
      <c r="U126" s="1822"/>
      <c r="V126" s="1823"/>
      <c r="X126" s="1767"/>
      <c r="Y126" s="1768"/>
      <c r="Z126" s="1768"/>
      <c r="AA126" s="1769"/>
      <c r="AB126" s="1768"/>
      <c r="AC126" s="1768"/>
      <c r="AD126" s="1768"/>
      <c r="AE126" s="1774"/>
      <c r="BA126" s="1782" t="s">
        <v>291</v>
      </c>
      <c r="BB126" s="1783"/>
      <c r="BC126" s="1784" t="s">
        <v>390</v>
      </c>
      <c r="BD126" s="1784"/>
      <c r="BE126" s="1824"/>
      <c r="BF126" s="1825"/>
      <c r="BG126" s="1825"/>
      <c r="BH126" s="1825"/>
      <c r="BI126" s="1825"/>
      <c r="BJ126" s="1825"/>
      <c r="BK126" s="1825"/>
      <c r="BL126" s="1825"/>
      <c r="BM126" s="1825"/>
      <c r="BN126" s="1825"/>
      <c r="BO126" s="1825"/>
      <c r="BP126" s="1825"/>
      <c r="BQ126" s="1825"/>
      <c r="BR126" s="1825"/>
      <c r="BS126" s="1825"/>
      <c r="BT126" s="1826"/>
      <c r="BV126" s="1827" t="s">
        <v>225</v>
      </c>
      <c r="BW126" s="1828"/>
      <c r="BX126" s="1829"/>
      <c r="BY126" s="1796" t="s">
        <v>226</v>
      </c>
      <c r="BZ126" s="1796"/>
      <c r="CA126" s="1796"/>
      <c r="CB126" s="1797" t="s">
        <v>228</v>
      </c>
      <c r="CC126" s="1798"/>
      <c r="CD126" s="1798"/>
      <c r="CE126" s="1798"/>
      <c r="CF126" s="1798"/>
      <c r="CG126" s="1798"/>
      <c r="CH126" s="1797" t="s">
        <v>391</v>
      </c>
      <c r="CI126" s="1798"/>
      <c r="CJ126" s="1797" t="s">
        <v>392</v>
      </c>
      <c r="CK126" s="1798"/>
      <c r="CL126" s="1798"/>
      <c r="CM126" s="1797" t="s">
        <v>231</v>
      </c>
      <c r="CN126" s="1799"/>
      <c r="CO126" s="1798" t="s">
        <v>232</v>
      </c>
      <c r="CP126" s="1798"/>
      <c r="CQ126" s="1800" t="s">
        <v>233</v>
      </c>
      <c r="CR126" s="1801"/>
      <c r="CS126" s="1802"/>
      <c r="CU126" s="1827" t="s">
        <v>225</v>
      </c>
      <c r="CV126" s="1828"/>
      <c r="CW126" s="1829"/>
      <c r="CX126" s="1796" t="s">
        <v>226</v>
      </c>
      <c r="CY126" s="1796"/>
      <c r="CZ126" s="1796"/>
      <c r="DA126" s="1797" t="s">
        <v>228</v>
      </c>
      <c r="DB126" s="1798"/>
      <c r="DC126" s="1798"/>
      <c r="DD126" s="1798"/>
      <c r="DE126" s="1798"/>
      <c r="DF126" s="1798"/>
      <c r="DG126" s="1797" t="s">
        <v>391</v>
      </c>
      <c r="DH126" s="1798"/>
      <c r="DI126" s="1797" t="s">
        <v>392</v>
      </c>
      <c r="DJ126" s="1798"/>
      <c r="DK126" s="1798"/>
      <c r="DL126" s="1797" t="s">
        <v>231</v>
      </c>
      <c r="DM126" s="1799"/>
      <c r="DN126" s="1798" t="s">
        <v>232</v>
      </c>
      <c r="DO126" s="1798"/>
      <c r="DP126" s="1800" t="s">
        <v>233</v>
      </c>
      <c r="DQ126" s="1801"/>
      <c r="DR126" s="1802"/>
      <c r="DS126"/>
    </row>
    <row r="127" spans="2:166" ht="18" customHeight="1" outlineLevel="2">
      <c r="C127" s="1437" t="s">
        <v>393</v>
      </c>
      <c r="D127" s="1430"/>
      <c r="E127" s="1430"/>
      <c r="F127" s="1430"/>
      <c r="G127" s="1430"/>
      <c r="H127" s="1430"/>
      <c r="I127" s="1430" t="s">
        <v>385</v>
      </c>
      <c r="J127" s="1430"/>
      <c r="K127" s="1430"/>
      <c r="L127" s="1430"/>
      <c r="M127" s="1430"/>
      <c r="N127" s="1430" t="s">
        <v>388</v>
      </c>
      <c r="O127" s="1430"/>
      <c r="P127" s="1430"/>
      <c r="Q127" s="1430"/>
      <c r="R127" s="1803" t="s">
        <v>394</v>
      </c>
      <c r="S127" s="1803"/>
      <c r="T127" s="1804">
        <v>10</v>
      </c>
      <c r="U127" s="1804"/>
      <c r="V127" s="1805"/>
      <c r="X127" s="1767"/>
      <c r="Y127" s="1768"/>
      <c r="Z127" s="1768"/>
      <c r="AA127" s="1769"/>
      <c r="AB127" s="1768"/>
      <c r="AC127" s="1768"/>
      <c r="AD127" s="1768"/>
      <c r="AE127" s="1774"/>
      <c r="BA127" s="1806" t="s">
        <v>291</v>
      </c>
      <c r="BB127" s="1807"/>
      <c r="BC127" s="1808" t="s">
        <v>395</v>
      </c>
      <c r="BD127" s="1808"/>
      <c r="BE127" s="1809"/>
      <c r="BF127" s="1810"/>
      <c r="BG127" s="1810"/>
      <c r="BH127" s="1810"/>
      <c r="BI127" s="1810"/>
      <c r="BJ127" s="1810"/>
      <c r="BK127" s="1810"/>
      <c r="BL127" s="1810"/>
      <c r="BM127" s="1810"/>
      <c r="BN127" s="1810"/>
      <c r="BO127" s="1810"/>
      <c r="BP127" s="1810"/>
      <c r="BQ127" s="1810"/>
      <c r="BR127" s="1810"/>
      <c r="BS127" s="1810"/>
      <c r="BT127" s="1811"/>
      <c r="BV127" s="1812"/>
      <c r="BW127" s="1813"/>
      <c r="BX127" s="1814"/>
      <c r="BY127" s="1815"/>
      <c r="BZ127" s="1815"/>
      <c r="CA127" s="1815"/>
      <c r="CB127" s="1816"/>
      <c r="CC127" s="1813"/>
      <c r="CD127" s="1813"/>
      <c r="CE127" s="1813"/>
      <c r="CF127" s="1813"/>
      <c r="CG127" s="1813"/>
      <c r="CH127" s="1817" t="s">
        <v>102</v>
      </c>
      <c r="CI127" s="1818"/>
      <c r="CJ127" s="1819"/>
      <c r="CK127" s="1776"/>
      <c r="CL127" s="1776"/>
      <c r="CM127" s="1819"/>
      <c r="CN127" s="1820"/>
      <c r="CO127" s="1776"/>
      <c r="CP127" s="1776"/>
      <c r="CQ127" s="1777"/>
      <c r="CR127" s="1778"/>
      <c r="CS127" s="1779"/>
      <c r="CU127" s="1812"/>
      <c r="CV127" s="1813"/>
      <c r="CW127" s="1814"/>
      <c r="CX127" s="1815"/>
      <c r="CY127" s="1815"/>
      <c r="CZ127" s="1815"/>
      <c r="DA127" s="1816"/>
      <c r="DB127" s="1813"/>
      <c r="DC127" s="1813"/>
      <c r="DD127" s="1813"/>
      <c r="DE127" s="1813"/>
      <c r="DF127" s="1813"/>
      <c r="DG127" s="1817" t="s">
        <v>102</v>
      </c>
      <c r="DH127" s="1818"/>
      <c r="DI127" s="1819"/>
      <c r="DJ127" s="1776"/>
      <c r="DK127" s="1776"/>
      <c r="DL127" s="1819"/>
      <c r="DM127" s="1820"/>
      <c r="DN127" s="1776"/>
      <c r="DO127" s="1776"/>
      <c r="DP127" s="1777"/>
      <c r="DQ127" s="1778"/>
      <c r="DR127" s="1779"/>
      <c r="DS127"/>
    </row>
    <row r="128" spans="2:166" ht="18" customHeight="1" outlineLevel="2">
      <c r="C128" s="1438" t="s">
        <v>396</v>
      </c>
      <c r="D128" s="1434"/>
      <c r="E128" s="1434"/>
      <c r="F128" s="1434"/>
      <c r="G128" s="1434"/>
      <c r="H128" s="1434"/>
      <c r="I128" s="1434" t="s">
        <v>397</v>
      </c>
      <c r="J128" s="1434"/>
      <c r="K128" s="1434"/>
      <c r="L128" s="1434"/>
      <c r="M128" s="1434"/>
      <c r="N128" s="1434" t="s">
        <v>398</v>
      </c>
      <c r="O128" s="1434"/>
      <c r="P128" s="1434"/>
      <c r="Q128" s="1434"/>
      <c r="R128" s="1780" t="s">
        <v>399</v>
      </c>
      <c r="S128" s="1780"/>
      <c r="T128" s="1780"/>
      <c r="U128" s="1780"/>
      <c r="V128" s="1781"/>
      <c r="X128" s="1767"/>
      <c r="Y128" s="1768"/>
      <c r="Z128" s="1768"/>
      <c r="AA128" s="1769"/>
      <c r="AB128" s="1768"/>
      <c r="AC128" s="1768"/>
      <c r="AD128" s="1768"/>
      <c r="AE128" s="1774"/>
      <c r="BA128" s="1782" t="s">
        <v>291</v>
      </c>
      <c r="BB128" s="1783"/>
      <c r="BC128" s="1784" t="s">
        <v>400</v>
      </c>
      <c r="BD128" s="1784"/>
      <c r="BE128" s="1785"/>
      <c r="BF128" s="1786"/>
      <c r="BG128" s="1786"/>
      <c r="BH128" s="1786"/>
      <c r="BI128" s="1786"/>
      <c r="BJ128" s="1786"/>
      <c r="BK128" s="1786"/>
      <c r="BL128" s="1786"/>
      <c r="BM128" s="1786"/>
      <c r="BN128" s="1786"/>
      <c r="BO128" s="1786"/>
      <c r="BP128" s="1786"/>
      <c r="BQ128" s="1786"/>
      <c r="BR128" s="1786"/>
      <c r="BS128" s="1786"/>
      <c r="BT128" s="1787"/>
      <c r="BV128" s="1788" t="s">
        <v>401</v>
      </c>
      <c r="BW128" s="1789"/>
      <c r="BX128" s="1693"/>
      <c r="BY128" s="1693"/>
      <c r="BZ128" s="1693"/>
      <c r="CA128" s="1693"/>
      <c r="CB128" s="1789"/>
      <c r="CC128" s="1789"/>
      <c r="CD128" s="1789"/>
      <c r="CE128" s="1789"/>
      <c r="CF128" s="1789"/>
      <c r="CG128" s="1789"/>
      <c r="CH128" s="1789"/>
      <c r="CI128" s="1789"/>
      <c r="CJ128" s="1789"/>
      <c r="CK128" s="1789"/>
      <c r="CL128" s="1789"/>
      <c r="CM128" s="1789"/>
      <c r="CN128" s="1789"/>
      <c r="CO128" s="1728" t="s">
        <v>234</v>
      </c>
      <c r="CP128" s="1728"/>
      <c r="CQ128" s="1728"/>
      <c r="CR128" s="1728"/>
      <c r="CS128" s="1743"/>
      <c r="CU128" s="1788" t="s">
        <v>401</v>
      </c>
      <c r="CV128" s="1789"/>
      <c r="CW128" s="1693"/>
      <c r="CX128" s="1693"/>
      <c r="CY128" s="1693"/>
      <c r="CZ128" s="1693"/>
      <c r="DA128" s="1789"/>
      <c r="DB128" s="1789"/>
      <c r="DC128" s="1789"/>
      <c r="DD128" s="1789"/>
      <c r="DE128" s="1789"/>
      <c r="DF128" s="1789"/>
      <c r="DG128" s="1789"/>
      <c r="DH128" s="1789"/>
      <c r="DI128" s="1789"/>
      <c r="DJ128" s="1789"/>
      <c r="DK128" s="1789"/>
      <c r="DL128" s="1789"/>
      <c r="DM128" s="1789"/>
      <c r="DN128" s="1728" t="s">
        <v>234</v>
      </c>
      <c r="DO128" s="1728"/>
      <c r="DP128" s="1728"/>
      <c r="DQ128" s="1728"/>
      <c r="DR128" s="1743"/>
      <c r="DS128"/>
    </row>
    <row r="129" spans="3:123" ht="18" customHeight="1" outlineLevel="2">
      <c r="C129" s="1438"/>
      <c r="D129" s="1434"/>
      <c r="E129" s="1434"/>
      <c r="F129" s="1434"/>
      <c r="G129" s="1434"/>
      <c r="H129" s="1434"/>
      <c r="I129" s="1434"/>
      <c r="J129" s="1434"/>
      <c r="K129" s="1434"/>
      <c r="L129" s="1434"/>
      <c r="M129" s="1434"/>
      <c r="N129" s="1434"/>
      <c r="O129" s="1434"/>
      <c r="P129" s="1434"/>
      <c r="Q129" s="1434"/>
      <c r="R129" s="1439" t="str">
        <f>IF(T127=1,"失忆",IF(T127=2,"假性残疾",IF(T127=3,"暴力倾向",IF(T127=4,"偏执",IF(T127=5,"人际依赖",IF(T127=6,"昏厥",IF(T127=7,"逃避行为",IF(T127=8,"歇斯底里",IF(T127=9,"恐惧",IF(T127=10,"躁狂",))))))))))</f>
        <v>躁狂</v>
      </c>
      <c r="S129" s="1439"/>
      <c r="T129" s="1439"/>
      <c r="U129" s="1439"/>
      <c r="V129" s="1440"/>
      <c r="X129" s="1767"/>
      <c r="Y129" s="1768"/>
      <c r="Z129" s="1768"/>
      <c r="AA129" s="1769"/>
      <c r="AB129" s="1768"/>
      <c r="AC129" s="1768"/>
      <c r="AD129" s="1768"/>
      <c r="AE129" s="1774"/>
      <c r="BA129" s="1790" t="str">
        <f>"携带了"&amp;COUNTA(BK117:BL128,BS117:BT128)&amp;"件极具价值的物品"</f>
        <v>携带了0件极具价值的物品</v>
      </c>
      <c r="BB129" s="1791"/>
      <c r="BC129" s="1791"/>
      <c r="BD129" s="1791"/>
      <c r="BE129" s="1791"/>
      <c r="BF129" s="1791"/>
      <c r="BG129" s="1791"/>
      <c r="BH129" s="1791"/>
      <c r="BI129" s="1791"/>
      <c r="BJ129" s="1791"/>
      <c r="BK129" s="1791"/>
      <c r="BL129" s="1791" t="str">
        <f>"花费了"&amp;SUM(BK117:BL128,BS117:BT128)&amp;BR77&amp;"的资产值"</f>
        <v>花费了0美元的资产值</v>
      </c>
      <c r="BM129" s="1791"/>
      <c r="BN129" s="1791"/>
      <c r="BO129" s="1791"/>
      <c r="BP129" s="1791"/>
      <c r="BQ129" s="1791"/>
      <c r="BR129" s="1791"/>
      <c r="BS129" s="1791"/>
      <c r="BT129" s="1792"/>
      <c r="BV129" s="1298"/>
      <c r="BW129" s="1289"/>
      <c r="BX129" s="1420"/>
      <c r="BY129" s="1420"/>
      <c r="BZ129" s="1420"/>
      <c r="CA129" s="1420"/>
      <c r="CB129" s="1289"/>
      <c r="CC129" s="1289"/>
      <c r="CD129" s="1289"/>
      <c r="CE129" s="1289"/>
      <c r="CF129" s="1289"/>
      <c r="CG129" s="1289"/>
      <c r="CH129" s="1289"/>
      <c r="CI129" s="1289"/>
      <c r="CJ129" s="1289"/>
      <c r="CK129" s="1289"/>
      <c r="CL129" s="1289"/>
      <c r="CM129" s="1289"/>
      <c r="CN129" s="1289"/>
      <c r="CO129" s="1793" t="str">
        <f>IFERROR(IF(BV120="","",VLOOKUP(BV120,资产及物价参考!$M$146:$Q$177,4,FALSE)),"无")</f>
        <v/>
      </c>
      <c r="CP129" s="1794"/>
      <c r="CQ129" s="1250" t="s">
        <v>402</v>
      </c>
      <c r="CR129" s="1794" t="str">
        <f>IFERROR(IF(BV120="","",VLOOKUP(BV120,资产及物价参考!$M$146:$Q$177,5,FALSE)),"无")</f>
        <v/>
      </c>
      <c r="CS129" s="1795"/>
      <c r="CU129" s="1298"/>
      <c r="CV129" s="1289"/>
      <c r="CW129" s="1420"/>
      <c r="CX129" s="1420"/>
      <c r="CY129" s="1420"/>
      <c r="CZ129" s="1420"/>
      <c r="DA129" s="1289"/>
      <c r="DB129" s="1289"/>
      <c r="DC129" s="1289"/>
      <c r="DD129" s="1289"/>
      <c r="DE129" s="1289"/>
      <c r="DF129" s="1289"/>
      <c r="DG129" s="1289"/>
      <c r="DH129" s="1289"/>
      <c r="DI129" s="1289"/>
      <c r="DJ129" s="1289"/>
      <c r="DK129" s="1289"/>
      <c r="DL129" s="1289"/>
      <c r="DM129" s="1289"/>
      <c r="DN129" s="1793" t="str">
        <f>IFERROR(IF(CU120="","",VLOOKUP(CU120,资产及物价参考!$M$146:$Q$177,4,FALSE)),"无")</f>
        <v/>
      </c>
      <c r="DO129" s="1794"/>
      <c r="DP129" s="1250" t="s">
        <v>402</v>
      </c>
      <c r="DQ129" s="1794" t="str">
        <f>IFERROR(IF(CU120="","",VLOOKUP(CU120,资产及物价参考!$M$146:$Q$177,5,FALSE)),"无")</f>
        <v/>
      </c>
      <c r="DR129" s="1795"/>
      <c r="DS129"/>
    </row>
    <row r="130" spans="3:123" ht="18" customHeight="1" outlineLevel="2">
      <c r="C130" s="1438"/>
      <c r="D130" s="1434"/>
      <c r="E130" s="1434"/>
      <c r="F130" s="1434"/>
      <c r="G130" s="1434"/>
      <c r="H130" s="1434"/>
      <c r="I130" s="1434"/>
      <c r="J130" s="1434"/>
      <c r="K130" s="1434"/>
      <c r="L130" s="1434"/>
      <c r="M130" s="1434"/>
      <c r="N130" s="1434"/>
      <c r="O130" s="1434"/>
      <c r="P130" s="1434"/>
      <c r="Q130" s="1434"/>
      <c r="R130" s="1439"/>
      <c r="S130" s="1439"/>
      <c r="T130" s="1439"/>
      <c r="U130" s="1439"/>
      <c r="V130" s="1440"/>
      <c r="X130" s="1770"/>
      <c r="Y130" s="1771"/>
      <c r="Z130" s="1771"/>
      <c r="AA130" s="1772"/>
      <c r="AB130" s="1771"/>
      <c r="AC130" s="1771"/>
      <c r="AD130" s="1771"/>
      <c r="AE130" s="1775"/>
      <c r="BA130" s="1740" t="s">
        <v>403</v>
      </c>
      <c r="BB130" s="1741"/>
      <c r="BC130" s="1741"/>
      <c r="BD130" s="1741"/>
      <c r="BE130" s="1741"/>
      <c r="BF130" s="1741"/>
      <c r="BG130" s="1741"/>
      <c r="BH130" s="1741"/>
      <c r="BI130" s="1741"/>
      <c r="BJ130" s="1741"/>
      <c r="BK130" s="1741"/>
      <c r="BL130" s="1741"/>
      <c r="BM130" s="1741"/>
      <c r="BN130" s="1741"/>
      <c r="BO130" s="1741"/>
      <c r="BP130" s="1741"/>
      <c r="BQ130" s="1741"/>
      <c r="BR130" s="1741"/>
      <c r="BS130" s="1741"/>
      <c r="BT130" s="1742"/>
      <c r="BV130" s="1298"/>
      <c r="BW130" s="1289"/>
      <c r="BX130" s="1420"/>
      <c r="BY130" s="1420"/>
      <c r="BZ130" s="1420"/>
      <c r="CA130" s="1420"/>
      <c r="CB130" s="1289"/>
      <c r="CC130" s="1289"/>
      <c r="CD130" s="1289"/>
      <c r="CE130" s="1289"/>
      <c r="CF130" s="1289"/>
      <c r="CG130" s="1289"/>
      <c r="CH130" s="1289"/>
      <c r="CI130" s="1289"/>
      <c r="CJ130" s="1289"/>
      <c r="CK130" s="1289"/>
      <c r="CL130" s="1289"/>
      <c r="CM130" s="1289"/>
      <c r="CN130" s="1289"/>
      <c r="CO130" s="1728" t="s">
        <v>404</v>
      </c>
      <c r="CP130" s="1728"/>
      <c r="CQ130" s="1728"/>
      <c r="CR130" s="1728"/>
      <c r="CS130" s="1743"/>
      <c r="CU130" s="1298"/>
      <c r="CV130" s="1289"/>
      <c r="CW130" s="1420"/>
      <c r="CX130" s="1420"/>
      <c r="CY130" s="1420"/>
      <c r="CZ130" s="1420"/>
      <c r="DA130" s="1289"/>
      <c r="DB130" s="1289"/>
      <c r="DC130" s="1289"/>
      <c r="DD130" s="1289"/>
      <c r="DE130" s="1289"/>
      <c r="DF130" s="1289"/>
      <c r="DG130" s="1289"/>
      <c r="DH130" s="1289"/>
      <c r="DI130" s="1289"/>
      <c r="DJ130" s="1289"/>
      <c r="DK130" s="1289"/>
      <c r="DL130" s="1289"/>
      <c r="DM130" s="1289"/>
      <c r="DN130" s="1728" t="s">
        <v>404</v>
      </c>
      <c r="DO130" s="1728"/>
      <c r="DP130" s="1728"/>
      <c r="DQ130" s="1728"/>
      <c r="DR130" s="1743"/>
      <c r="DS130"/>
    </row>
    <row r="131" spans="3:123" ht="18" customHeight="1" outlineLevel="2">
      <c r="C131" s="1438"/>
      <c r="D131" s="1434"/>
      <c r="E131" s="1434"/>
      <c r="F131" s="1434"/>
      <c r="G131" s="1434"/>
      <c r="H131" s="1434"/>
      <c r="I131" s="1434"/>
      <c r="J131" s="1434"/>
      <c r="K131" s="1434"/>
      <c r="L131" s="1434"/>
      <c r="M131" s="1434"/>
      <c r="N131" s="1434"/>
      <c r="O131" s="1434"/>
      <c r="P131" s="1434"/>
      <c r="Q131" s="1434"/>
      <c r="R131" s="1439"/>
      <c r="S131" s="1439"/>
      <c r="T131" s="1439"/>
      <c r="U131" s="1439"/>
      <c r="V131" s="1440"/>
      <c r="X131" s="1744" t="s">
        <v>405</v>
      </c>
      <c r="Y131" s="1745"/>
      <c r="Z131" s="1745"/>
      <c r="AA131" s="1745"/>
      <c r="AB131" s="1745"/>
      <c r="AC131" s="1745"/>
      <c r="AD131" s="1745"/>
      <c r="AE131" s="1746"/>
      <c r="BA131" s="1747" t="s">
        <v>284</v>
      </c>
      <c r="BB131" s="1748"/>
      <c r="BC131" s="1749" t="s">
        <v>286</v>
      </c>
      <c r="BD131" s="1750"/>
      <c r="BE131" s="1750"/>
      <c r="BF131" s="1750"/>
      <c r="BG131" s="1750"/>
      <c r="BH131" s="1751"/>
      <c r="BI131" s="1749" t="s">
        <v>275</v>
      </c>
      <c r="BJ131" s="1751"/>
      <c r="BK131" s="1747" t="s">
        <v>284</v>
      </c>
      <c r="BL131" s="1748"/>
      <c r="BM131" s="1750" t="s">
        <v>286</v>
      </c>
      <c r="BN131" s="1750"/>
      <c r="BO131" s="1750"/>
      <c r="BP131" s="1750"/>
      <c r="BQ131" s="1750"/>
      <c r="BR131" s="1751"/>
      <c r="BS131" s="1749" t="s">
        <v>275</v>
      </c>
      <c r="BT131" s="1752"/>
      <c r="BV131" s="1298"/>
      <c r="BW131" s="1289"/>
      <c r="BX131" s="1420"/>
      <c r="BY131" s="1420"/>
      <c r="BZ131" s="1420"/>
      <c r="CA131" s="1420"/>
      <c r="CB131" s="1289"/>
      <c r="CC131" s="1289"/>
      <c r="CD131" s="1289"/>
      <c r="CE131" s="1289"/>
      <c r="CF131" s="1289"/>
      <c r="CG131" s="1289"/>
      <c r="CH131" s="1289"/>
      <c r="CI131" s="1289"/>
      <c r="CJ131" s="1289"/>
      <c r="CK131" s="1289"/>
      <c r="CL131" s="1289"/>
      <c r="CM131" s="1289"/>
      <c r="CN131" s="1289"/>
      <c r="CO131" s="1288"/>
      <c r="CP131" s="1289"/>
      <c r="CQ131" s="1289"/>
      <c r="CR131" s="1289"/>
      <c r="CS131" s="1299"/>
      <c r="CU131" s="1298"/>
      <c r="CV131" s="1289"/>
      <c r="CW131" s="1420"/>
      <c r="CX131" s="1420"/>
      <c r="CY131" s="1420"/>
      <c r="CZ131" s="1420"/>
      <c r="DA131" s="1289"/>
      <c r="DB131" s="1289"/>
      <c r="DC131" s="1289"/>
      <c r="DD131" s="1289"/>
      <c r="DE131" s="1289"/>
      <c r="DF131" s="1289"/>
      <c r="DG131" s="1289"/>
      <c r="DH131" s="1289"/>
      <c r="DI131" s="1289"/>
      <c r="DJ131" s="1289"/>
      <c r="DK131" s="1289"/>
      <c r="DL131" s="1289"/>
      <c r="DM131" s="1289"/>
      <c r="DN131" s="1288"/>
      <c r="DO131" s="1289"/>
      <c r="DP131" s="1289"/>
      <c r="DQ131" s="1289"/>
      <c r="DR131" s="1299"/>
      <c r="DS131"/>
    </row>
    <row r="132" spans="3:123" ht="18" customHeight="1" outlineLevel="2">
      <c r="C132" s="1753" t="s">
        <v>406</v>
      </c>
      <c r="D132" s="1754"/>
      <c r="E132" s="1754"/>
      <c r="F132" s="1754"/>
      <c r="G132" s="1754"/>
      <c r="H132" s="1754"/>
      <c r="I132" s="1754"/>
      <c r="J132" s="1754"/>
      <c r="K132" s="1754"/>
      <c r="L132" s="1754"/>
      <c r="M132" s="1754"/>
      <c r="N132" s="1754"/>
      <c r="O132" s="1754"/>
      <c r="P132" s="1754"/>
      <c r="Q132" s="1754"/>
      <c r="R132" s="1754"/>
      <c r="S132" s="1754"/>
      <c r="T132" s="1754"/>
      <c r="U132" s="1754"/>
      <c r="V132" s="1755"/>
      <c r="X132" s="1756" t="s">
        <v>407</v>
      </c>
      <c r="Y132" s="1757"/>
      <c r="Z132" s="1757"/>
      <c r="AA132" s="1757"/>
      <c r="AB132" s="1758" t="s">
        <v>408</v>
      </c>
      <c r="AC132" s="1757"/>
      <c r="AD132" s="1757"/>
      <c r="AE132" s="1759"/>
      <c r="BA132" s="1760" t="s">
        <v>409</v>
      </c>
      <c r="BB132" s="1761"/>
      <c r="BC132" s="1762" t="str">
        <f>IF(BV139="","未填写",BV139)</f>
        <v>未填写</v>
      </c>
      <c r="BD132" s="1762"/>
      <c r="BE132" s="1762"/>
      <c r="BF132" s="1762"/>
      <c r="BG132" s="1762"/>
      <c r="BH132" s="1762"/>
      <c r="BI132" s="1762" t="str">
        <f>IF(BC132="未填写","",IF(CL142="","未填写!",CL142))</f>
        <v/>
      </c>
      <c r="BJ132" s="1762"/>
      <c r="BK132" s="1760" t="s">
        <v>409</v>
      </c>
      <c r="BL132" s="1761"/>
      <c r="BM132" s="1762" t="str">
        <f>IF(CU139="","未填写",CU139)</f>
        <v>未填写</v>
      </c>
      <c r="BN132" s="1762"/>
      <c r="BO132" s="1762"/>
      <c r="BP132" s="1762"/>
      <c r="BQ132" s="1762"/>
      <c r="BR132" s="1762"/>
      <c r="BS132" s="1762" t="str">
        <f>IF(BM132="未填写","",IF(DK142="","未填写!",DK142))</f>
        <v/>
      </c>
      <c r="BT132" s="1763"/>
      <c r="BV132" s="1727" t="s">
        <v>410</v>
      </c>
      <c r="BW132" s="1728"/>
      <c r="BX132" s="1728"/>
      <c r="BY132" s="1728"/>
      <c r="BZ132" s="1728"/>
      <c r="CA132" s="1728"/>
      <c r="CB132" s="1728"/>
      <c r="CC132" s="1728"/>
      <c r="CD132" s="1728"/>
      <c r="CE132" s="1728"/>
      <c r="CF132" s="1728"/>
      <c r="CG132" s="1728"/>
      <c r="CH132" s="1728"/>
      <c r="CI132" s="1728"/>
      <c r="CJ132" s="1728"/>
      <c r="CK132" s="1728"/>
      <c r="CL132" s="1728"/>
      <c r="CM132" s="1728"/>
      <c r="CN132" s="1728"/>
      <c r="CO132" s="1728"/>
      <c r="CP132" s="1728"/>
      <c r="CQ132" s="1728"/>
      <c r="CR132" s="1728"/>
      <c r="CS132" s="1743"/>
      <c r="CU132" s="1727" t="s">
        <v>410</v>
      </c>
      <c r="CV132" s="1728"/>
      <c r="CW132" s="1728"/>
      <c r="CX132" s="1728"/>
      <c r="CY132" s="1728"/>
      <c r="CZ132" s="1728"/>
      <c r="DA132" s="1728"/>
      <c r="DB132" s="1728"/>
      <c r="DC132" s="1728"/>
      <c r="DD132" s="1728"/>
      <c r="DE132" s="1728"/>
      <c r="DF132" s="1728"/>
      <c r="DG132" s="1728"/>
      <c r="DH132" s="1728"/>
      <c r="DI132" s="1728"/>
      <c r="DJ132" s="1728"/>
      <c r="DK132" s="1728"/>
      <c r="DL132" s="1728"/>
      <c r="DM132" s="1728"/>
      <c r="DN132" s="1728"/>
      <c r="DO132" s="1728"/>
      <c r="DP132" s="1728"/>
      <c r="DQ132" s="1728"/>
      <c r="DR132" s="1743"/>
      <c r="DS132"/>
    </row>
    <row r="133" spans="3:123" ht="18" customHeight="1" outlineLevel="2">
      <c r="X133" s="1732"/>
      <c r="Y133" s="1733"/>
      <c r="Z133" s="1733"/>
      <c r="AA133" s="1733"/>
      <c r="AB133" s="1734"/>
      <c r="AC133" s="1733"/>
      <c r="AD133" s="1733"/>
      <c r="AE133" s="1735"/>
      <c r="BA133" s="1736" t="s">
        <v>411</v>
      </c>
      <c r="BB133" s="1737"/>
      <c r="BC133" s="1738" t="str">
        <f>IF(BV120="","未填写",BV120)</f>
        <v>未填写</v>
      </c>
      <c r="BD133" s="1738"/>
      <c r="BE133" s="1738"/>
      <c r="BF133" s="1738"/>
      <c r="BG133" s="1738"/>
      <c r="BH133" s="1738"/>
      <c r="BI133" s="1738" t="str">
        <f>IF(BC133="未填写","",IF(CO131="","未填写!",CO131))</f>
        <v/>
      </c>
      <c r="BJ133" s="1738"/>
      <c r="BK133" s="1736" t="s">
        <v>411</v>
      </c>
      <c r="BL133" s="1737"/>
      <c r="BM133" s="1738" t="str">
        <f>IF(CU120="","未填写",CU120)</f>
        <v>未填写</v>
      </c>
      <c r="BN133" s="1738"/>
      <c r="BO133" s="1738"/>
      <c r="BP133" s="1738"/>
      <c r="BQ133" s="1738"/>
      <c r="BR133" s="1738"/>
      <c r="BS133" s="1738" t="str">
        <f>IF(BM133="未填写","",IF(DN131="","未填写!",DN131))</f>
        <v/>
      </c>
      <c r="BT133" s="1739"/>
      <c r="BV133" s="1298"/>
      <c r="BW133" s="1289"/>
      <c r="BX133" s="1289"/>
      <c r="BY133" s="1289"/>
      <c r="BZ133" s="1289"/>
      <c r="CA133" s="1289"/>
      <c r="CB133" s="1289"/>
      <c r="CC133" s="1289"/>
      <c r="CD133" s="1289"/>
      <c r="CE133" s="1289"/>
      <c r="CF133" s="1289"/>
      <c r="CG133" s="1289"/>
      <c r="CH133" s="1289"/>
      <c r="CI133" s="1289"/>
      <c r="CJ133" s="1289"/>
      <c r="CK133" s="1289"/>
      <c r="CL133" s="1289"/>
      <c r="CM133" s="1289"/>
      <c r="CN133" s="1289"/>
      <c r="CO133" s="1289"/>
      <c r="CP133" s="1289"/>
      <c r="CQ133" s="1289"/>
      <c r="CR133" s="1289"/>
      <c r="CS133" s="1299"/>
      <c r="CU133" s="1298"/>
      <c r="CV133" s="1289"/>
      <c r="CW133" s="1289"/>
      <c r="CX133" s="1289"/>
      <c r="CY133" s="1289"/>
      <c r="CZ133" s="1289"/>
      <c r="DA133" s="1289"/>
      <c r="DB133" s="1289"/>
      <c r="DC133" s="1289"/>
      <c r="DD133" s="1289"/>
      <c r="DE133" s="1289"/>
      <c r="DF133" s="1289"/>
      <c r="DG133" s="1289"/>
      <c r="DH133" s="1289"/>
      <c r="DI133" s="1289"/>
      <c r="DJ133" s="1289"/>
      <c r="DK133" s="1289"/>
      <c r="DL133" s="1289"/>
      <c r="DM133" s="1289"/>
      <c r="DN133" s="1289"/>
      <c r="DO133" s="1289"/>
      <c r="DP133" s="1289"/>
      <c r="DQ133" s="1289"/>
      <c r="DR133" s="1299"/>
      <c r="DS133"/>
    </row>
    <row r="134" spans="3:123" ht="18" customHeight="1" outlineLevel="2">
      <c r="BA134" s="1679" t="s">
        <v>412</v>
      </c>
      <c r="BB134" s="1680"/>
      <c r="BC134" s="1722"/>
      <c r="BD134" s="1722"/>
      <c r="BE134" s="1722"/>
      <c r="BF134" s="1722"/>
      <c r="BG134" s="1722"/>
      <c r="BH134" s="1722"/>
      <c r="BI134" s="1722"/>
      <c r="BJ134" s="1722"/>
      <c r="BK134" s="1679" t="s">
        <v>412</v>
      </c>
      <c r="BL134" s="1680"/>
      <c r="BM134" s="1722"/>
      <c r="BN134" s="1722"/>
      <c r="BO134" s="1722"/>
      <c r="BP134" s="1722"/>
      <c r="BQ134" s="1722"/>
      <c r="BR134" s="1722"/>
      <c r="BS134" s="1722"/>
      <c r="BT134" s="1723"/>
      <c r="BV134" s="1298"/>
      <c r="BW134" s="1289"/>
      <c r="BX134" s="1289"/>
      <c r="BY134" s="1289"/>
      <c r="BZ134" s="1289"/>
      <c r="CA134" s="1289"/>
      <c r="CB134" s="1289"/>
      <c r="CC134" s="1289"/>
      <c r="CD134" s="1289"/>
      <c r="CE134" s="1289"/>
      <c r="CF134" s="1289"/>
      <c r="CG134" s="1289"/>
      <c r="CH134" s="1289"/>
      <c r="CI134" s="1289"/>
      <c r="CJ134" s="1289"/>
      <c r="CK134" s="1289"/>
      <c r="CL134" s="1289"/>
      <c r="CM134" s="1289"/>
      <c r="CN134" s="1289"/>
      <c r="CO134" s="1289"/>
      <c r="CP134" s="1289"/>
      <c r="CQ134" s="1289"/>
      <c r="CR134" s="1289"/>
      <c r="CS134" s="1299"/>
      <c r="CU134" s="1298"/>
      <c r="CV134" s="1289"/>
      <c r="CW134" s="1289"/>
      <c r="CX134" s="1289"/>
      <c r="CY134" s="1289"/>
      <c r="CZ134" s="1289"/>
      <c r="DA134" s="1289"/>
      <c r="DB134" s="1289"/>
      <c r="DC134" s="1289"/>
      <c r="DD134" s="1289"/>
      <c r="DE134" s="1289"/>
      <c r="DF134" s="1289"/>
      <c r="DG134" s="1289"/>
      <c r="DH134" s="1289"/>
      <c r="DI134" s="1289"/>
      <c r="DJ134" s="1289"/>
      <c r="DK134" s="1289"/>
      <c r="DL134" s="1289"/>
      <c r="DM134" s="1289"/>
      <c r="DN134" s="1289"/>
      <c r="DO134" s="1289"/>
      <c r="DP134" s="1289"/>
      <c r="DQ134" s="1289"/>
      <c r="DR134" s="1299"/>
      <c r="DS134"/>
    </row>
    <row r="135" spans="3:123" ht="18" customHeight="1" outlineLevel="1">
      <c r="BA135" s="1706" t="s">
        <v>413</v>
      </c>
      <c r="BB135" s="1707"/>
      <c r="BC135" s="1708"/>
      <c r="BD135" s="1708"/>
      <c r="BE135" s="1708"/>
      <c r="BF135" s="1708"/>
      <c r="BG135" s="1708"/>
      <c r="BH135" s="1708"/>
      <c r="BI135" s="1708"/>
      <c r="BJ135" s="1708"/>
      <c r="BK135" s="1706" t="s">
        <v>411</v>
      </c>
      <c r="BL135" s="1707"/>
      <c r="BM135" s="1708"/>
      <c r="BN135" s="1708"/>
      <c r="BO135" s="1708"/>
      <c r="BP135" s="1708"/>
      <c r="BQ135" s="1708"/>
      <c r="BR135" s="1708"/>
      <c r="BS135" s="1708"/>
      <c r="BT135" s="1709"/>
      <c r="BV135" s="1300"/>
      <c r="BW135" s="1291"/>
      <c r="BX135" s="1291"/>
      <c r="BY135" s="1291"/>
      <c r="BZ135" s="1291"/>
      <c r="CA135" s="1291"/>
      <c r="CB135" s="1291"/>
      <c r="CC135" s="1291"/>
      <c r="CD135" s="1291"/>
      <c r="CE135" s="1291"/>
      <c r="CF135" s="1291"/>
      <c r="CG135" s="1291"/>
      <c r="CH135" s="1291"/>
      <c r="CI135" s="1291"/>
      <c r="CJ135" s="1291"/>
      <c r="CK135" s="1291"/>
      <c r="CL135" s="1291"/>
      <c r="CM135" s="1291"/>
      <c r="CN135" s="1291"/>
      <c r="CO135" s="1291"/>
      <c r="CP135" s="1291"/>
      <c r="CQ135" s="1291"/>
      <c r="CR135" s="1291"/>
      <c r="CS135" s="1301"/>
      <c r="CU135" s="1300"/>
      <c r="CV135" s="1291"/>
      <c r="CW135" s="1291"/>
      <c r="CX135" s="1291"/>
      <c r="CY135" s="1291"/>
      <c r="CZ135" s="1291"/>
      <c r="DA135" s="1291"/>
      <c r="DB135" s="1291"/>
      <c r="DC135" s="1291"/>
      <c r="DD135" s="1291"/>
      <c r="DE135" s="1291"/>
      <c r="DF135" s="1291"/>
      <c r="DG135" s="1291"/>
      <c r="DH135" s="1291"/>
      <c r="DI135" s="1291"/>
      <c r="DJ135" s="1291"/>
      <c r="DK135" s="1291"/>
      <c r="DL135" s="1291"/>
      <c r="DM135" s="1291"/>
      <c r="DN135" s="1291"/>
      <c r="DO135" s="1291"/>
      <c r="DP135" s="1291"/>
      <c r="DQ135" s="1291"/>
      <c r="DR135" s="1301"/>
      <c r="DS135"/>
    </row>
    <row r="136" spans="3:123" ht="18" customHeight="1" outlineLevel="1">
      <c r="BA136" s="1679"/>
      <c r="BB136" s="1680"/>
      <c r="BC136" s="1722"/>
      <c r="BD136" s="1722"/>
      <c r="BE136" s="1722"/>
      <c r="BF136" s="1722"/>
      <c r="BG136" s="1722"/>
      <c r="BH136" s="1722"/>
      <c r="BI136" s="1722"/>
      <c r="BJ136" s="1722"/>
      <c r="BK136" s="1679"/>
      <c r="BL136" s="1680"/>
      <c r="BM136" s="1722"/>
      <c r="BN136" s="1722"/>
      <c r="BO136" s="1722"/>
      <c r="BP136" s="1722"/>
      <c r="BQ136" s="1722"/>
      <c r="BR136" s="1722"/>
      <c r="BS136" s="1722"/>
      <c r="BT136" s="1723"/>
      <c r="CW136"/>
      <c r="CX136"/>
      <c r="CY136"/>
      <c r="CZ136"/>
      <c r="DA136"/>
      <c r="DB136"/>
      <c r="DC136"/>
      <c r="DD136"/>
      <c r="DE136"/>
      <c r="DF136"/>
      <c r="DG136"/>
      <c r="DH136"/>
      <c r="DI136"/>
      <c r="DJ136"/>
      <c r="DK136"/>
      <c r="DL136"/>
      <c r="DM136"/>
      <c r="DN136"/>
      <c r="DO136"/>
      <c r="DP136"/>
      <c r="DQ136"/>
      <c r="DR136"/>
      <c r="DS136"/>
    </row>
    <row r="137" spans="3:123" ht="18" customHeight="1" outlineLevel="2">
      <c r="BA137" s="1706"/>
      <c r="BB137" s="1707"/>
      <c r="BC137" s="1708"/>
      <c r="BD137" s="1708"/>
      <c r="BE137" s="1708"/>
      <c r="BF137" s="1708"/>
      <c r="BG137" s="1708"/>
      <c r="BH137" s="1708"/>
      <c r="BI137" s="1708"/>
      <c r="BJ137" s="1708"/>
      <c r="BK137" s="1706"/>
      <c r="BL137" s="1707"/>
      <c r="BM137" s="1708"/>
      <c r="BN137" s="1708"/>
      <c r="BO137" s="1708"/>
      <c r="BP137" s="1708"/>
      <c r="BQ137" s="1708"/>
      <c r="BR137" s="1708"/>
      <c r="BS137" s="1708"/>
      <c r="BT137" s="1709"/>
      <c r="BV137" s="1724" t="s">
        <v>414</v>
      </c>
      <c r="BW137" s="1725"/>
      <c r="BX137" s="1725"/>
      <c r="BY137" s="1725"/>
      <c r="BZ137" s="1725"/>
      <c r="CA137" s="1725"/>
      <c r="CB137" s="1725"/>
      <c r="CC137" s="1725"/>
      <c r="CD137" s="1725"/>
      <c r="CE137" s="1725"/>
      <c r="CF137" s="1725"/>
      <c r="CG137" s="1725"/>
      <c r="CH137" s="1725"/>
      <c r="CI137" s="1725"/>
      <c r="CJ137" s="1725"/>
      <c r="CK137" s="1725"/>
      <c r="CL137" s="1725"/>
      <c r="CM137" s="1725"/>
      <c r="CN137" s="1725"/>
      <c r="CO137" s="1725"/>
      <c r="CP137" s="1725"/>
      <c r="CQ137" s="1725"/>
      <c r="CR137" s="1725"/>
      <c r="CS137" s="1726"/>
      <c r="CU137" s="1724" t="s">
        <v>414</v>
      </c>
      <c r="CV137" s="1725"/>
      <c r="CW137" s="1725"/>
      <c r="CX137" s="1725"/>
      <c r="CY137" s="1725"/>
      <c r="CZ137" s="1725"/>
      <c r="DA137" s="1725"/>
      <c r="DB137" s="1725"/>
      <c r="DC137" s="1725"/>
      <c r="DD137" s="1725"/>
      <c r="DE137" s="1725"/>
      <c r="DF137" s="1725"/>
      <c r="DG137" s="1725"/>
      <c r="DH137" s="1725"/>
      <c r="DI137" s="1725"/>
      <c r="DJ137" s="1725"/>
      <c r="DK137" s="1725"/>
      <c r="DL137" s="1725"/>
      <c r="DM137" s="1725"/>
      <c r="DN137" s="1725"/>
      <c r="DO137" s="1725"/>
      <c r="DP137" s="1725"/>
      <c r="DQ137" s="1725"/>
      <c r="DR137" s="1726"/>
      <c r="DS137"/>
    </row>
    <row r="138" spans="3:123" ht="18" customHeight="1" outlineLevel="2">
      <c r="BA138" s="1679"/>
      <c r="BB138" s="1680"/>
      <c r="BC138" s="1722"/>
      <c r="BD138" s="1722"/>
      <c r="BE138" s="1722"/>
      <c r="BF138" s="1722"/>
      <c r="BG138" s="1722"/>
      <c r="BH138" s="1722"/>
      <c r="BI138" s="1722"/>
      <c r="BJ138" s="1722"/>
      <c r="BK138" s="1679"/>
      <c r="BL138" s="1680"/>
      <c r="BM138" s="1722"/>
      <c r="BN138" s="1722"/>
      <c r="BO138" s="1722"/>
      <c r="BP138" s="1722"/>
      <c r="BQ138" s="1722"/>
      <c r="BR138" s="1722"/>
      <c r="BS138" s="1722"/>
      <c r="BT138" s="1723"/>
      <c r="BV138" s="1727" t="s">
        <v>415</v>
      </c>
      <c r="BW138" s="1728"/>
      <c r="BX138" s="1728"/>
      <c r="BY138" s="1728"/>
      <c r="BZ138" s="1728"/>
      <c r="CA138" s="1728"/>
      <c r="CB138" s="1729" t="s">
        <v>416</v>
      </c>
      <c r="CC138" s="1728"/>
      <c r="CD138" s="1728"/>
      <c r="CE138" s="1728"/>
      <c r="CF138" s="1730" t="s">
        <v>417</v>
      </c>
      <c r="CG138" s="1730"/>
      <c r="CH138" s="1730"/>
      <c r="CI138" s="1730"/>
      <c r="CJ138" s="1730"/>
      <c r="CK138" s="1730"/>
      <c r="CL138" s="1730"/>
      <c r="CM138" s="1730"/>
      <c r="CN138" s="1730"/>
      <c r="CO138" s="1730"/>
      <c r="CP138" s="1730"/>
      <c r="CQ138" s="1730"/>
      <c r="CR138" s="1730"/>
      <c r="CS138" s="1731"/>
      <c r="CU138" s="1727" t="s">
        <v>415</v>
      </c>
      <c r="CV138" s="1728"/>
      <c r="CW138" s="1728"/>
      <c r="CX138" s="1728"/>
      <c r="CY138" s="1728"/>
      <c r="CZ138" s="1728"/>
      <c r="DA138" s="1729" t="s">
        <v>416</v>
      </c>
      <c r="DB138" s="1728"/>
      <c r="DC138" s="1728"/>
      <c r="DD138" s="1728"/>
      <c r="DE138" s="1730" t="s">
        <v>417</v>
      </c>
      <c r="DF138" s="1730"/>
      <c r="DG138" s="1730"/>
      <c r="DH138" s="1730"/>
      <c r="DI138" s="1730"/>
      <c r="DJ138" s="1730"/>
      <c r="DK138" s="1730"/>
      <c r="DL138" s="1730"/>
      <c r="DM138" s="1730"/>
      <c r="DN138" s="1730"/>
      <c r="DO138" s="1730"/>
      <c r="DP138" s="1730"/>
      <c r="DQ138" s="1730"/>
      <c r="DR138" s="1731"/>
      <c r="DS138"/>
    </row>
    <row r="139" spans="3:123" ht="18" customHeight="1" outlineLevel="2">
      <c r="AZ139" s="792"/>
      <c r="BA139" s="1706"/>
      <c r="BB139" s="1707"/>
      <c r="BC139" s="1708"/>
      <c r="BD139" s="1708"/>
      <c r="BE139" s="1708"/>
      <c r="BF139" s="1708"/>
      <c r="BG139" s="1708"/>
      <c r="BH139" s="1708"/>
      <c r="BI139" s="1708"/>
      <c r="BJ139" s="1708"/>
      <c r="BK139" s="1706"/>
      <c r="BL139" s="1707"/>
      <c r="BM139" s="1708"/>
      <c r="BN139" s="1708"/>
      <c r="BO139" s="1708"/>
      <c r="BP139" s="1708"/>
      <c r="BQ139" s="1708"/>
      <c r="BR139" s="1708"/>
      <c r="BS139" s="1708"/>
      <c r="BT139" s="1709"/>
      <c r="BV139" s="1302"/>
      <c r="BW139" s="1302"/>
      <c r="BX139" s="1302"/>
      <c r="BY139" s="1302"/>
      <c r="BZ139" s="1302"/>
      <c r="CA139" s="1302"/>
      <c r="CB139" s="1303" t="s">
        <v>418</v>
      </c>
      <c r="CC139" s="1303"/>
      <c r="CD139" s="1303"/>
      <c r="CE139" s="1303"/>
      <c r="CF139" s="1660" t="s">
        <v>419</v>
      </c>
      <c r="CG139" s="1660"/>
      <c r="CH139" s="1660"/>
      <c r="CI139" s="1661" t="s">
        <v>420</v>
      </c>
      <c r="CJ139" s="1661"/>
      <c r="CK139" s="1661"/>
      <c r="CL139" s="1661"/>
      <c r="CM139" s="1646" t="s">
        <v>421</v>
      </c>
      <c r="CN139" s="1646"/>
      <c r="CO139" s="1646"/>
      <c r="CP139" s="1647" t="s">
        <v>422</v>
      </c>
      <c r="CQ139" s="1647"/>
      <c r="CR139" s="1647"/>
      <c r="CS139" s="1647"/>
      <c r="CU139" s="1302"/>
      <c r="CV139" s="1302"/>
      <c r="CW139" s="1302"/>
      <c r="CX139" s="1302"/>
      <c r="CY139" s="1302"/>
      <c r="CZ139" s="1302"/>
      <c r="DA139" s="1303" t="s">
        <v>418</v>
      </c>
      <c r="DB139" s="1303"/>
      <c r="DC139" s="1303"/>
      <c r="DD139" s="1303"/>
      <c r="DE139" s="1660" t="s">
        <v>419</v>
      </c>
      <c r="DF139" s="1660"/>
      <c r="DG139" s="1660"/>
      <c r="DH139" s="1661" t="s">
        <v>420</v>
      </c>
      <c r="DI139" s="1661"/>
      <c r="DJ139" s="1661"/>
      <c r="DK139" s="1661"/>
      <c r="DL139" s="1646" t="s">
        <v>421</v>
      </c>
      <c r="DM139" s="1646"/>
      <c r="DN139" s="1646"/>
      <c r="DO139" s="1647" t="s">
        <v>422</v>
      </c>
      <c r="DP139" s="1647"/>
      <c r="DQ139" s="1647"/>
      <c r="DR139" s="1647"/>
      <c r="DS139"/>
    </row>
    <row r="140" spans="3:123" ht="18" customHeight="1" outlineLevel="2">
      <c r="AZ140" s="792"/>
      <c r="BA140" s="1679"/>
      <c r="BB140" s="1680"/>
      <c r="BC140" s="1681"/>
      <c r="BD140" s="1681"/>
      <c r="BE140" s="1681"/>
      <c r="BF140" s="1681"/>
      <c r="BG140" s="1681"/>
      <c r="BH140" s="1681"/>
      <c r="BI140" s="1681"/>
      <c r="BJ140" s="1681"/>
      <c r="BK140" s="1679"/>
      <c r="BL140" s="1680"/>
      <c r="BM140" s="1681"/>
      <c r="BN140" s="1681"/>
      <c r="BO140" s="1681"/>
      <c r="BP140" s="1681"/>
      <c r="BQ140" s="1681"/>
      <c r="BR140" s="1681"/>
      <c r="BS140" s="1681"/>
      <c r="BT140" s="1682"/>
      <c r="BV140" s="1302"/>
      <c r="BW140" s="1302"/>
      <c r="BX140" s="1302"/>
      <c r="BY140" s="1302"/>
      <c r="BZ140" s="1302"/>
      <c r="CA140" s="1302"/>
      <c r="CB140" s="1303"/>
      <c r="CC140" s="1303"/>
      <c r="CD140" s="1303"/>
      <c r="CE140" s="1303"/>
      <c r="CF140" s="1302"/>
      <c r="CG140" s="1302"/>
      <c r="CH140" s="1302"/>
      <c r="CI140" s="1302"/>
      <c r="CJ140" s="1302"/>
      <c r="CK140" s="1302"/>
      <c r="CL140" s="1302"/>
      <c r="CM140" s="1302"/>
      <c r="CN140" s="1302"/>
      <c r="CO140" s="1302"/>
      <c r="CP140" s="1302"/>
      <c r="CQ140" s="1302"/>
      <c r="CR140" s="1302"/>
      <c r="CS140" s="1302"/>
      <c r="CU140" s="1302"/>
      <c r="CV140" s="1302"/>
      <c r="CW140" s="1302"/>
      <c r="CX140" s="1302"/>
      <c r="CY140" s="1302"/>
      <c r="CZ140" s="1302"/>
      <c r="DA140" s="1303"/>
      <c r="DB140" s="1303"/>
      <c r="DC140" s="1303"/>
      <c r="DD140" s="1303"/>
      <c r="DE140" s="1302"/>
      <c r="DF140" s="1302"/>
      <c r="DG140" s="1302"/>
      <c r="DH140" s="1302"/>
      <c r="DI140" s="1302"/>
      <c r="DJ140" s="1302"/>
      <c r="DK140" s="1302"/>
      <c r="DL140" s="1302"/>
      <c r="DM140" s="1302"/>
      <c r="DN140" s="1302"/>
      <c r="DO140" s="1302"/>
      <c r="DP140" s="1302"/>
      <c r="DQ140" s="1302"/>
      <c r="DR140" s="1302"/>
      <c r="DS140"/>
    </row>
    <row r="141" spans="3:123" ht="18" customHeight="1" outlineLevel="2">
      <c r="BA141" s="1706"/>
      <c r="BB141" s="1707"/>
      <c r="BC141" s="1708"/>
      <c r="BD141" s="1708"/>
      <c r="BE141" s="1708"/>
      <c r="BF141" s="1708"/>
      <c r="BG141" s="1708"/>
      <c r="BH141" s="1708"/>
      <c r="BI141" s="1708"/>
      <c r="BJ141" s="1708"/>
      <c r="BK141" s="1706"/>
      <c r="BL141" s="1707"/>
      <c r="BM141" s="1708"/>
      <c r="BN141" s="1708"/>
      <c r="BO141" s="1708"/>
      <c r="BP141" s="1708"/>
      <c r="BQ141" s="1708"/>
      <c r="BR141" s="1708"/>
      <c r="BS141" s="1708"/>
      <c r="BT141" s="1709"/>
      <c r="BV141" s="1302"/>
      <c r="BW141" s="1302"/>
      <c r="BX141" s="1302"/>
      <c r="BY141" s="1302"/>
      <c r="BZ141" s="1302"/>
      <c r="CA141" s="1302"/>
      <c r="CB141" s="1711" t="s">
        <v>423</v>
      </c>
      <c r="CC141" s="1711"/>
      <c r="CD141" s="1711"/>
      <c r="CE141" s="1711"/>
      <c r="CF141" s="1716" t="s">
        <v>424</v>
      </c>
      <c r="CG141" s="1716"/>
      <c r="CH141" s="1716"/>
      <c r="CI141" s="1716"/>
      <c r="CJ141" s="1716"/>
      <c r="CK141" s="1716"/>
      <c r="CL141" s="1714" t="s">
        <v>425</v>
      </c>
      <c r="CM141" s="1714"/>
      <c r="CN141" s="1714"/>
      <c r="CO141" s="1714"/>
      <c r="CP141" s="1714"/>
      <c r="CQ141" s="1714"/>
      <c r="CR141" s="1714"/>
      <c r="CS141" s="1714"/>
      <c r="CU141" s="1302"/>
      <c r="CV141" s="1302"/>
      <c r="CW141" s="1302"/>
      <c r="CX141" s="1302"/>
      <c r="CY141" s="1302"/>
      <c r="CZ141" s="1302"/>
      <c r="DA141" s="1711" t="s">
        <v>423</v>
      </c>
      <c r="DB141" s="1711"/>
      <c r="DC141" s="1711"/>
      <c r="DD141" s="1711"/>
      <c r="DE141" s="1716" t="s">
        <v>424</v>
      </c>
      <c r="DF141" s="1716"/>
      <c r="DG141" s="1716"/>
      <c r="DH141" s="1716"/>
      <c r="DI141" s="1716"/>
      <c r="DJ141" s="1716"/>
      <c r="DK141" s="1714" t="s">
        <v>425</v>
      </c>
      <c r="DL141" s="1714"/>
      <c r="DM141" s="1714"/>
      <c r="DN141" s="1714"/>
      <c r="DO141" s="1714"/>
      <c r="DP141" s="1714"/>
      <c r="DQ141" s="1714"/>
      <c r="DR141" s="1714"/>
      <c r="DS141"/>
    </row>
    <row r="142" spans="3:123" ht="18" customHeight="1" outlineLevel="2">
      <c r="BA142" s="1679"/>
      <c r="BB142" s="1680"/>
      <c r="BC142" s="1681"/>
      <c r="BD142" s="1681"/>
      <c r="BE142" s="1681"/>
      <c r="BF142" s="1681"/>
      <c r="BG142" s="1681"/>
      <c r="BH142" s="1681"/>
      <c r="BI142" s="1681"/>
      <c r="BJ142" s="1681"/>
      <c r="BK142" s="1679"/>
      <c r="BL142" s="1680"/>
      <c r="BM142" s="1681"/>
      <c r="BN142" s="1681"/>
      <c r="BO142" s="1681"/>
      <c r="BP142" s="1681"/>
      <c r="BQ142" s="1681"/>
      <c r="BR142" s="1681"/>
      <c r="BS142" s="1681"/>
      <c r="BT142" s="1682"/>
      <c r="BV142" s="1302"/>
      <c r="BW142" s="1302"/>
      <c r="BX142" s="1302"/>
      <c r="BY142" s="1302"/>
      <c r="BZ142" s="1302"/>
      <c r="CA142" s="1302"/>
      <c r="CB142" s="1716" t="s">
        <v>426</v>
      </c>
      <c r="CC142" s="1716"/>
      <c r="CD142" s="1716"/>
      <c r="CE142" s="1716"/>
      <c r="CF142" s="1717">
        <f>IF(CB139="","",VLOOKUP(CB139,资产及物价参考!$G$152:$K$180,4,FALSE))</f>
        <v>4.45</v>
      </c>
      <c r="CG142" s="1718"/>
      <c r="CH142" s="1251" t="s">
        <v>402</v>
      </c>
      <c r="CI142" s="1718">
        <f>IF(CB139="","",VLOOKUP(CB139,资产及物价参考!$G$152:$K$180,5,FALSE))</f>
        <v>89</v>
      </c>
      <c r="CJ142" s="1718"/>
      <c r="CK142" s="1719"/>
      <c r="CL142" s="1720"/>
      <c r="CM142" s="1720"/>
      <c r="CN142" s="1720"/>
      <c r="CO142" s="1720"/>
      <c r="CP142" s="1721" t="str">
        <f>BL13</f>
        <v>美元</v>
      </c>
      <c r="CQ142" s="1721"/>
      <c r="CR142" s="1721"/>
      <c r="CS142" s="1721"/>
      <c r="CU142" s="1302"/>
      <c r="CV142" s="1302"/>
      <c r="CW142" s="1302"/>
      <c r="CX142" s="1302"/>
      <c r="CY142" s="1302"/>
      <c r="CZ142" s="1302"/>
      <c r="DA142" s="1716" t="s">
        <v>426</v>
      </c>
      <c r="DB142" s="1716"/>
      <c r="DC142" s="1716"/>
      <c r="DD142" s="1716"/>
      <c r="DE142" s="1717">
        <f>IF(DA139="","",VLOOKUP(DA139,资产及物价参考!$G$152:$K$180,4,FALSE))</f>
        <v>4.45</v>
      </c>
      <c r="DF142" s="1718"/>
      <c r="DG142" s="1251" t="s">
        <v>402</v>
      </c>
      <c r="DH142" s="1718">
        <f>IF(DA139="","",VLOOKUP(DA139,资产及物价参考!$G$152:$K$180,5,FALSE))</f>
        <v>89</v>
      </c>
      <c r="DI142" s="1718"/>
      <c r="DJ142" s="1719"/>
      <c r="DK142" s="1720"/>
      <c r="DL142" s="1720"/>
      <c r="DM142" s="1720"/>
      <c r="DN142" s="1720"/>
      <c r="DO142" s="1721">
        <f>CK13</f>
        <v>0</v>
      </c>
      <c r="DP142" s="1721"/>
      <c r="DQ142" s="1721"/>
      <c r="DR142" s="1721"/>
      <c r="DS142"/>
    </row>
    <row r="143" spans="3:123" ht="18" customHeight="1" outlineLevel="2">
      <c r="AZ143" s="792"/>
      <c r="BA143" s="1706"/>
      <c r="BB143" s="1707"/>
      <c r="BC143" s="1708"/>
      <c r="BD143" s="1708"/>
      <c r="BE143" s="1708"/>
      <c r="BF143" s="1708"/>
      <c r="BG143" s="1708"/>
      <c r="BH143" s="1708"/>
      <c r="BI143" s="1708"/>
      <c r="BJ143" s="1708"/>
      <c r="BK143" s="1706"/>
      <c r="BL143" s="1707"/>
      <c r="BM143" s="1708"/>
      <c r="BN143" s="1708"/>
      <c r="BO143" s="1708"/>
      <c r="BP143" s="1708"/>
      <c r="BQ143" s="1708"/>
      <c r="BR143" s="1708"/>
      <c r="BS143" s="1708"/>
      <c r="BT143" s="1709"/>
      <c r="BV143" s="1713" t="s">
        <v>427</v>
      </c>
      <c r="BW143" s="1697"/>
      <c r="BX143" s="1697"/>
      <c r="BY143" s="1697"/>
      <c r="BZ143" s="1697" t="s">
        <v>428</v>
      </c>
      <c r="CA143" s="1697"/>
      <c r="CB143" s="1697"/>
      <c r="CC143" s="1697"/>
      <c r="CD143" s="1714" t="s">
        <v>429</v>
      </c>
      <c r="CE143" s="1714"/>
      <c r="CF143" s="1714"/>
      <c r="CG143" s="1714"/>
      <c r="CH143" s="1696" t="s">
        <v>430</v>
      </c>
      <c r="CI143" s="1697"/>
      <c r="CJ143" s="1697"/>
      <c r="CK143" s="1715"/>
      <c r="CL143" s="1714" t="s">
        <v>431</v>
      </c>
      <c r="CM143" s="1714"/>
      <c r="CN143" s="1714"/>
      <c r="CO143" s="1714"/>
      <c r="CP143" s="1696" t="s">
        <v>432</v>
      </c>
      <c r="CQ143" s="1697"/>
      <c r="CR143" s="1697"/>
      <c r="CS143" s="1698"/>
      <c r="CU143" s="1713" t="s">
        <v>427</v>
      </c>
      <c r="CV143" s="1697"/>
      <c r="CW143" s="1697"/>
      <c r="CX143" s="1697"/>
      <c r="CY143" s="1697" t="s">
        <v>428</v>
      </c>
      <c r="CZ143" s="1697"/>
      <c r="DA143" s="1697"/>
      <c r="DB143" s="1697"/>
      <c r="DC143" s="1714" t="s">
        <v>429</v>
      </c>
      <c r="DD143" s="1714"/>
      <c r="DE143" s="1714"/>
      <c r="DF143" s="1714"/>
      <c r="DG143" s="1696" t="s">
        <v>430</v>
      </c>
      <c r="DH143" s="1697"/>
      <c r="DI143" s="1697"/>
      <c r="DJ143" s="1715"/>
      <c r="DK143" s="1714" t="s">
        <v>431</v>
      </c>
      <c r="DL143" s="1714"/>
      <c r="DM143" s="1714"/>
      <c r="DN143" s="1714"/>
      <c r="DO143" s="1696" t="s">
        <v>432</v>
      </c>
      <c r="DP143" s="1697"/>
      <c r="DQ143" s="1697"/>
      <c r="DR143" s="1698"/>
    </row>
    <row r="144" spans="3:123" ht="18" customHeight="1" outlineLevel="2">
      <c r="AZ144" s="792"/>
      <c r="BA144" s="1679"/>
      <c r="BB144" s="1680"/>
      <c r="BC144" s="1681"/>
      <c r="BD144" s="1681"/>
      <c r="BE144" s="1681"/>
      <c r="BF144" s="1681"/>
      <c r="BG144" s="1681"/>
      <c r="BH144" s="1681"/>
      <c r="BI144" s="1681"/>
      <c r="BJ144" s="1681"/>
      <c r="BK144" s="1679"/>
      <c r="BL144" s="1680"/>
      <c r="BM144" s="1681"/>
      <c r="BN144" s="1681"/>
      <c r="BO144" s="1681"/>
      <c r="BP144" s="1681"/>
      <c r="BQ144" s="1681"/>
      <c r="BR144" s="1681"/>
      <c r="BS144" s="1681"/>
      <c r="BT144" s="1682"/>
      <c r="BV144" s="1699"/>
      <c r="BW144" s="1700"/>
      <c r="BX144" s="1700"/>
      <c r="BY144" s="1701"/>
      <c r="BZ144" s="1702"/>
      <c r="CA144" s="1700"/>
      <c r="CB144" s="1700"/>
      <c r="CC144" s="1701"/>
      <c r="CD144" s="1703" t="str">
        <f>IF(CB139="商品房","全额永久",IF(CB139="小产权房","仅乡/村承认",IF(CB139="经济适用房","不完全","无")))</f>
        <v>无</v>
      </c>
      <c r="CE144" s="1704"/>
      <c r="CF144" s="1704"/>
      <c r="CG144" s="1705"/>
      <c r="CH144" s="1703" t="str">
        <f>IF(CB139="商品房","永久",IF(CB139="小产权房","仅乡/村承认",IF(CB139="经济适用房","半永久","无")))</f>
        <v>无</v>
      </c>
      <c r="CI144" s="1704"/>
      <c r="CJ144" s="1704"/>
      <c r="CK144" s="1704"/>
      <c r="CL144" s="1304"/>
      <c r="CM144" s="1305"/>
      <c r="CN144" s="1305"/>
      <c r="CO144" s="1306"/>
      <c r="CP144" s="1307"/>
      <c r="CQ144" s="1308"/>
      <c r="CR144" s="1308"/>
      <c r="CS144" s="1313"/>
      <c r="CU144" s="1699"/>
      <c r="CV144" s="1700"/>
      <c r="CW144" s="1700"/>
      <c r="CX144" s="1701"/>
      <c r="CY144" s="1702"/>
      <c r="CZ144" s="1700"/>
      <c r="DA144" s="1700"/>
      <c r="DB144" s="1701"/>
      <c r="DC144" s="1703" t="str">
        <f>IF(DA139="商品房","全额永久",IF(DA139="小产权房","仅乡/村承认",IF(DA139="经济适用房","不完全","无")))</f>
        <v>无</v>
      </c>
      <c r="DD144" s="1704"/>
      <c r="DE144" s="1704"/>
      <c r="DF144" s="1705"/>
      <c r="DG144" s="1703" t="str">
        <f>IF(DA139="商品房","永久",IF(DA139="小产权房","仅乡/村承认",IF(DA139="经济适用房","半永久","无")))</f>
        <v>无</v>
      </c>
      <c r="DH144" s="1704"/>
      <c r="DI144" s="1704"/>
      <c r="DJ144" s="1704"/>
      <c r="DK144" s="1304"/>
      <c r="DL144" s="1305"/>
      <c r="DM144" s="1305"/>
      <c r="DN144" s="1306"/>
      <c r="DO144" s="1307"/>
      <c r="DP144" s="1308"/>
      <c r="DQ144" s="1308"/>
      <c r="DR144" s="1313"/>
    </row>
    <row r="145" spans="49:183" ht="18" customHeight="1" outlineLevel="2">
      <c r="AZ145" s="792"/>
      <c r="BA145" s="1706"/>
      <c r="BB145" s="1707"/>
      <c r="BC145" s="1708"/>
      <c r="BD145" s="1708"/>
      <c r="BE145" s="1708"/>
      <c r="BF145" s="1708"/>
      <c r="BG145" s="1708"/>
      <c r="BH145" s="1708"/>
      <c r="BI145" s="1708"/>
      <c r="BJ145" s="1708"/>
      <c r="BK145" s="1706"/>
      <c r="BL145" s="1707"/>
      <c r="BM145" s="1708"/>
      <c r="BN145" s="1708"/>
      <c r="BO145" s="1708"/>
      <c r="BP145" s="1708"/>
      <c r="BQ145" s="1708"/>
      <c r="BR145" s="1708"/>
      <c r="BS145" s="1708"/>
      <c r="BT145" s="1709"/>
      <c r="BV145" s="1710" t="s">
        <v>401</v>
      </c>
      <c r="BW145" s="1711"/>
      <c r="BX145" s="1711"/>
      <c r="BY145" s="1711"/>
      <c r="BZ145" s="1711"/>
      <c r="CA145" s="1711"/>
      <c r="CB145" s="1711"/>
      <c r="CC145" s="1711"/>
      <c r="CD145" s="1711"/>
      <c r="CE145" s="1711"/>
      <c r="CF145" s="1711"/>
      <c r="CG145" s="1711"/>
      <c r="CH145" s="1711"/>
      <c r="CI145" s="1711"/>
      <c r="CJ145" s="1711"/>
      <c r="CK145" s="1712"/>
      <c r="CL145" s="1307"/>
      <c r="CM145" s="1308"/>
      <c r="CN145" s="1308"/>
      <c r="CO145" s="1309"/>
      <c r="CP145" s="1307"/>
      <c r="CQ145" s="1308"/>
      <c r="CR145" s="1308"/>
      <c r="CS145" s="1313"/>
      <c r="CU145" s="1710" t="s">
        <v>401</v>
      </c>
      <c r="CV145" s="1711"/>
      <c r="CW145" s="1711"/>
      <c r="CX145" s="1711"/>
      <c r="CY145" s="1711"/>
      <c r="CZ145" s="1711"/>
      <c r="DA145" s="1711"/>
      <c r="DB145" s="1711"/>
      <c r="DC145" s="1711"/>
      <c r="DD145" s="1711"/>
      <c r="DE145" s="1711"/>
      <c r="DF145" s="1711"/>
      <c r="DG145" s="1711"/>
      <c r="DH145" s="1711"/>
      <c r="DI145" s="1711"/>
      <c r="DJ145" s="1712"/>
      <c r="DK145" s="1307"/>
      <c r="DL145" s="1308"/>
      <c r="DM145" s="1308"/>
      <c r="DN145" s="1309"/>
      <c r="DO145" s="1307"/>
      <c r="DP145" s="1308"/>
      <c r="DQ145" s="1308"/>
      <c r="DR145" s="1313"/>
    </row>
    <row r="146" spans="49:183" ht="18" customHeight="1" outlineLevel="2">
      <c r="BA146" s="1679"/>
      <c r="BB146" s="1680"/>
      <c r="BC146" s="1681"/>
      <c r="BD146" s="1681"/>
      <c r="BE146" s="1681"/>
      <c r="BF146" s="1681"/>
      <c r="BG146" s="1681"/>
      <c r="BH146" s="1681"/>
      <c r="BI146" s="1681"/>
      <c r="BJ146" s="1681"/>
      <c r="BK146" s="1679"/>
      <c r="BL146" s="1680"/>
      <c r="BM146" s="1681"/>
      <c r="BN146" s="1681"/>
      <c r="BO146" s="1681"/>
      <c r="BP146" s="1681"/>
      <c r="BQ146" s="1681"/>
      <c r="BR146" s="1681"/>
      <c r="BS146" s="1681"/>
      <c r="BT146" s="1682"/>
      <c r="BV146" s="1298"/>
      <c r="BW146" s="1289"/>
      <c r="BX146" s="1289"/>
      <c r="BY146" s="1289"/>
      <c r="BZ146" s="1289"/>
      <c r="CA146" s="1289"/>
      <c r="CB146" s="1289"/>
      <c r="CC146" s="1289"/>
      <c r="CD146" s="1289"/>
      <c r="CE146" s="1289"/>
      <c r="CF146" s="1289"/>
      <c r="CG146" s="1289"/>
      <c r="CH146" s="1289"/>
      <c r="CI146" s="1289"/>
      <c r="CJ146" s="1289"/>
      <c r="CK146" s="1289"/>
      <c r="CL146" s="1307"/>
      <c r="CM146" s="1308"/>
      <c r="CN146" s="1308"/>
      <c r="CO146" s="1309"/>
      <c r="CP146" s="1307"/>
      <c r="CQ146" s="1308"/>
      <c r="CR146" s="1308"/>
      <c r="CS146" s="1313"/>
      <c r="CU146" s="1298"/>
      <c r="CV146" s="1289"/>
      <c r="CW146" s="1289"/>
      <c r="CX146" s="1289"/>
      <c r="CY146" s="1289"/>
      <c r="CZ146" s="1289"/>
      <c r="DA146" s="1289"/>
      <c r="DB146" s="1289"/>
      <c r="DC146" s="1289"/>
      <c r="DD146" s="1289"/>
      <c r="DE146" s="1289"/>
      <c r="DF146" s="1289"/>
      <c r="DG146" s="1289"/>
      <c r="DH146" s="1289"/>
      <c r="DI146" s="1289"/>
      <c r="DJ146" s="1289"/>
      <c r="DK146" s="1307"/>
      <c r="DL146" s="1308"/>
      <c r="DM146" s="1308"/>
      <c r="DN146" s="1309"/>
      <c r="DO146" s="1307"/>
      <c r="DP146" s="1308"/>
      <c r="DQ146" s="1308"/>
      <c r="DR146" s="1313"/>
    </row>
    <row r="147" spans="49:183" ht="18" customHeight="1" outlineLevel="2">
      <c r="BA147" s="1683" t="str">
        <f>"存放了"&amp;COUNTA(BI132:BJ146,BS132:BT146)&amp;"件极具价值的物品"</f>
        <v>存放了4件极具价值的物品</v>
      </c>
      <c r="BB147" s="1684"/>
      <c r="BC147" s="1684"/>
      <c r="BD147" s="1684"/>
      <c r="BE147" s="1684"/>
      <c r="BF147" s="1684"/>
      <c r="BG147" s="1684"/>
      <c r="BH147" s="1684"/>
      <c r="BI147" s="1684"/>
      <c r="BJ147" s="1684"/>
      <c r="BK147" s="1684"/>
      <c r="BL147" s="1684" t="str">
        <f>"购置了"&amp;SUM(BI132:BJ146,BS132:BT146)&amp;BR77&amp;"的资产"</f>
        <v>购置了0美元的资产</v>
      </c>
      <c r="BM147" s="1684"/>
      <c r="BN147" s="1684"/>
      <c r="BO147" s="1684"/>
      <c r="BP147" s="1684"/>
      <c r="BQ147" s="1684"/>
      <c r="BR147" s="1684"/>
      <c r="BS147" s="1684"/>
      <c r="BT147" s="1685"/>
      <c r="BV147" s="1298"/>
      <c r="BW147" s="1289"/>
      <c r="BX147" s="1289"/>
      <c r="BY147" s="1289"/>
      <c r="BZ147" s="1289"/>
      <c r="CA147" s="1289"/>
      <c r="CB147" s="1289"/>
      <c r="CC147" s="1289"/>
      <c r="CD147" s="1289"/>
      <c r="CE147" s="1289"/>
      <c r="CF147" s="1289"/>
      <c r="CG147" s="1289"/>
      <c r="CH147" s="1289"/>
      <c r="CI147" s="1289"/>
      <c r="CJ147" s="1289"/>
      <c r="CK147" s="1289"/>
      <c r="CL147" s="1307"/>
      <c r="CM147" s="1308"/>
      <c r="CN147" s="1308"/>
      <c r="CO147" s="1309"/>
      <c r="CP147" s="1307"/>
      <c r="CQ147" s="1308"/>
      <c r="CR147" s="1308"/>
      <c r="CS147" s="1313"/>
      <c r="CU147" s="1298"/>
      <c r="CV147" s="1289"/>
      <c r="CW147" s="1289"/>
      <c r="CX147" s="1289"/>
      <c r="CY147" s="1289"/>
      <c r="CZ147" s="1289"/>
      <c r="DA147" s="1289"/>
      <c r="DB147" s="1289"/>
      <c r="DC147" s="1289"/>
      <c r="DD147" s="1289"/>
      <c r="DE147" s="1289"/>
      <c r="DF147" s="1289"/>
      <c r="DG147" s="1289"/>
      <c r="DH147" s="1289"/>
      <c r="DI147" s="1289"/>
      <c r="DJ147" s="1289"/>
      <c r="DK147" s="1307"/>
      <c r="DL147" s="1308"/>
      <c r="DM147" s="1308"/>
      <c r="DN147" s="1309"/>
      <c r="DO147" s="1307"/>
      <c r="DP147" s="1308"/>
      <c r="DQ147" s="1308"/>
      <c r="DR147" s="1313"/>
    </row>
    <row r="148" spans="49:183" ht="18" customHeight="1" outlineLevel="2">
      <c r="BA148" s="1322" t="s">
        <v>433</v>
      </c>
      <c r="BB148" s="1322"/>
      <c r="BC148" s="1322"/>
      <c r="BD148" s="1322"/>
      <c r="BE148" s="1323" t="s">
        <v>295</v>
      </c>
      <c r="BF148" s="1323"/>
      <c r="BG148" s="1323"/>
      <c r="BH148" s="1323"/>
      <c r="BI148" s="1324" t="str">
        <f>"SAN值减少"&amp;附表!C34&amp;"        
备注："&amp;附表!E34</f>
        <v>SAN值减少        
备注：</v>
      </c>
      <c r="BJ148" s="1324"/>
      <c r="BK148" s="1324"/>
      <c r="BL148" s="1324"/>
      <c r="BM148" s="1324"/>
      <c r="BN148" s="1324"/>
      <c r="BO148" s="1324"/>
      <c r="BP148" s="1324"/>
      <c r="BQ148" s="1324"/>
      <c r="BR148" s="1324"/>
      <c r="BS148" s="1324"/>
      <c r="BT148" s="1324"/>
      <c r="BV148" s="1298"/>
      <c r="BW148" s="1289"/>
      <c r="BX148" s="1289"/>
      <c r="BY148" s="1289"/>
      <c r="BZ148" s="1289"/>
      <c r="CA148" s="1289"/>
      <c r="CB148" s="1289"/>
      <c r="CC148" s="1289"/>
      <c r="CD148" s="1289"/>
      <c r="CE148" s="1289"/>
      <c r="CF148" s="1289"/>
      <c r="CG148" s="1289"/>
      <c r="CH148" s="1289"/>
      <c r="CI148" s="1289"/>
      <c r="CJ148" s="1289"/>
      <c r="CK148" s="1289"/>
      <c r="CL148" s="1310"/>
      <c r="CM148" s="1311"/>
      <c r="CN148" s="1311"/>
      <c r="CO148" s="1312"/>
      <c r="CP148" s="1310"/>
      <c r="CQ148" s="1311"/>
      <c r="CR148" s="1311"/>
      <c r="CS148" s="1314"/>
      <c r="CU148" s="1298"/>
      <c r="CV148" s="1289"/>
      <c r="CW148" s="1289"/>
      <c r="CX148" s="1289"/>
      <c r="CY148" s="1289"/>
      <c r="CZ148" s="1289"/>
      <c r="DA148" s="1289"/>
      <c r="DB148" s="1289"/>
      <c r="DC148" s="1289"/>
      <c r="DD148" s="1289"/>
      <c r="DE148" s="1289"/>
      <c r="DF148" s="1289"/>
      <c r="DG148" s="1289"/>
      <c r="DH148" s="1289"/>
      <c r="DI148" s="1289"/>
      <c r="DJ148" s="1289"/>
      <c r="DK148" s="1310"/>
      <c r="DL148" s="1311"/>
      <c r="DM148" s="1311"/>
      <c r="DN148" s="1312"/>
      <c r="DO148" s="1310"/>
      <c r="DP148" s="1311"/>
      <c r="DQ148" s="1311"/>
      <c r="DR148" s="1314"/>
      <c r="FS148"/>
      <c r="FT148"/>
      <c r="FU148"/>
      <c r="FV148"/>
      <c r="FW148"/>
      <c r="FX148"/>
      <c r="FY148"/>
      <c r="FZ148"/>
      <c r="GA148"/>
    </row>
    <row r="149" spans="49:183" ht="18" customHeight="1" outlineLevel="2">
      <c r="BA149" s="1322"/>
      <c r="BB149" s="1322"/>
      <c r="BC149" s="1322"/>
      <c r="BD149" s="1322"/>
      <c r="BE149" s="1323"/>
      <c r="BF149" s="1323"/>
      <c r="BG149" s="1323"/>
      <c r="BH149" s="1323"/>
      <c r="BI149" s="1324"/>
      <c r="BJ149" s="1324"/>
      <c r="BK149" s="1324"/>
      <c r="BL149" s="1324"/>
      <c r="BM149" s="1324"/>
      <c r="BN149" s="1324"/>
      <c r="BO149" s="1324"/>
      <c r="BP149" s="1324"/>
      <c r="BQ149" s="1324"/>
      <c r="BR149" s="1324"/>
      <c r="BS149" s="1324"/>
      <c r="BT149" s="1324"/>
      <c r="BV149" s="1686" t="s">
        <v>410</v>
      </c>
      <c r="BW149" s="1687"/>
      <c r="BX149" s="1687"/>
      <c r="BY149" s="1687"/>
      <c r="BZ149" s="1687"/>
      <c r="CA149" s="1687"/>
      <c r="CB149" s="1687"/>
      <c r="CC149" s="1687"/>
      <c r="CD149" s="1687"/>
      <c r="CE149" s="1687"/>
      <c r="CF149" s="1687"/>
      <c r="CG149" s="1687"/>
      <c r="CH149" s="1687"/>
      <c r="CI149" s="1687"/>
      <c r="CJ149" s="1687"/>
      <c r="CK149" s="1687"/>
      <c r="CL149" s="1687"/>
      <c r="CM149" s="1687"/>
      <c r="CN149" s="1687"/>
      <c r="CO149" s="1687"/>
      <c r="CP149" s="1687"/>
      <c r="CQ149" s="1687"/>
      <c r="CR149" s="1687"/>
      <c r="CS149" s="1688"/>
      <c r="CU149" s="1686" t="s">
        <v>410</v>
      </c>
      <c r="CV149" s="1687"/>
      <c r="CW149" s="1687"/>
      <c r="CX149" s="1687"/>
      <c r="CY149" s="1687"/>
      <c r="CZ149" s="1687"/>
      <c r="DA149" s="1687"/>
      <c r="DB149" s="1687"/>
      <c r="DC149" s="1687"/>
      <c r="DD149" s="1687"/>
      <c r="DE149" s="1687"/>
      <c r="DF149" s="1687"/>
      <c r="DG149" s="1687"/>
      <c r="DH149" s="1687"/>
      <c r="DI149" s="1687"/>
      <c r="DJ149" s="1687"/>
      <c r="DK149" s="1687"/>
      <c r="DL149" s="1687"/>
      <c r="DM149" s="1687"/>
      <c r="DN149" s="1687"/>
      <c r="DO149" s="1687"/>
      <c r="DP149" s="1687"/>
      <c r="DQ149" s="1687"/>
      <c r="DR149" s="1688"/>
      <c r="FS149"/>
      <c r="FT149"/>
      <c r="FU149"/>
      <c r="FV149"/>
      <c r="FW149"/>
      <c r="FX149"/>
      <c r="FY149"/>
      <c r="FZ149"/>
      <c r="GA149"/>
    </row>
    <row r="150" spans="49:183" ht="18" customHeight="1" outlineLevel="2">
      <c r="BA150" s="1322"/>
      <c r="BB150" s="1322"/>
      <c r="BC150" s="1322"/>
      <c r="BD150" s="1322"/>
      <c r="BE150" s="1323"/>
      <c r="BF150" s="1323"/>
      <c r="BG150" s="1323"/>
      <c r="BH150" s="1323"/>
      <c r="BI150" s="1324"/>
      <c r="BJ150" s="1324"/>
      <c r="BK150" s="1324"/>
      <c r="BL150" s="1324"/>
      <c r="BM150" s="1324"/>
      <c r="BN150" s="1324"/>
      <c r="BO150" s="1324"/>
      <c r="BP150" s="1324"/>
      <c r="BQ150" s="1324"/>
      <c r="BR150" s="1324"/>
      <c r="BS150" s="1324"/>
      <c r="BT150" s="1324"/>
      <c r="BV150" s="1315"/>
      <c r="BW150" s="1316"/>
      <c r="BX150" s="1316"/>
      <c r="BY150" s="1316"/>
      <c r="BZ150" s="1316"/>
      <c r="CA150" s="1316"/>
      <c r="CB150" s="1316"/>
      <c r="CC150" s="1316"/>
      <c r="CD150" s="1316"/>
      <c r="CE150" s="1316"/>
      <c r="CF150" s="1316"/>
      <c r="CG150" s="1316"/>
      <c r="CH150" s="1316"/>
      <c r="CI150" s="1316"/>
      <c r="CJ150" s="1316"/>
      <c r="CK150" s="1316"/>
      <c r="CL150" s="1316"/>
      <c r="CM150" s="1316"/>
      <c r="CN150" s="1316"/>
      <c r="CO150" s="1316"/>
      <c r="CP150" s="1316"/>
      <c r="CQ150" s="1316"/>
      <c r="CR150" s="1316"/>
      <c r="CS150" s="1317"/>
      <c r="CU150" s="1315"/>
      <c r="CV150" s="1316"/>
      <c r="CW150" s="1316"/>
      <c r="CX150" s="1316"/>
      <c r="CY150" s="1316"/>
      <c r="CZ150" s="1316"/>
      <c r="DA150" s="1316"/>
      <c r="DB150" s="1316"/>
      <c r="DC150" s="1316"/>
      <c r="DD150" s="1316"/>
      <c r="DE150" s="1316"/>
      <c r="DF150" s="1316"/>
      <c r="DG150" s="1316"/>
      <c r="DH150" s="1316"/>
      <c r="DI150" s="1316"/>
      <c r="DJ150" s="1316"/>
      <c r="DK150" s="1316"/>
      <c r="DL150" s="1316"/>
      <c r="DM150" s="1316"/>
      <c r="DN150" s="1316"/>
      <c r="DO150" s="1316"/>
      <c r="DP150" s="1316"/>
      <c r="DQ150" s="1316"/>
      <c r="DR150" s="1317"/>
      <c r="FS150"/>
      <c r="FT150"/>
      <c r="FU150"/>
      <c r="FV150"/>
      <c r="FW150"/>
      <c r="FX150"/>
      <c r="FY150"/>
      <c r="FZ150"/>
      <c r="GA150"/>
    </row>
    <row r="151" spans="49:183" ht="18" customHeight="1" outlineLevel="2">
      <c r="BA151" s="1322"/>
      <c r="BB151" s="1322"/>
      <c r="BC151" s="1322"/>
      <c r="BD151" s="1322"/>
      <c r="BE151" s="1323"/>
      <c r="BF151" s="1323"/>
      <c r="BG151" s="1323"/>
      <c r="BH151" s="1323"/>
      <c r="BI151" s="1324"/>
      <c r="BJ151" s="1324"/>
      <c r="BK151" s="1324"/>
      <c r="BL151" s="1324"/>
      <c r="BM151" s="1324"/>
      <c r="BN151" s="1324"/>
      <c r="BO151" s="1324"/>
      <c r="BP151" s="1324"/>
      <c r="BQ151" s="1324"/>
      <c r="BR151" s="1324"/>
      <c r="BS151" s="1324"/>
      <c r="BT151" s="1324"/>
      <c r="BV151" s="1315"/>
      <c r="BW151" s="1316"/>
      <c r="BX151" s="1316"/>
      <c r="BY151" s="1316"/>
      <c r="BZ151" s="1316"/>
      <c r="CA151" s="1316"/>
      <c r="CB151" s="1316"/>
      <c r="CC151" s="1316"/>
      <c r="CD151" s="1316"/>
      <c r="CE151" s="1316"/>
      <c r="CF151" s="1316"/>
      <c r="CG151" s="1316"/>
      <c r="CH151" s="1316"/>
      <c r="CI151" s="1316"/>
      <c r="CJ151" s="1316"/>
      <c r="CK151" s="1316"/>
      <c r="CL151" s="1316"/>
      <c r="CM151" s="1316"/>
      <c r="CN151" s="1316"/>
      <c r="CO151" s="1316"/>
      <c r="CP151" s="1316"/>
      <c r="CQ151" s="1316"/>
      <c r="CR151" s="1316"/>
      <c r="CS151" s="1317"/>
      <c r="CU151" s="1315"/>
      <c r="CV151" s="1316"/>
      <c r="CW151" s="1316"/>
      <c r="CX151" s="1316"/>
      <c r="CY151" s="1316"/>
      <c r="CZ151" s="1316"/>
      <c r="DA151" s="1316"/>
      <c r="DB151" s="1316"/>
      <c r="DC151" s="1316"/>
      <c r="DD151" s="1316"/>
      <c r="DE151" s="1316"/>
      <c r="DF151" s="1316"/>
      <c r="DG151" s="1316"/>
      <c r="DH151" s="1316"/>
      <c r="DI151" s="1316"/>
      <c r="DJ151" s="1316"/>
      <c r="DK151" s="1316"/>
      <c r="DL151" s="1316"/>
      <c r="DM151" s="1316"/>
      <c r="DN151" s="1316"/>
      <c r="DO151" s="1316"/>
      <c r="DP151" s="1316"/>
      <c r="DQ151" s="1316"/>
      <c r="DR151" s="1317"/>
    </row>
    <row r="152" spans="49:183" ht="18" customHeight="1" outlineLevel="2">
      <c r="BA152" s="1322"/>
      <c r="BB152" s="1322"/>
      <c r="BC152" s="1322"/>
      <c r="BD152" s="1322"/>
      <c r="BE152" s="1323"/>
      <c r="BF152" s="1323"/>
      <c r="BG152" s="1323"/>
      <c r="BH152" s="1323"/>
      <c r="BI152" s="1324"/>
      <c r="BJ152" s="1324"/>
      <c r="BK152" s="1324"/>
      <c r="BL152" s="1324"/>
      <c r="BM152" s="1324"/>
      <c r="BN152" s="1324"/>
      <c r="BO152" s="1324"/>
      <c r="BP152" s="1324"/>
      <c r="BQ152" s="1324"/>
      <c r="BR152" s="1324"/>
      <c r="BS152" s="1324"/>
      <c r="BT152" s="1324"/>
      <c r="BV152" s="1315"/>
      <c r="BW152" s="1316"/>
      <c r="BX152" s="1316"/>
      <c r="BY152" s="1316"/>
      <c r="BZ152" s="1316"/>
      <c r="CA152" s="1316"/>
      <c r="CB152" s="1316"/>
      <c r="CC152" s="1316"/>
      <c r="CD152" s="1316"/>
      <c r="CE152" s="1316"/>
      <c r="CF152" s="1316"/>
      <c r="CG152" s="1316"/>
      <c r="CH152" s="1316"/>
      <c r="CI152" s="1316"/>
      <c r="CJ152" s="1316"/>
      <c r="CK152" s="1316"/>
      <c r="CL152" s="1316"/>
      <c r="CM152" s="1316"/>
      <c r="CN152" s="1316"/>
      <c r="CO152" s="1316"/>
      <c r="CP152" s="1316"/>
      <c r="CQ152" s="1316"/>
      <c r="CR152" s="1316"/>
      <c r="CS152" s="1317"/>
      <c r="CU152" s="1315"/>
      <c r="CV152" s="1316"/>
      <c r="CW152" s="1316"/>
      <c r="CX152" s="1316"/>
      <c r="CY152" s="1316"/>
      <c r="CZ152" s="1316"/>
      <c r="DA152" s="1316"/>
      <c r="DB152" s="1316"/>
      <c r="DC152" s="1316"/>
      <c r="DD152" s="1316"/>
      <c r="DE152" s="1316"/>
      <c r="DF152" s="1316"/>
      <c r="DG152" s="1316"/>
      <c r="DH152" s="1316"/>
      <c r="DI152" s="1316"/>
      <c r="DJ152" s="1316"/>
      <c r="DK152" s="1316"/>
      <c r="DL152" s="1316"/>
      <c r="DM152" s="1316"/>
      <c r="DN152" s="1316"/>
      <c r="DO152" s="1316"/>
      <c r="DP152" s="1316"/>
      <c r="DQ152" s="1316"/>
      <c r="DR152" s="1317"/>
    </row>
    <row r="153" spans="49:183" ht="18" customHeight="1" outlineLevel="1">
      <c r="BA153" s="1322"/>
      <c r="BB153" s="1322"/>
      <c r="BC153" s="1322"/>
      <c r="BD153" s="1322"/>
      <c r="BE153" s="1323"/>
      <c r="BF153" s="1323"/>
      <c r="BG153" s="1323"/>
      <c r="BH153" s="1323"/>
      <c r="BI153" s="1324"/>
      <c r="BJ153" s="1324"/>
      <c r="BK153" s="1324"/>
      <c r="BL153" s="1324"/>
      <c r="BM153" s="1324"/>
      <c r="BN153" s="1324"/>
      <c r="BO153" s="1324"/>
      <c r="BP153" s="1324"/>
      <c r="BQ153" s="1324"/>
      <c r="BR153" s="1324"/>
      <c r="BS153" s="1324"/>
      <c r="BT153" s="1324"/>
      <c r="BV153" s="1318"/>
      <c r="BW153" s="1319"/>
      <c r="BX153" s="1319"/>
      <c r="BY153" s="1319"/>
      <c r="BZ153" s="1319"/>
      <c r="CA153" s="1319"/>
      <c r="CB153" s="1319"/>
      <c r="CC153" s="1319"/>
      <c r="CD153" s="1319"/>
      <c r="CE153" s="1319"/>
      <c r="CF153" s="1319"/>
      <c r="CG153" s="1319"/>
      <c r="CH153" s="1319"/>
      <c r="CI153" s="1319"/>
      <c r="CJ153" s="1319"/>
      <c r="CK153" s="1319"/>
      <c r="CL153" s="1319"/>
      <c r="CM153" s="1319"/>
      <c r="CN153" s="1319"/>
      <c r="CO153" s="1319"/>
      <c r="CP153" s="1319"/>
      <c r="CQ153" s="1319"/>
      <c r="CR153" s="1319"/>
      <c r="CS153" s="1320"/>
      <c r="CU153" s="1318"/>
      <c r="CV153" s="1319"/>
      <c r="CW153" s="1319"/>
      <c r="CX153" s="1319"/>
      <c r="CY153" s="1319"/>
      <c r="CZ153" s="1319"/>
      <c r="DA153" s="1319"/>
      <c r="DB153" s="1319"/>
      <c r="DC153" s="1319"/>
      <c r="DD153" s="1319"/>
      <c r="DE153" s="1319"/>
      <c r="DF153" s="1319"/>
      <c r="DG153" s="1319"/>
      <c r="DH153" s="1319"/>
      <c r="DI153" s="1319"/>
      <c r="DJ153" s="1319"/>
      <c r="DK153" s="1319"/>
      <c r="DL153" s="1319"/>
      <c r="DM153" s="1319"/>
      <c r="DN153" s="1319"/>
      <c r="DO153" s="1319"/>
      <c r="DP153" s="1319"/>
      <c r="DQ153" s="1319"/>
      <c r="DR153" s="1320"/>
    </row>
    <row r="154" spans="49:183" ht="18" customHeight="1" outlineLevel="1">
      <c r="BA154" s="1322"/>
      <c r="BB154" s="1322"/>
      <c r="BC154" s="1322"/>
      <c r="BD154" s="1322"/>
      <c r="BE154" s="1323"/>
      <c r="BF154" s="1323"/>
      <c r="BG154" s="1323"/>
      <c r="BH154" s="1323"/>
      <c r="BI154" s="1324"/>
      <c r="BJ154" s="1324"/>
      <c r="BK154" s="1324"/>
      <c r="BL154" s="1324"/>
      <c r="BM154" s="1324"/>
      <c r="BN154" s="1324"/>
      <c r="BO154" s="1324"/>
      <c r="BP154" s="1324"/>
      <c r="BQ154" s="1324"/>
      <c r="BR154" s="1324"/>
      <c r="BS154" s="1324"/>
      <c r="BT154" s="1324"/>
      <c r="BV154"/>
      <c r="BW154"/>
      <c r="CR154"/>
      <c r="CS154"/>
      <c r="CT154"/>
      <c r="CU154"/>
      <c r="CV154"/>
      <c r="CW154"/>
      <c r="CX154"/>
      <c r="CY154"/>
      <c r="CZ154"/>
      <c r="DA154"/>
      <c r="DB154"/>
      <c r="DC154"/>
      <c r="DD154"/>
      <c r="DE154"/>
      <c r="DF154"/>
      <c r="DG154"/>
      <c r="DH154"/>
      <c r="DI154"/>
      <c r="DJ154"/>
      <c r="DK154"/>
      <c r="DL154"/>
      <c r="DM154"/>
      <c r="DN154"/>
      <c r="DO154"/>
      <c r="DP154"/>
      <c r="DR154" s="395" t="str">
        <f>IF(BY108=" ",BY108,"")</f>
        <v/>
      </c>
      <c r="DT154"/>
    </row>
    <row r="155" spans="49:183" ht="18" customHeight="1" outlineLevel="2">
      <c r="BA155" s="1322"/>
      <c r="BB155" s="1322"/>
      <c r="BC155" s="1322"/>
      <c r="BD155" s="1322"/>
      <c r="BE155" s="1323"/>
      <c r="BF155" s="1323"/>
      <c r="BG155" s="1323"/>
      <c r="BH155" s="1323"/>
      <c r="BI155" s="1324"/>
      <c r="BJ155" s="1324"/>
      <c r="BK155" s="1324"/>
      <c r="BL155" s="1324"/>
      <c r="BM155" s="1324"/>
      <c r="BN155" s="1324"/>
      <c r="BO155" s="1324"/>
      <c r="BP155" s="1324"/>
      <c r="BQ155" s="1324"/>
      <c r="BR155" s="1324"/>
      <c r="BS155" s="1324"/>
      <c r="BT155" s="1324"/>
      <c r="BV155" s="1689" t="s">
        <v>434</v>
      </c>
      <c r="BW155" s="1690"/>
      <c r="BX155" s="1691"/>
      <c r="BY155" s="1691"/>
      <c r="BZ155" s="1691"/>
      <c r="CA155" s="1691"/>
      <c r="CB155" s="1690"/>
      <c r="CC155" s="1690"/>
      <c r="CD155" s="1690"/>
      <c r="CE155" s="1690"/>
      <c r="CF155" s="1690"/>
      <c r="CG155" s="1690"/>
      <c r="CH155" s="1690"/>
      <c r="CI155" s="1690"/>
      <c r="CJ155" s="1690"/>
      <c r="CK155" s="1690"/>
      <c r="CL155" s="1690"/>
      <c r="CM155" s="1690"/>
      <c r="CN155" s="1690"/>
      <c r="CO155" s="1690"/>
      <c r="CP155" s="1690"/>
      <c r="CQ155" s="1690"/>
      <c r="CR155" s="1692"/>
      <c r="CU155" s="1689" t="s">
        <v>434</v>
      </c>
      <c r="CV155" s="1690"/>
      <c r="CW155" s="1691"/>
      <c r="CX155" s="1691"/>
      <c r="CY155" s="1691"/>
      <c r="CZ155" s="1691"/>
      <c r="DA155" s="1690"/>
      <c r="DB155" s="1690"/>
      <c r="DC155" s="1690"/>
      <c r="DD155" s="1690"/>
      <c r="DE155" s="1690"/>
      <c r="DF155" s="1690"/>
      <c r="DG155" s="1690"/>
      <c r="DH155" s="1690"/>
      <c r="DI155" s="1690"/>
      <c r="DJ155" s="1690"/>
      <c r="DK155" s="1690"/>
      <c r="DL155" s="1690"/>
      <c r="DM155" s="1690"/>
      <c r="DN155" s="1690"/>
      <c r="DO155" s="1690"/>
      <c r="DP155" s="1690"/>
      <c r="DQ155" s="1692"/>
      <c r="DT155"/>
    </row>
    <row r="156" spans="49:183" ht="18" customHeight="1" outlineLevel="2">
      <c r="BA156" s="1322"/>
      <c r="BB156" s="1322"/>
      <c r="BC156" s="1322"/>
      <c r="BD156" s="1322"/>
      <c r="BE156" s="1323"/>
      <c r="BF156" s="1323"/>
      <c r="BG156" s="1323"/>
      <c r="BH156" s="1323"/>
      <c r="BI156" s="1324"/>
      <c r="BJ156" s="1324"/>
      <c r="BK156" s="1324"/>
      <c r="BL156" s="1324"/>
      <c r="BM156" s="1324"/>
      <c r="BN156" s="1324"/>
      <c r="BO156" s="1324"/>
      <c r="BP156" s="1324"/>
      <c r="BQ156" s="1324"/>
      <c r="BR156" s="1324"/>
      <c r="BS156" s="1324"/>
      <c r="BT156" s="1324"/>
      <c r="BU156"/>
      <c r="BV156" s="1657" t="s">
        <v>435</v>
      </c>
      <c r="BW156" s="1658"/>
      <c r="BX156" s="1693"/>
      <c r="BY156" s="1693"/>
      <c r="BZ156" s="1693"/>
      <c r="CA156" s="1693"/>
      <c r="CB156" s="1658"/>
      <c r="CC156" s="1658"/>
      <c r="CD156" s="1694" t="s">
        <v>436</v>
      </c>
      <c r="CE156" s="1658"/>
      <c r="CF156" s="1658"/>
      <c r="CG156" s="1658"/>
      <c r="CH156" s="1695" t="s">
        <v>437</v>
      </c>
      <c r="CI156" s="1658"/>
      <c r="CJ156" s="1658"/>
      <c r="CK156" s="1658"/>
      <c r="CL156" s="1658"/>
      <c r="CM156" s="1658"/>
      <c r="CN156" s="1658"/>
      <c r="CO156" s="1658"/>
      <c r="CP156" s="1658"/>
      <c r="CQ156" s="1658"/>
      <c r="CR156" s="1659"/>
      <c r="CU156" s="1657" t="s">
        <v>435</v>
      </c>
      <c r="CV156" s="1658"/>
      <c r="CW156" s="1693"/>
      <c r="CX156" s="1693"/>
      <c r="CY156" s="1693"/>
      <c r="CZ156" s="1693"/>
      <c r="DA156" s="1658"/>
      <c r="DB156" s="1658"/>
      <c r="DC156" s="1694" t="s">
        <v>436</v>
      </c>
      <c r="DD156" s="1658"/>
      <c r="DE156" s="1658"/>
      <c r="DF156" s="1658"/>
      <c r="DG156" s="1695" t="s">
        <v>437</v>
      </c>
      <c r="DH156" s="1658"/>
      <c r="DI156" s="1658"/>
      <c r="DJ156" s="1658"/>
      <c r="DK156" s="1658"/>
      <c r="DL156" s="1658"/>
      <c r="DM156" s="1658"/>
      <c r="DN156" s="1658"/>
      <c r="DO156" s="1658"/>
      <c r="DP156" s="1658"/>
      <c r="DQ156" s="1659"/>
      <c r="DT156"/>
    </row>
    <row r="157" spans="49:183" ht="18" customHeight="1" outlineLevel="2">
      <c r="AX157" s="1252"/>
      <c r="AY157" s="1252"/>
      <c r="AZ157" s="1252"/>
      <c r="BA157" s="1322"/>
      <c r="BB157" s="1322"/>
      <c r="BC157" s="1322"/>
      <c r="BD157" s="1322"/>
      <c r="BE157" s="1323"/>
      <c r="BF157" s="1323"/>
      <c r="BG157" s="1323"/>
      <c r="BH157" s="1323"/>
      <c r="BI157" s="1324"/>
      <c r="BJ157" s="1324"/>
      <c r="BK157" s="1324"/>
      <c r="BL157" s="1324"/>
      <c r="BM157" s="1324"/>
      <c r="BN157" s="1324"/>
      <c r="BO157" s="1324"/>
      <c r="BP157" s="1324"/>
      <c r="BQ157" s="1324"/>
      <c r="BR157" s="1324"/>
      <c r="BS157" s="1324"/>
      <c r="BT157" s="1324"/>
      <c r="BV157" s="1665"/>
      <c r="BW157" s="1666"/>
      <c r="BX157" s="1666"/>
      <c r="BY157" s="1666"/>
      <c r="BZ157" s="1666"/>
      <c r="CA157" s="1666"/>
      <c r="CB157" s="1666"/>
      <c r="CC157" s="1666"/>
      <c r="CD157" s="1667" t="s">
        <v>438</v>
      </c>
      <c r="CE157" s="1666"/>
      <c r="CF157" s="1666"/>
      <c r="CG157" s="1666"/>
      <c r="CH157" s="1668" t="s">
        <v>439</v>
      </c>
      <c r="CI157" s="1669"/>
      <c r="CJ157" s="1670"/>
      <c r="CK157" s="1671"/>
      <c r="CL157" s="1671"/>
      <c r="CM157" s="1671"/>
      <c r="CN157" s="1671"/>
      <c r="CO157" s="1671"/>
      <c r="CP157" s="1671"/>
      <c r="CQ157" s="1671"/>
      <c r="CR157" s="1672"/>
      <c r="CS157"/>
      <c r="CU157" s="1665"/>
      <c r="CV157" s="1666"/>
      <c r="CW157" s="1666"/>
      <c r="CX157" s="1666"/>
      <c r="CY157" s="1666"/>
      <c r="CZ157" s="1666"/>
      <c r="DA157" s="1666"/>
      <c r="DB157" s="1666"/>
      <c r="DC157" s="1667" t="s">
        <v>438</v>
      </c>
      <c r="DD157" s="1666"/>
      <c r="DE157" s="1666"/>
      <c r="DF157" s="1666"/>
      <c r="DG157" s="1668" t="s">
        <v>439</v>
      </c>
      <c r="DH157" s="1669"/>
      <c r="DI157" s="1670"/>
      <c r="DJ157" s="1671"/>
      <c r="DK157" s="1671"/>
      <c r="DL157" s="1671"/>
      <c r="DM157" s="1671"/>
      <c r="DN157" s="1671"/>
      <c r="DO157" s="1671"/>
      <c r="DP157" s="1671"/>
      <c r="DQ157" s="1672"/>
      <c r="DT157"/>
    </row>
    <row r="158" spans="49:183" ht="18" customHeight="1" outlineLevel="2">
      <c r="AW158" s="1252"/>
      <c r="AX158" s="1252"/>
      <c r="AY158" s="1252"/>
      <c r="AZ158" s="1252"/>
      <c r="BA158" s="1322"/>
      <c r="BB158" s="1322"/>
      <c r="BC158" s="1322"/>
      <c r="BD158" s="1322"/>
      <c r="BE158" s="1323"/>
      <c r="BF158" s="1323"/>
      <c r="BG158" s="1323"/>
      <c r="BH158" s="1323"/>
      <c r="BI158" s="1324"/>
      <c r="BJ158" s="1324"/>
      <c r="BK158" s="1324"/>
      <c r="BL158" s="1324"/>
      <c r="BM158" s="1324"/>
      <c r="BN158" s="1324"/>
      <c r="BO158" s="1324"/>
      <c r="BP158" s="1324"/>
      <c r="BQ158" s="1324"/>
      <c r="BR158" s="1324"/>
      <c r="BS158" s="1324"/>
      <c r="BT158" s="1324"/>
      <c r="BV158" s="1657" t="s">
        <v>440</v>
      </c>
      <c r="BW158" s="1658"/>
      <c r="BX158" s="1658"/>
      <c r="BY158" s="1658"/>
      <c r="BZ158" s="1658"/>
      <c r="CA158" s="1658"/>
      <c r="CB158" s="1658"/>
      <c r="CC158" s="1658"/>
      <c r="CD158" s="1658"/>
      <c r="CE158" s="1658"/>
      <c r="CF158" s="1658"/>
      <c r="CG158" s="1658"/>
      <c r="CH158" s="1673" t="s">
        <v>441</v>
      </c>
      <c r="CI158" s="1666"/>
      <c r="CJ158" s="1674"/>
      <c r="CK158" s="1655"/>
      <c r="CL158" s="1655"/>
      <c r="CM158" s="1655"/>
      <c r="CN158" s="1655"/>
      <c r="CO158" s="1655"/>
      <c r="CP158" s="1655"/>
      <c r="CQ158" s="1655"/>
      <c r="CR158" s="1656"/>
      <c r="CS158"/>
      <c r="CU158" s="1657" t="s">
        <v>440</v>
      </c>
      <c r="CV158" s="1658"/>
      <c r="CW158" s="1658"/>
      <c r="CX158" s="1658"/>
      <c r="CY158" s="1658"/>
      <c r="CZ158" s="1658"/>
      <c r="DA158" s="1658"/>
      <c r="DB158" s="1658"/>
      <c r="DC158" s="1658"/>
      <c r="DD158" s="1658"/>
      <c r="DE158" s="1658"/>
      <c r="DF158" s="1658"/>
      <c r="DG158" s="1673" t="s">
        <v>441</v>
      </c>
      <c r="DH158" s="1666"/>
      <c r="DI158" s="1674"/>
      <c r="DJ158" s="1655"/>
      <c r="DK158" s="1655"/>
      <c r="DL158" s="1655"/>
      <c r="DM158" s="1655"/>
      <c r="DN158" s="1655"/>
      <c r="DO158" s="1655"/>
      <c r="DP158" s="1655"/>
      <c r="DQ158" s="1656"/>
      <c r="DT158"/>
    </row>
    <row r="159" spans="49:183" ht="18" customHeight="1" outlineLevel="2">
      <c r="BU159" s="792"/>
      <c r="BV159" s="1675" t="s">
        <v>442</v>
      </c>
      <c r="BW159" s="1669"/>
      <c r="BX159" s="1676"/>
      <c r="BY159" s="1676"/>
      <c r="BZ159" s="1676"/>
      <c r="CA159" s="1677"/>
      <c r="CB159" s="1669" t="s">
        <v>16</v>
      </c>
      <c r="CC159" s="1669"/>
      <c r="CD159" s="1678"/>
      <c r="CE159" s="1678"/>
      <c r="CF159" s="1678"/>
      <c r="CG159" s="1678"/>
      <c r="CH159" s="1668" t="s">
        <v>443</v>
      </c>
      <c r="CI159" s="1669"/>
      <c r="CJ159" s="1669"/>
      <c r="CK159" s="1671"/>
      <c r="CL159" s="1671"/>
      <c r="CM159" s="1671"/>
      <c r="CN159" s="1671"/>
      <c r="CO159" s="1671"/>
      <c r="CP159" s="1671"/>
      <c r="CQ159" s="1671"/>
      <c r="CR159" s="1672"/>
      <c r="CS159"/>
      <c r="CU159" s="1675" t="s">
        <v>442</v>
      </c>
      <c r="CV159" s="1669"/>
      <c r="CW159" s="1676"/>
      <c r="CX159" s="1676"/>
      <c r="CY159" s="1676"/>
      <c r="CZ159" s="1677"/>
      <c r="DA159" s="1669" t="s">
        <v>16</v>
      </c>
      <c r="DB159" s="1669"/>
      <c r="DC159" s="1678"/>
      <c r="DD159" s="1678"/>
      <c r="DE159" s="1678"/>
      <c r="DF159" s="1678"/>
      <c r="DG159" s="1668" t="s">
        <v>443</v>
      </c>
      <c r="DH159" s="1669"/>
      <c r="DI159" s="1669"/>
      <c r="DJ159" s="1671"/>
      <c r="DK159" s="1671"/>
      <c r="DL159" s="1671"/>
      <c r="DM159" s="1671"/>
      <c r="DN159" s="1671"/>
      <c r="DO159" s="1671"/>
      <c r="DP159" s="1671"/>
      <c r="DQ159" s="1672"/>
      <c r="DT159"/>
    </row>
    <row r="160" spans="49:183" ht="18" customHeight="1" outlineLevel="2">
      <c r="BA160" s="1325"/>
      <c r="BB160" s="1326"/>
      <c r="BC160" s="1326"/>
      <c r="BD160" s="1326"/>
      <c r="BE160" s="1326"/>
      <c r="BF160" s="1326"/>
      <c r="BG160" s="1326"/>
      <c r="BH160" s="1326"/>
      <c r="BI160" s="1326"/>
      <c r="BJ160" s="1326"/>
      <c r="BK160" s="1648"/>
      <c r="BL160" s="1648"/>
      <c r="BM160" s="1648"/>
      <c r="BN160" s="1648"/>
      <c r="BO160" s="1648"/>
      <c r="BP160" s="1648"/>
      <c r="BQ160" s="1648"/>
      <c r="BR160" s="1648"/>
      <c r="BS160" s="1648"/>
      <c r="BT160" s="1648"/>
      <c r="BU160" s="1253"/>
      <c r="BV160" s="1649" t="s">
        <v>75</v>
      </c>
      <c r="BW160" s="1650"/>
      <c r="BX160" s="1254"/>
      <c r="BY160" s="1255" t="s">
        <v>76</v>
      </c>
      <c r="BZ160" s="1256"/>
      <c r="CA160" s="1257" t="s">
        <v>80</v>
      </c>
      <c r="CB160" s="1651" t="s">
        <v>444</v>
      </c>
      <c r="CC160" s="1651"/>
      <c r="CD160" s="1652"/>
      <c r="CE160" s="1652"/>
      <c r="CF160" s="1652"/>
      <c r="CG160" s="1652"/>
      <c r="CH160" s="1653" t="s">
        <v>445</v>
      </c>
      <c r="CI160" s="1654"/>
      <c r="CJ160" s="1654"/>
      <c r="CK160" s="1655"/>
      <c r="CL160" s="1655"/>
      <c r="CM160" s="1655"/>
      <c r="CN160" s="1655"/>
      <c r="CO160" s="1655"/>
      <c r="CP160" s="1655"/>
      <c r="CQ160" s="1655"/>
      <c r="CR160" s="1656"/>
      <c r="CS160"/>
      <c r="CU160" s="1649" t="s">
        <v>75</v>
      </c>
      <c r="CV160" s="1650"/>
      <c r="CW160" s="1254"/>
      <c r="CX160" s="1255" t="s">
        <v>76</v>
      </c>
      <c r="CY160" s="1256"/>
      <c r="CZ160" s="1257" t="s">
        <v>80</v>
      </c>
      <c r="DA160" s="1651" t="s">
        <v>444</v>
      </c>
      <c r="DB160" s="1651"/>
      <c r="DC160" s="1652"/>
      <c r="DD160" s="1652"/>
      <c r="DE160" s="1652"/>
      <c r="DF160" s="1652"/>
      <c r="DG160" s="1653" t="s">
        <v>445</v>
      </c>
      <c r="DH160" s="1654"/>
      <c r="DI160" s="1654"/>
      <c r="DJ160" s="1655"/>
      <c r="DK160" s="1655"/>
      <c r="DL160" s="1655"/>
      <c r="DM160" s="1655"/>
      <c r="DN160" s="1655"/>
      <c r="DO160" s="1655"/>
      <c r="DP160" s="1655"/>
      <c r="DQ160" s="1656"/>
    </row>
    <row r="161" spans="50:154" ht="18" customHeight="1" outlineLevel="2">
      <c r="BA161" s="1326"/>
      <c r="BB161" s="1326"/>
      <c r="BC161" s="1326"/>
      <c r="BD161" s="1326"/>
      <c r="BE161" s="1326"/>
      <c r="BF161" s="1326"/>
      <c r="BG161" s="1326"/>
      <c r="BH161" s="1326"/>
      <c r="BI161" s="1326"/>
      <c r="BJ161" s="1326"/>
      <c r="BU161" s="1253"/>
      <c r="BV161" s="1657" t="s">
        <v>446</v>
      </c>
      <c r="BW161" s="1658"/>
      <c r="BX161" s="1658"/>
      <c r="BY161" s="1658"/>
      <c r="BZ161" s="1658"/>
      <c r="CA161" s="1658"/>
      <c r="CB161" s="1658"/>
      <c r="CC161" s="1658"/>
      <c r="CD161" s="1658"/>
      <c r="CE161" s="1658"/>
      <c r="CF161" s="1658"/>
      <c r="CG161" s="1658"/>
      <c r="CH161" s="1658"/>
      <c r="CI161" s="1658"/>
      <c r="CJ161" s="1658"/>
      <c r="CK161" s="1658"/>
      <c r="CL161" s="1658"/>
      <c r="CM161" s="1658"/>
      <c r="CN161" s="1658"/>
      <c r="CO161" s="1658"/>
      <c r="CP161" s="1658"/>
      <c r="CQ161" s="1658"/>
      <c r="CR161" s="1659"/>
      <c r="CU161" s="1657" t="s">
        <v>446</v>
      </c>
      <c r="CV161" s="1658"/>
      <c r="CW161" s="1658"/>
      <c r="CX161" s="1658"/>
      <c r="CY161" s="1658"/>
      <c r="CZ161" s="1658"/>
      <c r="DA161" s="1658"/>
      <c r="DB161" s="1658"/>
      <c r="DC161" s="1658"/>
      <c r="DD161" s="1658"/>
      <c r="DE161" s="1658"/>
      <c r="DF161" s="1658"/>
      <c r="DG161" s="1658"/>
      <c r="DH161" s="1658"/>
      <c r="DI161" s="1658"/>
      <c r="DJ161" s="1658"/>
      <c r="DK161" s="1658"/>
      <c r="DL161" s="1658"/>
      <c r="DM161" s="1658"/>
      <c r="DN161" s="1658"/>
      <c r="DO161" s="1658"/>
      <c r="DP161" s="1658"/>
      <c r="DQ161" s="1659"/>
    </row>
    <row r="162" spans="50:154" ht="18" customHeight="1" outlineLevel="2">
      <c r="BA162"/>
      <c r="BB162"/>
      <c r="BC162"/>
      <c r="BD162"/>
      <c r="BE162"/>
      <c r="BF162"/>
      <c r="BG162"/>
      <c r="BH162"/>
      <c r="BI162"/>
      <c r="BJ162"/>
      <c r="BK162"/>
      <c r="BL162"/>
      <c r="BM162"/>
      <c r="BN162"/>
      <c r="BO162"/>
      <c r="BP162"/>
      <c r="BQ162"/>
      <c r="BR162"/>
      <c r="BS162"/>
      <c r="BT162"/>
      <c r="BV162" s="1421" t="s">
        <v>447</v>
      </c>
      <c r="BW162" s="1422"/>
      <c r="BX162" s="1294"/>
      <c r="BY162" s="1295"/>
      <c r="BZ162" s="1295"/>
      <c r="CA162" s="1295"/>
      <c r="CB162" s="1295"/>
      <c r="CC162" s="1295"/>
      <c r="CD162" s="1295"/>
      <c r="CE162" s="1295"/>
      <c r="CF162" s="1295"/>
      <c r="CG162" s="1424" t="s">
        <v>448</v>
      </c>
      <c r="CH162" s="1425"/>
      <c r="CI162" s="1296"/>
      <c r="CJ162" s="1296"/>
      <c r="CK162" s="1296"/>
      <c r="CL162" s="1296"/>
      <c r="CM162" s="1296"/>
      <c r="CN162" s="1296"/>
      <c r="CO162" s="1296"/>
      <c r="CP162" s="1296"/>
      <c r="CQ162" s="1296"/>
      <c r="CR162" s="1297"/>
      <c r="CU162" s="1421" t="s">
        <v>447</v>
      </c>
      <c r="CV162" s="1422"/>
      <c r="CW162" s="1294"/>
      <c r="CX162" s="1295"/>
      <c r="CY162" s="1295"/>
      <c r="CZ162" s="1295"/>
      <c r="DA162" s="1295"/>
      <c r="DB162" s="1295"/>
      <c r="DC162" s="1295"/>
      <c r="DD162" s="1295"/>
      <c r="DE162" s="1295"/>
      <c r="DF162" s="1424" t="s">
        <v>448</v>
      </c>
      <c r="DG162" s="1425"/>
      <c r="DH162" s="1296"/>
      <c r="DI162" s="1296"/>
      <c r="DJ162" s="1296"/>
      <c r="DK162" s="1296"/>
      <c r="DL162" s="1296"/>
      <c r="DM162" s="1296"/>
      <c r="DN162" s="1296"/>
      <c r="DO162" s="1296"/>
      <c r="DP162" s="1296"/>
      <c r="DQ162" s="1297"/>
      <c r="EP162"/>
      <c r="EQ162"/>
      <c r="ER162"/>
      <c r="ES162"/>
      <c r="ET162"/>
      <c r="EU162"/>
      <c r="EV162"/>
      <c r="EW162"/>
      <c r="EX162"/>
    </row>
    <row r="163" spans="50:154" ht="18" customHeight="1" outlineLevel="2">
      <c r="BA163" s="1329"/>
      <c r="BB163" s="1329"/>
      <c r="BC163" s="1329"/>
      <c r="BD163" s="1329"/>
      <c r="BE163" s="1329"/>
      <c r="BF163" s="1329"/>
      <c r="BG163" s="1329"/>
      <c r="BH163" s="1329"/>
      <c r="BJ163" s="1327"/>
      <c r="BK163" s="1327"/>
      <c r="BL163" s="1327"/>
      <c r="BM163" s="1327"/>
      <c r="BN163" s="1327"/>
      <c r="BO163" s="1327"/>
      <c r="BP163" s="1327"/>
      <c r="BQ163" s="1327"/>
      <c r="BR163" s="1327"/>
      <c r="BS163" s="1327"/>
      <c r="BT163" s="1327"/>
      <c r="BV163" s="1423"/>
      <c r="BW163" s="1422"/>
      <c r="BX163" s="1294"/>
      <c r="BY163" s="1295"/>
      <c r="BZ163" s="1295"/>
      <c r="CA163" s="1295"/>
      <c r="CB163" s="1295"/>
      <c r="CC163" s="1295"/>
      <c r="CD163" s="1295"/>
      <c r="CE163" s="1295"/>
      <c r="CF163" s="1295"/>
      <c r="CG163" s="1425"/>
      <c r="CH163" s="1425"/>
      <c r="CI163" s="1296"/>
      <c r="CJ163" s="1296"/>
      <c r="CK163" s="1296"/>
      <c r="CL163" s="1296"/>
      <c r="CM163" s="1296"/>
      <c r="CN163" s="1296"/>
      <c r="CO163" s="1296"/>
      <c r="CP163" s="1296"/>
      <c r="CQ163" s="1296"/>
      <c r="CR163" s="1297"/>
      <c r="CU163" s="1423"/>
      <c r="CV163" s="1422"/>
      <c r="CW163" s="1294"/>
      <c r="CX163" s="1295"/>
      <c r="CY163" s="1295"/>
      <c r="CZ163" s="1295"/>
      <c r="DA163" s="1295"/>
      <c r="DB163" s="1295"/>
      <c r="DC163" s="1295"/>
      <c r="DD163" s="1295"/>
      <c r="DE163" s="1295"/>
      <c r="DF163" s="1425"/>
      <c r="DG163" s="1425"/>
      <c r="DH163" s="1296"/>
      <c r="DI163" s="1296"/>
      <c r="DJ163" s="1296"/>
      <c r="DK163" s="1296"/>
      <c r="DL163" s="1296"/>
      <c r="DM163" s="1296"/>
      <c r="DN163" s="1296"/>
      <c r="DO163" s="1296"/>
      <c r="DP163" s="1296"/>
      <c r="DQ163" s="1297"/>
      <c r="EP163"/>
      <c r="EQ163"/>
      <c r="ER163"/>
      <c r="ES163"/>
      <c r="ET163"/>
      <c r="EU163"/>
      <c r="EV163"/>
      <c r="EW163"/>
      <c r="EX163"/>
    </row>
    <row r="164" spans="50:154" ht="18" customHeight="1" outlineLevel="2">
      <c r="BA164" s="1329"/>
      <c r="BB164" s="1329"/>
      <c r="BC164" s="1329"/>
      <c r="BD164" s="1329"/>
      <c r="BE164" s="1329"/>
      <c r="BF164" s="1329"/>
      <c r="BG164" s="1329"/>
      <c r="BH164" s="1329"/>
      <c r="BJ164" s="1327"/>
      <c r="BK164" s="1327"/>
      <c r="BL164" s="1327"/>
      <c r="BM164" s="1327"/>
      <c r="BN164" s="1327"/>
      <c r="BO164" s="1327"/>
      <c r="BP164" s="1327"/>
      <c r="BQ164" s="1327"/>
      <c r="BR164" s="1327"/>
      <c r="BS164" s="1327"/>
      <c r="BT164" s="1327"/>
      <c r="BV164" s="1292" t="s">
        <v>449</v>
      </c>
      <c r="BW164" s="1293"/>
      <c r="BX164" s="1660" t="s">
        <v>419</v>
      </c>
      <c r="BY164" s="1660"/>
      <c r="BZ164" s="1660"/>
      <c r="CA164" s="1660"/>
      <c r="CB164" s="1661" t="s">
        <v>420</v>
      </c>
      <c r="CC164" s="1661"/>
      <c r="CD164" s="1661"/>
      <c r="CE164" s="1661"/>
      <c r="CF164" s="1661"/>
      <c r="CG164" s="1662" t="s">
        <v>450</v>
      </c>
      <c r="CH164" s="1663"/>
      <c r="CI164" s="1663"/>
      <c r="CJ164" s="1663"/>
      <c r="CK164" s="1663"/>
      <c r="CL164" s="1663"/>
      <c r="CM164" s="1663"/>
      <c r="CN164" s="1663"/>
      <c r="CO164" s="1663"/>
      <c r="CP164" s="1663"/>
      <c r="CQ164" s="1663"/>
      <c r="CR164" s="1664"/>
      <c r="CU164" s="1292" t="s">
        <v>449</v>
      </c>
      <c r="CV164" s="1293"/>
      <c r="CW164" s="1660" t="s">
        <v>419</v>
      </c>
      <c r="CX164" s="1660"/>
      <c r="CY164" s="1660"/>
      <c r="CZ164" s="1660"/>
      <c r="DA164" s="1661" t="s">
        <v>420</v>
      </c>
      <c r="DB164" s="1661"/>
      <c r="DC164" s="1661"/>
      <c r="DD164" s="1661"/>
      <c r="DE164" s="1661"/>
      <c r="DF164" s="1662" t="s">
        <v>450</v>
      </c>
      <c r="DG164" s="1663"/>
      <c r="DH164" s="1663"/>
      <c r="DI164" s="1663"/>
      <c r="DJ164" s="1663"/>
      <c r="DK164" s="1663"/>
      <c r="DL164" s="1663"/>
      <c r="DM164" s="1663"/>
      <c r="DN164" s="1663"/>
      <c r="DO164" s="1663"/>
      <c r="DP164" s="1663"/>
      <c r="DQ164" s="1664"/>
      <c r="EP164"/>
      <c r="EQ164"/>
      <c r="ER164"/>
      <c r="ES164"/>
      <c r="ET164"/>
      <c r="EU164"/>
      <c r="EV164"/>
      <c r="EW164"/>
      <c r="EX164"/>
    </row>
    <row r="165" spans="50:154" ht="18" customHeight="1" outlineLevel="2">
      <c r="BA165"/>
      <c r="BB165"/>
      <c r="BC165"/>
      <c r="BD165"/>
      <c r="BE165"/>
      <c r="BF165"/>
      <c r="BG165"/>
      <c r="BH165"/>
      <c r="BI165"/>
      <c r="BJ165"/>
      <c r="BK165"/>
      <c r="BL165"/>
      <c r="BM165"/>
      <c r="BN165"/>
      <c r="BO165"/>
      <c r="BP165"/>
      <c r="BQ165"/>
      <c r="BR165"/>
      <c r="BS165"/>
      <c r="BT165"/>
      <c r="BV165" s="1292"/>
      <c r="BW165" s="1293"/>
      <c r="BX165" s="1302"/>
      <c r="BY165" s="1302"/>
      <c r="BZ165" s="1302"/>
      <c r="CA165" s="1302"/>
      <c r="CB165" s="1302"/>
      <c r="CC165" s="1302"/>
      <c r="CD165" s="1302"/>
      <c r="CE165" s="1302"/>
      <c r="CF165" s="1302"/>
      <c r="CG165" s="1643" t="s">
        <v>2</v>
      </c>
      <c r="CH165" s="1644"/>
      <c r="CI165" s="1644"/>
      <c r="CJ165" s="1644"/>
      <c r="CK165" s="1644"/>
      <c r="CL165" s="1644" t="s">
        <v>442</v>
      </c>
      <c r="CM165" s="1644"/>
      <c r="CN165" s="1644"/>
      <c r="CO165" s="1644" t="s">
        <v>451</v>
      </c>
      <c r="CP165" s="1644"/>
      <c r="CQ165" s="1644"/>
      <c r="CR165" s="1645"/>
      <c r="CU165" s="1292"/>
      <c r="CV165" s="1293"/>
      <c r="CW165" s="1302"/>
      <c r="CX165" s="1302"/>
      <c r="CY165" s="1302"/>
      <c r="CZ165" s="1302"/>
      <c r="DA165" s="1302"/>
      <c r="DB165" s="1302"/>
      <c r="DC165" s="1302"/>
      <c r="DD165" s="1302"/>
      <c r="DE165" s="1302"/>
      <c r="DF165" s="1643" t="s">
        <v>2</v>
      </c>
      <c r="DG165" s="1644"/>
      <c r="DH165" s="1644"/>
      <c r="DI165" s="1644"/>
      <c r="DJ165" s="1644"/>
      <c r="DK165" s="1644" t="s">
        <v>442</v>
      </c>
      <c r="DL165" s="1644"/>
      <c r="DM165" s="1644"/>
      <c r="DN165" s="1644" t="s">
        <v>451</v>
      </c>
      <c r="DO165" s="1644"/>
      <c r="DP165" s="1644"/>
      <c r="DQ165" s="1645"/>
    </row>
    <row r="166" spans="50:154" ht="18" customHeight="1" outlineLevel="2">
      <c r="BA166" s="1328"/>
      <c r="BB166" s="1328"/>
      <c r="BC166" s="1328"/>
      <c r="BD166" s="1328"/>
      <c r="BE166" s="1328"/>
      <c r="BF166" s="1328"/>
      <c r="BG166" s="1328"/>
      <c r="BH166" s="1328"/>
      <c r="BI166" s="1328"/>
      <c r="BJ166" s="1328"/>
      <c r="BK166" s="1328"/>
      <c r="BL166" s="1328"/>
      <c r="BM166" s="1328"/>
      <c r="BN166" s="1328"/>
      <c r="BO166" s="1328"/>
      <c r="BP166" s="1328"/>
      <c r="BQ166" s="1328"/>
      <c r="BR166" s="1328"/>
      <c r="BS166" s="1328"/>
      <c r="BT166" s="1328"/>
      <c r="BV166" s="1292"/>
      <c r="BW166" s="1293"/>
      <c r="BX166" s="1646" t="s">
        <v>421</v>
      </c>
      <c r="BY166" s="1646"/>
      <c r="BZ166" s="1646"/>
      <c r="CA166" s="1646"/>
      <c r="CB166" s="1647" t="s">
        <v>422</v>
      </c>
      <c r="CC166" s="1647"/>
      <c r="CD166" s="1647"/>
      <c r="CE166" s="1647"/>
      <c r="CF166" s="1647"/>
      <c r="CG166" s="1631"/>
      <c r="CH166" s="1632"/>
      <c r="CI166" s="1632"/>
      <c r="CJ166" s="1632"/>
      <c r="CK166" s="1632"/>
      <c r="CL166" s="1633"/>
      <c r="CM166" s="1633"/>
      <c r="CN166" s="1633"/>
      <c r="CO166" s="1633"/>
      <c r="CP166" s="1633"/>
      <c r="CQ166" s="1633"/>
      <c r="CR166" s="1634"/>
      <c r="CU166" s="1292"/>
      <c r="CV166" s="1293"/>
      <c r="CW166" s="1646" t="s">
        <v>421</v>
      </c>
      <c r="CX166" s="1646"/>
      <c r="CY166" s="1646"/>
      <c r="CZ166" s="1646"/>
      <c r="DA166" s="1647" t="s">
        <v>422</v>
      </c>
      <c r="DB166" s="1647"/>
      <c r="DC166" s="1647"/>
      <c r="DD166" s="1647"/>
      <c r="DE166" s="1647"/>
      <c r="DF166" s="1631"/>
      <c r="DG166" s="1632"/>
      <c r="DH166" s="1632"/>
      <c r="DI166" s="1632"/>
      <c r="DJ166" s="1632"/>
      <c r="DK166" s="1633"/>
      <c r="DL166" s="1633"/>
      <c r="DM166" s="1633"/>
      <c r="DN166" s="1633"/>
      <c r="DO166" s="1633"/>
      <c r="DP166" s="1633"/>
      <c r="DQ166" s="1634"/>
    </row>
    <row r="167" spans="50:154" ht="18" customHeight="1" outlineLevel="2">
      <c r="BA167" s="1328"/>
      <c r="BB167" s="1328"/>
      <c r="BC167" s="1328"/>
      <c r="BD167" s="1328"/>
      <c r="BE167" s="1328"/>
      <c r="BF167" s="1328"/>
      <c r="BG167" s="1328"/>
      <c r="BH167" s="1328"/>
      <c r="BI167" s="1328"/>
      <c r="BJ167" s="1328"/>
      <c r="BK167" s="1328"/>
      <c r="BL167" s="1328"/>
      <c r="BM167" s="1328"/>
      <c r="BN167" s="1328"/>
      <c r="BO167" s="1328"/>
      <c r="BP167" s="1328"/>
      <c r="BQ167" s="1328"/>
      <c r="BR167" s="1328"/>
      <c r="BS167" s="1328"/>
      <c r="BT167" s="1328"/>
      <c r="BV167" s="1292"/>
      <c r="BW167" s="1293"/>
      <c r="BX167" s="1302"/>
      <c r="BY167" s="1302"/>
      <c r="BZ167" s="1302"/>
      <c r="CA167" s="1302"/>
      <c r="CB167" s="1302"/>
      <c r="CC167" s="1302"/>
      <c r="CD167" s="1302"/>
      <c r="CE167" s="1302"/>
      <c r="CF167" s="1302"/>
      <c r="CG167" s="1627"/>
      <c r="CH167" s="1628"/>
      <c r="CI167" s="1628"/>
      <c r="CJ167" s="1628"/>
      <c r="CK167" s="1628"/>
      <c r="CL167" s="1629"/>
      <c r="CM167" s="1629"/>
      <c r="CN167" s="1629"/>
      <c r="CO167" s="1629"/>
      <c r="CP167" s="1629"/>
      <c r="CQ167" s="1629"/>
      <c r="CR167" s="1630"/>
      <c r="CU167" s="1292"/>
      <c r="CV167" s="1293"/>
      <c r="CW167" s="1302"/>
      <c r="CX167" s="1302"/>
      <c r="CY167" s="1302"/>
      <c r="CZ167" s="1302"/>
      <c r="DA167" s="1302"/>
      <c r="DB167" s="1302"/>
      <c r="DC167" s="1302"/>
      <c r="DD167" s="1302"/>
      <c r="DE167" s="1302"/>
      <c r="DF167" s="1627"/>
      <c r="DG167" s="1628"/>
      <c r="DH167" s="1628"/>
      <c r="DI167" s="1628"/>
      <c r="DJ167" s="1628"/>
      <c r="DK167" s="1629"/>
      <c r="DL167" s="1629"/>
      <c r="DM167" s="1629"/>
      <c r="DN167" s="1629"/>
      <c r="DO167" s="1629"/>
      <c r="DP167" s="1629"/>
      <c r="DQ167" s="1630"/>
    </row>
    <row r="168" spans="50:154" ht="18" customHeight="1" outlineLevel="2">
      <c r="AX168" s="1244"/>
      <c r="AY168" s="1244"/>
      <c r="BA168" s="1328"/>
      <c r="BB168" s="1328"/>
      <c r="BC168" s="1328"/>
      <c r="BD168" s="1328"/>
      <c r="BE168" s="1328"/>
      <c r="BF168" s="1328"/>
      <c r="BG168" s="1328"/>
      <c r="BH168" s="1328"/>
      <c r="BI168" s="1328"/>
      <c r="BJ168" s="1328"/>
      <c r="BK168" s="1328"/>
      <c r="BL168" s="1328"/>
      <c r="BM168" s="1328"/>
      <c r="BN168" s="1328"/>
      <c r="BO168" s="1328"/>
      <c r="BP168" s="1328"/>
      <c r="BQ168" s="1328"/>
      <c r="BR168" s="1328"/>
      <c r="BS168" s="1328"/>
      <c r="BT168" s="1328"/>
      <c r="BU168" s="1244"/>
      <c r="BV168" s="1639" t="s">
        <v>452</v>
      </c>
      <c r="BW168" s="1640"/>
      <c r="BX168" s="1640"/>
      <c r="BY168" s="1640" t="s">
        <v>453</v>
      </c>
      <c r="BZ168" s="1640"/>
      <c r="CA168" s="1640"/>
      <c r="CB168" s="1641" t="s">
        <v>401</v>
      </c>
      <c r="CC168" s="1642"/>
      <c r="CD168" s="1642"/>
      <c r="CE168" s="1642"/>
      <c r="CF168" s="1642"/>
      <c r="CG168" s="1631"/>
      <c r="CH168" s="1632"/>
      <c r="CI168" s="1632"/>
      <c r="CJ168" s="1632"/>
      <c r="CK168" s="1632"/>
      <c r="CL168" s="1633"/>
      <c r="CM168" s="1633"/>
      <c r="CN168" s="1633"/>
      <c r="CO168" s="1633"/>
      <c r="CP168" s="1633"/>
      <c r="CQ168" s="1633"/>
      <c r="CR168" s="1634"/>
      <c r="CU168" s="1639" t="s">
        <v>452</v>
      </c>
      <c r="CV168" s="1640"/>
      <c r="CW168" s="1640"/>
      <c r="CX168" s="1640" t="s">
        <v>453</v>
      </c>
      <c r="CY168" s="1640"/>
      <c r="CZ168" s="1640"/>
      <c r="DA168" s="1641" t="s">
        <v>401</v>
      </c>
      <c r="DB168" s="1642"/>
      <c r="DC168" s="1642"/>
      <c r="DD168" s="1642"/>
      <c r="DE168" s="1642"/>
      <c r="DF168" s="1631"/>
      <c r="DG168" s="1632"/>
      <c r="DH168" s="1632"/>
      <c r="DI168" s="1632"/>
      <c r="DJ168" s="1632"/>
      <c r="DK168" s="1633"/>
      <c r="DL168" s="1633"/>
      <c r="DM168" s="1633"/>
      <c r="DN168" s="1633"/>
      <c r="DO168" s="1633"/>
      <c r="DP168" s="1633"/>
      <c r="DQ168" s="1634"/>
    </row>
    <row r="169" spans="50:154" ht="18" customHeight="1" outlineLevel="2">
      <c r="BA169" s="1328"/>
      <c r="BB169" s="1328"/>
      <c r="BC169" s="1328"/>
      <c r="BD169" s="1328"/>
      <c r="BE169" s="1328"/>
      <c r="BF169" s="1328"/>
      <c r="BG169" s="1328"/>
      <c r="BH169" s="1328"/>
      <c r="BI169" s="1328"/>
      <c r="BJ169" s="1328"/>
      <c r="BK169" s="1328"/>
      <c r="BL169" s="1328"/>
      <c r="BM169" s="1328"/>
      <c r="BN169" s="1328"/>
      <c r="BO169" s="1328"/>
      <c r="BP169" s="1328"/>
      <c r="BQ169" s="1328"/>
      <c r="BR169" s="1328"/>
      <c r="BS169" s="1328"/>
      <c r="BT169" s="1328"/>
      <c r="BV169" s="1282" t="s">
        <v>454</v>
      </c>
      <c r="BW169" s="1283"/>
      <c r="BX169" s="1283"/>
      <c r="BY169" s="1283"/>
      <c r="BZ169" s="1283"/>
      <c r="CA169" s="1283"/>
      <c r="CB169" s="1286"/>
      <c r="CC169" s="1287"/>
      <c r="CD169" s="1287"/>
      <c r="CE169" s="1287"/>
      <c r="CF169" s="1287"/>
      <c r="CG169" s="1627"/>
      <c r="CH169" s="1628"/>
      <c r="CI169" s="1628"/>
      <c r="CJ169" s="1628"/>
      <c r="CK169" s="1628"/>
      <c r="CL169" s="1629"/>
      <c r="CM169" s="1629"/>
      <c r="CN169" s="1629"/>
      <c r="CO169" s="1629"/>
      <c r="CP169" s="1629"/>
      <c r="CQ169" s="1629"/>
      <c r="CR169" s="1630"/>
      <c r="CU169" s="1282" t="s">
        <v>454</v>
      </c>
      <c r="CV169" s="1283"/>
      <c r="CW169" s="1283"/>
      <c r="CX169" s="1283"/>
      <c r="CY169" s="1283"/>
      <c r="CZ169" s="1283"/>
      <c r="DA169" s="1286"/>
      <c r="DB169" s="1287"/>
      <c r="DC169" s="1287"/>
      <c r="DD169" s="1287"/>
      <c r="DE169" s="1287"/>
      <c r="DF169" s="1627"/>
      <c r="DG169" s="1628"/>
      <c r="DH169" s="1628"/>
      <c r="DI169" s="1628"/>
      <c r="DJ169" s="1628"/>
      <c r="DK169" s="1629"/>
      <c r="DL169" s="1629"/>
      <c r="DM169" s="1629"/>
      <c r="DN169" s="1629"/>
      <c r="DO169" s="1629"/>
      <c r="DP169" s="1629"/>
      <c r="DQ169" s="1630"/>
    </row>
    <row r="170" spans="50:154" ht="18" customHeight="1" outlineLevel="2">
      <c r="BV170" s="1282"/>
      <c r="BW170" s="1283"/>
      <c r="BX170" s="1283"/>
      <c r="BY170" s="1283"/>
      <c r="BZ170" s="1283"/>
      <c r="CA170" s="1283"/>
      <c r="CB170" s="1288"/>
      <c r="CC170" s="1289"/>
      <c r="CD170" s="1289"/>
      <c r="CE170" s="1289"/>
      <c r="CF170" s="1289"/>
      <c r="CG170" s="1631"/>
      <c r="CH170" s="1632"/>
      <c r="CI170" s="1632"/>
      <c r="CJ170" s="1632"/>
      <c r="CK170" s="1632"/>
      <c r="CL170" s="1633"/>
      <c r="CM170" s="1633"/>
      <c r="CN170" s="1633"/>
      <c r="CO170" s="1633"/>
      <c r="CP170" s="1633"/>
      <c r="CQ170" s="1633"/>
      <c r="CR170" s="1634"/>
      <c r="CU170" s="1282"/>
      <c r="CV170" s="1283"/>
      <c r="CW170" s="1283"/>
      <c r="CX170" s="1283"/>
      <c r="CY170" s="1283"/>
      <c r="CZ170" s="1283"/>
      <c r="DA170" s="1288"/>
      <c r="DB170" s="1289"/>
      <c r="DC170" s="1289"/>
      <c r="DD170" s="1289"/>
      <c r="DE170" s="1289"/>
      <c r="DF170" s="1631"/>
      <c r="DG170" s="1632"/>
      <c r="DH170" s="1632"/>
      <c r="DI170" s="1632"/>
      <c r="DJ170" s="1632"/>
      <c r="DK170" s="1633"/>
      <c r="DL170" s="1633"/>
      <c r="DM170" s="1633"/>
      <c r="DN170" s="1633"/>
      <c r="DO170" s="1633"/>
      <c r="DP170" s="1633"/>
      <c r="DQ170" s="1634"/>
    </row>
    <row r="171" spans="50:154" ht="18" customHeight="1" outlineLevel="1">
      <c r="BV171" s="1284"/>
      <c r="BW171" s="1285"/>
      <c r="BX171" s="1285"/>
      <c r="BY171" s="1285"/>
      <c r="BZ171" s="1285"/>
      <c r="CA171" s="1285"/>
      <c r="CB171" s="1290"/>
      <c r="CC171" s="1291"/>
      <c r="CD171" s="1291"/>
      <c r="CE171" s="1291"/>
      <c r="CF171" s="1291"/>
      <c r="CG171" s="1635"/>
      <c r="CH171" s="1636"/>
      <c r="CI171" s="1636"/>
      <c r="CJ171" s="1636"/>
      <c r="CK171" s="1636"/>
      <c r="CL171" s="1637"/>
      <c r="CM171" s="1637"/>
      <c r="CN171" s="1637"/>
      <c r="CO171" s="1637"/>
      <c r="CP171" s="1637"/>
      <c r="CQ171" s="1637"/>
      <c r="CR171" s="1638"/>
      <c r="CU171" s="1284"/>
      <c r="CV171" s="1285"/>
      <c r="CW171" s="1285"/>
      <c r="CX171" s="1285"/>
      <c r="CY171" s="1285"/>
      <c r="CZ171" s="1285"/>
      <c r="DA171" s="1290"/>
      <c r="DB171" s="1291"/>
      <c r="DC171" s="1291"/>
      <c r="DD171" s="1291"/>
      <c r="DE171" s="1291"/>
      <c r="DF171" s="1635"/>
      <c r="DG171" s="1636"/>
      <c r="DH171" s="1636"/>
      <c r="DI171" s="1636"/>
      <c r="DJ171" s="1636"/>
      <c r="DK171" s="1637"/>
      <c r="DL171" s="1637"/>
      <c r="DM171" s="1637"/>
      <c r="DN171" s="1637"/>
      <c r="DO171" s="1637"/>
      <c r="DP171" s="1637"/>
      <c r="DQ171" s="1638"/>
    </row>
  </sheetData>
  <sheetProtection formatCells="0" formatColumns="0" formatRows="0" insertColumns="0" insertRows="0" insertHyperlinks="0" deleteRows="0" selectLockedCells="1" sort="0" autoFilter="0" pivotTables="0"/>
  <protectedRanges>
    <protectedRange sqref="BQ19:BS20 BI19:BS19 BB19 CA9:CH14 BW9:BY14 BK10:BK12 CB16 BB7 BK21:BR21 BY19:BY20 CG21:CI21 BT21:CD21 CJ13:CJ15 AV24:AW24 BB22:BX22 AV11:AW11" name="技能表以上"/>
    <protectedRange sqref="BB65:CS65 CM66:CS66 CO73 BW75 BB97 BX76:BY93 BC75:BK75 BB115 BB84 BB130 BB141 BL141 CH137:CM137 CH118:CM118 CH155:CM155 DG155:DL155 BB90 BV75 DG137:DL137 DG118:DL118" name="技能表往下"/>
    <protectedRange sqref="CA19:CA20" name="技能表以上_2"/>
    <protectedRange sqref="BB66:BS68" name="技能表往下_1"/>
    <protectedRange sqref="BG69:CJ70 BG71:BJ71 BT71:CI71" name="技能表往下_2"/>
    <protectedRange sqref="CB50:CB55" name="技能表以上_1_1"/>
    <protectedRange sqref="CO25:CO55" name="技能表以上_4"/>
    <protectedRange sqref="BM56:BM58 BN57:BN58" name="技能表以上_6"/>
    <protectedRange sqref="BS56:BT58 BW56:BW64 BK45:BM45 CH59:CJ64 CH50:CJ50 CS50 CO50:CP50 BS52 CH63:CJ64" name="技能表以上_7"/>
    <protectedRange sqref="CO58:CO64" name="技能表以上_1_1_2"/>
    <protectedRange sqref="BU44:BV45 BY50:BY64 BU52:BV58 CJ50:CL64 BU59:BU64" name="技能表以上_9"/>
    <protectedRange sqref="CH50:CH64" name="技能表以上_3_5"/>
    <protectedRange sqref="CB41:CB42 BF41:BF43 CB47:CB48 BH59 CD59 BF32:BG40 BF47:BF52 BF25:BG30 BB23:BX23 BB24:BL24 BR24:CE24 CN24:CS24 CF47:CF59 CF53:CF57 BT62:BV62 CQ59:CS61 CP62:CR62 CQ63:CS63 CP64:CR64 BT64:BV64 BU63:BW63 BU54:BW59 BU50:BW52 BU25:BW56 BU50:BW61 BJ25:BJ56 BJ50:BJ59 BJ54:BJ59 BJ50:BJ52 BF48:BF51 CB47:CC58 CB47:CC58 CB44:CC50 CB48:CC50 CF25:CF50 CQ25:CS50 BL34 BO34:BP34 BM34:BN34" name="技能表以上_10"/>
    <protectedRange sqref="CC51:CC57" name="技能表以上_1_2"/>
    <protectedRange sqref="CB51:CB57" name="技能表以上_1_1_3"/>
    <protectedRange sqref="BS25:BS56 BS50:BS52" name="技能表以上_3_1"/>
    <protectedRange sqref="CO25:CO50" name="技能表以上_4_6"/>
  </protectedRanges>
  <mergeCells count="2556">
    <mergeCell ref="CR3:CV3"/>
    <mergeCell ref="CD5:CF5"/>
    <mergeCell ref="CG5:CI5"/>
    <mergeCell ref="CJ5:CM5"/>
    <mergeCell ref="CN5:CP5"/>
    <mergeCell ref="CQ5:CV5"/>
    <mergeCell ref="BC1:BG1"/>
    <mergeCell ref="BH1:BL1"/>
    <mergeCell ref="BM1:BR1"/>
    <mergeCell ref="BS1:BX1"/>
    <mergeCell ref="CA1:CE1"/>
    <mergeCell ref="CF1:CJ1"/>
    <mergeCell ref="CK1:CP1"/>
    <mergeCell ref="CQ1:CV1"/>
    <mergeCell ref="BC2:BG2"/>
    <mergeCell ref="BH2:BL2"/>
    <mergeCell ref="BM2:BR2"/>
    <mergeCell ref="BS2:BX2"/>
    <mergeCell ref="CA2:CE2"/>
    <mergeCell ref="CF2:CJ2"/>
    <mergeCell ref="CK2:CP2"/>
    <mergeCell ref="CQ2:CV2"/>
    <mergeCell ref="BD3:BG3"/>
    <mergeCell ref="BH3:BK3"/>
    <mergeCell ref="BL3:BO3"/>
    <mergeCell ref="BP3:BQ3"/>
    <mergeCell ref="BR3:BS3"/>
    <mergeCell ref="BT3:BX3"/>
    <mergeCell ref="CB3:CE3"/>
    <mergeCell ref="CF3:CI3"/>
    <mergeCell ref="CJ3:CM3"/>
    <mergeCell ref="CN3:CO3"/>
    <mergeCell ref="CP3:CQ3"/>
    <mergeCell ref="BA8:BH8"/>
    <mergeCell ref="BI8:BP8"/>
    <mergeCell ref="BR8:BT8"/>
    <mergeCell ref="BU8:BY8"/>
    <mergeCell ref="BZ8:CA8"/>
    <mergeCell ref="CB8:CC8"/>
    <mergeCell ref="CD8:CE8"/>
    <mergeCell ref="CF8:CG8"/>
    <mergeCell ref="CH8:CI8"/>
    <mergeCell ref="CT8:DA8"/>
    <mergeCell ref="BD4:BG4"/>
    <mergeCell ref="BH4:BK4"/>
    <mergeCell ref="BL4:BO4"/>
    <mergeCell ref="BP4:BQ4"/>
    <mergeCell ref="BR4:BS4"/>
    <mergeCell ref="BT4:BX4"/>
    <mergeCell ref="CB4:CE4"/>
    <mergeCell ref="CF4:CI4"/>
    <mergeCell ref="CJ4:CM4"/>
    <mergeCell ref="CN4:CO4"/>
    <mergeCell ref="CP4:CQ4"/>
    <mergeCell ref="CR4:CV4"/>
    <mergeCell ref="BC5:BE5"/>
    <mergeCell ref="BF5:BH5"/>
    <mergeCell ref="BI5:BJ5"/>
    <mergeCell ref="BK5:BL5"/>
    <mergeCell ref="BM5:BN5"/>
    <mergeCell ref="BO5:BP5"/>
    <mergeCell ref="BQ5:BS5"/>
    <mergeCell ref="BT5:BU5"/>
    <mergeCell ref="BV5:BX5"/>
    <mergeCell ref="CA5:CC5"/>
    <mergeCell ref="BV9:BW9"/>
    <mergeCell ref="BZ9:CA9"/>
    <mergeCell ref="CB9:CC9"/>
    <mergeCell ref="CF9:CG9"/>
    <mergeCell ref="CH9:CI9"/>
    <mergeCell ref="CT9:DQ9"/>
    <mergeCell ref="BA10:BC10"/>
    <mergeCell ref="BD10:BH10"/>
    <mergeCell ref="BI10:BK10"/>
    <mergeCell ref="BL10:BP10"/>
    <mergeCell ref="BT10:BU10"/>
    <mergeCell ref="BV10:BW10"/>
    <mergeCell ref="BZ10:CA10"/>
    <mergeCell ref="CB10:CC10"/>
    <mergeCell ref="CF10:CG10"/>
    <mergeCell ref="CH10:CI10"/>
    <mergeCell ref="BC6:BE6"/>
    <mergeCell ref="BF6:BH6"/>
    <mergeCell ref="BI6:BJ6"/>
    <mergeCell ref="BK6:BL6"/>
    <mergeCell ref="BM6:BN6"/>
    <mergeCell ref="BO6:BP6"/>
    <mergeCell ref="BQ6:BS6"/>
    <mergeCell ref="BT6:BU6"/>
    <mergeCell ref="BV6:BX6"/>
    <mergeCell ref="CA6:CC6"/>
    <mergeCell ref="CD6:CF6"/>
    <mergeCell ref="CG6:CI6"/>
    <mergeCell ref="CJ6:CM6"/>
    <mergeCell ref="CN6:CP6"/>
    <mergeCell ref="CQ6:CV6"/>
    <mergeCell ref="BA7:CR7"/>
    <mergeCell ref="B11:D11"/>
    <mergeCell ref="E11:G11"/>
    <mergeCell ref="H11:J11"/>
    <mergeCell ref="K11:M11"/>
    <mergeCell ref="N11:P11"/>
    <mergeCell ref="Q11:S11"/>
    <mergeCell ref="T11:V11"/>
    <mergeCell ref="W11:Y11"/>
    <mergeCell ref="Z11:AB11"/>
    <mergeCell ref="AC11:AE11"/>
    <mergeCell ref="AF11:AH11"/>
    <mergeCell ref="AI11:AK11"/>
    <mergeCell ref="AL11:AN11"/>
    <mergeCell ref="AO11:AQ11"/>
    <mergeCell ref="AR11:AS11"/>
    <mergeCell ref="AT11:AU11"/>
    <mergeCell ref="AV11:AX11"/>
    <mergeCell ref="AY11:AZ11"/>
    <mergeCell ref="BA11:BC11"/>
    <mergeCell ref="BD11:BH11"/>
    <mergeCell ref="BI11:BK11"/>
    <mergeCell ref="BL11:BP11"/>
    <mergeCell ref="BT11:BU11"/>
    <mergeCell ref="BV11:BW11"/>
    <mergeCell ref="BZ11:CA11"/>
    <mergeCell ref="CB11:CC11"/>
    <mergeCell ref="CF11:CG11"/>
    <mergeCell ref="CH11:CI11"/>
    <mergeCell ref="AR12:AS12"/>
    <mergeCell ref="AT12:AU12"/>
    <mergeCell ref="AV12:AX12"/>
    <mergeCell ref="AY12:AZ12"/>
    <mergeCell ref="BA12:BC12"/>
    <mergeCell ref="BD12:BH12"/>
    <mergeCell ref="BI12:BK12"/>
    <mergeCell ref="BL12:BP12"/>
    <mergeCell ref="BT12:BU12"/>
    <mergeCell ref="BV12:BW12"/>
    <mergeCell ref="BZ12:CA12"/>
    <mergeCell ref="CB12:CC12"/>
    <mergeCell ref="CF12:CG12"/>
    <mergeCell ref="CH12:CI12"/>
    <mergeCell ref="AR13:AS13"/>
    <mergeCell ref="AT13:AU13"/>
    <mergeCell ref="AV13:AX13"/>
    <mergeCell ref="AY13:AZ13"/>
    <mergeCell ref="BA13:BC13"/>
    <mergeCell ref="BD13:BH13"/>
    <mergeCell ref="BI13:BK13"/>
    <mergeCell ref="BL13:BP13"/>
    <mergeCell ref="BT13:BU13"/>
    <mergeCell ref="BV13:BW13"/>
    <mergeCell ref="BZ13:CA13"/>
    <mergeCell ref="CB13:CC13"/>
    <mergeCell ref="CF13:CG13"/>
    <mergeCell ref="CH13:CI13"/>
    <mergeCell ref="AR14:AS14"/>
    <mergeCell ref="AT14:AU14"/>
    <mergeCell ref="AV14:AX14"/>
    <mergeCell ref="AY14:AZ14"/>
    <mergeCell ref="BC14:BE14"/>
    <mergeCell ref="BF14:BH14"/>
    <mergeCell ref="BK14:BM14"/>
    <mergeCell ref="BN14:BP14"/>
    <mergeCell ref="BT14:BU14"/>
    <mergeCell ref="BV14:BW14"/>
    <mergeCell ref="BZ14:CA14"/>
    <mergeCell ref="CB14:CC14"/>
    <mergeCell ref="CF14:CG14"/>
    <mergeCell ref="CH14:CI14"/>
    <mergeCell ref="AR15:AS15"/>
    <mergeCell ref="AT15:AU15"/>
    <mergeCell ref="AV15:AX15"/>
    <mergeCell ref="AY15:AZ15"/>
    <mergeCell ref="BC15:BE15"/>
    <mergeCell ref="BF15:BH15"/>
    <mergeCell ref="BK15:BM15"/>
    <mergeCell ref="BN15:BP15"/>
    <mergeCell ref="AR16:AS16"/>
    <mergeCell ref="AT16:AU16"/>
    <mergeCell ref="AV16:AX16"/>
    <mergeCell ref="AY16:AZ16"/>
    <mergeCell ref="BA16:BB16"/>
    <mergeCell ref="BC16:BH16"/>
    <mergeCell ref="BI16:BJ16"/>
    <mergeCell ref="BK16:BL16"/>
    <mergeCell ref="BM16:BN16"/>
    <mergeCell ref="AR17:AS17"/>
    <mergeCell ref="AT17:AU17"/>
    <mergeCell ref="AV17:AX17"/>
    <mergeCell ref="AY17:AZ17"/>
    <mergeCell ref="BA17:BC17"/>
    <mergeCell ref="BD17:BE17"/>
    <mergeCell ref="BF17:BH17"/>
    <mergeCell ref="BM17:BP17"/>
    <mergeCell ref="AR18:AS18"/>
    <mergeCell ref="AT18:AU18"/>
    <mergeCell ref="AV18:AX18"/>
    <mergeCell ref="AY18:AZ18"/>
    <mergeCell ref="BA18:BD18"/>
    <mergeCell ref="BE18:BH18"/>
    <mergeCell ref="BJ18:BQ18"/>
    <mergeCell ref="BS18:BZ18"/>
    <mergeCell ref="CB18:CI18"/>
    <mergeCell ref="AV19:AX19"/>
    <mergeCell ref="AY19:AZ19"/>
    <mergeCell ref="BH19:BI19"/>
    <mergeCell ref="BQ19:BR19"/>
    <mergeCell ref="BZ19:CA19"/>
    <mergeCell ref="CH19:CI19"/>
    <mergeCell ref="CO19:CR19"/>
    <mergeCell ref="CU19:CV19"/>
    <mergeCell ref="CW19:CZ19"/>
    <mergeCell ref="DA19:DB19"/>
    <mergeCell ref="AR20:AS20"/>
    <mergeCell ref="AT20:AU20"/>
    <mergeCell ref="AV20:AX20"/>
    <mergeCell ref="AY20:AZ20"/>
    <mergeCell ref="BH20:BI20"/>
    <mergeCell ref="BQ20:BR20"/>
    <mergeCell ref="BZ20:CA20"/>
    <mergeCell ref="CH20:CI20"/>
    <mergeCell ref="CO20:CR20"/>
    <mergeCell ref="CU20:CV20"/>
    <mergeCell ref="CW20:CZ20"/>
    <mergeCell ref="DA20:DB20"/>
    <mergeCell ref="DJ20:DO20"/>
    <mergeCell ref="DP20:DQ20"/>
    <mergeCell ref="AR21:AS21"/>
    <mergeCell ref="AT21:AU21"/>
    <mergeCell ref="AV21:AX21"/>
    <mergeCell ref="AY21:AZ21"/>
    <mergeCell ref="BA21:BB21"/>
    <mergeCell ref="BC21:BD21"/>
    <mergeCell ref="BE21:BG21"/>
    <mergeCell ref="BH21:BI21"/>
    <mergeCell ref="BJ21:BL21"/>
    <mergeCell ref="BM21:BN21"/>
    <mergeCell ref="BO21:BP21"/>
    <mergeCell ref="BQ21:BR21"/>
    <mergeCell ref="BS21:BV21"/>
    <mergeCell ref="BW21:CA21"/>
    <mergeCell ref="CB21:CC21"/>
    <mergeCell ref="CD21:CE21"/>
    <mergeCell ref="CF21:CG21"/>
    <mergeCell ref="CH21:CI21"/>
    <mergeCell ref="CJ21:CL21"/>
    <mergeCell ref="CM21:CR21"/>
    <mergeCell ref="CU21:CV21"/>
    <mergeCell ref="CW21:CZ21"/>
    <mergeCell ref="DA21:DB21"/>
    <mergeCell ref="CT18:CT20"/>
    <mergeCell ref="CK18:CR18"/>
    <mergeCell ref="CU18:CV18"/>
    <mergeCell ref="CW18:CZ18"/>
    <mergeCell ref="DA18:DB18"/>
    <mergeCell ref="AR19:AS19"/>
    <mergeCell ref="AT19:AU19"/>
    <mergeCell ref="DT21:EE21"/>
    <mergeCell ref="EF21:EQ21"/>
    <mergeCell ref="B22:D22"/>
    <mergeCell ref="E22:G22"/>
    <mergeCell ref="H22:J22"/>
    <mergeCell ref="K22:M22"/>
    <mergeCell ref="N22:P22"/>
    <mergeCell ref="Q22:S22"/>
    <mergeCell ref="T22:V22"/>
    <mergeCell ref="W22:Y22"/>
    <mergeCell ref="Z22:AB22"/>
    <mergeCell ref="AC22:AE22"/>
    <mergeCell ref="AF22:AH22"/>
    <mergeCell ref="AI22:AK22"/>
    <mergeCell ref="AL22:AN22"/>
    <mergeCell ref="AO22:AQ22"/>
    <mergeCell ref="AR22:AS22"/>
    <mergeCell ref="AT22:AU22"/>
    <mergeCell ref="AV22:AX22"/>
    <mergeCell ref="AY22:AZ22"/>
    <mergeCell ref="BA22:CR22"/>
    <mergeCell ref="CU22:CV22"/>
    <mergeCell ref="CW22:CZ22"/>
    <mergeCell ref="DA22:DB22"/>
    <mergeCell ref="DT22:EQ22"/>
    <mergeCell ref="CT21:CT23"/>
    <mergeCell ref="B23:AZ23"/>
    <mergeCell ref="BA23:CH23"/>
    <mergeCell ref="CI23:CR23"/>
    <mergeCell ref="CU23:CV23"/>
    <mergeCell ref="CW23:CZ23"/>
    <mergeCell ref="DA23:DB23"/>
    <mergeCell ref="DT23:EQ23"/>
    <mergeCell ref="B24:D24"/>
    <mergeCell ref="E24:G24"/>
    <mergeCell ref="H24:J24"/>
    <mergeCell ref="K24:M24"/>
    <mergeCell ref="N24:P24"/>
    <mergeCell ref="Q24:S24"/>
    <mergeCell ref="T24:V24"/>
    <mergeCell ref="W24:Y24"/>
    <mergeCell ref="Z24:AB24"/>
    <mergeCell ref="AC24:AE24"/>
    <mergeCell ref="AF24:AH24"/>
    <mergeCell ref="AI24:AK24"/>
    <mergeCell ref="AL24:AN24"/>
    <mergeCell ref="AO24:AQ24"/>
    <mergeCell ref="AR24:AS24"/>
    <mergeCell ref="AT24:AU24"/>
    <mergeCell ref="AV24:AX24"/>
    <mergeCell ref="AY24:AZ24"/>
    <mergeCell ref="BA24:BB24"/>
    <mergeCell ref="BC24:BD24"/>
    <mergeCell ref="BE24:BH24"/>
    <mergeCell ref="BI24:BJ24"/>
    <mergeCell ref="BK24:BL24"/>
    <mergeCell ref="BM24:BN24"/>
    <mergeCell ref="BO24:BP24"/>
    <mergeCell ref="BQ24:BV24"/>
    <mergeCell ref="BW24:BX24"/>
    <mergeCell ref="BY24:BZ24"/>
    <mergeCell ref="CA24:CD24"/>
    <mergeCell ref="CE24:CF24"/>
    <mergeCell ref="CG24:CH24"/>
    <mergeCell ref="CI24:CJ24"/>
    <mergeCell ref="CK24:CL24"/>
    <mergeCell ref="CM24:CR24"/>
    <mergeCell ref="CT24:CY24"/>
    <mergeCell ref="CZ24:DQ24"/>
    <mergeCell ref="DT24:EQ24"/>
    <mergeCell ref="AR25:AS25"/>
    <mergeCell ref="AT25:AU25"/>
    <mergeCell ref="AV25:AX25"/>
    <mergeCell ref="AY25:AZ25"/>
    <mergeCell ref="BA25:BB25"/>
    <mergeCell ref="BC25:BD25"/>
    <mergeCell ref="BE25:BH25"/>
    <mergeCell ref="BI25:BJ25"/>
    <mergeCell ref="BK25:BL25"/>
    <mergeCell ref="BM25:BN25"/>
    <mergeCell ref="BO25:BP25"/>
    <mergeCell ref="BQ25:BR25"/>
    <mergeCell ref="BS25:BT25"/>
    <mergeCell ref="BU25:BV25"/>
    <mergeCell ref="BW25:BX25"/>
    <mergeCell ref="BY25:BZ25"/>
    <mergeCell ref="CA25:CD25"/>
    <mergeCell ref="CE25:CF25"/>
    <mergeCell ref="CG25:CH25"/>
    <mergeCell ref="CI25:CJ25"/>
    <mergeCell ref="CK25:CL25"/>
    <mergeCell ref="CM25:CN25"/>
    <mergeCell ref="CO25:CP25"/>
    <mergeCell ref="CQ25:CR25"/>
    <mergeCell ref="CT25:CY25"/>
    <mergeCell ref="CZ25:DH25"/>
    <mergeCell ref="DI25:DQ25"/>
    <mergeCell ref="DT25:EQ25"/>
    <mergeCell ref="AR26:AS26"/>
    <mergeCell ref="AT26:AU26"/>
    <mergeCell ref="AV26:AX26"/>
    <mergeCell ref="AY26:AZ26"/>
    <mergeCell ref="BA26:BB26"/>
    <mergeCell ref="BC26:BD26"/>
    <mergeCell ref="BE26:BH26"/>
    <mergeCell ref="BI26:BJ26"/>
    <mergeCell ref="BK26:BL26"/>
    <mergeCell ref="BM26:BN26"/>
    <mergeCell ref="BO26:BP26"/>
    <mergeCell ref="BQ26:BR26"/>
    <mergeCell ref="BS26:BT26"/>
    <mergeCell ref="BU26:BV26"/>
    <mergeCell ref="BW26:BX26"/>
    <mergeCell ref="BY26:BZ26"/>
    <mergeCell ref="CA26:CD26"/>
    <mergeCell ref="CE26:CF26"/>
    <mergeCell ref="CG26:CH26"/>
    <mergeCell ref="CI26:CJ26"/>
    <mergeCell ref="CK26:CL26"/>
    <mergeCell ref="CM26:CN26"/>
    <mergeCell ref="CO26:CP26"/>
    <mergeCell ref="CQ26:CR26"/>
    <mergeCell ref="CZ26:DH26"/>
    <mergeCell ref="DI26:DQ26"/>
    <mergeCell ref="DT26:EQ26"/>
    <mergeCell ref="AR27:AS27"/>
    <mergeCell ref="AT27:AU27"/>
    <mergeCell ref="AV27:AX27"/>
    <mergeCell ref="AY27:AZ27"/>
    <mergeCell ref="BA27:BB27"/>
    <mergeCell ref="BC27:BD27"/>
    <mergeCell ref="BE27:BH27"/>
    <mergeCell ref="BI27:BJ27"/>
    <mergeCell ref="BK27:BL27"/>
    <mergeCell ref="BM27:BN27"/>
    <mergeCell ref="BO27:BP27"/>
    <mergeCell ref="BQ27:BR27"/>
    <mergeCell ref="BS27:BT27"/>
    <mergeCell ref="BU27:BV27"/>
    <mergeCell ref="BW27:BX27"/>
    <mergeCell ref="BY27:BZ27"/>
    <mergeCell ref="CA27:CD27"/>
    <mergeCell ref="CE27:CF27"/>
    <mergeCell ref="CG27:CH27"/>
    <mergeCell ref="CI27:CJ27"/>
    <mergeCell ref="CK27:CL27"/>
    <mergeCell ref="CM27:CN27"/>
    <mergeCell ref="CO27:CP27"/>
    <mergeCell ref="CQ27:CR27"/>
    <mergeCell ref="CZ27:DH27"/>
    <mergeCell ref="DI27:DQ27"/>
    <mergeCell ref="DT27:EQ27"/>
    <mergeCell ref="AR28:AS28"/>
    <mergeCell ref="AT28:AU28"/>
    <mergeCell ref="AV28:AX28"/>
    <mergeCell ref="AY28:AZ28"/>
    <mergeCell ref="BA28:BB28"/>
    <mergeCell ref="BC28:BD28"/>
    <mergeCell ref="BE28:BH28"/>
    <mergeCell ref="BI28:BJ28"/>
    <mergeCell ref="BK28:BL28"/>
    <mergeCell ref="BM28:BN28"/>
    <mergeCell ref="BO28:BP28"/>
    <mergeCell ref="BQ28:BR28"/>
    <mergeCell ref="BS28:BT28"/>
    <mergeCell ref="BU28:BV28"/>
    <mergeCell ref="BW28:BX28"/>
    <mergeCell ref="BY28:BZ28"/>
    <mergeCell ref="CA28:CD28"/>
    <mergeCell ref="CE28:CF28"/>
    <mergeCell ref="CG28:CH28"/>
    <mergeCell ref="CI28:CJ28"/>
    <mergeCell ref="CK28:CL28"/>
    <mergeCell ref="CM28:CN28"/>
    <mergeCell ref="CO28:CP28"/>
    <mergeCell ref="CQ28:CR28"/>
    <mergeCell ref="CZ28:DH28"/>
    <mergeCell ref="DI28:DQ28"/>
    <mergeCell ref="DT28:DZ28"/>
    <mergeCell ref="EA28:EH28"/>
    <mergeCell ref="AR29:AS29"/>
    <mergeCell ref="AT29:AU29"/>
    <mergeCell ref="AV29:AX29"/>
    <mergeCell ref="AY29:AZ29"/>
    <mergeCell ref="BA29:BB29"/>
    <mergeCell ref="BC29:BD29"/>
    <mergeCell ref="BE29:BH29"/>
    <mergeCell ref="BI29:BJ29"/>
    <mergeCell ref="BK29:BL29"/>
    <mergeCell ref="BM29:BN29"/>
    <mergeCell ref="BO29:BP29"/>
    <mergeCell ref="BQ29:BR29"/>
    <mergeCell ref="BS29:BT29"/>
    <mergeCell ref="BU29:BV29"/>
    <mergeCell ref="BW29:BX29"/>
    <mergeCell ref="BY29:BZ29"/>
    <mergeCell ref="CA29:CD29"/>
    <mergeCell ref="CE29:CF29"/>
    <mergeCell ref="CG29:CH29"/>
    <mergeCell ref="CI29:CJ29"/>
    <mergeCell ref="CK29:CL29"/>
    <mergeCell ref="CM29:CN29"/>
    <mergeCell ref="CO29:CP29"/>
    <mergeCell ref="CQ29:CR29"/>
    <mergeCell ref="CT29:CY29"/>
    <mergeCell ref="CZ29:DH29"/>
    <mergeCell ref="DI29:DQ29"/>
    <mergeCell ref="DT29:DZ29"/>
    <mergeCell ref="EA29:EH29"/>
    <mergeCell ref="AR30:AS30"/>
    <mergeCell ref="AT30:AU30"/>
    <mergeCell ref="AV30:AX30"/>
    <mergeCell ref="AY30:AZ30"/>
    <mergeCell ref="BA30:BB30"/>
    <mergeCell ref="BC30:BD30"/>
    <mergeCell ref="BE30:BH30"/>
    <mergeCell ref="BI30:BJ30"/>
    <mergeCell ref="BK30:BL30"/>
    <mergeCell ref="BM30:BN30"/>
    <mergeCell ref="BO30:BP30"/>
    <mergeCell ref="BQ30:BR30"/>
    <mergeCell ref="BS30:BT30"/>
    <mergeCell ref="BU30:BV30"/>
    <mergeCell ref="BW30:BX30"/>
    <mergeCell ref="BY30:BZ30"/>
    <mergeCell ref="CA30:CD30"/>
    <mergeCell ref="CE30:CF30"/>
    <mergeCell ref="CG30:CH30"/>
    <mergeCell ref="CI30:CJ30"/>
    <mergeCell ref="CK30:CL30"/>
    <mergeCell ref="CM30:CN30"/>
    <mergeCell ref="CO30:CP30"/>
    <mergeCell ref="CQ30:CR30"/>
    <mergeCell ref="DT30:DZ30"/>
    <mergeCell ref="AR31:AS31"/>
    <mergeCell ref="AT31:AU31"/>
    <mergeCell ref="AV31:AX31"/>
    <mergeCell ref="AY31:AZ31"/>
    <mergeCell ref="BA31:BB31"/>
    <mergeCell ref="BC31:BD31"/>
    <mergeCell ref="BE31:BH31"/>
    <mergeCell ref="BI31:BJ31"/>
    <mergeCell ref="BK31:BL31"/>
    <mergeCell ref="BM31:BN31"/>
    <mergeCell ref="BO31:BP31"/>
    <mergeCell ref="BQ31:BR31"/>
    <mergeCell ref="BS31:BT31"/>
    <mergeCell ref="BU31:BV31"/>
    <mergeCell ref="BW31:BX31"/>
    <mergeCell ref="BY31:BZ31"/>
    <mergeCell ref="CA31:CD31"/>
    <mergeCell ref="CE31:CF31"/>
    <mergeCell ref="CG31:CH31"/>
    <mergeCell ref="CI31:CJ31"/>
    <mergeCell ref="CK31:CL31"/>
    <mergeCell ref="CM31:CN31"/>
    <mergeCell ref="CO31:CP31"/>
    <mergeCell ref="CQ31:CR31"/>
    <mergeCell ref="CT31:CT35"/>
    <mergeCell ref="AT32:AU32"/>
    <mergeCell ref="AV32:AX32"/>
    <mergeCell ref="AY32:AZ32"/>
    <mergeCell ref="BA32:BB32"/>
    <mergeCell ref="BC32:BD32"/>
    <mergeCell ref="BE32:BH32"/>
    <mergeCell ref="BI32:BJ32"/>
    <mergeCell ref="BK32:BL32"/>
    <mergeCell ref="BM32:BN32"/>
    <mergeCell ref="BO32:BP32"/>
    <mergeCell ref="BQ32:BR32"/>
    <mergeCell ref="BS32:BT32"/>
    <mergeCell ref="BU32:BV32"/>
    <mergeCell ref="BW32:BX32"/>
    <mergeCell ref="BY32:BZ32"/>
    <mergeCell ref="CA32:CD32"/>
    <mergeCell ref="CT30:DQ30"/>
    <mergeCell ref="CE32:CF32"/>
    <mergeCell ref="CG32:CH32"/>
    <mergeCell ref="CI32:CJ32"/>
    <mergeCell ref="CK32:CL32"/>
    <mergeCell ref="CM32:CN32"/>
    <mergeCell ref="CO32:CP32"/>
    <mergeCell ref="CQ32:CR32"/>
    <mergeCell ref="AR33:AS33"/>
    <mergeCell ref="AT33:AU33"/>
    <mergeCell ref="AV33:AX33"/>
    <mergeCell ref="AY33:AZ33"/>
    <mergeCell ref="BA33:BB33"/>
    <mergeCell ref="BC33:BD33"/>
    <mergeCell ref="BE33:BH33"/>
    <mergeCell ref="BI33:BJ33"/>
    <mergeCell ref="BK33:BL33"/>
    <mergeCell ref="BM33:BN33"/>
    <mergeCell ref="BO33:BP33"/>
    <mergeCell ref="BQ33:BR33"/>
    <mergeCell ref="BS33:BT33"/>
    <mergeCell ref="BU33:BV33"/>
    <mergeCell ref="BW33:BX33"/>
    <mergeCell ref="BY33:BZ33"/>
    <mergeCell ref="CA33:CD33"/>
    <mergeCell ref="CE33:CF33"/>
    <mergeCell ref="CG33:CH33"/>
    <mergeCell ref="CI33:CJ33"/>
    <mergeCell ref="CK33:CL33"/>
    <mergeCell ref="CM33:CN33"/>
    <mergeCell ref="CO33:CP33"/>
    <mergeCell ref="CQ33:CR33"/>
    <mergeCell ref="AR32:AS32"/>
    <mergeCell ref="AR34:AS34"/>
    <mergeCell ref="AT34:AU34"/>
    <mergeCell ref="AV34:AX34"/>
    <mergeCell ref="AY34:AZ34"/>
    <mergeCell ref="BA34:BB34"/>
    <mergeCell ref="BC34:BD34"/>
    <mergeCell ref="BE34:BH34"/>
    <mergeCell ref="BI34:BJ34"/>
    <mergeCell ref="BK34:BL34"/>
    <mergeCell ref="BM34:BN34"/>
    <mergeCell ref="BO34:BP34"/>
    <mergeCell ref="BQ34:BR34"/>
    <mergeCell ref="BS34:BT34"/>
    <mergeCell ref="BU34:BV34"/>
    <mergeCell ref="BW34:BX34"/>
    <mergeCell ref="BY34:BZ34"/>
    <mergeCell ref="CA34:CD34"/>
    <mergeCell ref="CA36:CD36"/>
    <mergeCell ref="CE34:CF34"/>
    <mergeCell ref="CG34:CH34"/>
    <mergeCell ref="CI34:CJ34"/>
    <mergeCell ref="CK34:CL34"/>
    <mergeCell ref="CM34:CN34"/>
    <mergeCell ref="CO34:CP34"/>
    <mergeCell ref="CQ34:CR34"/>
    <mergeCell ref="AR35:AS35"/>
    <mergeCell ref="AT35:AU35"/>
    <mergeCell ref="AV35:AX35"/>
    <mergeCell ref="AY35:AZ35"/>
    <mergeCell ref="BA35:BB35"/>
    <mergeCell ref="BC35:BD35"/>
    <mergeCell ref="BE35:BH35"/>
    <mergeCell ref="BI35:BJ35"/>
    <mergeCell ref="BK35:BL35"/>
    <mergeCell ref="BM35:BN35"/>
    <mergeCell ref="BO35:BP35"/>
    <mergeCell ref="BQ35:BR35"/>
    <mergeCell ref="BS35:BT35"/>
    <mergeCell ref="BU35:BV35"/>
    <mergeCell ref="BW35:BX35"/>
    <mergeCell ref="BY35:BZ35"/>
    <mergeCell ref="CA35:CD35"/>
    <mergeCell ref="CE35:CF35"/>
    <mergeCell ref="CG35:CH35"/>
    <mergeCell ref="CI35:CJ35"/>
    <mergeCell ref="CK35:CL35"/>
    <mergeCell ref="CM35:CN35"/>
    <mergeCell ref="CO35:CP35"/>
    <mergeCell ref="CQ35:CR35"/>
    <mergeCell ref="CG36:CH36"/>
    <mergeCell ref="CI36:CJ36"/>
    <mergeCell ref="CK36:CL36"/>
    <mergeCell ref="CM36:CN36"/>
    <mergeCell ref="CO36:CP36"/>
    <mergeCell ref="CQ36:CR36"/>
    <mergeCell ref="CT36:DQ36"/>
    <mergeCell ref="AR37:AS37"/>
    <mergeCell ref="AT37:AU37"/>
    <mergeCell ref="AV37:AX37"/>
    <mergeCell ref="AY37:AZ37"/>
    <mergeCell ref="BA37:BB37"/>
    <mergeCell ref="BC37:BD37"/>
    <mergeCell ref="BE37:BH37"/>
    <mergeCell ref="BI37:BJ37"/>
    <mergeCell ref="BK37:BL37"/>
    <mergeCell ref="BM37:BN37"/>
    <mergeCell ref="BO37:BP37"/>
    <mergeCell ref="BQ37:BR37"/>
    <mergeCell ref="BS37:BT37"/>
    <mergeCell ref="BU37:BV37"/>
    <mergeCell ref="BW37:BX37"/>
    <mergeCell ref="BY37:BZ37"/>
    <mergeCell ref="CA37:CD37"/>
    <mergeCell ref="CE37:CF37"/>
    <mergeCell ref="CG37:CH37"/>
    <mergeCell ref="CI37:CJ37"/>
    <mergeCell ref="CK37:CL37"/>
    <mergeCell ref="CM37:CN37"/>
    <mergeCell ref="CO37:CP37"/>
    <mergeCell ref="CQ37:CR37"/>
    <mergeCell ref="AR36:AS36"/>
    <mergeCell ref="AT38:AU38"/>
    <mergeCell ref="AV38:AX38"/>
    <mergeCell ref="AY38:AZ38"/>
    <mergeCell ref="BA38:BB38"/>
    <mergeCell ref="BC38:BD38"/>
    <mergeCell ref="BE38:BH38"/>
    <mergeCell ref="BI38:BJ38"/>
    <mergeCell ref="BK38:BL38"/>
    <mergeCell ref="BM38:BN38"/>
    <mergeCell ref="BO38:BP38"/>
    <mergeCell ref="BQ38:BR38"/>
    <mergeCell ref="BS38:BT38"/>
    <mergeCell ref="BU38:BV38"/>
    <mergeCell ref="BW38:BX38"/>
    <mergeCell ref="BY38:BZ38"/>
    <mergeCell ref="CA38:CD38"/>
    <mergeCell ref="CE36:CF36"/>
    <mergeCell ref="AT36:AU36"/>
    <mergeCell ref="AV36:AX36"/>
    <mergeCell ref="AY36:AZ36"/>
    <mergeCell ref="BA36:BB36"/>
    <mergeCell ref="BC36:BD36"/>
    <mergeCell ref="BE36:BH36"/>
    <mergeCell ref="BI36:BJ36"/>
    <mergeCell ref="BK36:BL36"/>
    <mergeCell ref="BM36:BN36"/>
    <mergeCell ref="BO36:BP36"/>
    <mergeCell ref="BQ36:BR36"/>
    <mergeCell ref="BS36:BT36"/>
    <mergeCell ref="BU36:BV36"/>
    <mergeCell ref="BW36:BX36"/>
    <mergeCell ref="BY36:BZ36"/>
    <mergeCell ref="CE38:CF38"/>
    <mergeCell ref="CG38:CH38"/>
    <mergeCell ref="CI38:CJ38"/>
    <mergeCell ref="CK38:CL38"/>
    <mergeCell ref="CM38:CN38"/>
    <mergeCell ref="CO38:CP38"/>
    <mergeCell ref="CQ38:CR38"/>
    <mergeCell ref="AR39:AS39"/>
    <mergeCell ref="AT39:AU39"/>
    <mergeCell ref="AV39:AX39"/>
    <mergeCell ref="AY39:AZ39"/>
    <mergeCell ref="BA39:BB39"/>
    <mergeCell ref="BC39:BD39"/>
    <mergeCell ref="BE39:BH39"/>
    <mergeCell ref="BI39:BJ39"/>
    <mergeCell ref="BK39:BL39"/>
    <mergeCell ref="BM39:BN39"/>
    <mergeCell ref="BO39:BP39"/>
    <mergeCell ref="BQ39:BR39"/>
    <mergeCell ref="BS39:BT39"/>
    <mergeCell ref="BU39:BV39"/>
    <mergeCell ref="BW39:BX39"/>
    <mergeCell ref="BY39:BZ39"/>
    <mergeCell ref="CA39:CD39"/>
    <mergeCell ref="CE39:CF39"/>
    <mergeCell ref="CG39:CH39"/>
    <mergeCell ref="CI39:CJ39"/>
    <mergeCell ref="CK39:CL39"/>
    <mergeCell ref="CM39:CN39"/>
    <mergeCell ref="CO39:CP39"/>
    <mergeCell ref="CQ39:CR39"/>
    <mergeCell ref="AR38:AS38"/>
    <mergeCell ref="AR40:AS40"/>
    <mergeCell ref="AT40:AU40"/>
    <mergeCell ref="AV40:AX40"/>
    <mergeCell ref="AY40:AZ40"/>
    <mergeCell ref="BA40:BB40"/>
    <mergeCell ref="BC40:BD40"/>
    <mergeCell ref="BE40:BH40"/>
    <mergeCell ref="BI40:BJ40"/>
    <mergeCell ref="BK40:BL40"/>
    <mergeCell ref="BM40:BN40"/>
    <mergeCell ref="BO40:BP40"/>
    <mergeCell ref="BQ40:BR40"/>
    <mergeCell ref="BS40:BT40"/>
    <mergeCell ref="BU40:BV40"/>
    <mergeCell ref="BW40:BX40"/>
    <mergeCell ref="BY40:BZ40"/>
    <mergeCell ref="CA40:CD40"/>
    <mergeCell ref="CE40:CF40"/>
    <mergeCell ref="CG40:CH40"/>
    <mergeCell ref="CI40:CJ40"/>
    <mergeCell ref="CK40:CL40"/>
    <mergeCell ref="CM40:CN40"/>
    <mergeCell ref="CO40:CP40"/>
    <mergeCell ref="CQ40:CR40"/>
    <mergeCell ref="AR41:AS41"/>
    <mergeCell ref="AT41:AU41"/>
    <mergeCell ref="AV41:AX41"/>
    <mergeCell ref="AY41:AZ41"/>
    <mergeCell ref="BA41:BB41"/>
    <mergeCell ref="BC41:BD41"/>
    <mergeCell ref="BE41:BF41"/>
    <mergeCell ref="BG41:BH41"/>
    <mergeCell ref="BI41:BJ41"/>
    <mergeCell ref="BK41:BL41"/>
    <mergeCell ref="BM41:BN41"/>
    <mergeCell ref="BO41:BP41"/>
    <mergeCell ref="BQ41:BR41"/>
    <mergeCell ref="BS41:BT41"/>
    <mergeCell ref="BU41:BV41"/>
    <mergeCell ref="BW41:BX41"/>
    <mergeCell ref="BY41:BZ41"/>
    <mergeCell ref="CA41:CB41"/>
    <mergeCell ref="CC41:CD41"/>
    <mergeCell ref="CE41:CF41"/>
    <mergeCell ref="CG41:CH41"/>
    <mergeCell ref="CI41:CJ41"/>
    <mergeCell ref="CK41:CL41"/>
    <mergeCell ref="CM41:CN41"/>
    <mergeCell ref="CO41:CP41"/>
    <mergeCell ref="CQ41:CR41"/>
    <mergeCell ref="AR42:AS42"/>
    <mergeCell ref="AT42:AU42"/>
    <mergeCell ref="AV42:AX42"/>
    <mergeCell ref="AY42:AZ42"/>
    <mergeCell ref="BA42:BB42"/>
    <mergeCell ref="BC42:BD42"/>
    <mergeCell ref="BE42:BF42"/>
    <mergeCell ref="BG42:BH42"/>
    <mergeCell ref="BI42:BJ42"/>
    <mergeCell ref="BK42:BL42"/>
    <mergeCell ref="BM42:BN42"/>
    <mergeCell ref="BO42:BP42"/>
    <mergeCell ref="BQ42:BR42"/>
    <mergeCell ref="BS42:BT42"/>
    <mergeCell ref="BU42:BV42"/>
    <mergeCell ref="BW42:BX42"/>
    <mergeCell ref="BY42:BZ42"/>
    <mergeCell ref="CA42:CB42"/>
    <mergeCell ref="CC42:CD42"/>
    <mergeCell ref="CE42:CF42"/>
    <mergeCell ref="CG42:CH42"/>
    <mergeCell ref="CI42:CJ42"/>
    <mergeCell ref="CK42:CL42"/>
    <mergeCell ref="CM42:CN42"/>
    <mergeCell ref="CO42:CP42"/>
    <mergeCell ref="CQ42:CR42"/>
    <mergeCell ref="AR43:AS43"/>
    <mergeCell ref="AT43:AU43"/>
    <mergeCell ref="AV43:AX43"/>
    <mergeCell ref="AY43:AZ43"/>
    <mergeCell ref="BA43:BB43"/>
    <mergeCell ref="BC43:BD43"/>
    <mergeCell ref="BE43:BF43"/>
    <mergeCell ref="BG43:BH43"/>
    <mergeCell ref="BI43:BJ43"/>
    <mergeCell ref="BK43:BL43"/>
    <mergeCell ref="BM43:BN43"/>
    <mergeCell ref="BO43:BP43"/>
    <mergeCell ref="BQ43:BR43"/>
    <mergeCell ref="BS43:BT43"/>
    <mergeCell ref="BU43:BV43"/>
    <mergeCell ref="BW43:BX43"/>
    <mergeCell ref="BY43:BZ43"/>
    <mergeCell ref="CA43:CD43"/>
    <mergeCell ref="CE43:CF43"/>
    <mergeCell ref="CG43:CH43"/>
    <mergeCell ref="CI43:CJ43"/>
    <mergeCell ref="CK43:CL43"/>
    <mergeCell ref="CM43:CN43"/>
    <mergeCell ref="CO43:CP43"/>
    <mergeCell ref="CQ43:CR43"/>
    <mergeCell ref="AR44:AS44"/>
    <mergeCell ref="AT44:AU44"/>
    <mergeCell ref="AV44:AX44"/>
    <mergeCell ref="AY44:AZ44"/>
    <mergeCell ref="BA44:BB44"/>
    <mergeCell ref="BC44:BD44"/>
    <mergeCell ref="BE44:BF44"/>
    <mergeCell ref="BG44:BH44"/>
    <mergeCell ref="BI44:BJ44"/>
    <mergeCell ref="BK44:BL44"/>
    <mergeCell ref="BM44:BN44"/>
    <mergeCell ref="BO44:BP44"/>
    <mergeCell ref="BQ44:BR44"/>
    <mergeCell ref="BS44:BT44"/>
    <mergeCell ref="BU44:BV44"/>
    <mergeCell ref="BW44:BX44"/>
    <mergeCell ref="BY44:BZ44"/>
    <mergeCell ref="CA44:CD44"/>
    <mergeCell ref="CE44:CF44"/>
    <mergeCell ref="CG44:CH44"/>
    <mergeCell ref="CI44:CJ44"/>
    <mergeCell ref="CK44:CL44"/>
    <mergeCell ref="CM44:CN44"/>
    <mergeCell ref="CO44:CP44"/>
    <mergeCell ref="CQ44:CR44"/>
    <mergeCell ref="AR45:AS45"/>
    <mergeCell ref="AT45:AU45"/>
    <mergeCell ref="AV45:AX45"/>
    <mergeCell ref="AY45:AZ45"/>
    <mergeCell ref="BA45:BB45"/>
    <mergeCell ref="BC45:BD45"/>
    <mergeCell ref="BE45:BF45"/>
    <mergeCell ref="BG45:BH45"/>
    <mergeCell ref="BI45:BJ45"/>
    <mergeCell ref="BK45:BL45"/>
    <mergeCell ref="BM45:BN45"/>
    <mergeCell ref="BO45:BP45"/>
    <mergeCell ref="BQ45:BR45"/>
    <mergeCell ref="BS45:BT45"/>
    <mergeCell ref="BU45:BV45"/>
    <mergeCell ref="BW45:BX45"/>
    <mergeCell ref="BY45:BZ45"/>
    <mergeCell ref="CA45:CD45"/>
    <mergeCell ref="CE45:CF45"/>
    <mergeCell ref="CG45:CH45"/>
    <mergeCell ref="CI45:CJ45"/>
    <mergeCell ref="CK45:CL45"/>
    <mergeCell ref="CM45:CN45"/>
    <mergeCell ref="CO45:CP45"/>
    <mergeCell ref="CQ45:CR45"/>
    <mergeCell ref="AR46:AS46"/>
    <mergeCell ref="AT46:AU46"/>
    <mergeCell ref="AV46:AX46"/>
    <mergeCell ref="AY46:AZ46"/>
    <mergeCell ref="BA46:BB46"/>
    <mergeCell ref="BC46:BD46"/>
    <mergeCell ref="BE46:BF46"/>
    <mergeCell ref="BG46:BH46"/>
    <mergeCell ref="BI46:BJ46"/>
    <mergeCell ref="BK46:BL46"/>
    <mergeCell ref="BM46:BN46"/>
    <mergeCell ref="BO46:BP46"/>
    <mergeCell ref="BQ46:BR46"/>
    <mergeCell ref="BS46:BT46"/>
    <mergeCell ref="BU46:BV46"/>
    <mergeCell ref="BW46:BX46"/>
    <mergeCell ref="BY46:BZ46"/>
    <mergeCell ref="CA46:CD46"/>
    <mergeCell ref="CE46:CF46"/>
    <mergeCell ref="CG46:CH46"/>
    <mergeCell ref="CI46:CJ46"/>
    <mergeCell ref="CK46:CL46"/>
    <mergeCell ref="CM46:CN46"/>
    <mergeCell ref="CO46:CP46"/>
    <mergeCell ref="CQ46:CR46"/>
    <mergeCell ref="AR47:AS47"/>
    <mergeCell ref="AT47:AU47"/>
    <mergeCell ref="AV47:AX47"/>
    <mergeCell ref="AY47:AZ47"/>
    <mergeCell ref="BA47:BB47"/>
    <mergeCell ref="BC47:BD47"/>
    <mergeCell ref="BE47:BF47"/>
    <mergeCell ref="BG47:BH47"/>
    <mergeCell ref="BI47:BJ47"/>
    <mergeCell ref="BK47:BL47"/>
    <mergeCell ref="BM47:BN47"/>
    <mergeCell ref="BO47:BP47"/>
    <mergeCell ref="BQ47:BR47"/>
    <mergeCell ref="BS47:BT47"/>
    <mergeCell ref="BU47:BV47"/>
    <mergeCell ref="BW47:BX47"/>
    <mergeCell ref="BY47:BZ47"/>
    <mergeCell ref="CA47:CB47"/>
    <mergeCell ref="CC47:CD47"/>
    <mergeCell ref="CE47:CF47"/>
    <mergeCell ref="CG47:CH47"/>
    <mergeCell ref="CI47:CJ47"/>
    <mergeCell ref="CK47:CL47"/>
    <mergeCell ref="CM47:CN47"/>
    <mergeCell ref="CO47:CP47"/>
    <mergeCell ref="CQ47:CR47"/>
    <mergeCell ref="CT47:DQ47"/>
    <mergeCell ref="AR48:AS48"/>
    <mergeCell ref="AT48:AU48"/>
    <mergeCell ref="AV48:AX48"/>
    <mergeCell ref="AY48:AZ48"/>
    <mergeCell ref="BA48:BB48"/>
    <mergeCell ref="BC48:BD48"/>
    <mergeCell ref="BE48:BF48"/>
    <mergeCell ref="BG48:BH48"/>
    <mergeCell ref="BI48:BJ48"/>
    <mergeCell ref="BK48:BL48"/>
    <mergeCell ref="BM48:BN48"/>
    <mergeCell ref="BO48:BP48"/>
    <mergeCell ref="BQ48:BR48"/>
    <mergeCell ref="BS48:BT48"/>
    <mergeCell ref="BU48:BV48"/>
    <mergeCell ref="BW48:BX48"/>
    <mergeCell ref="BY48:BZ48"/>
    <mergeCell ref="CA48:CB48"/>
    <mergeCell ref="CC48:CD48"/>
    <mergeCell ref="CE48:CF48"/>
    <mergeCell ref="CG48:CH48"/>
    <mergeCell ref="CI48:CJ48"/>
    <mergeCell ref="CK48:CL48"/>
    <mergeCell ref="CM48:CN48"/>
    <mergeCell ref="CO48:CP48"/>
    <mergeCell ref="CQ48:CR48"/>
    <mergeCell ref="CT48:CX48"/>
    <mergeCell ref="CY48:DD48"/>
    <mergeCell ref="DE48:DJ48"/>
    <mergeCell ref="DK48:DQ48"/>
    <mergeCell ref="AR49:AS49"/>
    <mergeCell ref="AT49:AU49"/>
    <mergeCell ref="AV49:AX49"/>
    <mergeCell ref="AY49:AZ49"/>
    <mergeCell ref="BA49:BB49"/>
    <mergeCell ref="BC49:BD49"/>
    <mergeCell ref="BE49:BF49"/>
    <mergeCell ref="BG49:BH49"/>
    <mergeCell ref="BI49:BJ49"/>
    <mergeCell ref="BK49:BL49"/>
    <mergeCell ref="BM49:BN49"/>
    <mergeCell ref="BO49:BP49"/>
    <mergeCell ref="BQ49:BR49"/>
    <mergeCell ref="BS49:BT49"/>
    <mergeCell ref="BU49:BV49"/>
    <mergeCell ref="BW49:BX49"/>
    <mergeCell ref="BY49:BZ49"/>
    <mergeCell ref="CA49:CD49"/>
    <mergeCell ref="CE49:CF49"/>
    <mergeCell ref="CG49:CH49"/>
    <mergeCell ref="CI49:CJ49"/>
    <mergeCell ref="CK49:CL49"/>
    <mergeCell ref="CM49:CN49"/>
    <mergeCell ref="CO49:CP49"/>
    <mergeCell ref="CQ49:CR49"/>
    <mergeCell ref="CY49:DD49"/>
    <mergeCell ref="DE49:DJ49"/>
    <mergeCell ref="DK49:DQ49"/>
    <mergeCell ref="AR50:AS50"/>
    <mergeCell ref="AT50:AU50"/>
    <mergeCell ref="AV50:AX50"/>
    <mergeCell ref="AY50:AZ50"/>
    <mergeCell ref="BA50:BB50"/>
    <mergeCell ref="BC50:BD50"/>
    <mergeCell ref="BE50:BF50"/>
    <mergeCell ref="BG50:BH50"/>
    <mergeCell ref="BI50:BJ50"/>
    <mergeCell ref="BK50:BL50"/>
    <mergeCell ref="BM50:BN50"/>
    <mergeCell ref="BO50:BP50"/>
    <mergeCell ref="BQ50:BR50"/>
    <mergeCell ref="BS50:BT50"/>
    <mergeCell ref="BU50:BV50"/>
    <mergeCell ref="BW50:BX50"/>
    <mergeCell ref="BY50:BZ50"/>
    <mergeCell ref="CA50:CD50"/>
    <mergeCell ref="CE50:CF50"/>
    <mergeCell ref="CG50:CH50"/>
    <mergeCell ref="CI50:CJ50"/>
    <mergeCell ref="CK50:CL50"/>
    <mergeCell ref="CM50:CN50"/>
    <mergeCell ref="CO50:CP50"/>
    <mergeCell ref="CQ50:CR50"/>
    <mergeCell ref="CY50:DD50"/>
    <mergeCell ref="DE50:DJ50"/>
    <mergeCell ref="DK50:DQ50"/>
    <mergeCell ref="AR51:AS51"/>
    <mergeCell ref="AT51:AU51"/>
    <mergeCell ref="AV51:AX51"/>
    <mergeCell ref="AY51:AZ51"/>
    <mergeCell ref="BA51:BB51"/>
    <mergeCell ref="BC51:BD51"/>
    <mergeCell ref="BE51:BF51"/>
    <mergeCell ref="BG51:BH51"/>
    <mergeCell ref="BI51:BJ51"/>
    <mergeCell ref="BK51:BL51"/>
    <mergeCell ref="BM51:BN51"/>
    <mergeCell ref="BO51:BP51"/>
    <mergeCell ref="BQ51:BR51"/>
    <mergeCell ref="BS51:BT51"/>
    <mergeCell ref="BU51:BV51"/>
    <mergeCell ref="BW51:BX51"/>
    <mergeCell ref="BY51:BZ51"/>
    <mergeCell ref="CA51:CD51"/>
    <mergeCell ref="CE51:CF51"/>
    <mergeCell ref="CG51:CH51"/>
    <mergeCell ref="CI51:CJ51"/>
    <mergeCell ref="CK51:CL51"/>
    <mergeCell ref="CM51:CN51"/>
    <mergeCell ref="CO51:CP51"/>
    <mergeCell ref="CQ51:CR51"/>
    <mergeCell ref="CY51:DD51"/>
    <mergeCell ref="DE51:DJ51"/>
    <mergeCell ref="DK51:DQ51"/>
    <mergeCell ref="AR52:AS52"/>
    <mergeCell ref="AT52:AU52"/>
    <mergeCell ref="AV52:AX52"/>
    <mergeCell ref="AY52:AZ52"/>
    <mergeCell ref="BA52:BB52"/>
    <mergeCell ref="BC52:BD52"/>
    <mergeCell ref="BE52:BF52"/>
    <mergeCell ref="BG52:BH52"/>
    <mergeCell ref="BI52:BJ52"/>
    <mergeCell ref="BK52:BL52"/>
    <mergeCell ref="BM52:BN52"/>
    <mergeCell ref="BO52:BP52"/>
    <mergeCell ref="BQ52:BR52"/>
    <mergeCell ref="BS52:BT52"/>
    <mergeCell ref="BU52:BV52"/>
    <mergeCell ref="BW52:BX52"/>
    <mergeCell ref="BY52:BZ52"/>
    <mergeCell ref="CA52:CD52"/>
    <mergeCell ref="CE52:CF52"/>
    <mergeCell ref="CG52:CH52"/>
    <mergeCell ref="CI52:CJ52"/>
    <mergeCell ref="CK52:CL52"/>
    <mergeCell ref="CM52:CN52"/>
    <mergeCell ref="CO52:CP52"/>
    <mergeCell ref="CQ52:CR52"/>
    <mergeCell ref="CT52:DQ52"/>
    <mergeCell ref="AR53:AS53"/>
    <mergeCell ref="AT53:AU53"/>
    <mergeCell ref="AV53:AX53"/>
    <mergeCell ref="AY53:AZ53"/>
    <mergeCell ref="BA53:BB53"/>
    <mergeCell ref="BC53:BD53"/>
    <mergeCell ref="BE53:BF53"/>
    <mergeCell ref="BG53:BH53"/>
    <mergeCell ref="BI53:BJ53"/>
    <mergeCell ref="BK53:BL53"/>
    <mergeCell ref="BM53:BN53"/>
    <mergeCell ref="BO53:BP53"/>
    <mergeCell ref="BQ53:BR53"/>
    <mergeCell ref="BS53:BT53"/>
    <mergeCell ref="BU53:BV53"/>
    <mergeCell ref="BW53:BX53"/>
    <mergeCell ref="BY53:BZ53"/>
    <mergeCell ref="CA53:CD53"/>
    <mergeCell ref="CE53:CF53"/>
    <mergeCell ref="CG53:CH53"/>
    <mergeCell ref="CI53:CJ53"/>
    <mergeCell ref="CK53:CL53"/>
    <mergeCell ref="CM53:CN53"/>
    <mergeCell ref="CO53:CP53"/>
    <mergeCell ref="CQ53:CR53"/>
    <mergeCell ref="AR54:AS54"/>
    <mergeCell ref="AT54:AU54"/>
    <mergeCell ref="AV54:AX54"/>
    <mergeCell ref="AY54:AZ54"/>
    <mergeCell ref="BA54:BB54"/>
    <mergeCell ref="BC54:BD54"/>
    <mergeCell ref="BE54:BF54"/>
    <mergeCell ref="BG54:BH54"/>
    <mergeCell ref="BI54:BJ54"/>
    <mergeCell ref="BK54:BL54"/>
    <mergeCell ref="BM54:BN54"/>
    <mergeCell ref="BO54:BP54"/>
    <mergeCell ref="BQ54:BR54"/>
    <mergeCell ref="BS54:BT54"/>
    <mergeCell ref="BU54:BV54"/>
    <mergeCell ref="BW54:BX54"/>
    <mergeCell ref="BY54:BZ54"/>
    <mergeCell ref="CA54:CD54"/>
    <mergeCell ref="CE54:CF54"/>
    <mergeCell ref="CG54:CH54"/>
    <mergeCell ref="CI54:CJ54"/>
    <mergeCell ref="CK54:CL54"/>
    <mergeCell ref="CM54:CN54"/>
    <mergeCell ref="CO54:CP54"/>
    <mergeCell ref="CQ54:CR54"/>
    <mergeCell ref="AR55:AS55"/>
    <mergeCell ref="AT55:AU55"/>
    <mergeCell ref="AV55:AX55"/>
    <mergeCell ref="AY55:AZ55"/>
    <mergeCell ref="BA55:BB55"/>
    <mergeCell ref="BC55:BD55"/>
    <mergeCell ref="BE55:BF55"/>
    <mergeCell ref="BG55:BH55"/>
    <mergeCell ref="BI55:BJ55"/>
    <mergeCell ref="BK55:BL55"/>
    <mergeCell ref="BM55:BN55"/>
    <mergeCell ref="BO55:BP55"/>
    <mergeCell ref="BQ55:BR55"/>
    <mergeCell ref="BS55:BT55"/>
    <mergeCell ref="BU55:BV55"/>
    <mergeCell ref="BW55:BX55"/>
    <mergeCell ref="BY55:BZ55"/>
    <mergeCell ref="CA55:CC55"/>
    <mergeCell ref="CE55:CF55"/>
    <mergeCell ref="CG55:CH55"/>
    <mergeCell ref="CI55:CJ55"/>
    <mergeCell ref="CK55:CL55"/>
    <mergeCell ref="CM55:CN55"/>
    <mergeCell ref="CO55:CP55"/>
    <mergeCell ref="CQ55:CR55"/>
    <mergeCell ref="AR56:AS56"/>
    <mergeCell ref="AT56:AU56"/>
    <mergeCell ref="AV56:AX56"/>
    <mergeCell ref="AY56:AZ56"/>
    <mergeCell ref="BA56:BB56"/>
    <mergeCell ref="BC56:BD56"/>
    <mergeCell ref="BE56:BF56"/>
    <mergeCell ref="BG56:BH56"/>
    <mergeCell ref="BI56:BJ56"/>
    <mergeCell ref="BK56:BL56"/>
    <mergeCell ref="BM56:BN56"/>
    <mergeCell ref="BO56:BP56"/>
    <mergeCell ref="BQ56:BR56"/>
    <mergeCell ref="BS56:BT56"/>
    <mergeCell ref="BU56:BV56"/>
    <mergeCell ref="BW56:BX56"/>
    <mergeCell ref="BY56:BZ56"/>
    <mergeCell ref="CA56:CC56"/>
    <mergeCell ref="CE56:CF56"/>
    <mergeCell ref="CG56:CH56"/>
    <mergeCell ref="CI56:CJ56"/>
    <mergeCell ref="CK56:CL56"/>
    <mergeCell ref="CM56:CN56"/>
    <mergeCell ref="CO56:CP56"/>
    <mergeCell ref="CQ56:CR56"/>
    <mergeCell ref="AR57:AS57"/>
    <mergeCell ref="AT57:AU57"/>
    <mergeCell ref="AV57:AX57"/>
    <mergeCell ref="AY57:AZ57"/>
    <mergeCell ref="BA57:BB57"/>
    <mergeCell ref="BC57:BD57"/>
    <mergeCell ref="BE57:BF57"/>
    <mergeCell ref="BG57:BH57"/>
    <mergeCell ref="BI57:BJ57"/>
    <mergeCell ref="BK57:BL57"/>
    <mergeCell ref="BM57:BN57"/>
    <mergeCell ref="BO57:BP57"/>
    <mergeCell ref="BQ57:BR57"/>
    <mergeCell ref="BS57:BT57"/>
    <mergeCell ref="BU57:BV57"/>
    <mergeCell ref="BW57:BX57"/>
    <mergeCell ref="BY57:BZ57"/>
    <mergeCell ref="CA57:CD57"/>
    <mergeCell ref="CE57:CF57"/>
    <mergeCell ref="CG57:CH57"/>
    <mergeCell ref="CI57:CJ57"/>
    <mergeCell ref="CK57:CL57"/>
    <mergeCell ref="CM57:CN57"/>
    <mergeCell ref="CO57:CP57"/>
    <mergeCell ref="CQ57:CR57"/>
    <mergeCell ref="AR58:AS58"/>
    <mergeCell ref="AT58:AU58"/>
    <mergeCell ref="AV58:AX58"/>
    <mergeCell ref="AY58:AZ58"/>
    <mergeCell ref="BA58:BB58"/>
    <mergeCell ref="BC58:BD58"/>
    <mergeCell ref="BE58:BH58"/>
    <mergeCell ref="BI58:BJ58"/>
    <mergeCell ref="BK58:BL58"/>
    <mergeCell ref="BM58:BN58"/>
    <mergeCell ref="BO58:BP58"/>
    <mergeCell ref="BQ58:BR58"/>
    <mergeCell ref="BS58:BT58"/>
    <mergeCell ref="BU58:BV58"/>
    <mergeCell ref="BW58:BX58"/>
    <mergeCell ref="BY58:BZ58"/>
    <mergeCell ref="CA58:CD58"/>
    <mergeCell ref="CE58:CF58"/>
    <mergeCell ref="CG58:CH58"/>
    <mergeCell ref="CI58:CJ58"/>
    <mergeCell ref="CK58:CL58"/>
    <mergeCell ref="CM58:CN58"/>
    <mergeCell ref="CO58:CP58"/>
    <mergeCell ref="CQ58:CR58"/>
    <mergeCell ref="AR59:AS59"/>
    <mergeCell ref="AT59:AU59"/>
    <mergeCell ref="AV59:AX59"/>
    <mergeCell ref="AY59:AZ59"/>
    <mergeCell ref="BA59:BB59"/>
    <mergeCell ref="BC59:BD59"/>
    <mergeCell ref="BE59:BF59"/>
    <mergeCell ref="BG59:BH59"/>
    <mergeCell ref="BI59:BJ59"/>
    <mergeCell ref="BK59:BL59"/>
    <mergeCell ref="BM59:BN59"/>
    <mergeCell ref="BO59:BP59"/>
    <mergeCell ref="BQ59:BR59"/>
    <mergeCell ref="BS59:BT59"/>
    <mergeCell ref="BU59:BV59"/>
    <mergeCell ref="BW59:BX59"/>
    <mergeCell ref="BY59:BZ59"/>
    <mergeCell ref="AR60:AS60"/>
    <mergeCell ref="AT60:AU60"/>
    <mergeCell ref="AV60:AX60"/>
    <mergeCell ref="AY60:AZ60"/>
    <mergeCell ref="BA60:BB60"/>
    <mergeCell ref="BC60:BD60"/>
    <mergeCell ref="BE60:BF60"/>
    <mergeCell ref="BG60:BH60"/>
    <mergeCell ref="BI60:BJ60"/>
    <mergeCell ref="BK60:BL60"/>
    <mergeCell ref="BM60:BN60"/>
    <mergeCell ref="BO60:BP60"/>
    <mergeCell ref="BQ60:BR60"/>
    <mergeCell ref="BS60:BT60"/>
    <mergeCell ref="BU60:BV60"/>
    <mergeCell ref="BW60:BX60"/>
    <mergeCell ref="BY60:BZ60"/>
    <mergeCell ref="CA61:CB61"/>
    <mergeCell ref="CC61:CD61"/>
    <mergeCell ref="CE61:CF61"/>
    <mergeCell ref="CG61:CH61"/>
    <mergeCell ref="CI61:CJ61"/>
    <mergeCell ref="CK61:CL61"/>
    <mergeCell ref="CM61:CN61"/>
    <mergeCell ref="CO61:CP61"/>
    <mergeCell ref="CQ61:CR61"/>
    <mergeCell ref="CA59:CB59"/>
    <mergeCell ref="CC59:CD59"/>
    <mergeCell ref="CE59:CF59"/>
    <mergeCell ref="CG59:CH59"/>
    <mergeCell ref="CI59:CJ59"/>
    <mergeCell ref="CK59:CL59"/>
    <mergeCell ref="CM59:CN59"/>
    <mergeCell ref="CO59:CP59"/>
    <mergeCell ref="CQ59:CR59"/>
    <mergeCell ref="CA60:CB60"/>
    <mergeCell ref="CC60:CD60"/>
    <mergeCell ref="CE60:CF60"/>
    <mergeCell ref="CG60:CH60"/>
    <mergeCell ref="CI60:CJ60"/>
    <mergeCell ref="CK60:CL60"/>
    <mergeCell ref="BC62:BD62"/>
    <mergeCell ref="BE62:BF62"/>
    <mergeCell ref="BG62:BH62"/>
    <mergeCell ref="BI62:BJ62"/>
    <mergeCell ref="BK62:BL62"/>
    <mergeCell ref="BM62:BN62"/>
    <mergeCell ref="BO62:BP62"/>
    <mergeCell ref="BQ62:BR62"/>
    <mergeCell ref="BS62:BT62"/>
    <mergeCell ref="BU62:BV62"/>
    <mergeCell ref="BW62:BX62"/>
    <mergeCell ref="BY62:BZ62"/>
    <mergeCell ref="CM60:CN60"/>
    <mergeCell ref="CO60:CP60"/>
    <mergeCell ref="CQ60:CR60"/>
    <mergeCell ref="AR61:AS61"/>
    <mergeCell ref="AT61:AU61"/>
    <mergeCell ref="AV61:AX61"/>
    <mergeCell ref="AY61:AZ61"/>
    <mergeCell ref="BA61:BB61"/>
    <mergeCell ref="BC61:BD61"/>
    <mergeCell ref="BE61:BF61"/>
    <mergeCell ref="BG61:BH61"/>
    <mergeCell ref="BI61:BJ61"/>
    <mergeCell ref="BK61:BL61"/>
    <mergeCell ref="BM61:BN61"/>
    <mergeCell ref="BO61:BP61"/>
    <mergeCell ref="BQ61:BR61"/>
    <mergeCell ref="BS61:BT61"/>
    <mergeCell ref="BU61:BV61"/>
    <mergeCell ref="BW61:BX61"/>
    <mergeCell ref="BY61:BZ61"/>
    <mergeCell ref="CK62:CL62"/>
    <mergeCell ref="CM62:CN62"/>
    <mergeCell ref="CO62:CP62"/>
    <mergeCell ref="CQ62:CR62"/>
    <mergeCell ref="AR63:AS63"/>
    <mergeCell ref="AT63:AU63"/>
    <mergeCell ref="AV63:AX63"/>
    <mergeCell ref="AY63:AZ63"/>
    <mergeCell ref="BA63:BB63"/>
    <mergeCell ref="BC63:BD63"/>
    <mergeCell ref="BE63:BF63"/>
    <mergeCell ref="BG63:BH63"/>
    <mergeCell ref="BI63:BJ63"/>
    <mergeCell ref="BK63:BL63"/>
    <mergeCell ref="BM63:BN63"/>
    <mergeCell ref="BO63:BP63"/>
    <mergeCell ref="BQ63:BR63"/>
    <mergeCell ref="BS63:BT63"/>
    <mergeCell ref="BU63:BV63"/>
    <mergeCell ref="BW63:BX63"/>
    <mergeCell ref="BY63:BZ63"/>
    <mergeCell ref="CA63:CB63"/>
    <mergeCell ref="CC63:CD63"/>
    <mergeCell ref="CE63:CF63"/>
    <mergeCell ref="CG63:CH63"/>
    <mergeCell ref="CI63:CJ63"/>
    <mergeCell ref="CK63:CL63"/>
    <mergeCell ref="AR62:AS62"/>
    <mergeCell ref="AT62:AU62"/>
    <mergeCell ref="AV62:AX62"/>
    <mergeCell ref="AY62:AZ62"/>
    <mergeCell ref="BA62:BB62"/>
    <mergeCell ref="AR64:AS64"/>
    <mergeCell ref="AT64:AU64"/>
    <mergeCell ref="AV64:AX64"/>
    <mergeCell ref="AY64:AZ64"/>
    <mergeCell ref="BA64:BB64"/>
    <mergeCell ref="BC64:BD64"/>
    <mergeCell ref="BE64:BF64"/>
    <mergeCell ref="BG64:BH64"/>
    <mergeCell ref="BI64:BJ64"/>
    <mergeCell ref="BK64:BL64"/>
    <mergeCell ref="BM64:BN64"/>
    <mergeCell ref="BO64:BP64"/>
    <mergeCell ref="BQ64:BR64"/>
    <mergeCell ref="BS64:BT64"/>
    <mergeCell ref="BU64:BV64"/>
    <mergeCell ref="BW64:BX64"/>
    <mergeCell ref="BY64:BZ64"/>
    <mergeCell ref="AR65:AS65"/>
    <mergeCell ref="AT65:AU65"/>
    <mergeCell ref="AV65:AX65"/>
    <mergeCell ref="AY65:AZ65"/>
    <mergeCell ref="BA65:BG65"/>
    <mergeCell ref="BI65:CR65"/>
    <mergeCell ref="AR66:AS66"/>
    <mergeCell ref="AT66:AU66"/>
    <mergeCell ref="AV66:AX66"/>
    <mergeCell ref="AY66:AZ66"/>
    <mergeCell ref="BA66:CL66"/>
    <mergeCell ref="CN66:CR66"/>
    <mergeCell ref="AR67:AS67"/>
    <mergeCell ref="AT67:AU67"/>
    <mergeCell ref="AV67:AX67"/>
    <mergeCell ref="AY67:AZ67"/>
    <mergeCell ref="BA67:BE67"/>
    <mergeCell ref="BF67:BJ67"/>
    <mergeCell ref="BK67:BN67"/>
    <mergeCell ref="BO67:BT67"/>
    <mergeCell ref="BU67:BX67"/>
    <mergeCell ref="BY67:BZ67"/>
    <mergeCell ref="CA67:CB67"/>
    <mergeCell ref="CC67:CD67"/>
    <mergeCell ref="CE67:CG67"/>
    <mergeCell ref="CH67:CI67"/>
    <mergeCell ref="CJ67:CL67"/>
    <mergeCell ref="AR68:AS68"/>
    <mergeCell ref="AT68:AU68"/>
    <mergeCell ref="AV68:AX68"/>
    <mergeCell ref="AY68:AZ68"/>
    <mergeCell ref="BA68:BE68"/>
    <mergeCell ref="BF68:BJ68"/>
    <mergeCell ref="BK68:BN68"/>
    <mergeCell ref="BO68:BP68"/>
    <mergeCell ref="BQ68:BR68"/>
    <mergeCell ref="BS68:BT68"/>
    <mergeCell ref="BU68:BX68"/>
    <mergeCell ref="BY68:BZ68"/>
    <mergeCell ref="CA68:CB68"/>
    <mergeCell ref="CC68:CD68"/>
    <mergeCell ref="CE68:CG68"/>
    <mergeCell ref="CH68:CI68"/>
    <mergeCell ref="CJ68:CL68"/>
    <mergeCell ref="AR69:AS69"/>
    <mergeCell ref="AT69:AU69"/>
    <mergeCell ref="AV69:AX69"/>
    <mergeCell ref="AY69:AZ69"/>
    <mergeCell ref="BA69:BE69"/>
    <mergeCell ref="BF69:BJ69"/>
    <mergeCell ref="BK69:BN69"/>
    <mergeCell ref="BO69:BP69"/>
    <mergeCell ref="BQ69:BR69"/>
    <mergeCell ref="BS69:BT69"/>
    <mergeCell ref="BU69:BX69"/>
    <mergeCell ref="BY69:BZ69"/>
    <mergeCell ref="CA69:CB69"/>
    <mergeCell ref="CC69:CD69"/>
    <mergeCell ref="CE69:CG69"/>
    <mergeCell ref="CH69:CI69"/>
    <mergeCell ref="CJ69:CL69"/>
    <mergeCell ref="AR70:AS70"/>
    <mergeCell ref="AT70:AU70"/>
    <mergeCell ref="AV70:AX70"/>
    <mergeCell ref="AY70:AZ70"/>
    <mergeCell ref="BA70:BE70"/>
    <mergeCell ref="BF70:BJ70"/>
    <mergeCell ref="BK70:BN70"/>
    <mergeCell ref="BO70:BP70"/>
    <mergeCell ref="BQ70:BR70"/>
    <mergeCell ref="BS70:BT70"/>
    <mergeCell ref="BU70:BX70"/>
    <mergeCell ref="BY70:BZ70"/>
    <mergeCell ref="CA70:CB70"/>
    <mergeCell ref="CC70:CD70"/>
    <mergeCell ref="CE70:CG70"/>
    <mergeCell ref="CH70:CI70"/>
    <mergeCell ref="CJ70:CL70"/>
    <mergeCell ref="AR71:AS71"/>
    <mergeCell ref="AT71:AU71"/>
    <mergeCell ref="AV71:AX71"/>
    <mergeCell ref="AY71:AZ71"/>
    <mergeCell ref="BA71:BE71"/>
    <mergeCell ref="BF71:BJ71"/>
    <mergeCell ref="BK71:BN71"/>
    <mergeCell ref="BO71:BP71"/>
    <mergeCell ref="BQ71:BR71"/>
    <mergeCell ref="BS71:BT71"/>
    <mergeCell ref="BU71:BX71"/>
    <mergeCell ref="BY71:BZ71"/>
    <mergeCell ref="CA71:CB71"/>
    <mergeCell ref="CC71:CD71"/>
    <mergeCell ref="CE71:CG71"/>
    <mergeCell ref="CH71:CI71"/>
    <mergeCell ref="CJ71:CL71"/>
    <mergeCell ref="AR72:AS72"/>
    <mergeCell ref="AT72:AU72"/>
    <mergeCell ref="AV72:AX72"/>
    <mergeCell ref="AY72:AZ72"/>
    <mergeCell ref="BA72:BE72"/>
    <mergeCell ref="BF72:BJ72"/>
    <mergeCell ref="BK72:BN72"/>
    <mergeCell ref="BO72:BP72"/>
    <mergeCell ref="BQ72:BR72"/>
    <mergeCell ref="BS72:BT72"/>
    <mergeCell ref="BU72:BX72"/>
    <mergeCell ref="BY72:BZ72"/>
    <mergeCell ref="CA72:CB72"/>
    <mergeCell ref="CC72:CD72"/>
    <mergeCell ref="CE72:CG72"/>
    <mergeCell ref="CH72:CI72"/>
    <mergeCell ref="CJ72:CL72"/>
    <mergeCell ref="AR73:AS73"/>
    <mergeCell ref="AT73:AU73"/>
    <mergeCell ref="AV73:AX73"/>
    <mergeCell ref="AY73:AZ73"/>
    <mergeCell ref="BA73:BE73"/>
    <mergeCell ref="BF73:BJ73"/>
    <mergeCell ref="BK73:BN73"/>
    <mergeCell ref="BO73:BP73"/>
    <mergeCell ref="BQ73:BR73"/>
    <mergeCell ref="BS73:BT73"/>
    <mergeCell ref="BU73:BX73"/>
    <mergeCell ref="BY73:BZ73"/>
    <mergeCell ref="CA73:CB73"/>
    <mergeCell ref="CC73:CD73"/>
    <mergeCell ref="CE73:CG73"/>
    <mergeCell ref="CH73:CI73"/>
    <mergeCell ref="CJ73:CL73"/>
    <mergeCell ref="AR74:AS74"/>
    <mergeCell ref="AT74:AU74"/>
    <mergeCell ref="AV74:AX74"/>
    <mergeCell ref="AY74:AZ74"/>
    <mergeCell ref="BA74:BT74"/>
    <mergeCell ref="BV74:CR74"/>
    <mergeCell ref="AR75:AS75"/>
    <mergeCell ref="AT75:AU75"/>
    <mergeCell ref="AV75:AX75"/>
    <mergeCell ref="AY75:AZ75"/>
    <mergeCell ref="BA75:BT75"/>
    <mergeCell ref="BV75:CB75"/>
    <mergeCell ref="CC75:CP75"/>
    <mergeCell ref="CQ75:CR75"/>
    <mergeCell ref="AR76:AS76"/>
    <mergeCell ref="AT76:AU76"/>
    <mergeCell ref="AV76:AX76"/>
    <mergeCell ref="AY76:AZ76"/>
    <mergeCell ref="BA76:BD76"/>
    <mergeCell ref="BE76:BG76"/>
    <mergeCell ref="BH76:BJ76"/>
    <mergeCell ref="BK76:BM76"/>
    <mergeCell ref="BN76:BQ76"/>
    <mergeCell ref="BR76:BT76"/>
    <mergeCell ref="BY76:BZ76"/>
    <mergeCell ref="CA76:CB76"/>
    <mergeCell ref="CC76:CP76"/>
    <mergeCell ref="AR77:AS77"/>
    <mergeCell ref="AT77:AU77"/>
    <mergeCell ref="AV77:AX77"/>
    <mergeCell ref="AY77:AZ77"/>
    <mergeCell ref="BA77:BD77"/>
    <mergeCell ref="BE77:BG77"/>
    <mergeCell ref="BH77:BJ77"/>
    <mergeCell ref="BK77:BM77"/>
    <mergeCell ref="BN77:BQ77"/>
    <mergeCell ref="BR77:BT77"/>
    <mergeCell ref="BY77:BZ77"/>
    <mergeCell ref="CA77:CB77"/>
    <mergeCell ref="CC77:CP77"/>
    <mergeCell ref="AR78:AS78"/>
    <mergeCell ref="AT78:AU78"/>
    <mergeCell ref="AV78:AX78"/>
    <mergeCell ref="AY78:AZ78"/>
    <mergeCell ref="BY78:BZ78"/>
    <mergeCell ref="CA78:CB78"/>
    <mergeCell ref="CC78:CP78"/>
    <mergeCell ref="AR79:AS79"/>
    <mergeCell ref="AT79:AU79"/>
    <mergeCell ref="AV79:AX79"/>
    <mergeCell ref="AY79:AZ79"/>
    <mergeCell ref="BY79:BZ79"/>
    <mergeCell ref="CA79:CB79"/>
    <mergeCell ref="CC79:CP79"/>
    <mergeCell ref="AR80:AS80"/>
    <mergeCell ref="AT80:AU80"/>
    <mergeCell ref="AV80:AX80"/>
    <mergeCell ref="AY80:AZ80"/>
    <mergeCell ref="BY80:BZ80"/>
    <mergeCell ref="CA80:CB80"/>
    <mergeCell ref="CC80:CP80"/>
    <mergeCell ref="AR81:AS81"/>
    <mergeCell ref="AT81:AU81"/>
    <mergeCell ref="AV81:AX81"/>
    <mergeCell ref="AY81:AZ81"/>
    <mergeCell ref="BY81:BZ81"/>
    <mergeCell ref="CA81:CB81"/>
    <mergeCell ref="CC81:CP81"/>
    <mergeCell ref="AR82:AS82"/>
    <mergeCell ref="AT82:AU82"/>
    <mergeCell ref="AV82:AX82"/>
    <mergeCell ref="AY82:AZ82"/>
    <mergeCell ref="BY82:BZ82"/>
    <mergeCell ref="CA82:CB82"/>
    <mergeCell ref="CC82:CP82"/>
    <mergeCell ref="AR83:AS83"/>
    <mergeCell ref="AT83:AU83"/>
    <mergeCell ref="AV83:AX83"/>
    <mergeCell ref="AY83:AZ83"/>
    <mergeCell ref="BA83:BG83"/>
    <mergeCell ref="BH83:BM83"/>
    <mergeCell ref="BN83:BT83"/>
    <mergeCell ref="BY83:BZ83"/>
    <mergeCell ref="CA83:CB83"/>
    <mergeCell ref="CC83:CP83"/>
    <mergeCell ref="BV82:BX83"/>
    <mergeCell ref="AR84:AS84"/>
    <mergeCell ref="AT84:AU84"/>
    <mergeCell ref="AV84:AX84"/>
    <mergeCell ref="AY84:AZ84"/>
    <mergeCell ref="BA84:BO84"/>
    <mergeCell ref="BP84:BT84"/>
    <mergeCell ref="BY84:BZ84"/>
    <mergeCell ref="CA84:CB84"/>
    <mergeCell ref="CC84:CP84"/>
    <mergeCell ref="AR85:AS85"/>
    <mergeCell ref="AT85:AU85"/>
    <mergeCell ref="AV85:AX85"/>
    <mergeCell ref="AY85:AZ85"/>
    <mergeCell ref="BA85:BJ85"/>
    <mergeCell ref="BK85:BR85"/>
    <mergeCell ref="BS85:BT85"/>
    <mergeCell ref="BY85:BZ85"/>
    <mergeCell ref="CA85:CB85"/>
    <mergeCell ref="CC85:CP85"/>
    <mergeCell ref="BV84:BX85"/>
    <mergeCell ref="AR86:AS86"/>
    <mergeCell ref="AT86:AU86"/>
    <mergeCell ref="AV86:AX86"/>
    <mergeCell ref="AY86:AZ86"/>
    <mergeCell ref="BA86:BJ86"/>
    <mergeCell ref="BK86:BR86"/>
    <mergeCell ref="BS86:BT86"/>
    <mergeCell ref="BY86:BZ86"/>
    <mergeCell ref="CA86:CB86"/>
    <mergeCell ref="CC86:CP86"/>
    <mergeCell ref="AR87:AS87"/>
    <mergeCell ref="AT87:AU87"/>
    <mergeCell ref="AV87:AX87"/>
    <mergeCell ref="AY87:AZ87"/>
    <mergeCell ref="BA87:BJ87"/>
    <mergeCell ref="BK87:BR87"/>
    <mergeCell ref="BS87:BT87"/>
    <mergeCell ref="BY87:BZ87"/>
    <mergeCell ref="CA87:CB87"/>
    <mergeCell ref="CC87:CP87"/>
    <mergeCell ref="BV86:BX87"/>
    <mergeCell ref="AR88:AS88"/>
    <mergeCell ref="AT88:AU88"/>
    <mergeCell ref="AV88:AX88"/>
    <mergeCell ref="AY88:AZ88"/>
    <mergeCell ref="BA88:BJ88"/>
    <mergeCell ref="BK88:BR88"/>
    <mergeCell ref="BS88:BT88"/>
    <mergeCell ref="CA88:CB88"/>
    <mergeCell ref="CC88:CP88"/>
    <mergeCell ref="AR89:AS89"/>
    <mergeCell ref="AT89:AU89"/>
    <mergeCell ref="AV89:AX89"/>
    <mergeCell ref="AY89:AZ89"/>
    <mergeCell ref="BA89:BJ89"/>
    <mergeCell ref="BK89:BR89"/>
    <mergeCell ref="BS89:BT89"/>
    <mergeCell ref="CA89:CB89"/>
    <mergeCell ref="CC89:CP89"/>
    <mergeCell ref="AR90:AS90"/>
    <mergeCell ref="AT90:AU90"/>
    <mergeCell ref="AV90:AX90"/>
    <mergeCell ref="AY90:AZ90"/>
    <mergeCell ref="BA90:BJ90"/>
    <mergeCell ref="BK90:BO90"/>
    <mergeCell ref="BP90:BR90"/>
    <mergeCell ref="BS90:BT90"/>
    <mergeCell ref="CA90:CB90"/>
    <mergeCell ref="CC90:CP90"/>
    <mergeCell ref="AR91:AS91"/>
    <mergeCell ref="AT91:AU91"/>
    <mergeCell ref="AV91:AX91"/>
    <mergeCell ref="AY91:AZ91"/>
    <mergeCell ref="BA91:BJ91"/>
    <mergeCell ref="BK91:BO91"/>
    <mergeCell ref="BP91:BR91"/>
    <mergeCell ref="BS91:BT91"/>
    <mergeCell ref="CA91:CB91"/>
    <mergeCell ref="CC91:CP91"/>
    <mergeCell ref="AR92:AS92"/>
    <mergeCell ref="AT92:AU92"/>
    <mergeCell ref="AV92:AX92"/>
    <mergeCell ref="AY92:AZ92"/>
    <mergeCell ref="BA92:BJ92"/>
    <mergeCell ref="BK92:BO92"/>
    <mergeCell ref="BP92:BR92"/>
    <mergeCell ref="BS92:BT92"/>
    <mergeCell ref="CT92:DQ92"/>
    <mergeCell ref="AR93:AS93"/>
    <mergeCell ref="AT93:AU93"/>
    <mergeCell ref="AV93:AX93"/>
    <mergeCell ref="AY93:AZ93"/>
    <mergeCell ref="BA93:BJ93"/>
    <mergeCell ref="BK93:BO93"/>
    <mergeCell ref="BP93:BR93"/>
    <mergeCell ref="BS93:BT93"/>
    <mergeCell ref="CT93:CX93"/>
    <mergeCell ref="CY93:DE93"/>
    <mergeCell ref="DF93:DJ93"/>
    <mergeCell ref="DK93:DQ93"/>
    <mergeCell ref="CH92:CI93"/>
    <mergeCell ref="AR94:AS94"/>
    <mergeCell ref="AT94:AU94"/>
    <mergeCell ref="AV94:AX94"/>
    <mergeCell ref="AY94:AZ94"/>
    <mergeCell ref="BA94:BJ94"/>
    <mergeCell ref="BK94:BO94"/>
    <mergeCell ref="BP94:BR94"/>
    <mergeCell ref="BS94:BT94"/>
    <mergeCell ref="AR95:AS95"/>
    <mergeCell ref="AT95:AU95"/>
    <mergeCell ref="AV95:AX95"/>
    <mergeCell ref="AY95:AZ95"/>
    <mergeCell ref="BA95:BJ95"/>
    <mergeCell ref="BK95:BO95"/>
    <mergeCell ref="BP95:BR95"/>
    <mergeCell ref="BS95:BT95"/>
    <mergeCell ref="AR96:AS96"/>
    <mergeCell ref="AT96:AU96"/>
    <mergeCell ref="AV96:AX96"/>
    <mergeCell ref="AY96:AZ96"/>
    <mergeCell ref="BA96:BJ96"/>
    <mergeCell ref="BK96:BT96"/>
    <mergeCell ref="AR97:AS97"/>
    <mergeCell ref="AT97:AU97"/>
    <mergeCell ref="AV97:AX97"/>
    <mergeCell ref="AY97:AZ97"/>
    <mergeCell ref="BA97:BT97"/>
    <mergeCell ref="AR98:AS98"/>
    <mergeCell ref="AT98:AU98"/>
    <mergeCell ref="AV98:AX98"/>
    <mergeCell ref="AY98:AZ98"/>
    <mergeCell ref="BA98:BB98"/>
    <mergeCell ref="BC98:BD98"/>
    <mergeCell ref="BE98:BJ98"/>
    <mergeCell ref="BK98:BL98"/>
    <mergeCell ref="BM98:BR98"/>
    <mergeCell ref="BS98:BT98"/>
    <mergeCell ref="AR99:AS99"/>
    <mergeCell ref="AT99:AU99"/>
    <mergeCell ref="AV99:AX99"/>
    <mergeCell ref="AY99:AZ99"/>
    <mergeCell ref="BA99:BB99"/>
    <mergeCell ref="BC99:BD99"/>
    <mergeCell ref="BE99:BJ99"/>
    <mergeCell ref="BK99:BL99"/>
    <mergeCell ref="BM99:BR99"/>
    <mergeCell ref="BS99:BT99"/>
    <mergeCell ref="AR100:AS100"/>
    <mergeCell ref="AT100:AU100"/>
    <mergeCell ref="AV100:AX100"/>
    <mergeCell ref="AY100:AZ100"/>
    <mergeCell ref="BA100:BB100"/>
    <mergeCell ref="BC100:BD100"/>
    <mergeCell ref="BE100:BJ100"/>
    <mergeCell ref="BK100:BL100"/>
    <mergeCell ref="BM100:BR100"/>
    <mergeCell ref="BS100:BT100"/>
    <mergeCell ref="AR101:AS101"/>
    <mergeCell ref="AT101:AU101"/>
    <mergeCell ref="AV101:AX101"/>
    <mergeCell ref="AY101:AZ101"/>
    <mergeCell ref="BA101:BB101"/>
    <mergeCell ref="BC101:BD101"/>
    <mergeCell ref="BE101:BJ101"/>
    <mergeCell ref="BK101:BL101"/>
    <mergeCell ref="BM101:BR101"/>
    <mergeCell ref="BS101:BT101"/>
    <mergeCell ref="X106:AE106"/>
    <mergeCell ref="AF106:AM106"/>
    <mergeCell ref="BA106:BB106"/>
    <mergeCell ref="BC106:BD106"/>
    <mergeCell ref="BE106:BJ106"/>
    <mergeCell ref="BK106:BL106"/>
    <mergeCell ref="BM106:BR106"/>
    <mergeCell ref="BS106:BT106"/>
    <mergeCell ref="AR102:AS102"/>
    <mergeCell ref="AT102:AU102"/>
    <mergeCell ref="AV102:AX102"/>
    <mergeCell ref="AY102:AZ102"/>
    <mergeCell ref="BA102:BB102"/>
    <mergeCell ref="BC102:BD102"/>
    <mergeCell ref="BE102:BJ102"/>
    <mergeCell ref="BK102:BL102"/>
    <mergeCell ref="BM102:BR102"/>
    <mergeCell ref="BS102:BT102"/>
    <mergeCell ref="AR103:AS103"/>
    <mergeCell ref="AT103:AU103"/>
    <mergeCell ref="AV103:AX103"/>
    <mergeCell ref="AY103:AZ103"/>
    <mergeCell ref="BA103:BB103"/>
    <mergeCell ref="BC103:BD103"/>
    <mergeCell ref="BE103:BJ103"/>
    <mergeCell ref="BK103:BL103"/>
    <mergeCell ref="BM103:BR103"/>
    <mergeCell ref="BS103:BT103"/>
    <mergeCell ref="O107:P107"/>
    <mergeCell ref="Q107:R107"/>
    <mergeCell ref="S107:T107"/>
    <mergeCell ref="U107:V107"/>
    <mergeCell ref="X107:AC107"/>
    <mergeCell ref="AD107:AE107"/>
    <mergeCell ref="AF107:AM107"/>
    <mergeCell ref="BA107:BB107"/>
    <mergeCell ref="BC107:BD107"/>
    <mergeCell ref="BE107:BJ107"/>
    <mergeCell ref="BK107:BL107"/>
    <mergeCell ref="BM107:BR107"/>
    <mergeCell ref="BS107:BT107"/>
    <mergeCell ref="CT107:DA107"/>
    <mergeCell ref="DB107:DI107"/>
    <mergeCell ref="AR104:AS104"/>
    <mergeCell ref="AT104:AU104"/>
    <mergeCell ref="AV104:AX104"/>
    <mergeCell ref="AY104:AZ104"/>
    <mergeCell ref="BA104:BB104"/>
    <mergeCell ref="BC104:BD104"/>
    <mergeCell ref="BE104:BJ104"/>
    <mergeCell ref="BK104:BL104"/>
    <mergeCell ref="BM104:BR104"/>
    <mergeCell ref="BS104:BT104"/>
    <mergeCell ref="BA105:BB105"/>
    <mergeCell ref="BC105:BD105"/>
    <mergeCell ref="BE105:BJ105"/>
    <mergeCell ref="BK105:BL105"/>
    <mergeCell ref="BM105:BR105"/>
    <mergeCell ref="BS105:BT105"/>
    <mergeCell ref="C106:V106"/>
    <mergeCell ref="X108:AC108"/>
    <mergeCell ref="AD108:AE108"/>
    <mergeCell ref="AF108:AM108"/>
    <mergeCell ref="BA108:BB108"/>
    <mergeCell ref="BC108:BD108"/>
    <mergeCell ref="BE108:BJ108"/>
    <mergeCell ref="BK108:BL108"/>
    <mergeCell ref="BM108:BR108"/>
    <mergeCell ref="BS108:BT108"/>
    <mergeCell ref="CT108:DA108"/>
    <mergeCell ref="DB108:DI108"/>
    <mergeCell ref="DJ108:DQ108"/>
    <mergeCell ref="X109:AC109"/>
    <mergeCell ref="AD109:AE109"/>
    <mergeCell ref="AF109:AI109"/>
    <mergeCell ref="AJ109:AM109"/>
    <mergeCell ref="BA109:BB109"/>
    <mergeCell ref="BC109:BD109"/>
    <mergeCell ref="BE109:BJ109"/>
    <mergeCell ref="BK109:BL109"/>
    <mergeCell ref="BM109:BR109"/>
    <mergeCell ref="BS109:BT109"/>
    <mergeCell ref="CT109:DQ109"/>
    <mergeCell ref="X110:AC110"/>
    <mergeCell ref="AD110:AE110"/>
    <mergeCell ref="AF110:AI110"/>
    <mergeCell ref="AJ110:AM110"/>
    <mergeCell ref="BA110:BB110"/>
    <mergeCell ref="BC110:BD110"/>
    <mergeCell ref="BE110:BJ110"/>
    <mergeCell ref="BK110:BL110"/>
    <mergeCell ref="BM110:BR110"/>
    <mergeCell ref="BS110:BT110"/>
    <mergeCell ref="X111:AC111"/>
    <mergeCell ref="AD111:AE111"/>
    <mergeCell ref="AF111:AM111"/>
    <mergeCell ref="BA111:BB111"/>
    <mergeCell ref="BC111:BD111"/>
    <mergeCell ref="BE111:BJ111"/>
    <mergeCell ref="BK111:BL111"/>
    <mergeCell ref="BM111:BR111"/>
    <mergeCell ref="BS111:BT111"/>
    <mergeCell ref="BA115:BL115"/>
    <mergeCell ref="BM115:BT115"/>
    <mergeCell ref="X116:AC116"/>
    <mergeCell ref="AD116:AE116"/>
    <mergeCell ref="BA116:BB116"/>
    <mergeCell ref="BC116:BD116"/>
    <mergeCell ref="BE116:BJ116"/>
    <mergeCell ref="BK116:BL116"/>
    <mergeCell ref="BM116:BR116"/>
    <mergeCell ref="BS116:BT116"/>
    <mergeCell ref="C112:L112"/>
    <mergeCell ref="M112:V112"/>
    <mergeCell ref="X112:AC112"/>
    <mergeCell ref="AD112:AE112"/>
    <mergeCell ref="BA112:BB112"/>
    <mergeCell ref="BC112:BD112"/>
    <mergeCell ref="BE112:BJ112"/>
    <mergeCell ref="BK112:BL112"/>
    <mergeCell ref="BM112:BR112"/>
    <mergeCell ref="BS112:BT112"/>
    <mergeCell ref="C113:D113"/>
    <mergeCell ref="E113:V113"/>
    <mergeCell ref="X113:AC113"/>
    <mergeCell ref="AD113:AE113"/>
    <mergeCell ref="BA113:BB113"/>
    <mergeCell ref="BC113:BD113"/>
    <mergeCell ref="BE113:BJ113"/>
    <mergeCell ref="BK113:BL113"/>
    <mergeCell ref="BM113:BR113"/>
    <mergeCell ref="BS113:BT113"/>
    <mergeCell ref="CT116:DQ116"/>
    <mergeCell ref="C117:L117"/>
    <mergeCell ref="M117:V117"/>
    <mergeCell ref="X117:AE117"/>
    <mergeCell ref="BA117:BB117"/>
    <mergeCell ref="BC117:BD117"/>
    <mergeCell ref="BE117:BJ117"/>
    <mergeCell ref="BK117:BL117"/>
    <mergeCell ref="BM117:BR117"/>
    <mergeCell ref="BS117:BT117"/>
    <mergeCell ref="BV117:CR117"/>
    <mergeCell ref="CT117:DP117"/>
    <mergeCell ref="C118:V118"/>
    <mergeCell ref="X118:AE118"/>
    <mergeCell ref="BA118:BB118"/>
    <mergeCell ref="BC118:BD118"/>
    <mergeCell ref="BE118:BJ118"/>
    <mergeCell ref="BK118:BL118"/>
    <mergeCell ref="BM118:BR118"/>
    <mergeCell ref="BS118:BT118"/>
    <mergeCell ref="BV118:CS118"/>
    <mergeCell ref="CU118:DR118"/>
    <mergeCell ref="AF112:AM119"/>
    <mergeCell ref="C114:D114"/>
    <mergeCell ref="E114:V114"/>
    <mergeCell ref="X114:AC114"/>
    <mergeCell ref="AD114:AE114"/>
    <mergeCell ref="BA114:BG114"/>
    <mergeCell ref="BH114:BM114"/>
    <mergeCell ref="BN114:BT114"/>
    <mergeCell ref="X115:AC115"/>
    <mergeCell ref="AD115:AE115"/>
    <mergeCell ref="X119:AE119"/>
    <mergeCell ref="BA119:BB119"/>
    <mergeCell ref="BC119:BD119"/>
    <mergeCell ref="BE119:BJ119"/>
    <mergeCell ref="BK119:BL119"/>
    <mergeCell ref="BM119:BR119"/>
    <mergeCell ref="BS119:BT119"/>
    <mergeCell ref="BV119:CC119"/>
    <mergeCell ref="CD119:CG119"/>
    <mergeCell ref="CH119:CS119"/>
    <mergeCell ref="CU119:DB119"/>
    <mergeCell ref="DC119:DF119"/>
    <mergeCell ref="DG119:DR119"/>
    <mergeCell ref="X120:AE120"/>
    <mergeCell ref="BA120:BB120"/>
    <mergeCell ref="BC120:BD120"/>
    <mergeCell ref="BE120:BJ120"/>
    <mergeCell ref="BK120:BL120"/>
    <mergeCell ref="BM120:BR120"/>
    <mergeCell ref="BS120:BT120"/>
    <mergeCell ref="BV120:CC120"/>
    <mergeCell ref="CD120:CG120"/>
    <mergeCell ref="CH120:CJ120"/>
    <mergeCell ref="CK120:CM120"/>
    <mergeCell ref="CN120:CP120"/>
    <mergeCell ref="CQ120:CS120"/>
    <mergeCell ref="CU120:DB120"/>
    <mergeCell ref="DC120:DF120"/>
    <mergeCell ref="DG120:DI120"/>
    <mergeCell ref="DJ120:DL120"/>
    <mergeCell ref="DM120:DO120"/>
    <mergeCell ref="DP120:DR120"/>
    <mergeCell ref="X121:AE121"/>
    <mergeCell ref="BA121:BB121"/>
    <mergeCell ref="BC121:BD121"/>
    <mergeCell ref="BE121:BJ121"/>
    <mergeCell ref="BK121:BL121"/>
    <mergeCell ref="BM121:BR121"/>
    <mergeCell ref="BS121:BT121"/>
    <mergeCell ref="BV121:CA121"/>
    <mergeCell ref="CB121:CD121"/>
    <mergeCell ref="CE121:CG121"/>
    <mergeCell ref="CH121:CJ121"/>
    <mergeCell ref="CK121:CM121"/>
    <mergeCell ref="CN121:CP121"/>
    <mergeCell ref="CQ121:CS121"/>
    <mergeCell ref="CU121:CZ121"/>
    <mergeCell ref="DA121:DC121"/>
    <mergeCell ref="DD121:DF121"/>
    <mergeCell ref="DG121:DI121"/>
    <mergeCell ref="DJ121:DL121"/>
    <mergeCell ref="DM121:DO121"/>
    <mergeCell ref="DP121:DR121"/>
    <mergeCell ref="DP123:DR123"/>
    <mergeCell ref="X122:AA122"/>
    <mergeCell ref="AB122:AE122"/>
    <mergeCell ref="BA122:BB122"/>
    <mergeCell ref="BC122:BD122"/>
    <mergeCell ref="BE122:BJ122"/>
    <mergeCell ref="BK122:BL122"/>
    <mergeCell ref="BM122:BR122"/>
    <mergeCell ref="BS122:BT122"/>
    <mergeCell ref="BV122:BX122"/>
    <mergeCell ref="BY122:CA122"/>
    <mergeCell ref="CB122:CD122"/>
    <mergeCell ref="CE122:CG122"/>
    <mergeCell ref="CH122:CJ122"/>
    <mergeCell ref="CK122:CM122"/>
    <mergeCell ref="CN122:CP122"/>
    <mergeCell ref="CQ122:CS122"/>
    <mergeCell ref="CU122:CW122"/>
    <mergeCell ref="CQ124:CS124"/>
    <mergeCell ref="CU124:CW124"/>
    <mergeCell ref="CX122:CZ122"/>
    <mergeCell ref="DA122:DC122"/>
    <mergeCell ref="DD122:DF122"/>
    <mergeCell ref="DG122:DI122"/>
    <mergeCell ref="DJ122:DL122"/>
    <mergeCell ref="DM122:DO122"/>
    <mergeCell ref="DP122:DR122"/>
    <mergeCell ref="X123:AA123"/>
    <mergeCell ref="AB123:AE123"/>
    <mergeCell ref="BA123:BB123"/>
    <mergeCell ref="BC123:BD123"/>
    <mergeCell ref="BE123:BJ123"/>
    <mergeCell ref="BK123:BL123"/>
    <mergeCell ref="BM123:BR123"/>
    <mergeCell ref="BS123:BT123"/>
    <mergeCell ref="BV123:BX123"/>
    <mergeCell ref="BY123:CA123"/>
    <mergeCell ref="CB123:CD123"/>
    <mergeCell ref="CE123:CG123"/>
    <mergeCell ref="CH123:CJ123"/>
    <mergeCell ref="CL123:CM123"/>
    <mergeCell ref="CN123:CP123"/>
    <mergeCell ref="CQ123:CS123"/>
    <mergeCell ref="CU123:CW123"/>
    <mergeCell ref="CX123:CZ123"/>
    <mergeCell ref="DA123:DC123"/>
    <mergeCell ref="DD123:DF123"/>
    <mergeCell ref="DG123:DI123"/>
    <mergeCell ref="DK123:DL123"/>
    <mergeCell ref="DM123:DO123"/>
    <mergeCell ref="CX124:CZ124"/>
    <mergeCell ref="DA124:DC124"/>
    <mergeCell ref="DD124:DF124"/>
    <mergeCell ref="DG124:DI124"/>
    <mergeCell ref="DJ124:DL124"/>
    <mergeCell ref="DM124:DO124"/>
    <mergeCell ref="DP124:DR124"/>
    <mergeCell ref="C125:E125"/>
    <mergeCell ref="F125:V125"/>
    <mergeCell ref="BA125:BB125"/>
    <mergeCell ref="BC125:BD125"/>
    <mergeCell ref="BE125:BJ125"/>
    <mergeCell ref="BK125:BL125"/>
    <mergeCell ref="BM125:BR125"/>
    <mergeCell ref="BS125:BT125"/>
    <mergeCell ref="BV125:CS125"/>
    <mergeCell ref="CU125:DR125"/>
    <mergeCell ref="C124:E124"/>
    <mergeCell ref="F124:V124"/>
    <mergeCell ref="BA124:BB124"/>
    <mergeCell ref="BC124:BD124"/>
    <mergeCell ref="BE124:BJ124"/>
    <mergeCell ref="BK124:BL124"/>
    <mergeCell ref="BM124:BR124"/>
    <mergeCell ref="BS124:BT124"/>
    <mergeCell ref="BV124:BX124"/>
    <mergeCell ref="BY124:CA124"/>
    <mergeCell ref="CB124:CD124"/>
    <mergeCell ref="CE124:CG124"/>
    <mergeCell ref="CH124:CJ124"/>
    <mergeCell ref="CK124:CM124"/>
    <mergeCell ref="CN124:CP124"/>
    <mergeCell ref="CO127:CP127"/>
    <mergeCell ref="CQ127:CS127"/>
    <mergeCell ref="CU127:CW127"/>
    <mergeCell ref="CX127:CZ127"/>
    <mergeCell ref="DA127:DF127"/>
    <mergeCell ref="DG127:DH127"/>
    <mergeCell ref="DI127:DK127"/>
    <mergeCell ref="DL127:DM127"/>
    <mergeCell ref="C126:E126"/>
    <mergeCell ref="F126:V126"/>
    <mergeCell ref="BA126:BB126"/>
    <mergeCell ref="BC126:BD126"/>
    <mergeCell ref="BE126:BJ126"/>
    <mergeCell ref="BK126:BL126"/>
    <mergeCell ref="BM126:BR126"/>
    <mergeCell ref="BS126:BT126"/>
    <mergeCell ref="BV126:BX126"/>
    <mergeCell ref="BY126:CA126"/>
    <mergeCell ref="CB126:CG126"/>
    <mergeCell ref="CH126:CI126"/>
    <mergeCell ref="CJ126:CL126"/>
    <mergeCell ref="CM126:CN126"/>
    <mergeCell ref="CO126:CP126"/>
    <mergeCell ref="CQ126:CS126"/>
    <mergeCell ref="CU126:CW126"/>
    <mergeCell ref="BK128:BL128"/>
    <mergeCell ref="BM128:BR128"/>
    <mergeCell ref="BS128:BT128"/>
    <mergeCell ref="BV128:CN128"/>
    <mergeCell ref="CO128:CS128"/>
    <mergeCell ref="CU128:DM128"/>
    <mergeCell ref="DN128:DR128"/>
    <mergeCell ref="BA129:BK129"/>
    <mergeCell ref="BL129:BT129"/>
    <mergeCell ref="CO129:CP129"/>
    <mergeCell ref="CR129:CS129"/>
    <mergeCell ref="DN129:DO129"/>
    <mergeCell ref="DQ129:DR129"/>
    <mergeCell ref="CX126:CZ126"/>
    <mergeCell ref="DA126:DF126"/>
    <mergeCell ref="DG126:DH126"/>
    <mergeCell ref="DI126:DK126"/>
    <mergeCell ref="DL126:DM126"/>
    <mergeCell ref="DN126:DO126"/>
    <mergeCell ref="DP126:DR126"/>
    <mergeCell ref="BA127:BB127"/>
    <mergeCell ref="BC127:BD127"/>
    <mergeCell ref="BE127:BJ127"/>
    <mergeCell ref="BK127:BL127"/>
    <mergeCell ref="BM127:BR127"/>
    <mergeCell ref="BS127:BT127"/>
    <mergeCell ref="BV127:BX127"/>
    <mergeCell ref="BY127:CA127"/>
    <mergeCell ref="CB127:CG127"/>
    <mergeCell ref="CH127:CI127"/>
    <mergeCell ref="CJ127:CL127"/>
    <mergeCell ref="CM127:CN127"/>
    <mergeCell ref="BA130:BT130"/>
    <mergeCell ref="CO130:CS130"/>
    <mergeCell ref="DN130:DR130"/>
    <mergeCell ref="X131:AE131"/>
    <mergeCell ref="BA131:BB131"/>
    <mergeCell ref="BC131:BH131"/>
    <mergeCell ref="BI131:BJ131"/>
    <mergeCell ref="BK131:BL131"/>
    <mergeCell ref="BM131:BR131"/>
    <mergeCell ref="BS131:BT131"/>
    <mergeCell ref="CO131:CS131"/>
    <mergeCell ref="DN131:DR131"/>
    <mergeCell ref="C132:V132"/>
    <mergeCell ref="X132:AA132"/>
    <mergeCell ref="AB132:AE132"/>
    <mergeCell ref="BA132:BB132"/>
    <mergeCell ref="BC132:BH132"/>
    <mergeCell ref="BI132:BJ132"/>
    <mergeCell ref="BK132:BL132"/>
    <mergeCell ref="BM132:BR132"/>
    <mergeCell ref="BS132:BT132"/>
    <mergeCell ref="BV132:CS132"/>
    <mergeCell ref="CU132:DR132"/>
    <mergeCell ref="X124:AA130"/>
    <mergeCell ref="AB124:AE130"/>
    <mergeCell ref="CU129:DM131"/>
    <mergeCell ref="DN127:DO127"/>
    <mergeCell ref="DP127:DR127"/>
    <mergeCell ref="R128:V128"/>
    <mergeCell ref="BA128:BB128"/>
    <mergeCell ref="BC128:BD128"/>
    <mergeCell ref="BE128:BJ128"/>
    <mergeCell ref="X133:AA133"/>
    <mergeCell ref="AB133:AE133"/>
    <mergeCell ref="BA133:BB133"/>
    <mergeCell ref="BC133:BH133"/>
    <mergeCell ref="BI133:BJ133"/>
    <mergeCell ref="BK133:BL133"/>
    <mergeCell ref="BM133:BR133"/>
    <mergeCell ref="BS133:BT133"/>
    <mergeCell ref="BA134:BB134"/>
    <mergeCell ref="BC134:BH134"/>
    <mergeCell ref="BI134:BJ134"/>
    <mergeCell ref="BK134:BL134"/>
    <mergeCell ref="BM134:BR134"/>
    <mergeCell ref="BS134:BT134"/>
    <mergeCell ref="BA135:BB135"/>
    <mergeCell ref="BC135:BH135"/>
    <mergeCell ref="BI135:BJ135"/>
    <mergeCell ref="BK135:BL135"/>
    <mergeCell ref="BM135:BR135"/>
    <mergeCell ref="BS135:BT135"/>
    <mergeCell ref="BA136:BB136"/>
    <mergeCell ref="BC136:BH136"/>
    <mergeCell ref="BI136:BJ136"/>
    <mergeCell ref="BK136:BL136"/>
    <mergeCell ref="BM136:BR136"/>
    <mergeCell ref="BS136:BT136"/>
    <mergeCell ref="BA137:BB137"/>
    <mergeCell ref="BC137:BH137"/>
    <mergeCell ref="BI137:BJ137"/>
    <mergeCell ref="BK137:BL137"/>
    <mergeCell ref="BM137:BR137"/>
    <mergeCell ref="BS137:BT137"/>
    <mergeCell ref="BV137:CS137"/>
    <mergeCell ref="CU137:DR137"/>
    <mergeCell ref="BA138:BB138"/>
    <mergeCell ref="BC138:BH138"/>
    <mergeCell ref="BI138:BJ138"/>
    <mergeCell ref="BK138:BL138"/>
    <mergeCell ref="BM138:BR138"/>
    <mergeCell ref="BS138:BT138"/>
    <mergeCell ref="BV138:CA138"/>
    <mergeCell ref="CB138:CE138"/>
    <mergeCell ref="CF138:CS138"/>
    <mergeCell ref="CU138:CZ138"/>
    <mergeCell ref="DA138:DD138"/>
    <mergeCell ref="DE138:DR138"/>
    <mergeCell ref="DE142:DF142"/>
    <mergeCell ref="DH142:DJ142"/>
    <mergeCell ref="DK142:DN142"/>
    <mergeCell ref="DO142:DR142"/>
    <mergeCell ref="BA139:BB139"/>
    <mergeCell ref="BC139:BH139"/>
    <mergeCell ref="BI139:BJ139"/>
    <mergeCell ref="BK139:BL139"/>
    <mergeCell ref="BM139:BR139"/>
    <mergeCell ref="BS139:BT139"/>
    <mergeCell ref="CF139:CH139"/>
    <mergeCell ref="CI139:CL139"/>
    <mergeCell ref="CM139:CO139"/>
    <mergeCell ref="CP139:CS139"/>
    <mergeCell ref="DE139:DG139"/>
    <mergeCell ref="DH139:DK139"/>
    <mergeCell ref="DL139:DN139"/>
    <mergeCell ref="DO139:DR139"/>
    <mergeCell ref="BA140:BB140"/>
    <mergeCell ref="BC140:BH140"/>
    <mergeCell ref="BI140:BJ140"/>
    <mergeCell ref="BK140:BL140"/>
    <mergeCell ref="BM140:BR140"/>
    <mergeCell ref="BS140:BT140"/>
    <mergeCell ref="CF140:CH140"/>
    <mergeCell ref="CI140:CL140"/>
    <mergeCell ref="CM140:CO140"/>
    <mergeCell ref="CP140:CS140"/>
    <mergeCell ref="DE140:DG140"/>
    <mergeCell ref="DH140:DK140"/>
    <mergeCell ref="DL140:DN140"/>
    <mergeCell ref="DO140:DR140"/>
    <mergeCell ref="CH143:CK143"/>
    <mergeCell ref="CL143:CO143"/>
    <mergeCell ref="CP143:CS143"/>
    <mergeCell ref="CU143:CX143"/>
    <mergeCell ref="CY143:DB143"/>
    <mergeCell ref="DC143:DF143"/>
    <mergeCell ref="DG143:DJ143"/>
    <mergeCell ref="DK143:DN143"/>
    <mergeCell ref="BA141:BB141"/>
    <mergeCell ref="BC141:BH141"/>
    <mergeCell ref="BI141:BJ141"/>
    <mergeCell ref="BK141:BL141"/>
    <mergeCell ref="BM141:BR141"/>
    <mergeCell ref="BS141:BT141"/>
    <mergeCell ref="CB141:CE141"/>
    <mergeCell ref="CF141:CK141"/>
    <mergeCell ref="CL141:CS141"/>
    <mergeCell ref="DA141:DD141"/>
    <mergeCell ref="DE141:DJ141"/>
    <mergeCell ref="DK141:DR141"/>
    <mergeCell ref="BA142:BB142"/>
    <mergeCell ref="BC142:BH142"/>
    <mergeCell ref="BI142:BJ142"/>
    <mergeCell ref="BK142:BL142"/>
    <mergeCell ref="BM142:BR142"/>
    <mergeCell ref="BS142:BT142"/>
    <mergeCell ref="CB142:CE142"/>
    <mergeCell ref="CF142:CG142"/>
    <mergeCell ref="CI142:CK142"/>
    <mergeCell ref="CL142:CO142"/>
    <mergeCell ref="CP142:CS142"/>
    <mergeCell ref="DA142:DD142"/>
    <mergeCell ref="DO143:DR143"/>
    <mergeCell ref="BA144:BB144"/>
    <mergeCell ref="BC144:BH144"/>
    <mergeCell ref="BI144:BJ144"/>
    <mergeCell ref="BK144:BL144"/>
    <mergeCell ref="BM144:BR144"/>
    <mergeCell ref="BS144:BT144"/>
    <mergeCell ref="BV144:BY144"/>
    <mergeCell ref="BZ144:CC144"/>
    <mergeCell ref="CD144:CG144"/>
    <mergeCell ref="CH144:CK144"/>
    <mergeCell ref="CU144:CX144"/>
    <mergeCell ref="CY144:DB144"/>
    <mergeCell ref="DC144:DF144"/>
    <mergeCell ref="DG144:DJ144"/>
    <mergeCell ref="BA145:BB145"/>
    <mergeCell ref="BC145:BH145"/>
    <mergeCell ref="BI145:BJ145"/>
    <mergeCell ref="BK145:BL145"/>
    <mergeCell ref="BM145:BR145"/>
    <mergeCell ref="BS145:BT145"/>
    <mergeCell ref="BV145:CK145"/>
    <mergeCell ref="CU145:DJ145"/>
    <mergeCell ref="BA143:BB143"/>
    <mergeCell ref="BC143:BH143"/>
    <mergeCell ref="BI143:BJ143"/>
    <mergeCell ref="BK143:BL143"/>
    <mergeCell ref="BM143:BR143"/>
    <mergeCell ref="BS143:BT143"/>
    <mergeCell ref="BV143:BY143"/>
    <mergeCell ref="BZ143:CC143"/>
    <mergeCell ref="CD143:CG143"/>
    <mergeCell ref="BA146:BB146"/>
    <mergeCell ref="BC146:BH146"/>
    <mergeCell ref="BI146:BJ146"/>
    <mergeCell ref="BK146:BL146"/>
    <mergeCell ref="BM146:BR146"/>
    <mergeCell ref="BS146:BT146"/>
    <mergeCell ref="BA147:BK147"/>
    <mergeCell ref="BL147:BT147"/>
    <mergeCell ref="BV149:CS149"/>
    <mergeCell ref="CU149:DR149"/>
    <mergeCell ref="BV155:CR155"/>
    <mergeCell ref="CU155:DQ155"/>
    <mergeCell ref="BV156:CC156"/>
    <mergeCell ref="CD156:CG156"/>
    <mergeCell ref="CH156:CR156"/>
    <mergeCell ref="CU156:DB156"/>
    <mergeCell ref="DC156:DF156"/>
    <mergeCell ref="DG156:DQ156"/>
    <mergeCell ref="CW164:CZ164"/>
    <mergeCell ref="DA164:DE164"/>
    <mergeCell ref="DF164:DQ164"/>
    <mergeCell ref="CI162:CR163"/>
    <mergeCell ref="BV157:CC157"/>
    <mergeCell ref="CD157:CG157"/>
    <mergeCell ref="CH157:CJ157"/>
    <mergeCell ref="CK157:CR157"/>
    <mergeCell ref="CU157:DB157"/>
    <mergeCell ref="DC157:DF157"/>
    <mergeCell ref="DG157:DI157"/>
    <mergeCell ref="DJ157:DQ157"/>
    <mergeCell ref="BV158:CG158"/>
    <mergeCell ref="CH158:CJ158"/>
    <mergeCell ref="CK158:CR158"/>
    <mergeCell ref="CU158:DF158"/>
    <mergeCell ref="DG158:DI158"/>
    <mergeCell ref="DJ158:DQ158"/>
    <mergeCell ref="BV159:BW159"/>
    <mergeCell ref="BX159:CA159"/>
    <mergeCell ref="CB159:CC159"/>
    <mergeCell ref="CD159:CG159"/>
    <mergeCell ref="CH159:CJ159"/>
    <mergeCell ref="CK159:CR159"/>
    <mergeCell ref="CU159:CV159"/>
    <mergeCell ref="CW159:CZ159"/>
    <mergeCell ref="DA159:DB159"/>
    <mergeCell ref="DC159:DF159"/>
    <mergeCell ref="DG159:DI159"/>
    <mergeCell ref="DJ159:DQ159"/>
    <mergeCell ref="CO165:CR165"/>
    <mergeCell ref="CW165:CZ165"/>
    <mergeCell ref="DA165:DE165"/>
    <mergeCell ref="DF165:DJ165"/>
    <mergeCell ref="DK165:DM165"/>
    <mergeCell ref="DN165:DQ165"/>
    <mergeCell ref="BX166:CA166"/>
    <mergeCell ref="CB166:CF166"/>
    <mergeCell ref="CG166:CK166"/>
    <mergeCell ref="CL166:CN166"/>
    <mergeCell ref="CO166:CR166"/>
    <mergeCell ref="CW166:CZ166"/>
    <mergeCell ref="DA166:DE166"/>
    <mergeCell ref="DF166:DJ166"/>
    <mergeCell ref="DK166:DM166"/>
    <mergeCell ref="DN166:DQ166"/>
    <mergeCell ref="BK160:BT160"/>
    <mergeCell ref="BV160:BW160"/>
    <mergeCell ref="CB160:CC160"/>
    <mergeCell ref="CD160:CG160"/>
    <mergeCell ref="CH160:CJ160"/>
    <mergeCell ref="CK160:CR160"/>
    <mergeCell ref="CU160:CV160"/>
    <mergeCell ref="DA160:DB160"/>
    <mergeCell ref="DC160:DF160"/>
    <mergeCell ref="DG160:DI160"/>
    <mergeCell ref="DJ160:DQ160"/>
    <mergeCell ref="BV161:CR161"/>
    <mergeCell ref="CU161:DQ161"/>
    <mergeCell ref="BX164:CA164"/>
    <mergeCell ref="CB164:CF164"/>
    <mergeCell ref="CG164:CR164"/>
    <mergeCell ref="CL171:CN171"/>
    <mergeCell ref="CO171:CR171"/>
    <mergeCell ref="DF171:DJ171"/>
    <mergeCell ref="DK171:DM171"/>
    <mergeCell ref="DN171:DQ171"/>
    <mergeCell ref="BX167:CA167"/>
    <mergeCell ref="CB167:CF167"/>
    <mergeCell ref="CG167:CK167"/>
    <mergeCell ref="CL167:CN167"/>
    <mergeCell ref="CO167:CR167"/>
    <mergeCell ref="CW167:CZ167"/>
    <mergeCell ref="DA167:DE167"/>
    <mergeCell ref="DF167:DJ167"/>
    <mergeCell ref="DK167:DM167"/>
    <mergeCell ref="DN167:DQ167"/>
    <mergeCell ref="BV168:BX168"/>
    <mergeCell ref="BY168:CA168"/>
    <mergeCell ref="CB168:CF168"/>
    <mergeCell ref="CG168:CK168"/>
    <mergeCell ref="CL168:CN168"/>
    <mergeCell ref="CO168:CR168"/>
    <mergeCell ref="CU168:CW168"/>
    <mergeCell ref="CX168:CZ168"/>
    <mergeCell ref="DA168:DE168"/>
    <mergeCell ref="DF168:DJ168"/>
    <mergeCell ref="DK168:DM168"/>
    <mergeCell ref="DN168:DQ168"/>
    <mergeCell ref="BV164:BW167"/>
    <mergeCell ref="BX165:CA165"/>
    <mergeCell ref="CB165:CF165"/>
    <mergeCell ref="CG165:CK165"/>
    <mergeCell ref="CL165:CN165"/>
    <mergeCell ref="BA1:BB2"/>
    <mergeCell ref="BY1:BZ2"/>
    <mergeCell ref="BR13:BS14"/>
    <mergeCell ref="BX13:BY14"/>
    <mergeCell ref="CD13:CE14"/>
    <mergeCell ref="BR9:BS10"/>
    <mergeCell ref="BX9:BY10"/>
    <mergeCell ref="CD9:CE10"/>
    <mergeCell ref="BR11:BS12"/>
    <mergeCell ref="BX11:BY12"/>
    <mergeCell ref="CD11:CE12"/>
    <mergeCell ref="CK8:CR14"/>
    <mergeCell ref="BA5:BB6"/>
    <mergeCell ref="BY5:BZ6"/>
    <mergeCell ref="BA3:BC4"/>
    <mergeCell ref="BY3:CA4"/>
    <mergeCell ref="DC18:DE19"/>
    <mergeCell ref="BA14:BB15"/>
    <mergeCell ref="BI14:BJ15"/>
    <mergeCell ref="CT16:DA17"/>
    <mergeCell ref="DB16:DI17"/>
    <mergeCell ref="BD19:BE20"/>
    <mergeCell ref="BF19:BG20"/>
    <mergeCell ref="BV19:BW20"/>
    <mergeCell ref="BX19:BY20"/>
    <mergeCell ref="BR15:CI17"/>
    <mergeCell ref="DC20:DG20"/>
    <mergeCell ref="DH20:DI20"/>
    <mergeCell ref="DB8:DI8"/>
    <mergeCell ref="BA9:BC9"/>
    <mergeCell ref="BD9:BP9"/>
    <mergeCell ref="BT9:BU9"/>
    <mergeCell ref="BV92:BZ93"/>
    <mergeCell ref="BV94:CR115"/>
    <mergeCell ref="CM92:CN93"/>
    <mergeCell ref="CO92:CP93"/>
    <mergeCell ref="CQ92:CR93"/>
    <mergeCell ref="CA92:CC93"/>
    <mergeCell ref="CJ92:CL93"/>
    <mergeCell ref="CD92:CE93"/>
    <mergeCell ref="CF92:CG93"/>
    <mergeCell ref="DJ16:DQ17"/>
    <mergeCell ref="CT14:DA15"/>
    <mergeCell ref="DB14:DI15"/>
    <mergeCell ref="DJ14:DQ15"/>
    <mergeCell ref="CT12:DA13"/>
    <mergeCell ref="DB12:DI13"/>
    <mergeCell ref="DJ12:DQ13"/>
    <mergeCell ref="CT10:DA11"/>
    <mergeCell ref="DB10:DI11"/>
    <mergeCell ref="DJ10:DQ11"/>
    <mergeCell ref="DF18:DQ19"/>
    <mergeCell ref="CQ82:CR83"/>
    <mergeCell ref="CQ84:CR85"/>
    <mergeCell ref="CQ78:CR79"/>
    <mergeCell ref="CQ88:CR89"/>
    <mergeCell ref="CQ86:CR87"/>
    <mergeCell ref="CQ90:CR91"/>
    <mergeCell ref="CT26:CY28"/>
    <mergeCell ref="DJ107:DQ107"/>
    <mergeCell ref="CT68:DQ68"/>
    <mergeCell ref="CM63:CN63"/>
    <mergeCell ref="CO63:CP63"/>
    <mergeCell ref="CQ63:CR63"/>
    <mergeCell ref="CQ76:CR77"/>
    <mergeCell ref="CQ80:CR81"/>
    <mergeCell ref="BV80:BX81"/>
    <mergeCell ref="BV76:BX77"/>
    <mergeCell ref="BV78:BX79"/>
    <mergeCell ref="BV88:BZ89"/>
    <mergeCell ref="BA78:BJ82"/>
    <mergeCell ref="BK78:BT82"/>
    <mergeCell ref="BV90:BZ91"/>
    <mergeCell ref="BM19:BN20"/>
    <mergeCell ref="BO19:BP20"/>
    <mergeCell ref="CM19:CN20"/>
    <mergeCell ref="BA19:BC20"/>
    <mergeCell ref="BJ19:BL20"/>
    <mergeCell ref="BS19:BU20"/>
    <mergeCell ref="CB19:CD20"/>
    <mergeCell ref="CE19:CG20"/>
    <mergeCell ref="CJ19:CL20"/>
    <mergeCell ref="CA64:CB64"/>
    <mergeCell ref="CC64:CD64"/>
    <mergeCell ref="CE64:CF64"/>
    <mergeCell ref="CG64:CH64"/>
    <mergeCell ref="CI64:CJ64"/>
    <mergeCell ref="CK64:CL64"/>
    <mergeCell ref="CM64:CN64"/>
    <mergeCell ref="CO64:CP64"/>
    <mergeCell ref="CQ64:CR64"/>
    <mergeCell ref="CA62:CB62"/>
    <mergeCell ref="CC62:CD62"/>
    <mergeCell ref="CE62:CF62"/>
    <mergeCell ref="CG62:CH62"/>
    <mergeCell ref="CI62:CJ62"/>
    <mergeCell ref="C107:F109"/>
    <mergeCell ref="C115:D116"/>
    <mergeCell ref="O120:R121"/>
    <mergeCell ref="S120:V121"/>
    <mergeCell ref="H120:N121"/>
    <mergeCell ref="O122:R123"/>
    <mergeCell ref="S122:V123"/>
    <mergeCell ref="N128:Q131"/>
    <mergeCell ref="H122:N123"/>
    <mergeCell ref="G108:L109"/>
    <mergeCell ref="C110:V111"/>
    <mergeCell ref="E115:V116"/>
    <mergeCell ref="C119:G121"/>
    <mergeCell ref="C122:G123"/>
    <mergeCell ref="C128:H131"/>
    <mergeCell ref="I128:M131"/>
    <mergeCell ref="R129:V131"/>
    <mergeCell ref="M108:N109"/>
    <mergeCell ref="O108:P109"/>
    <mergeCell ref="Q108:R109"/>
    <mergeCell ref="S108:T109"/>
    <mergeCell ref="U108:V109"/>
    <mergeCell ref="C127:H127"/>
    <mergeCell ref="I127:M127"/>
    <mergeCell ref="N127:Q127"/>
    <mergeCell ref="R127:S127"/>
    <mergeCell ref="T127:V127"/>
    <mergeCell ref="H119:N119"/>
    <mergeCell ref="O119:R119"/>
    <mergeCell ref="S119:V119"/>
    <mergeCell ref="G107:L107"/>
    <mergeCell ref="M107:N107"/>
    <mergeCell ref="A8:AZ10"/>
    <mergeCell ref="BA148:BD158"/>
    <mergeCell ref="BE148:BH158"/>
    <mergeCell ref="BI148:BT158"/>
    <mergeCell ref="BA160:BJ161"/>
    <mergeCell ref="BJ163:BT164"/>
    <mergeCell ref="BA166:BT167"/>
    <mergeCell ref="BA168:BT169"/>
    <mergeCell ref="BA163:BH164"/>
    <mergeCell ref="CN67:CO69"/>
    <mergeCell ref="CN70:CO71"/>
    <mergeCell ref="CN72:CO73"/>
    <mergeCell ref="CP72:CQ73"/>
    <mergeCell ref="CP70:CR71"/>
    <mergeCell ref="CP67:CR69"/>
    <mergeCell ref="DC21:DQ23"/>
    <mergeCell ref="CT49:CX51"/>
    <mergeCell ref="CU31:DQ35"/>
    <mergeCell ref="CT37:DQ46"/>
    <mergeCell ref="CT53:DQ67"/>
    <mergeCell ref="CT69:DQ91"/>
    <mergeCell ref="CT94:DQ106"/>
    <mergeCell ref="BV129:CN131"/>
    <mergeCell ref="CB139:CE140"/>
    <mergeCell ref="CL144:CO148"/>
    <mergeCell ref="CP144:CS148"/>
    <mergeCell ref="BV150:CS153"/>
    <mergeCell ref="BV162:BW163"/>
    <mergeCell ref="DF162:DG163"/>
    <mergeCell ref="BX162:CF163"/>
    <mergeCell ref="CG162:CH163"/>
    <mergeCell ref="CU162:CV163"/>
    <mergeCell ref="BV169:BX171"/>
    <mergeCell ref="BY169:CA171"/>
    <mergeCell ref="CB169:CF171"/>
    <mergeCell ref="DA169:DE171"/>
    <mergeCell ref="CU164:CV167"/>
    <mergeCell ref="CU169:CW171"/>
    <mergeCell ref="CX169:CZ171"/>
    <mergeCell ref="CW162:DE163"/>
    <mergeCell ref="DH162:DQ163"/>
    <mergeCell ref="BV133:CS135"/>
    <mergeCell ref="BV139:CA142"/>
    <mergeCell ref="BV146:CK148"/>
    <mergeCell ref="CU139:CZ142"/>
    <mergeCell ref="DA139:DD140"/>
    <mergeCell ref="DK144:DN148"/>
    <mergeCell ref="DO144:DR148"/>
    <mergeCell ref="CU146:DJ148"/>
    <mergeCell ref="CU150:DR153"/>
    <mergeCell ref="CU133:DR135"/>
    <mergeCell ref="CG169:CK169"/>
    <mergeCell ref="CL169:CN169"/>
    <mergeCell ref="CO169:CR169"/>
    <mergeCell ref="DF169:DJ169"/>
    <mergeCell ref="DK169:DM169"/>
    <mergeCell ref="DN169:DQ169"/>
    <mergeCell ref="CG170:CK170"/>
    <mergeCell ref="CL170:CN170"/>
    <mergeCell ref="CO170:CR170"/>
    <mergeCell ref="DF170:DJ170"/>
    <mergeCell ref="DK170:DM170"/>
    <mergeCell ref="DN170:DQ170"/>
    <mergeCell ref="CG171:CK171"/>
  </mergeCells>
  <phoneticPr fontId="282" type="noConversion"/>
  <conditionalFormatting sqref="BT10:BU10">
    <cfRule type="expression" priority="20">
      <formula>"if"</formula>
    </cfRule>
  </conditionalFormatting>
  <conditionalFormatting sqref="BT14">
    <cfRule type="cellIs" dxfId="75" priority="21" operator="greaterThan">
      <formula>$BT$13</formula>
    </cfRule>
  </conditionalFormatting>
  <conditionalFormatting sqref="CI23:CR23">
    <cfRule type="containsText" dxfId="74" priority="2" operator="containsText" text="未">
      <formula>NOT(ISERROR(SEARCH("未",CI23)))</formula>
    </cfRule>
  </conditionalFormatting>
  <conditionalFormatting sqref="CT29">
    <cfRule type="cellIs" dxfId="73" priority="98" operator="equal">
      <formula>"无"</formula>
    </cfRule>
    <cfRule type="cellIs" dxfId="72" priority="99" operator="equal">
      <formula>"过多！"</formula>
    </cfRule>
    <cfRule type="cellIs" dxfId="71" priority="100" operator="greaterThan">
      <formula>0</formula>
    </cfRule>
  </conditionalFormatting>
  <conditionalFormatting sqref="BC33">
    <cfRule type="cellIs" dxfId="70" priority="23" operator="equal">
      <formula>"×"</formula>
    </cfRule>
    <cfRule type="cellIs" dxfId="69" priority="24" operator="equal">
      <formula>"※"</formula>
    </cfRule>
    <cfRule type="cellIs" dxfId="68" priority="25" operator="equal">
      <formula>"⊙"</formula>
    </cfRule>
    <cfRule type="cellIs" dxfId="67" priority="26" operator="equal">
      <formula>"☆"</formula>
    </cfRule>
    <cfRule type="cellIs" dxfId="66" priority="27" operator="equal">
      <formula>"★"</formula>
    </cfRule>
  </conditionalFormatting>
  <conditionalFormatting sqref="BG52:BH52">
    <cfRule type="containsBlanks" dxfId="65" priority="13">
      <formula>LEN(TRIM(BG52))=0</formula>
    </cfRule>
  </conditionalFormatting>
  <conditionalFormatting sqref="BH83:BM83">
    <cfRule type="containsText" dxfId="64" priority="8" operator="containsText" text="不">
      <formula>NOT(ISERROR(SEARCH("不",BH83)))</formula>
    </cfRule>
  </conditionalFormatting>
  <conditionalFormatting sqref="BN83:BT83">
    <cfRule type="containsText" dxfId="63" priority="7" operator="containsText" text="不">
      <formula>NOT(ISERROR(SEARCH("不",BN83)))</formula>
    </cfRule>
  </conditionalFormatting>
  <conditionalFormatting sqref="BP84:BT84">
    <cfRule type="containsText" dxfId="62" priority="11" operator="containsText" text="未">
      <formula>NOT(ISERROR(SEARCH("未",BP84)))</formula>
    </cfRule>
  </conditionalFormatting>
  <conditionalFormatting sqref="BA96:BJ96">
    <cfRule type="containsText" dxfId="61" priority="10" operator="containsText" text="无">
      <formula>NOT(ISERROR(SEARCH("无",BA96)))</formula>
    </cfRule>
  </conditionalFormatting>
  <conditionalFormatting sqref="BK96:BT96">
    <cfRule type="containsText" dxfId="60" priority="9" operator="containsText" text="未">
      <formula>NOT(ISERROR(SEARCH("未",BK96)))</formula>
    </cfRule>
  </conditionalFormatting>
  <conditionalFormatting sqref="BM115:BT115">
    <cfRule type="containsText" dxfId="59" priority="6" operator="containsText" text="不">
      <formula>NOT(ISERROR(SEARCH("不",BM115)))</formula>
    </cfRule>
    <cfRule type="containsText" dxfId="58" priority="5" operator="containsText" text="未">
      <formula>NOT(ISERROR(SEARCH("未",BM115)))</formula>
    </cfRule>
  </conditionalFormatting>
  <conditionalFormatting sqref="AY25:AY64">
    <cfRule type="cellIs" dxfId="57" priority="93" operator="equal">
      <formula>"×"</formula>
    </cfRule>
    <cfRule type="cellIs" dxfId="56" priority="94" operator="equal">
      <formula>"※"</formula>
    </cfRule>
    <cfRule type="cellIs" dxfId="55" priority="95" operator="equal">
      <formula>"⊙"</formula>
    </cfRule>
    <cfRule type="cellIs" dxfId="54" priority="96" operator="equal">
      <formula>"☆"</formula>
    </cfRule>
    <cfRule type="cellIs" dxfId="53" priority="97" operator="equal">
      <formula>"★"</formula>
    </cfRule>
  </conditionalFormatting>
  <conditionalFormatting sqref="AY65:AY104">
    <cfRule type="cellIs" dxfId="52" priority="73" operator="equal">
      <formula>"×"</formula>
    </cfRule>
    <cfRule type="cellIs" dxfId="51" priority="74" operator="equal">
      <formula>"※"</formula>
    </cfRule>
    <cfRule type="cellIs" dxfId="50" priority="75" operator="equal">
      <formula>"⊙"</formula>
    </cfRule>
    <cfRule type="cellIs" dxfId="49" priority="76" operator="equal">
      <formula>"☆"</formula>
    </cfRule>
    <cfRule type="cellIs" dxfId="48" priority="77" operator="equal">
      <formula>"★"</formula>
    </cfRule>
  </conditionalFormatting>
  <conditionalFormatting sqref="BI8 BD12">
    <cfRule type="containsText" dxfId="47" priority="3" operator="containsText" text="未">
      <formula>NOT(ISERROR(SEARCH("未",BD8)))</formula>
    </cfRule>
  </conditionalFormatting>
  <conditionalFormatting sqref="AR12:AS22">
    <cfRule type="cellIs" dxfId="46" priority="17" operator="lessThan">
      <formula>0</formula>
    </cfRule>
  </conditionalFormatting>
  <conditionalFormatting sqref="AR25:AS104 AR12:AS22 CG25:CH64 BK25:BL64">
    <cfRule type="cellIs" dxfId="45" priority="19" operator="greaterThan">
      <formula>0</formula>
    </cfRule>
  </conditionalFormatting>
  <conditionalFormatting sqref="BC25 BC55 BC63 BC61 BC59 BC57 BC53 BC51 BC49 BC47 BC45 BC43 BC41 BC39 BC37 BC35 BC31 BC29 BC27">
    <cfRule type="cellIs" dxfId="44" priority="48" operator="equal">
      <formula>"×"</formula>
    </cfRule>
    <cfRule type="cellIs" dxfId="43" priority="49" operator="equal">
      <formula>"※"</formula>
    </cfRule>
    <cfRule type="cellIs" dxfId="42" priority="50" operator="equal">
      <formula>"⊙"</formula>
    </cfRule>
    <cfRule type="cellIs" dxfId="41" priority="51" operator="equal">
      <formula>"☆"</formula>
    </cfRule>
    <cfRule type="cellIs" dxfId="40" priority="52" operator="equal">
      <formula>"★"</formula>
    </cfRule>
  </conditionalFormatting>
  <conditionalFormatting sqref="BY25 BY63 BY61 BY59 BY57 BY55 BY53 BY51 BY49 BY47 BY45 BY43 BY41 BY39 BY37 BY35 BY33 BY31 BY29 BY27">
    <cfRule type="cellIs" dxfId="39" priority="38" operator="equal">
      <formula>"×"</formula>
    </cfRule>
    <cfRule type="cellIs" dxfId="38" priority="39" operator="equal">
      <formula>"※"</formula>
    </cfRule>
    <cfRule type="cellIs" dxfId="37" priority="40" operator="equal">
      <formula>"⊙"</formula>
    </cfRule>
    <cfRule type="cellIs" dxfId="36" priority="41" operator="equal">
      <formula>"☆"</formula>
    </cfRule>
    <cfRule type="cellIs" dxfId="35" priority="42" operator="equal">
      <formula>"★"</formula>
    </cfRule>
  </conditionalFormatting>
  <conditionalFormatting sqref="BC26 BC56 BC64 BC62 BC60 BC58 BC54 BC52 BC50 BC48 BC46 BC44 BC42 BC40 BC38 BC36 BC34 BC32 BC30 BC28">
    <cfRule type="cellIs" dxfId="34" priority="43" operator="equal">
      <formula>"×"</formula>
    </cfRule>
    <cfRule type="cellIs" dxfId="33" priority="44" operator="equal">
      <formula>"※"</formula>
    </cfRule>
    <cfRule type="cellIs" dxfId="32" priority="45" operator="equal">
      <formula>"⊙"</formula>
    </cfRule>
    <cfRule type="cellIs" dxfId="31" priority="46" operator="equal">
      <formula>"☆"</formula>
    </cfRule>
    <cfRule type="cellIs" dxfId="30" priority="47" operator="equal">
      <formula>"★"</formula>
    </cfRule>
  </conditionalFormatting>
  <conditionalFormatting sqref="BY26 BY64 BY62 BY60 BY58 BY56 BY54 BY52 BY50 BY48 BY46 BY44 BY42 BY40 BY38 BY36 BY34 BY32 BY30 BY28">
    <cfRule type="cellIs" dxfId="29" priority="33" operator="equal">
      <formula>"×"</formula>
    </cfRule>
    <cfRule type="cellIs" dxfId="28" priority="34" operator="equal">
      <formula>"※"</formula>
    </cfRule>
    <cfRule type="cellIs" dxfId="27" priority="35" operator="equal">
      <formula>"⊙"</formula>
    </cfRule>
    <cfRule type="cellIs" dxfId="26" priority="36" operator="equal">
      <formula>"☆"</formula>
    </cfRule>
    <cfRule type="cellIs" dxfId="25" priority="37" operator="equal">
      <formula>"★"</formula>
    </cfRule>
  </conditionalFormatting>
  <conditionalFormatting sqref="BV75 CQ92">
    <cfRule type="containsText" dxfId="24" priority="4" operator="containsText" text="未">
      <formula>NOT(ISERROR(SEARCH("未",BV75)))</formula>
    </cfRule>
  </conditionalFormatting>
  <conditionalFormatting sqref="BI132:BJ133 BS132:BT133">
    <cfRule type="containsText" dxfId="23" priority="1" operator="containsText" text="未">
      <formula>NOT(ISERROR(SEARCH("未",BI132)))</formula>
    </cfRule>
  </conditionalFormatting>
  <dataValidations count="148">
    <dataValidation type="list" allowBlank="1" showInputMessage="1" showErrorMessage="1" sqref="BC4" xr:uid="{00000000-0002-0000-0000-000002000000}">
      <formula1>$AA$162:$AA$167</formula1>
    </dataValidation>
    <dataValidation type="list" allowBlank="1" showInputMessage="1" showErrorMessage="1" sqref="CA4" xr:uid="{00000000-0002-0000-0000-000004000000}">
      <formula1>$B$108:$B$134</formula1>
    </dataValidation>
    <dataValidation type="list" allowBlank="1" showInputMessage="1" showErrorMessage="1" sqref="BL10:BM10" xr:uid="{00000000-0002-0000-0000-000008000000}">
      <formula1>"1920s,现代,其他"</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BD12:BH12" xr:uid="{00000000-0002-0000-0000-00000A000000}">
      <formula1>1</formula1>
      <formula2>120</formula2>
    </dataValidation>
    <dataValidation type="list" allowBlank="1" showInputMessage="1" sqref="BD13:BH13" xr:uid="{00000000-0002-0000-0000-00000B000000}">
      <formula1>国家</formula1>
    </dataValidation>
    <dataValidation type="list" allowBlank="1" showInputMessage="1" promptTitle="国籍" prompt="国家名称" sqref="BC14:BE14 BK14:BM14" xr:uid="{00000000-0002-0000-0000-00000D000000}">
      <formula1>国家</formula1>
    </dataValidation>
    <dataValidation type="list" allowBlank="1" showInputMessage="1" promptTitle="省/州" prompt="省/州名称" sqref="BF14:BH14" xr:uid="{00000000-0002-0000-0000-00000E000000}">
      <formula1>INDIRECT($BC$14)</formula1>
    </dataValidation>
    <dataValidation type="list" allowBlank="1" showInputMessage="1" promptTitle="省/州" prompt="省/州名称" sqref="BN14:BP14" xr:uid="{00000000-0002-0000-0000-00000F000000}">
      <formula1>INDIRECT($BK$14)</formula1>
    </dataValidation>
    <dataValidation allowBlank="1" showInputMessage="1" showErrorMessage="1" promptTitle="市区" prompt="城市/区县名称" sqref="BC15:BE15 BK15:BM15" xr:uid="{00000000-0002-0000-0000-000010000000}"/>
    <dataValidation allowBlank="1" showInputMessage="1" showErrorMessage="1" promptTitle="街道（号码牌）" prompt="街道名称（街道号码牌）" sqref="BF15:BH15 BN15:BP15" xr:uid="{00000000-0002-0000-0000-000011000000}"/>
    <dataValidation type="list" allowBlank="1" showInputMessage="1" showErrorMessage="1" sqref="BD17" xr:uid="{00000000-0002-0000-0000-000012000000}">
      <formula1>"公元,公元前"</formula1>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BF17" xr:uid="{00000000-0002-0000-0000-000013000000}">
      <formula1>32767</formula1>
    </dataValidation>
    <dataValidation allowBlank="1" showInputMessage="1" showErrorMessage="1" sqref="BI17 BK17 BM17 BP17 CF21 BG46 DP81:DQ81 CT86:CV86 X107 AF107 X109 AF109 X111 X113 X115 X121 R128 U128:V128 BA33:BA34 CC41:CC42" xr:uid="{00000000-0002-0000-0000-000014000000}"/>
    <dataValidation allowBlank="1" showInputMessage="1" showErrorMessage="1" promptTitle="提示" prompt="MP是每小时恢复一次的_x000a_人类一般来说都会一小时恢复1点_x000a_但是有极少数人可以达到一小时恢复2点" sqref="BZ19" xr:uid="{00000000-0002-0000-0000-000015000000}"/>
    <dataValidation allowBlank="1" showErrorMessage="1" sqref="CH19 BK76 BM76:BN76 BQ76:BR76" xr:uid="{00000000-0002-0000-0000-000016000000}"/>
    <dataValidation type="list" allowBlank="1" showInputMessage="1" showErrorMessage="1" sqref="DJ19:DK19 BQ20:BR20" xr:uid="{00000000-0002-0000-0000-000017000000}">
      <formula1>"清醒,临时性疯狂,不定性疯狂,永久疯狂"</formula1>
    </dataValidation>
    <dataValidation allowBlank="1" showInputMessage="1" showErrorMessage="1" promptTitle="增长值" prompt="此处填入幸运的回复值，并且右键选择“添加注释”解释（如：从怪物手下逃生：幸运+1d3；全员存活：幸运+1d5）" sqref="AO20" xr:uid="{00000000-0002-0000-0000-000018000000}"/>
    <dataValidation allowBlank="1" showInputMessage="1" showErrorMessage="1" promptTitle="衰退值" prompt="此处填入幸运的损失值，并且右键选择“添加注释”解释原因（如：燃烧幸运改变检定结果：幸运-5；消耗幸运维持意识：幸运-6）" sqref="AQ20" xr:uid="{00000000-0002-0000-0000-000019000000}"/>
    <dataValidation type="list" allowBlank="1" showInputMessage="1" showErrorMessage="1" sqref="DH20 DP20 CQ78 BY124:CA124 CX124:CZ124 CH127 DG127 CH163 DG163 CQ80:CQ82 CQ84:CQ86 CQ88:CQ91 BA56:BB57" xr:uid="{00000000-0002-0000-0000-00001B000000}">
      <formula1>"☐,☑"</formula1>
    </dataValidation>
    <dataValidation allowBlank="1" showInputMessage="1" showErrorMessage="1" promptTitle="增长值" prompt="此处填入理智的回复值，并且右键选择“添加注释”解释（如：击败怪物：SAN+1d3；拯救重要任务：SAN+1d5）" sqref="AO21" xr:uid="{00000000-0002-0000-0000-00001C000000}"/>
    <dataValidation allowBlank="1" showInputMessage="1" showErrorMessage="1" promptTitle="衰退值" prompt="此处填入理智的损失值，并且右键选择“添加注释”解释原因（如：目击怪物：SAN-1d5；阅读神话典籍：SAN-3）" sqref="AQ21" xr:uid="{00000000-0002-0000-0000-00001D000000}"/>
    <dataValidation allowBlank="1" showInputMessage="1" showErrorMessage="1" promptTitle="提示" prompt="你可以在下方“法术一览”内输入法术并且在这里输入成功使用过的法术的编号" sqref="BT21 BW21 CA21" xr:uid="{00000000-0002-0000-0000-00001E000000}"/>
    <dataValidation type="list" allowBlank="1" showInputMessage="1" showErrorMessage="1" sqref="CD21" xr:uid="{00000000-0002-0000-0000-00001F000000}">
      <formula1>"步式,轮式,履带,滑行,飞行,游泳,潜水,其他"</formula1>
    </dataValidation>
    <dataValidation type="list" allowBlank="1" showInputMessage="1" showErrorMessage="1" sqref="CH21" xr:uid="{00000000-0002-0000-0000-000020000000}">
      <formula1>"开,关"</formula1>
    </dataValidation>
    <dataValidation allowBlank="1" showInputMessage="1" showErrorMessage="1" promptTitle="成长" prompt="填入成长数值，右键此单元格，选择“添加注释”，可说明成长情况。（如：幕间成长；被霰弹枪重伤面门；通过阅读神话书籍）" sqref="AO22:AQ22 AO12:AO19 AO25:AO104" xr:uid="{00000000-0002-0000-0000-000022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BE25:BG25" xr:uid="{00000000-0002-0000-0000-000023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CA25:CB25" xr:uid="{00000000-0002-0000-0000-000024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BE26:BF26" xr:uid="{00000000-0002-0000-0000-000025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CA26:CC26" xr:uid="{00000000-0002-0000-0000-000026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BE27:BG27" xr:uid="{00000000-0002-0000-0000-000027000000}"/>
    <dataValidation allowBlank="1" showInputMessage="1" showErrorMessage="1" promptTitle="Sleight of Hand (10%)" prompt="- 使技能使用者能够利用杂物、布、其他遮蔽物或是使人产生错觉的道具如使用暗板或隔层来对某件或某些物体进行视觉上的遮挡、藏匿或掩盖。_x000a_- 任何种类的巨大物件应当增加藏匿的难度。_x000a_- 妙手包括偷窃，卡牌魔术，以及秘密使用手机。" sqref="CA27:CD27" xr:uid="{00000000-0002-0000-0000-000028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BE28:BG28" xr:uid="{00000000-0002-0000-0000-000029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CA28:CB28" xr:uid="{00000000-0002-0000-0000-00002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BE29:BG29" xr:uid="{00000000-0002-0000-0000-00002B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W29:BX29 BA55:BB55 BW61:BX61 BA25:BA32 BA35:BA43 BA46:BA54 BA58:BA64 BW25:BW28 BW30:BW60 BW62:BW64" xr:uid="{00000000-0002-0000-0000-00002C000000}">
      <formula1>"☐,☑"</formula1>
    </dataValidation>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CA29:CB29" xr:uid="{00000000-0002-0000-0000-00002D000000}"/>
    <dataValidation type="list" allowBlank="1" showInputMessage="1" showErrorMessage="1" sqref="CT29" xr:uid="{00000000-0002-0000-0000-00002E000000}">
      <formula1>"提示当前职业,停用提示(用于更改职业的角色)"</formula1>
    </dataValidation>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BE30:BG30" xr:uid="{00000000-0002-0000-0000-00002F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CA30:CB30" xr:uid="{00000000-0002-0000-0000-000030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BE31:BF31" xr:uid="{00000000-0002-0000-0000-000031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CA31:CB31" xr:uid="{00000000-0002-0000-0000-000032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BE32:BF32" xr:uid="{00000000-0002-0000-0000-000033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CA32:CB32" xr:uid="{00000000-0002-0000-0000-000034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BE33:BG33" xr:uid="{00000000-0002-0000-0000-000035000000}"/>
    <dataValidation allowBlank="1" showInputMessage="1" showErrorMessage="1" promptTitle="提示" prompt="信用评级至少要用职业点点至信用范围最低值才能使用兴趣点增加信用评级" sqref="BO33" xr:uid="{00000000-0002-0000-0000-000036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CA33:CD33" xr:uid="{00000000-0002-0000-0000-000037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BE34" xr:uid="{00000000-0002-0000-0000-000038000000}"/>
    <dataValidation allowBlank="1" showInputMessage="1" showErrorMessage="1" promptTitle="Psychology (10%)" prompt="对所有人来说都很通用的察觉方面的技能，允许使用者研究个人并且形成对于其他某人动机和人格的了解。" sqref="CA34:CB34" xr:uid="{00000000-0002-0000-0000-000039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BE35:BF35" xr:uid="{00000000-0002-0000-0000-00003A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CA35:CD35" xr:uid="{00000000-0002-0000-0000-00003B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BE36:BG36" xr:uid="{00000000-0002-0000-0000-00003C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CA36:CC36" xr:uid="{00000000-0002-0000-0000-00003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BE37:BG37" xr:uid="{00000000-0002-0000-0000-00003E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CA37:CC37" xr:uid="{00000000-0002-0000-0000-00003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BE38:BF38" xr:uid="{00000000-0002-0000-0000-00004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CA38:CB38" xr:uid="{00000000-0002-0000-0000-000041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BE39:BF39" xr:uid="{00000000-0002-0000-0000-00004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CA39:CC39" xr:uid="{00000000-0002-0000-0000-000043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BE40:BG40" xr:uid="{00000000-0002-0000-0000-000044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CA40:CC40" xr:uid="{00000000-0002-0000-0000-000045000000}"/>
    <dataValidation type="list" allowBlank="1" showInputMessage="1" sqref="BG41:BH41" xr:uid="{00000000-0002-0000-0000-000046000000}">
      <formula1>"地质学,化学,生物学,数学,天文学,物理学,药学,植物学,动物学,密码学,工程学,气象学,司法科学,"</formula1>
    </dataValidation>
    <dataValidation type="list" allowBlank="1" showInputMessage="1" sqref="BG42:BH42" xr:uid="{00000000-0002-0000-0000-000047000000}">
      <formula1>"地质学,化学,生物学,数学,天文学,物理学,药学,植物学,动物学,密码学,工程学,气象学,司法科学"</formula1>
    </dataValidation>
    <dataValidation allowBlank="1" showInputMessage="1" showErrorMessage="1" promptTitle="Swim (20%)" prompt="- 有能力在水或者其他液体中漂浮以及移动。_x000a_- 只有在遭遇危险的时候需要进行游泳技能检定，或者当 KP认为合适的时候。" sqref="CA43:CB43" xr:uid="{00000000-0002-0000-0000-000048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CA44" xr:uid="{00000000-0002-0000-0000-000049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CA45:CB45" xr:uid="{00000000-0002-0000-0000-00004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BE46" xr:uid="{00000000-0002-0000-0000-00004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CA46:CC46" xr:uid="{00000000-0002-0000-0000-00004C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BE47:BF47" xr:uid="{00000000-0002-0000-0000-00004D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BE48 BE50" xr:uid="{00000000-0002-0000-0000-00004E000000}"/>
    <dataValidation type="list" allowBlank="1" showInputMessage="1" showErrorMessage="1" sqref="BG49:BH49 BG51:BH51" xr:uid="{00000000-0002-0000-0000-00004F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CA49:CC49" xr:uid="{00000000-0002-0000-0000-000050000000}"/>
    <dataValidation type="list" allowBlank="1" showInputMessage="1" sqref="BG50:BH50 BG47:BH48" xr:uid="{00000000-0002-0000-0000-000051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CA50:CB50" xr:uid="{00000000-0002-0000-0000-000052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CA51:CB51" xr:uid="{00000000-0002-0000-0000-000053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BE52" xr:uid="{00000000-0002-0000-0000-000054000000}"/>
    <dataValidation allowBlank="1" showInputMessage="1" showErrorMessage="1" promptTitle="母语" prompt="此处填写人物的母语。例，母语为英语，则在此处填写英语。_x000a_填写内容影响检定，请务必准确填写！_x000a_" sqref="BG52:BH52" xr:uid="{00000000-0002-0000-0000-000055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CA52:CB52" xr:uid="{00000000-0002-0000-0000-000056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CA53:CB53" xr:uid="{00000000-0002-0000-0000-000057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CA54:CB54" xr:uid="{00000000-0002-0000-0000-000058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CA57:CB57" xr:uid="{00000000-0002-0000-0000-000059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BE58:BG58" xr:uid="{00000000-0002-0000-0000-00005A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CA58:CB58" xr:uid="{00000000-0002-0000-0000-00005B000000}"/>
    <dataValidation type="list" allowBlank="1" showInputMessage="1" sqref="CC60:CD60" xr:uid="{00000000-0002-0000-0000-00005C000000}">
      <formula1>"步枪/霰弹枪,冲锋枪,弓术,喷射器,机枪,重武器,"</formula1>
    </dataValidation>
    <dataValidation type="list" allowBlank="1" showInputMessage="1" sqref="CC61:CD61 CC63:CD63" xr:uid="{00000000-0002-0000-0000-00005D000000}">
      <formula1>"步枪/霰弹枪,冲锋枪,弓术,喷射器,机枪,重武器"</formula1>
    </dataValidation>
    <dataValidation type="list" allowBlank="1" showInputMessage="1" showErrorMessage="1" sqref="CC62:CD62 CC64:CD64" xr:uid="{00000000-0002-0000-0000-00005E000000}">
      <formula1>"步枪/霰弹枪,冲锋枪,弓术,喷射器,机枪,重武器"</formula1>
    </dataValidation>
    <dataValidation allowBlank="1" showInputMessage="1" showErrorMessage="1" promptTitle="关键连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CQ75:CR75" xr:uid="{00000000-0002-0000-0000-000061000000}"/>
    <dataValidation type="list" allowBlank="1" showErrorMessage="1" sqref="CQ76" xr:uid="{00000000-0002-0000-0000-000062000000}">
      <formula1>"☐,☑"</formula1>
    </dataValidation>
    <dataValidation type="list" allowBlank="1" showInputMessage="1" showErrorMessage="1" promptTitle="腐化" prompt="每当调查员经历一次疯狂发作后，守秘人都可以在调查员角色卡上添加或修改一项背景条目。比起将某条背景条目替换为全新的内容，腐化现有的背景条目会更有利于构建故事情节，并有助于维持故事的连续性。修改背景条目可能会直接影响调查员的思维——游戏中的现实并没有改变，但调查员却对现实的某个层面有所领悟。" sqref="BY77:BZ77 BY79:BZ79 BY81:BZ81 BY83:BZ83 BY85:BZ85 BY87:BZ87 BY89:BZ89" xr:uid="{00000000-0002-0000-0000-000064000000}">
      <formula1>"☐,☑"</formula1>
    </dataValidation>
    <dataValidation allowBlank="1" showInputMessage="1" showErrorMessage="1" promptTitle="武器价值" prompt="请仔细对比角色信誉是否能够负担得起所选的武器。" sqref="BS85:BT85" xr:uid="{00000000-0002-0000-0000-000065000000}"/>
    <dataValidation allowBlank="1" showInputMessage="1" showErrorMessage="1" promptTitle="子弹价值" prompt="请仔细对比角色信誉是否能够负担得起足够的弹药。" sqref="BS91:BT91" xr:uid="{00000000-0002-0000-0000-000066000000}"/>
    <dataValidation type="whole" allowBlank="1" showInputMessage="1" showErrorMessage="1" sqref="DK93:DQ93" xr:uid="{00000000-0002-0000-0000-000068000000}">
      <formula1>1890</formula1>
      <formula2>2023</formula2>
    </dataValidation>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A98 BA116 BA131 BK131" xr:uid="{00000000-0002-0000-0000-000069000000}"/>
    <dataValidation allowBlank="1" showInputMessage="1" showErrorMessage="1" promptTitle="价值物" prompt="填入所有具有价值的物品的数据。_x000a_对物价不了解，请咨询物价参考或是询问KP。" sqref="BK99:BL99 BS99:BT99 BI132:BJ132 BS132:BT132" xr:uid="{00000000-0002-0000-0000-00006A000000}"/>
    <dataValidation allowBlank="1" showInputMessage="1" showErrorMessage="1" promptTitle="脖子/项" prompt="脖子上佩戴的物品_x000a_（金项链、铁项圈）" sqref="BC117:BD117" xr:uid="{00000000-0002-0000-0000-00006E000000}"/>
    <dataValidation allowBlank="1" showInputMessage="1" showErrorMessage="1" promptTitle="脖子/项" prompt="脖子上佩戴的物品_x000a_" sqref="BE117:BJ117" xr:uid="{00000000-0002-0000-0000-00006F000000}"/>
    <dataValidation allowBlank="1" showInputMessage="1" showErrorMessage="1" promptTitle="价值物" prompt="普通的衣物用品无需记录，这里特指昂贵的物品_x000a_（如：黄金劳力士腕表、价值连城的丝绸吊带裙）" sqref="BK117:BL117 BS117:BT117" xr:uid="{00000000-0002-0000-0000-000070000000}"/>
    <dataValidation allowBlank="1" showInputMessage="1" showErrorMessage="1" promptTitle="帽子/面具" prompt="包裹头部或覆盖头顶的物品_x000a_（防毒面具、褐色礼帽、乌鸦面罩）" sqref="BC118:BD118" xr:uid="{00000000-0002-0000-0000-000071000000}"/>
    <dataValidation allowBlank="1" showInputMessage="1" showErrorMessage="1" promptTitle="帽子/面具" prompt="包裹头部或覆盖头顶的物品_x000a_" sqref="BE118:BJ118" xr:uid="{00000000-0002-0000-0000-000072000000}"/>
    <dataValidation allowBlank="1" showInputMessage="1" showErrorMessage="1" promptTitle="眼睛/眼罩" prompt="双目前方的物品_x000a_（金丝眼镜、黑色眼罩）" sqref="BC119:BD119" xr:uid="{00000000-0002-0000-0000-000073000000}"/>
    <dataValidation allowBlank="1" showInputMessage="1" showErrorMessage="1" promptTitle="眼镜/眼罩" prompt="放置于眼眶前的物品。_x000a_" sqref="BE119:BJ119" xr:uid="{00000000-0002-0000-0000-000074000000}"/>
    <dataValidation allowBlank="1" showInputMessage="1" showErrorMessage="1" promptTitle="口罩/牙" prompt="嘴内外所具有的东西_x000a_（白色口罩、金色智齿、铁牙套）" sqref="BC120:BD120" xr:uid="{00000000-0002-0000-0000-000075000000}"/>
    <dataValidation allowBlank="1" showInputMessage="1" showErrorMessage="1" promptTitle="口罩/面具" prompt="在嘴巴/面庞前用于遮挡的物品。" sqref="BE120:BJ120" xr:uid="{00000000-0002-0000-0000-000076000000}"/>
    <dataValidation allowBlank="1" showInputMessage="1" showErrorMessage="1" promptTitle="内衣/内衬" prompt="贴身衣物_x000a_（白色布衣、丝绸内衣）" sqref="BC121:BD121" xr:uid="{00000000-0002-0000-0000-000079000000}"/>
    <dataValidation allowBlank="1" showInputMessage="1" showErrorMessage="1" promptTitle="内衬/内衣" prompt="穿着在里面，贴身的衣物。" sqref="BE121:BJ121" xr:uid="{00000000-0002-0000-0000-00007A000000}"/>
    <dataValidation allowBlank="1" showInputMessage="1" showErrorMessage="1" promptTitle="领带" prompt="佩戴在脖子上的正式场合所需要的领带_x000a_（白色条纹带）" sqref="BC122:BD122" xr:uid="{00000000-0002-0000-0000-00007B000000}"/>
    <dataValidation allowBlank="1" showInputMessage="1" showErrorMessage="1" promptTitle="领带/项链" prompt="佩戴在脖子上的物品。" sqref="BE122:BJ122" xr:uid="{00000000-0002-0000-0000-00007C000000}"/>
    <dataValidation allowBlank="1" showInputMessage="1" showErrorMessage="1" promptTitle="外衣/外套" prompt="非贴身衣物_x000a_（棉外套、黑色风衣）" sqref="BC123:BD123" xr:uid="{00000000-0002-0000-0000-00007D000000}"/>
    <dataValidation allowBlank="1" showInputMessage="1" showErrorMessage="1" promptTitle="外套/外衣" prompt="穿着在外头的衣服。" sqref="BE123:BJ123" xr:uid="{00000000-0002-0000-0000-00007E000000}"/>
    <dataValidation allowBlank="1" showInputMessage="1" showErrorMessage="1" promptTitle="勋章/证件" prompt="通过某种方式挂在胸前的物品_x000a_（金色星状徽章、员工证件）" sqref="BC124:BD124" xr:uid="{00000000-0002-0000-0000-00007F000000}"/>
    <dataValidation allowBlank="1" showInputMessage="1" showErrorMessage="1" promptTitle="胸" prompt="胸前佩戴的物品。" sqref="BE124:BJ124" xr:uid="{00000000-0002-0000-0000-000080000000}"/>
    <dataValidation allowBlank="1" showInputMessage="1" showErrorMessage="1" promptTitle="腰带" prompt="通常与裤子连接在一起的捆绑物品_x000a_（牛皮腰带）" sqref="BC125:BD125" xr:uid="{00000000-0002-0000-0000-000081000000}"/>
    <dataValidation allowBlank="1" showInputMessage="1" showErrorMessage="1" promptTitle="腰带" prompt="佩戴在腰上的物品。" sqref="BE125:BJ125" xr:uid="{00000000-0002-0000-0000-000082000000}"/>
    <dataValidation allowBlank="1" showInputMessage="1" showErrorMessage="1" promptTitle="双手/单手" prompt="手上佩戴的物品_x000a_（白色手套、劳力士腕表、绿宝石手镯）" sqref="BC126:BD126" xr:uid="{00000000-0002-0000-0000-000083000000}"/>
    <dataValidation allowBlank="1" showInputMessage="1" showErrorMessage="1" promptTitle="手套/手镯" prompt="覆盖双手或是佩戴在手上的东西。" sqref="BE126:BJ126" xr:uid="{00000000-0002-0000-0000-000084000000}"/>
    <dataValidation type="list" allowBlank="1" showInputMessage="1" showErrorMessage="1" sqref="T127 V127" xr:uid="{00000000-0002-0000-0000-000085000000}">
      <formula1>"1,2,3,4,5,6,7,8,9,10"</formula1>
    </dataValidation>
    <dataValidation allowBlank="1" showInputMessage="1" showErrorMessage="1" promptTitle="裤子" prompt="穿着在下半身的衣物_x000a_（白色短裤、黑色筒裤）" sqref="BC127:BD127" xr:uid="{00000000-0002-0000-0000-000086000000}"/>
    <dataValidation allowBlank="1" showInputMessage="1" showErrorMessage="1" promptTitle="裤子/裙子" prompt="穿戴在下方的衣物。" sqref="BE127:BJ127" xr:uid="{00000000-0002-0000-0000-000087000000}"/>
    <dataValidation allowBlank="1" showInputMessage="1" showErrorMessage="1" promptTitle="鞋/靴" prompt="穿着在双脚上的，用于行走的物品_x000a_（棕色皮靴、白色布鞋）" sqref="BC128:BD128" xr:uid="{00000000-0002-0000-0000-000088000000}"/>
    <dataValidation allowBlank="1" showInputMessage="1" showErrorMessage="1" promptTitle="鞋/靴" prompt="覆盖脚部的物品。" sqref="BE128:BJ128" xr:uid="{00000000-0002-0000-0000-000089000000}"/>
    <dataValidation type="list" allowBlank="1" showInputMessage="1" showErrorMessage="1" promptTitle="房产类型" prompt="- 商品房：房地产开发公司开发的，在市场上出售的房屋。购房者购买后，拥有该房屋的产权。_x000a_- 经济适用房：国家为解决中低收入家庭的住房问题而修建的普通住房，价格更为优惠，但购房者在一定年限内不得将其上市交易。_x000a_- 公房：由国家以及国有企业、事业单位投资兴建、销售的住宅，在住宅未出售之前，住宅的产权（拥有权、占有权、处分权、收益权）归国家所有。_x000a_- 小产权房：农村集体土地上建设的房屋，其产权证不是由国家房管部门颁发，而是由乡政府或村政府颁发。_x000a_- 租用：向地产主人通过达成合约等方式所租用的房屋，仅具有居住权" sqref="CB142:CE142 DA142:DD142" xr:uid="{00000000-0002-0000-0000-00008A000000}">
      <formula1>"商品房,经济适用房,公房,小产权房,租用"</formula1>
    </dataValidation>
    <dataValidation type="list" allowBlank="1" showInputMessage="1" showErrorMessage="1" sqref="CD157:CG157 DC157:DF157" xr:uid="{00000000-0002-0000-0000-00008C000000}">
      <formula1>"官方机构,民间组织,校园组织,家族企业,信仰教团"</formula1>
    </dataValidation>
    <dataValidation allowBlank="1" showInputMessage="1" showErrorMessage="1" promptTitle="衰退" prompt="填入衰退数值，右键此单元格，选择“添加注释”，可说明衰退情况。（如：法术提取；命运抉择；失忆）" sqref="AQ12:AQ19 AQ25:AQ104" xr:uid="{00000000-0002-0000-0000-00008D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BE41:BE43" xr:uid="{00000000-0002-0000-0000-00008E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BE53:BE55" xr:uid="{00000000-0002-0000-0000-00008F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BE59:BE64" xr:uid="{00000000-0002-0000-0000-000090000000}"/>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BG53:BG55" xr:uid="{00000000-0002-0000-0000-000091000000}"/>
    <dataValidation type="whole" errorStyle="warning" allowBlank="1" showErrorMessage="1" errorTitle="警告" error="人类力量范围为0~99" sqref="BT9:BT10" xr:uid="{00000000-0002-0000-0000-000092000000}">
      <formula1>1</formula1>
      <formula2>99</formula2>
    </dataValidation>
    <dataValidation type="whole" errorStyle="warning" allowBlank="1" showInputMessage="1" showErrorMessage="1" errorTitle="警告" error="人类体质范围为0~99" sqref="BT11:BT12" xr:uid="{00000000-0002-0000-0000-000093000000}">
      <formula1>0</formula1>
      <formula2>99</formula2>
    </dataValidation>
    <dataValidation type="whole" errorStyle="warning" operator="greaterThanOrEqual" allowBlank="1" showInputMessage="1" promptTitle="提示" prompt="部分人类体型可以超99" sqref="BT13:BT14" xr:uid="{00000000-0002-0000-0000-000094000000}">
      <formula1>9</formula1>
    </dataValidation>
    <dataValidation type="whole" errorStyle="warning" allowBlank="1" showInputMessage="1" showErrorMessage="1" errorTitle="警告" error="人类敏捷范围为0~99" sqref="BZ9:BZ10" xr:uid="{00000000-0002-0000-0000-000095000000}">
      <formula1>0</formula1>
      <formula2>99</formula2>
    </dataValidation>
    <dataValidation type="whole" errorStyle="warning" allowBlank="1" showInputMessage="1" showErrorMessage="1" errorTitle="警告" error="人类外貌范围为0~99" sqref="BZ11:BZ12" xr:uid="{00000000-0002-0000-0000-000096000000}">
      <formula1>0</formula1>
      <formula2>99</formula2>
    </dataValidation>
    <dataValidation type="whole" errorStyle="warning" allowBlank="1" showInputMessage="1" showErrorMessage="1" errorTitle="警告" error="人类智力范围为0~99" sqref="BZ13:BZ14" xr:uid="{00000000-0002-0000-0000-000097000000}">
      <formula1>0</formula1>
      <formula2>99</formula2>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CA41:CA42" xr:uid="{00000000-0002-0000-0000-000098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CA47:CA48" xr:uid="{00000000-0002-0000-0000-000099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CA59:CA64" xr:uid="{00000000-0002-0000-0000-00009A000000}"/>
    <dataValidation type="whole" operator="greaterThanOrEqual" allowBlank="1" showInputMessage="1" showErrorMessage="1" promptTitle="提示" prompt="人类意志可以超越100，但这是特例" sqref="CF9:CF10" xr:uid="{00000000-0002-0000-0000-00009B000000}">
      <formula1>0</formula1>
    </dataValidation>
    <dataValidation type="whole" errorStyle="warning" allowBlank="1" showInputMessage="1" showErrorMessage="1" errorTitle="警告" error="人类教育范围为0~99" sqref="CF11:CF12" xr:uid="{00000000-0002-0000-0000-00009C000000}">
      <formula1>0</formula1>
      <formula2>99</formula2>
    </dataValidation>
    <dataValidation type="list" allowBlank="1" showInputMessage="1" showErrorMessage="1" sqref="BG43:BH45" xr:uid="{00000000-0002-0000-0000-00009D000000}">
      <formula1>"地质学,化学,生物学,数学,天文学,物理学,药学,植物学,动物学,密码学,工程学,气象学,司法科学"</formula1>
    </dataValidation>
    <dataValidation type="list" allowBlank="1" showInputMessage="1" sqref="CC47:CD48" xr:uid="{00000000-0002-0000-0000-00009E000000}">
      <formula1>"飞行器,船,"</formula1>
    </dataValidation>
    <dataValidation allowBlank="1" showInputMessage="1" sqref="BA85:BJ89" xr:uid="{00000000-0002-0000-0000-00009F000000}"/>
    <dataValidation allowBlank="1" showInputMessage="1" showErrorMessage="1" promptTitle="武器名称" prompt="-填写角色对武器的称呼，可以添加上配件、改装设备。_x000a_-如:(.45左轮) 柯尔特.45左轮【扩容】" sqref="BK85:BR89" xr:uid="{00000000-0002-0000-0000-0000A0000000}"/>
    <dataValidation type="list" allowBlank="1" showInputMessage="1" sqref="BG60:BH64" xr:uid="{00000000-0002-0000-0000-0000A4000000}">
      <formula1>"武术,鞭子,电锯,链枷,绞具,斧,剑,矛"</formula1>
    </dataValidation>
    <dataValidation allowBlank="1" showInputMessage="1" showErrorMessage="1" promptTitle="价值物" prompt="正常的调查员应当有房产（租用、永久）_x000a_还可能会有地产、汽车、债券，以及一些奢侈品之类的_x000a_经验丰富的调查员也可能将冒险过程中遇到的神话典籍与魔法物品妥善保管于家中/银行中。" sqref="BC132:BH135 BM132:BR135" xr:uid="{00000000-0002-0000-0000-0000A5000000}"/>
    <dataValidation allowBlank="1" showErrorMessage="1" promptTitle="弹药数量" prompt="-填写弹药数量_x000a_-弹药包装，规格_x000a_-如：.45左轮子弹 24盒装" sqref="BK91:BR95" xr:uid="{00000000-0002-0000-0000-0000A7000000}"/>
    <dataValidation type="list" allowBlank="1" showInputMessage="1" showErrorMessage="1" sqref="BV169:BX171 CU169:CW171" xr:uid="{00000000-0002-0000-0000-0000A8000000}">
      <formula1>"公开,秘密"</formula1>
    </dataValidation>
    <dataValidation type="list" allowBlank="1" showInputMessage="1" showErrorMessage="1" sqref="BA134:BB146 BK134:BL146" xr:uid="{00000000-0002-0000-0000-0000A9000000}">
      <formula1>"不动产,未携带,贵重物,座驾"</formula1>
    </dataValidation>
    <dataValidation allowBlank="1" showInputMessage="1" showErrorMessage="1" promptTitle="联系设备" prompt="房产中是否具有能与外界联系的设备？_x000a_诸如：固定电话、传真、台式电脑。" sqref="CL144:CO148 DK144:DN148" xr:uid="{00000000-0002-0000-0000-0000AA000000}"/>
    <dataValidation allowBlank="1" showInputMessage="1" showErrorMessage="1" promptTitle="雇佣人员" prompt="财政上有明显富裕的调查员，能够雇佣多余的人员来为自己的房产进行额外的工作。" sqref="CP144:CS148 DO144:DR148" xr:uid="{00000000-0002-0000-0000-0000AB000000}"/>
  </dataValidations>
  <pageMargins left="0.75" right="0.75" top="1" bottom="1" header="0.50902777777777797" footer="0.50902777777777797"/>
  <pageSetup paperSize="9" orientation="portrait"/>
  <ignoredErrors>
    <ignoredError sqref="BD12" listDataValidation="1"/>
  </ignoredErrors>
  <drawing r:id="rId1"/>
  <legacyDrawing r:id="rId2"/>
  <extLst>
    <ext xmlns:x14="http://schemas.microsoft.com/office/spreadsheetml/2009/9/main" uri="{CCE6A557-97BC-4b89-ADB6-D9C93CAAB3DF}">
      <x14:dataValidations xmlns:xm="http://schemas.microsoft.com/office/excel/2006/main" count="25">
        <x14:dataValidation type="list" allowBlank="1" showInputMessage="1" showErrorMessage="1" xr:uid="{00000000-0002-0000-0000-000000000000}">
          <x14:formula1>
            <xm:f>成长经历!$B$34:$B$71</xm:f>
          </x14:formula1>
          <xm:sqref>BC2:BG2</xm:sqref>
        </x14:dataValidation>
        <x14:dataValidation type="list" allowBlank="1" showInputMessage="1" showErrorMessage="1" xr:uid="{00000000-0002-0000-0000-000001000000}">
          <x14:formula1>
            <xm:f>成长经历!$AA$34:$AA$71</xm:f>
          </x14:formula1>
          <xm:sqref>CA2:CE2</xm:sqref>
        </x14:dataValidation>
        <x14:dataValidation type="list" allowBlank="1" showInputMessage="1" showErrorMessage="1" xr:uid="{00000000-0002-0000-0000-000003000000}">
          <x14:formula1>
            <xm:f>成长经历!$B$77:$B$113</xm:f>
          </x14:formula1>
          <xm:sqref>BD4:BG4</xm:sqref>
        </x14:dataValidation>
        <x14:dataValidation type="list" allowBlank="1" showInputMessage="1" showErrorMessage="1" xr:uid="{00000000-0002-0000-0000-000005000000}">
          <x14:formula1>
            <xm:f>成长经历!$AB$77:$AB$113</xm:f>
          </x14:formula1>
          <xm:sqref>CB4:CE4</xm:sqref>
        </x14:dataValidation>
        <x14:dataValidation type="list" allowBlank="1" showInputMessage="1" showErrorMessage="1" xr:uid="{00000000-0002-0000-0000-000006000000}">
          <x14:formula1>
            <xm:f>成长经历!$BA$35:$BA$71</xm:f>
          </x14:formula1>
          <xm:sqref>BC6:BE6</xm:sqref>
        </x14:dataValidation>
        <x14:dataValidation type="list" allowBlank="1" showInputMessage="1" showErrorMessage="1" xr:uid="{00000000-0002-0000-0000-000007000000}">
          <x14:formula1>
            <xm:f>成长经历!$BA$77:$BA$113</xm:f>
          </x14:formula1>
          <xm:sqref>CA6:CC6</xm:sqref>
        </x14:dataValidation>
        <x14:dataValidation type="list" allowBlank="1" showInputMessage="1" showErrorMessage="1" xr:uid="{00000000-0002-0000-0000-000009000000}">
          <x14:formula1>
            <xm:f>职业列表!$A$2:$A$237</xm:f>
          </x14:formula1>
          <xm:sqref>BL11:BP11</xm:sqref>
        </x14:dataValidation>
        <x14:dataValidation type="list" allowBlank="1" showInputMessage="1" xr:uid="{00000000-0002-0000-0000-00000C000000}">
          <x14:formula1>
            <xm:f>附表!$Z$243:$Z$263</xm:f>
          </x14:formula1>
          <xm:sqref>BL13:BP13</xm:sqref>
        </x14:dataValidation>
        <x14:dataValidation type="list" allowBlank="1" showInputMessage="1" showErrorMessage="1" xr:uid="{00000000-0002-0000-0000-00001A000000}">
          <x14:formula1>
            <xm:f>'C:\Users\Yangruixi\OneDrive - stu.cqnu.edu.cn\跑团\[COC7空白卡CY23Final.xlsx]附表'!#REF!</xm:f>
          </x14:formula1>
          <xm:sqref>BH20:BI20</xm:sqref>
        </x14:dataValidation>
        <x14:dataValidation type="list" allowBlank="1" showInputMessage="1" showErrorMessage="1" xr:uid="{00000000-0002-0000-0000-000021000000}">
          <x14:formula1>
            <xm:f>'防具表 载具表'!$B$2:$B$82</xm:f>
          </x14:formula1>
          <xm:sqref>CM21:CR21</xm:sqref>
        </x14:dataValidation>
        <x14:dataValidation type="list" allowBlank="1" showInputMessage="1" showErrorMessage="1" promptTitle="提示" prompt="如果选择“武术”，则须知伤害是随该技能熟练度改变的_x000a_" xr:uid="{00000000-0002-0000-0000-00005F000000}">
          <x14:formula1>
            <xm:f>'武器列表 战斗'!$B$2:$B$122</xm:f>
          </x14:formula1>
          <xm:sqref>BF69:BJ69 BF71:BJ71 BF73:BJ73</xm:sqref>
        </x14:dataValidation>
        <x14:dataValidation type="list" allowBlank="1" showInputMessage="1" showErrorMessage="1" xr:uid="{00000000-0002-0000-0000-000060000000}">
          <x14:formula1>
            <xm:f>'武器列表 战斗'!$B$2:$B$122</xm:f>
          </x14:formula1>
          <xm:sqref>BF70:BJ70 BF72:BJ72</xm:sqref>
        </x14:dataValidation>
        <x14:dataValidation type="list" allowBlank="1" showInputMessage="1" showErrorMessage="1" xr:uid="{00000000-0002-0000-0000-000063000000}">
          <x14:formula1>
            <xm:f>附表!$Z$243:$Z$263</xm:f>
          </x14:formula1>
          <xm:sqref>BR77:BT77</xm:sqref>
        </x14:dataValidation>
        <x14:dataValidation type="list" allowBlank="1" showInputMessage="1" showErrorMessage="1" xr:uid="{00000000-0002-0000-0000-000067000000}">
          <x14:formula1>
            <xm:f>附表!$AT$25:$AT$30</xm:f>
          </x14:formula1>
          <xm:sqref>CY93:DE93</xm:sqref>
        </x14:dataValidation>
        <x14:dataValidation type="list" allowBlank="1" showInputMessage="1" showErrorMessage="1" xr:uid="{00000000-0002-0000-0000-00006B000000}">
          <x14:formula1>
            <xm:f>附表!$AX$166:$AX$188</xm:f>
          </x14:formula1>
          <xm:sqref>CT108:DA108</xm:sqref>
        </x14:dataValidation>
        <x14:dataValidation type="list" allowBlank="1" showInputMessage="1" showErrorMessage="1" xr:uid="{00000000-0002-0000-0000-00006C000000}">
          <x14:formula1>
            <xm:f>附表!$BA$166:$BA$211</xm:f>
          </x14:formula1>
          <xm:sqref>DB108:DI108</xm:sqref>
        </x14:dataValidation>
        <x14:dataValidation type="list" allowBlank="1" showInputMessage="1" showErrorMessage="1" xr:uid="{00000000-0002-0000-0000-00006D000000}">
          <x14:formula1>
            <xm:f>附表!$BC$166:$BC$491</xm:f>
          </x14:formula1>
          <xm:sqref>DJ108:DQ108</xm:sqref>
        </x14:dataValidation>
        <x14:dataValidation type="list" allowBlank="1" showInputMessage="1" xr:uid="{00000000-0002-0000-0000-000077000000}">
          <x14:formula1>
            <xm:f>资产及物价参考!$M$146:$M$177</xm:f>
          </x14:formula1>
          <xm:sqref>BV120:CC120 CU120:DB120</xm:sqref>
        </x14:dataValidation>
        <x14:dataValidation type="list" allowBlank="1" showInputMessage="1" showErrorMessage="1" xr:uid="{00000000-0002-0000-0000-000078000000}">
          <x14:formula1>
            <xm:f>'防具表 载具表'!$Q$2:$Q$64</xm:f>
          </x14:formula1>
          <xm:sqref>CD120:CG120 DC120:DF120</xm:sqref>
        </x14:dataValidation>
        <x14:dataValidation type="list" allowBlank="1" showInputMessage="1" showErrorMessage="1" xr:uid="{00000000-0002-0000-0000-00008B000000}">
          <x14:formula1>
            <xm:f>附表!$B$20:$B$25</xm:f>
          </x14:formula1>
          <xm:sqref>BE148</xm:sqref>
        </x14:dataValidation>
        <x14:dataValidation type="list" allowBlank="1" showInputMessage="1" showErrorMessage="1" xr:uid="{00000000-0002-0000-0000-0000A1000000}">
          <x14:formula1>
            <xm:f>附表!$Q$23:$Q$25</xm:f>
          </x14:formula1>
          <xm:sqref>BA99:BB113 BA117:BB128</xm:sqref>
        </x14:dataValidation>
        <x14:dataValidation type="list" allowBlank="1" showInputMessage="1" showErrorMessage="1" xr:uid="{00000000-0002-0000-0000-0000A2000000}">
          <x14:formula1>
            <xm:f>附表!$O$16:$O$58</xm:f>
          </x14:formula1>
          <xm:sqref>BC99:BD113</xm:sqref>
        </x14:dataValidation>
        <x14:dataValidation type="list" allowBlank="1" showErrorMessage="1" promptTitle="房产类型" prompt="- 商品房：房地产开发公司开发的，在市场上出售的房屋。购房者购买后，拥有该房屋的产权。_x000a_- 经济适用房：国家为解决中低收入家庭的住房问题而修建的普通住房，价格更为优惠，但购房者在一定年限内不得将其上市交易。_x000a_- 公房：由国家以及国有企业、事业单位投资兴建、销售的住宅，在住宅未出售之前，住宅的产权（拥有权、占有权、处分权、收益权）归国家所有。_x000a_- 小产权房：农村集体土地上建设的房屋，其产权证不是由国家房管部门颁发，而是由乡政府或村政府颁发。_x000a_- 租用：向地产主人通过达成合约等方式所租用的房屋，仅具有居住权" xr:uid="{00000000-0002-0000-0000-0000A3000000}">
          <x14:formula1>
            <xm:f>资产及物价参考!$G$152:$G$180</xm:f>
          </x14:formula1>
          <xm:sqref>CB139:CE140 DA139:DD140</xm:sqref>
        </x14:dataValidation>
        <x14:dataValidation type="list" allowBlank="1" showInputMessage="1" xr:uid="{00000000-0002-0000-0000-0000A6000000}">
          <x14:formula1>
            <xm:f>资产及物价参考!$X$93:$X$109</xm:f>
          </x14:formula1>
          <xm:sqref>BA91:BJ95</xm:sqref>
        </x14:dataValidation>
        <x14:dataValidation type="list" allowBlank="1" showInputMessage="1" showErrorMessage="1" xr:uid="{00000000-0002-0000-0000-0000AC000000}">
          <x14:formula1>
            <xm:f>附表!$X$25:$X$104</xm:f>
          </x14:formula1>
          <xm:sqref>CZ25:DQ29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O491"/>
  <sheetViews>
    <sheetView topLeftCell="BC175" zoomScale="55" zoomScaleNormal="55" workbookViewId="0">
      <selection activeCell="BE233" sqref="BE233"/>
    </sheetView>
  </sheetViews>
  <sheetFormatPr defaultColWidth="9" defaultRowHeight="16.5" outlineLevelRow="1" outlineLevelCol="1"/>
  <cols>
    <col min="1" max="3" width="9" style="836" hidden="1" customWidth="1" outlineLevel="1"/>
    <col min="4" max="4" width="11.36328125" style="836" hidden="1" customWidth="1" outlineLevel="1"/>
    <col min="5" max="5" width="17.36328125" style="836" hidden="1" customWidth="1" outlineLevel="1"/>
    <col min="6" max="6" width="8.54296875" style="836" hidden="1" customWidth="1" outlineLevel="1"/>
    <col min="7" max="7" width="6.54296875" style="836" hidden="1" customWidth="1" outlineLevel="1"/>
    <col min="8" max="8" width="7.54296875" style="836" hidden="1" customWidth="1" outlineLevel="1"/>
    <col min="9" max="9" width="6.54296875" style="836" hidden="1" customWidth="1" outlineLevel="1"/>
    <col min="10" max="10" width="9.08984375" style="836" hidden="1" customWidth="1" outlineLevel="1"/>
    <col min="11" max="11" width="12.36328125" style="836" hidden="1" customWidth="1" outlineLevel="1"/>
    <col min="12" max="18" width="9" style="836" hidden="1" customWidth="1" outlineLevel="1"/>
    <col min="19" max="19" width="9" style="836" customWidth="1" collapsed="1"/>
    <col min="20" max="26" width="9" style="836" customWidth="1"/>
    <col min="27" max="27" width="9.81640625" style="836" customWidth="1"/>
    <col min="28" max="29" width="9" style="836" customWidth="1"/>
    <col min="30" max="30" width="13.453125" style="836" customWidth="1"/>
    <col min="31" max="31" width="10.6328125" style="836" hidden="1" customWidth="1" outlineLevel="1"/>
    <col min="32" max="34" width="17.81640625" style="836" hidden="1" customWidth="1" outlineLevel="1"/>
    <col min="35" max="37" width="14.6328125" style="836" hidden="1" customWidth="1" outlineLevel="1"/>
    <col min="38" max="40" width="15.90625" style="836" hidden="1" customWidth="1" outlineLevel="1"/>
    <col min="41" max="41" width="37.6328125" style="836" hidden="1" customWidth="1" outlineLevel="1"/>
    <col min="42" max="42" width="26.08984375" style="836" hidden="1" customWidth="1" outlineLevel="1"/>
    <col min="43" max="43" width="10.08984375" style="836" hidden="1" customWidth="1" outlineLevel="1"/>
    <col min="44" max="44" width="10.90625" style="836" hidden="1" customWidth="1" outlineLevel="1"/>
    <col min="45" max="45" width="16" style="836" hidden="1" customWidth="1" outlineLevel="1"/>
    <col min="46" max="46" width="9" style="836" hidden="1" customWidth="1" outlineLevel="1"/>
    <col min="47" max="47" width="9" style="836" customWidth="1" collapsed="1"/>
    <col min="48" max="51" width="9" style="836" customWidth="1"/>
    <col min="52" max="52" width="14" style="836" customWidth="1"/>
    <col min="53" max="53" width="17.81640625" style="836" customWidth="1"/>
    <col min="54" max="54" width="19.6328125" style="836" customWidth="1"/>
    <col min="55" max="55" width="9" style="836" customWidth="1"/>
    <col min="56" max="58" width="9" style="836"/>
    <col min="59" max="59" width="9" style="843"/>
    <col min="60" max="60" width="27.90625" style="844" customWidth="1"/>
    <col min="61" max="145" width="2.81640625" style="836" customWidth="1"/>
    <col min="146" max="16384" width="9" style="836"/>
  </cols>
  <sheetData>
    <row r="1" spans="1:145" hidden="1" outlineLevel="1">
      <c r="AJ1" s="2864" t="s">
        <v>455</v>
      </c>
      <c r="AK1" s="2864"/>
      <c r="AL1" s="2864"/>
    </row>
    <row r="2" spans="1:145" hidden="1" outlineLevel="1">
      <c r="B2" s="2827" t="s">
        <v>456</v>
      </c>
      <c r="C2" s="2827"/>
      <c r="D2" s="2827"/>
      <c r="E2" s="2827"/>
      <c r="S2" s="2862" t="s">
        <v>457</v>
      </c>
      <c r="T2" s="2865"/>
      <c r="U2" s="2865"/>
      <c r="V2" s="2865"/>
      <c r="W2" s="2865"/>
      <c r="X2" s="2865"/>
      <c r="Y2" s="2865"/>
      <c r="Z2" s="2865"/>
      <c r="AA2" s="2865"/>
      <c r="AB2" s="2865"/>
      <c r="AC2" s="2865"/>
      <c r="AD2" s="2865"/>
      <c r="AE2" s="2865"/>
      <c r="AF2" s="2865"/>
      <c r="AG2" s="2865"/>
      <c r="AH2" s="2865"/>
      <c r="AI2" s="2866"/>
    </row>
    <row r="3" spans="1:145" hidden="1" outlineLevel="1">
      <c r="A3" s="2774" t="s">
        <v>458</v>
      </c>
      <c r="B3" s="2776" t="s">
        <v>459</v>
      </c>
      <c r="C3" s="2778" t="s">
        <v>460</v>
      </c>
      <c r="D3" s="848" t="s">
        <v>461</v>
      </c>
      <c r="E3" s="849">
        <f>G14-I14</f>
        <v>0</v>
      </c>
      <c r="G3" s="845" t="s">
        <v>462</v>
      </c>
      <c r="H3" s="850" t="s">
        <v>463</v>
      </c>
      <c r="I3" s="850" t="s">
        <v>464</v>
      </c>
      <c r="J3" s="850" t="s">
        <v>465</v>
      </c>
      <c r="K3" s="850"/>
      <c r="L3" s="849"/>
      <c r="N3" s="2862" t="s">
        <v>466</v>
      </c>
      <c r="O3" s="2865"/>
      <c r="P3" s="2866"/>
      <c r="S3" s="851" t="s">
        <v>467</v>
      </c>
      <c r="T3" s="852" t="s">
        <v>468</v>
      </c>
      <c r="U3" s="853" t="s">
        <v>469</v>
      </c>
      <c r="V3" s="790" t="s">
        <v>470</v>
      </c>
      <c r="W3" s="790"/>
      <c r="X3" s="790"/>
      <c r="Y3" s="790"/>
      <c r="Z3" s="747"/>
      <c r="AA3" s="747"/>
      <c r="AB3" s="747"/>
      <c r="AD3" s="747"/>
      <c r="AE3" s="747"/>
      <c r="AF3" s="747"/>
      <c r="AI3" s="854"/>
    </row>
    <row r="4" spans="1:145" hidden="1" outlineLevel="1">
      <c r="A4" s="2775"/>
      <c r="B4" s="2777"/>
      <c r="C4" s="2779"/>
      <c r="D4" s="855" t="s">
        <v>471</v>
      </c>
      <c r="E4" s="854">
        <f>J14-I14</f>
        <v>0</v>
      </c>
      <c r="G4" s="856" t="s">
        <v>472</v>
      </c>
      <c r="H4" s="836" t="s">
        <v>473</v>
      </c>
      <c r="I4" s="836" t="s">
        <v>474</v>
      </c>
      <c r="J4" s="836" t="s">
        <v>475</v>
      </c>
      <c r="K4" s="836" t="s">
        <v>476</v>
      </c>
      <c r="L4" s="854" t="s">
        <v>477</v>
      </c>
      <c r="N4" s="856" t="s">
        <v>478</v>
      </c>
      <c r="P4" s="854"/>
      <c r="S4" s="857" t="str">
        <f>"力量×"&amp;U4</f>
        <v>力量×0</v>
      </c>
      <c r="T4" s="858" t="str">
        <f>职业列表!I20</f>
        <v>×</v>
      </c>
      <c r="U4" s="859">
        <f>职业列表!J20</f>
        <v>0</v>
      </c>
      <c r="V4" s="747">
        <f>G14*U4</f>
        <v>0</v>
      </c>
      <c r="W4" s="747"/>
      <c r="X4" s="860" t="str">
        <f t="shared" ref="X4:X12" si="0">IF(U4&gt;0,S4,"")</f>
        <v/>
      </c>
      <c r="Y4" s="748" t="str">
        <f t="shared" ref="Y4:Y11" si="1">IF(AND(U5&gt;0,U4&gt;0),"+","")</f>
        <v/>
      </c>
      <c r="Z4" s="747" t="str">
        <f>IF(U5&gt;0,S5,"")</f>
        <v/>
      </c>
      <c r="AA4" s="747"/>
      <c r="AC4" s="747"/>
      <c r="AD4" s="747"/>
      <c r="AE4" s="747"/>
      <c r="AF4" s="747"/>
      <c r="AI4" s="854"/>
      <c r="AK4" s="2872" t="s">
        <v>474</v>
      </c>
      <c r="AL4" s="861" t="s">
        <v>479</v>
      </c>
      <c r="AM4" s="862" t="s">
        <v>163</v>
      </c>
      <c r="AN4" s="862" t="s">
        <v>156</v>
      </c>
      <c r="AO4" s="863" t="s">
        <v>204</v>
      </c>
      <c r="AP4" s="863" t="s">
        <v>206</v>
      </c>
      <c r="AQ4" s="863" t="s">
        <v>480</v>
      </c>
      <c r="AR4" s="863" t="s">
        <v>481</v>
      </c>
      <c r="AS4" s="863" t="s">
        <v>482</v>
      </c>
      <c r="AT4" s="863" t="s">
        <v>483</v>
      </c>
      <c r="AU4" s="863" t="s">
        <v>484</v>
      </c>
      <c r="AV4" s="863" t="s">
        <v>485</v>
      </c>
      <c r="AW4" s="863" t="s">
        <v>486</v>
      </c>
      <c r="AX4" s="863" t="s">
        <v>487</v>
      </c>
      <c r="AY4" s="863" t="s">
        <v>488</v>
      </c>
      <c r="AZ4" s="863" t="s">
        <v>489</v>
      </c>
      <c r="BC4" s="862" t="s">
        <v>209</v>
      </c>
      <c r="BD4" s="862" t="s">
        <v>211</v>
      </c>
      <c r="BE4" s="862" t="s">
        <v>490</v>
      </c>
      <c r="BF4" s="862" t="s">
        <v>491</v>
      </c>
      <c r="BG4" s="864" t="s">
        <v>492</v>
      </c>
      <c r="BH4" s="865"/>
    </row>
    <row r="5" spans="1:145" hidden="1" outlineLevel="1">
      <c r="A5" s="866">
        <f>IF(人物卡!CH21="开",1,IF(人物卡!CH21="关",0))</f>
        <v>0</v>
      </c>
      <c r="B5" s="856">
        <f>IF(人物卡!CM21=0,"0",VLOOKUP(人物卡!CM21,'防具表 载具表'!B2:I101,3,FALSE))</f>
        <v>0</v>
      </c>
      <c r="C5" s="855">
        <f>IFERROR(0,IF(人物卡!BD12&lt;40,0,INT((人物卡!BD12/10)-3)))</f>
        <v>0</v>
      </c>
      <c r="D5" s="855" t="s">
        <v>493</v>
      </c>
      <c r="E5" s="854" t="str">
        <f>IF(E3&gt;0,"1",IF(E3=0,"0",IF(E3&lt;0,"-1")))</f>
        <v>0</v>
      </c>
      <c r="G5" s="856">
        <f>AVERAGE(人物卡!BZ13+人物卡!BQ25+人物卡!BQ26+人物卡!BQ27+人物卡!BQ28+人物卡!BQ34+人物卡!BQ36+人物卡!BQ55+人物卡!BQ56+人物卡!BQ57+人物卡!CM26+人物卡!CM27+人物卡!CM31+人物卡!CM33+人物卡!CM37+人物卡!CM38+人物卡!CM44+人物卡!CM49+人物卡!CM53-122)</f>
        <v>4</v>
      </c>
      <c r="H5" s="836">
        <f>AVERAGE(人物卡!BZ11+人物卡!BQ26+人物卡!BQ27+人物卡!BQ32+人物卡!BQ35+人物卡!BQ37+人物卡!BQ42+人物卡!BQ53+人物卡!BQ55+人物卡!BQ56+人物卡!BQ57+人物卡!BQ58+人物卡!CM25+人物卡!CM35+人物卡!CM37+人物卡!CM38+人物卡!CM44+人物卡!CM49+人物卡!CM53-111-人物卡!BI58)</f>
        <v>-17</v>
      </c>
      <c r="I5" s="836">
        <f>AVERAGE((人物卡!BT9+人物卡!BT13)/2+人物卡!BT11+人物卡!BZ9+人物卡!BQ38+人物卡!BQ43+人物卡!BQ44+人物卡!BQ45+人物卡!BQ47+人物卡!BQ48+人物卡!BQ49+人物卡!BQ53+人物卡!BQ54+人物卡!CM27+人物卡!CM34+人物卡!CM38+人物卡!CM39+人物卡!CM44+人物卡!CM45+人物卡!CM48+人物卡!CM50+人物卡!CM52+人物卡!CM54+人物卡!CM55-189-人物卡!BI38)</f>
        <v>-108</v>
      </c>
      <c r="J5" s="836">
        <f>AVERAGE(人物卡!BZ9+人物卡!BQ28+人物卡!BQ29+人物卡!BQ30+人物卡!BQ31+人物卡!BQ33+人物卡!BQ37+人物卡!BQ39+人物卡!BQ40+人物卡!BQ54+人物卡!CM28+人物卡!CM29+人物卡!CM30+人物卡!CM32+人物卡!CM34+人物卡!CM36+人物卡!CM39+人物卡!CM43+人物卡!CM45+人物卡!CM46+人物卡!CM47+人物卡!CM48+人物卡!CM49+人物卡!CM50+人物卡!CM51+人物卡!CM52+人物卡!CM54+人物卡!CM55-219)</f>
        <v>-8</v>
      </c>
      <c r="K5" s="836">
        <f>AVERAGE(人物卡!BQ51+人物卡!CM30+人物卡!CM37+人物卡!BQ39+人物卡!CM36+人物卡!CM39+人物卡!CM32+人物卡!BQ35+人物卡!BQ26+人物卡!CM50+人物卡!CM54+人物卡!CM55-76)</f>
        <v>22</v>
      </c>
      <c r="L5" s="854">
        <f>AVERAGE(人物卡!CF11+人物卡!BZ13+人物卡!BQ25+人物卡!BQ26+人物卡!BQ34+人物卡!BQ36+人物卡!BQ41+人物卡!BQ52+人物卡!BQ55+人物卡!BQ56+人物卡!BQ57+人物卡!BQ58-人物卡!BI58+人物卡!CM25+人物卡!CM26+人物卡!CM30+人物卡!CM31+人物卡!CM33+人物卡!CM37+人物卡!CM38+人物卡!CM40+人物卡!CM41+人物卡!CM42+人物卡!CM53-76)</f>
        <v>75</v>
      </c>
      <c r="N5" s="856">
        <f>IFERROR(G14+I14,0)</f>
        <v>0</v>
      </c>
      <c r="P5" s="854"/>
      <c r="R5" s="867"/>
      <c r="S5" s="857" t="str">
        <f>"敏捷×"&amp;U5</f>
        <v>敏捷×0</v>
      </c>
      <c r="T5" s="858" t="str">
        <f>职业列表!I21</f>
        <v>×</v>
      </c>
      <c r="U5" s="859">
        <f>职业列表!J21</f>
        <v>0</v>
      </c>
      <c r="V5" s="747">
        <f>J14*U5</f>
        <v>0</v>
      </c>
      <c r="W5" s="747"/>
      <c r="X5" s="856" t="str">
        <f t="shared" si="0"/>
        <v/>
      </c>
      <c r="Y5" s="748" t="str">
        <f t="shared" si="1"/>
        <v/>
      </c>
      <c r="Z5" s="747"/>
      <c r="AA5" s="747"/>
      <c r="AB5" s="747"/>
      <c r="AD5" s="747"/>
      <c r="AE5" s="747"/>
      <c r="AF5" s="747"/>
      <c r="AI5" s="854"/>
      <c r="AK5" s="2872"/>
      <c r="AL5" s="868" t="str">
        <f>IF(人物卡!BK69=AL4,"")</f>
        <v/>
      </c>
      <c r="AM5" s="869" t="b">
        <f>IF(人物卡!BK69=Blasting,blast)</f>
        <v>0</v>
      </c>
      <c r="AN5" s="869" t="b">
        <f>IF(人物卡!BK69=memaing,mema)</f>
        <v>0</v>
      </c>
      <c r="AO5" s="866" t="b">
        <f>IF(人物卡!BK69=arting,arti)</f>
        <v>0</v>
      </c>
      <c r="AP5" s="866" t="b">
        <f>IF(人物卡!BK69=throwing,throw)</f>
        <v>0</v>
      </c>
      <c r="AQ5" s="866" t="b">
        <f>IF(人物卡!BK69=dbog,dbo)</f>
        <v>0</v>
      </c>
      <c r="AR5" s="866" t="b">
        <f>IF(人物卡!BK69=dbtg,dbt)</f>
        <v>0</v>
      </c>
      <c r="AS5" s="866" t="b">
        <f>IF(人物卡!BK69=dbthg,dbth)</f>
        <v>0</v>
      </c>
      <c r="AT5" s="866" t="b">
        <f>IF(人物卡!BK69=dbfg,dbf)</f>
        <v>0</v>
      </c>
      <c r="AU5" s="866" t="b">
        <f>IF(人物卡!BK69=dbfig,dbfi)</f>
        <v>0</v>
      </c>
      <c r="AV5" s="869" t="b">
        <f>IF(人物卡!BK69=shog,sho)</f>
        <v>0</v>
      </c>
      <c r="AW5" s="869" t="b">
        <f>IF(人物卡!BK69=shtg,sht)</f>
        <v>0</v>
      </c>
      <c r="AX5" s="869" t="b">
        <f>IF(人物卡!BK69=shthg,shth)</f>
        <v>0</v>
      </c>
      <c r="AY5" s="869" t="b">
        <f>IF(人物卡!BK69=shfg,shf)</f>
        <v>0</v>
      </c>
      <c r="AZ5" s="869" t="b">
        <f>IF(人物卡!BK69=shfig,shfi)</f>
        <v>0</v>
      </c>
      <c r="BC5" s="869" t="b">
        <f>IF(人物卡!BK69=fighting,fight)</f>
        <v>0</v>
      </c>
      <c r="BD5" s="869" t="b">
        <f>IF(人物卡!BK69=pistoling,pistol)</f>
        <v>0</v>
      </c>
      <c r="BE5" s="870" t="str">
        <f>IF(BF5=0,IF(人物卡!BK69=附表!U227,附表!V227,IF(人物卡!BK69=附表!U220,附表!V220,IF(人物卡!BK69=附表!U221,附表!V221,IF(人物卡!BK69=附表!U219,附表!V219,IF(人物卡!BK69=附表!U224,附表!V224,IF(人物卡!BK69=附表!U225,附表!V225,IF(人物卡!BK69=附表!U223,附表!V223,IF(人物卡!BK69=附表!U222,附表!V222,IF(人物卡!BK69=附表!U226,技能注释!#REF!,IF(人物卡!BK69=附表!Q220,附表!R220,IF(人物卡!BK69=附表!Q221,附表!R221,IF(人物卡!BK69=附表!Q222,附表!R222,IF(人物卡!BK69=附表!Q223,附表!R223,IF(人物卡!BK69=附表!Q224,附表!R224,IF(人物卡!BK69=附表!Q219,附表!R219,IF(人物卡!BK69=附表!Q225,附表!R225,"")))))))))))))))))</f>
        <v/>
      </c>
      <c r="BF5" s="870">
        <f>MAX(AL5:BD5)</f>
        <v>0</v>
      </c>
      <c r="BG5" s="871" t="str">
        <f t="shared" ref="BG5:BG9" si="2">IF(BF5=0,BE5,BF5)</f>
        <v/>
      </c>
      <c r="BH5" s="865"/>
    </row>
    <row r="6" spans="1:145" ht="43.5" hidden="1" outlineLevel="1">
      <c r="A6" s="872"/>
      <c r="B6" s="413" t="s">
        <v>494</v>
      </c>
      <c r="C6" s="873" t="s">
        <v>495</v>
      </c>
      <c r="D6" s="855" t="s">
        <v>496</v>
      </c>
      <c r="E6" s="854" t="str">
        <f>IF(E4&gt;0,"1",IF(E4=0,"0",IF(E4&lt;0,"-1")))</f>
        <v>0</v>
      </c>
      <c r="G6" s="856"/>
      <c r="J6" s="836">
        <f>G5+H5+I5+J5+K5+L5</f>
        <v>-32</v>
      </c>
      <c r="L6" s="854"/>
      <c r="N6" s="413" t="s">
        <v>497</v>
      </c>
      <c r="O6" s="401" t="s">
        <v>498</v>
      </c>
      <c r="P6" s="874" t="s">
        <v>499</v>
      </c>
      <c r="R6" s="867"/>
      <c r="S6" s="857" t="str">
        <f>"体质×"&amp;U6</f>
        <v>体质×0</v>
      </c>
      <c r="T6" s="858" t="str">
        <f>职业列表!I22</f>
        <v>×</v>
      </c>
      <c r="U6" s="859">
        <f>职业列表!J22</f>
        <v>0</v>
      </c>
      <c r="V6" s="747">
        <f>H14*U6</f>
        <v>0</v>
      </c>
      <c r="W6" s="747"/>
      <c r="X6" s="875" t="str">
        <f t="shared" si="0"/>
        <v/>
      </c>
      <c r="Y6" s="748" t="str">
        <f t="shared" si="1"/>
        <v/>
      </c>
      <c r="Z6" s="747"/>
      <c r="AA6" s="747"/>
      <c r="AB6" s="747"/>
      <c r="AC6" s="747"/>
      <c r="AD6" s="747"/>
      <c r="AE6" s="747"/>
      <c r="AF6" s="747"/>
      <c r="AI6" s="854"/>
      <c r="AK6" s="2872"/>
      <c r="AL6" s="868" t="b">
        <f>IF(人物卡!BK70=$AL$4,"")</f>
        <v>0</v>
      </c>
      <c r="AM6" s="869" t="b">
        <f>IF(人物卡!BK70=AM4,blast)</f>
        <v>0</v>
      </c>
      <c r="AN6" s="869" t="b">
        <f>IF(人物卡!BK70=AN4,mema)</f>
        <v>0</v>
      </c>
      <c r="AO6" s="866" t="b">
        <f>IF(人物卡!BK70=AO4,arti)</f>
        <v>0</v>
      </c>
      <c r="AP6" s="866" t="b">
        <f>IF(人物卡!BK70=AP4,throw)</f>
        <v>0</v>
      </c>
      <c r="AQ6" s="866" t="b">
        <f>IF(ISBLANK(dbog),FALSE,IF(人物卡!BK70=dbog,dbo))</f>
        <v>0</v>
      </c>
      <c r="AR6" s="866">
        <f>IF(ISBLANK(dbt),FALSE,IF(人物卡!BK70=dbtg,dbt))</f>
        <v>0</v>
      </c>
      <c r="AS6" s="866">
        <f>IF(ISBLANK(dbth),FALSE,IF(人物卡!BK70=dbthg,dbth))</f>
        <v>0</v>
      </c>
      <c r="AT6" s="866">
        <f>IF(人物卡!BK70=dbfg,dbf)</f>
        <v>0</v>
      </c>
      <c r="AU6" s="866">
        <f>IF(人物卡!BK70=dbfig,dbfi)</f>
        <v>0</v>
      </c>
      <c r="AV6" s="869" t="b">
        <f>IF(ISBLANK(shog),FALSE,IF(人物卡!BK70=shog,sho))</f>
        <v>0</v>
      </c>
      <c r="AW6" s="869" t="b">
        <f>IF(ISBLANK(shtg),FALSE,IF(人物卡!BK70=shtg,sht))</f>
        <v>0</v>
      </c>
      <c r="AX6" s="869" t="b">
        <f>IF(ISBLANK(shthg),FALSE,IF(人物卡!BK70=shthg,shth))</f>
        <v>0</v>
      </c>
      <c r="AY6" s="869">
        <f>IF(人物卡!BK70=shfg,shf)</f>
        <v>0</v>
      </c>
      <c r="AZ6" s="869">
        <f>IF(人物卡!BK70=shfig,shfi)</f>
        <v>0</v>
      </c>
      <c r="BC6" s="869" t="b">
        <f>IF(人物卡!BK70=BC4,fight)</f>
        <v>0</v>
      </c>
      <c r="BD6" s="869" t="b">
        <f>IF(人物卡!BK70=BD4,pistol)</f>
        <v>0</v>
      </c>
      <c r="BE6" s="876" t="str">
        <f>IF(BF6=0,IF(人物卡!BK70=附表!U227,附表!V227,IF(人物卡!BK70=附表!U220,附表!V220,IF(人物卡!BK70=附表!U221,附表!V221,IF(人物卡!BK70=附表!U219,附表!V219,IF(人物卡!BK70=附表!U224,附表!V224,IF(人物卡!BK70=附表!U225,附表!V225,IF(人物卡!BK70=附表!U223,附表!V223,IF(人物卡!BK70=附表!U222,附表!V222,IF(人物卡!BK70=附表!U226,技能注释!#REF!,IF(人物卡!BK70=附表!Q220,附表!R220,IF(人物卡!BK70=附表!Q221,附表!R221,IF(人物卡!BK70=附表!Q222,附表!R222,IF(人物卡!BK70=附表!Q223,附表!R223,IF(人物卡!BK70=附表!Q224,附表!R224,IF(人物卡!BK70=附表!Q219,附表!R219,IF(人物卡!BK70=附表!Q225,附表!R225,"")))))))))))))))))</f>
        <v/>
      </c>
      <c r="BF6" s="876">
        <f>MAX(AL6:BD6)</f>
        <v>0</v>
      </c>
      <c r="BG6" s="877" t="str">
        <f t="shared" si="2"/>
        <v/>
      </c>
      <c r="BH6" s="865"/>
    </row>
    <row r="7" spans="1:145" hidden="1" outlineLevel="1">
      <c r="A7" s="872"/>
      <c r="B7" s="413" t="b">
        <f>ISNUMBER(B5)</f>
        <v>1</v>
      </c>
      <c r="C7" s="878">
        <f>IF(ISBLANK(人物卡!BD12),0,IF(人物卡!BD12&gt;=0,C5,0))</f>
        <v>0</v>
      </c>
      <c r="D7" s="855" t="s">
        <v>500</v>
      </c>
      <c r="E7" s="854">
        <f>E6+E5</f>
        <v>0</v>
      </c>
      <c r="G7" s="856" t="s">
        <v>472</v>
      </c>
      <c r="H7" s="836" t="s">
        <v>473</v>
      </c>
      <c r="I7" s="836" t="s">
        <v>474</v>
      </c>
      <c r="J7" s="836" t="s">
        <v>475</v>
      </c>
      <c r="K7" s="836" t="s">
        <v>476</v>
      </c>
      <c r="L7" s="854" t="s">
        <v>477</v>
      </c>
      <c r="N7" s="856" t="str">
        <f>IF(N5&lt;=1,"0",IF(N5&lt;=64,"-2",IF(N5&lt;=84,"-1",IF(N5&lt;=124,"0",IF(N5&lt;=164,"1",IF(N5&lt;=204,"2",IF(N5&lt;=284,"3",IF(N5&gt;284,"4","0"))))))))</f>
        <v>0</v>
      </c>
      <c r="O7" s="836">
        <f>INT((N5-285)/80)</f>
        <v>-4</v>
      </c>
      <c r="P7" s="874" t="str">
        <f>IF(O7&gt;=0,O7+N7,N7)</f>
        <v>0</v>
      </c>
      <c r="R7" s="867"/>
      <c r="S7" s="857" t="str">
        <f>"体型×"&amp;U7</f>
        <v>体型×0</v>
      </c>
      <c r="T7" s="858" t="str">
        <f>职业列表!I23</f>
        <v>×</v>
      </c>
      <c r="U7" s="859">
        <f>职业列表!J23</f>
        <v>0</v>
      </c>
      <c r="V7" s="747">
        <f>I14*U7</f>
        <v>0</v>
      </c>
      <c r="W7" s="879"/>
      <c r="X7" s="875" t="str">
        <f t="shared" si="0"/>
        <v/>
      </c>
      <c r="Y7" s="748" t="str">
        <f t="shared" si="1"/>
        <v/>
      </c>
      <c r="Z7" s="747"/>
      <c r="AA7" s="747"/>
      <c r="AB7" s="747"/>
      <c r="AC7" s="747"/>
      <c r="AD7" s="747"/>
      <c r="AE7" s="747"/>
      <c r="AF7" s="747"/>
      <c r="AI7" s="854"/>
      <c r="AK7" s="2872"/>
      <c r="AL7" s="868" t="b">
        <f>IF(人物卡!BK71=$AL$4,"")</f>
        <v>0</v>
      </c>
      <c r="AM7" s="869" t="b">
        <f>IF(人物卡!BK71=$AM$4,blast)</f>
        <v>0</v>
      </c>
      <c r="AN7" s="869" t="b">
        <f>IF(人物卡!BK71=$AN$4,mema)</f>
        <v>0</v>
      </c>
      <c r="AO7" s="866" t="b">
        <f>IF(人物卡!BK71=$AO$4,arti)</f>
        <v>0</v>
      </c>
      <c r="AP7" s="866" t="b">
        <f>IF(人物卡!BK71=$AP$4,throw)</f>
        <v>0</v>
      </c>
      <c r="AQ7" s="866" t="b">
        <f>IF(ISBLANK(dbog),FALSE,IF(人物卡!BK71=dbog,dbo))</f>
        <v>0</v>
      </c>
      <c r="AR7" s="866">
        <f>IF(ISBLANK(dbt),FALSE,IF(人物卡!BK71=dbtg,dbt))</f>
        <v>0</v>
      </c>
      <c r="AS7" s="866">
        <f>IF(ISBLANK(dbth),FALSE,IF(人物卡!BK71=dbthg,dbth))</f>
        <v>0</v>
      </c>
      <c r="AT7" s="866">
        <f>IF(人物卡!BK71=dbfg,dbf)</f>
        <v>0</v>
      </c>
      <c r="AU7" s="866">
        <f>IF(人物卡!BK71=dbfig,dbfi)</f>
        <v>0</v>
      </c>
      <c r="AV7" s="869" t="b">
        <f>IF(ISBLANK(shog),FALSE,IF(人物卡!BK71=shog,sho))</f>
        <v>0</v>
      </c>
      <c r="AW7" s="869" t="b">
        <f>IF(ISBLANK(shtg),FALSE,IF(人物卡!BK71=shtg,sht))</f>
        <v>0</v>
      </c>
      <c r="AX7" s="869" t="b">
        <f>IF(ISBLANK(shthg),FALSE,IF(人物卡!BK71=shthg,shth))</f>
        <v>0</v>
      </c>
      <c r="AY7" s="869">
        <f>IF(人物卡!BK71=shfg,shf)</f>
        <v>0</v>
      </c>
      <c r="AZ7" s="869">
        <f>IF(人物卡!BK71=shfig,shfi)</f>
        <v>0</v>
      </c>
      <c r="BC7" s="869" t="b">
        <f>IF(人物卡!BK71=$BC$4,fight)</f>
        <v>0</v>
      </c>
      <c r="BD7" s="869" t="b">
        <f>IF(人物卡!BK71=$BD$4,pistol)</f>
        <v>0</v>
      </c>
      <c r="BE7" s="876" t="str">
        <f>IF(BF7=0,IF(人物卡!BK71=附表!U227,附表!V227,IF(人物卡!BK71=附表!U220,附表!V220,IF(人物卡!BK71=附表!U221,附表!V221,IF(人物卡!BK71=附表!U219,附表!V219,IF(人物卡!BK71=附表!U224,附表!V224,IF(人物卡!BK71=附表!U225,附表!V225,IF(人物卡!BK71=附表!U223,附表!V223,IF(人物卡!BK71=附表!U222,附表!V222,IF(人物卡!BK71=附表!U226,技能注释!#REF!,IF(人物卡!BK71=附表!Q220,附表!R220,IF(人物卡!BK71=附表!Q221,附表!R221,IF(人物卡!BK71=附表!Q222,附表!R222,IF(人物卡!BK71=附表!Q223,附表!R223,IF(人物卡!BK71=附表!Q224,附表!R224,IF(人物卡!BK71=附表!Q219,附表!R219,IF(人物卡!BK71=附表!Q225,附表!R225,"")))))))))))))))))</f>
        <v/>
      </c>
      <c r="BF7" s="876">
        <f>MAX(AL7:BD7)</f>
        <v>0</v>
      </c>
      <c r="BG7" s="877" t="str">
        <f t="shared" si="2"/>
        <v/>
      </c>
      <c r="BH7" s="865"/>
    </row>
    <row r="8" spans="1:145" ht="29" hidden="1" outlineLevel="1">
      <c r="A8" s="866"/>
      <c r="B8" s="880" t="s">
        <v>501</v>
      </c>
      <c r="C8" s="841">
        <f>IF(B7=FALSE,"0",IF(A5=1,B5,0))</f>
        <v>0</v>
      </c>
      <c r="D8" s="881" t="s">
        <v>502</v>
      </c>
      <c r="E8" s="882">
        <f>IF(E7=2,"1",IF(E7=-2,"-1",0))</f>
        <v>0</v>
      </c>
      <c r="G8" s="883">
        <f>G5/J6</f>
        <v>-0.125</v>
      </c>
      <c r="H8" s="884">
        <f>H5/J6</f>
        <v>0.53125</v>
      </c>
      <c r="I8" s="884">
        <f>I5/J6</f>
        <v>3.375</v>
      </c>
      <c r="J8" s="884">
        <f>J5/J6</f>
        <v>0.25</v>
      </c>
      <c r="K8" s="884">
        <f>K5/J6</f>
        <v>-0.6875</v>
      </c>
      <c r="L8" s="885">
        <f>L5/J6</f>
        <v>-2.34375</v>
      </c>
      <c r="N8" s="413" t="s">
        <v>503</v>
      </c>
      <c r="O8" s="401" t="s">
        <v>504</v>
      </c>
      <c r="P8" s="874" t="s">
        <v>505</v>
      </c>
      <c r="R8" s="867"/>
      <c r="S8" s="857" t="str">
        <f>"外貌×"&amp;U8</f>
        <v>外貌×0</v>
      </c>
      <c r="T8" s="858" t="str">
        <f>职业列表!I24</f>
        <v>×</v>
      </c>
      <c r="U8" s="859">
        <f>职业列表!J24</f>
        <v>0</v>
      </c>
      <c r="V8" s="747">
        <f>K14*U8</f>
        <v>0</v>
      </c>
      <c r="W8" s="747"/>
      <c r="X8" s="875" t="str">
        <f t="shared" si="0"/>
        <v/>
      </c>
      <c r="Y8" s="748" t="str">
        <f t="shared" si="1"/>
        <v/>
      </c>
      <c r="Z8" s="747"/>
      <c r="AA8" s="747"/>
      <c r="AC8" s="747"/>
      <c r="AD8" s="747"/>
      <c r="AE8" s="747"/>
      <c r="AF8" s="747"/>
      <c r="AI8" s="854"/>
      <c r="AK8" s="2872"/>
      <c r="AL8" s="868" t="b">
        <f>IF(人物卡!BK72=$AL$4,"")</f>
        <v>0</v>
      </c>
      <c r="AM8" s="869" t="b">
        <f>IF(人物卡!BK72=$AM$4,blast)</f>
        <v>0</v>
      </c>
      <c r="AN8" s="869" t="b">
        <f>IF(人物卡!BK72=$AN$4,mema)</f>
        <v>0</v>
      </c>
      <c r="AO8" s="866" t="b">
        <f>IF(人物卡!BK72=$AO$4,arti)</f>
        <v>0</v>
      </c>
      <c r="AP8" s="866" t="b">
        <f>IF(人物卡!BK72=$AP$4,throw)</f>
        <v>0</v>
      </c>
      <c r="AQ8" s="866" t="b">
        <f>IF(ISBLANK(dbog),FALSE,IF(人物卡!BK72=dbog,dbo))</f>
        <v>0</v>
      </c>
      <c r="AR8" s="866">
        <f>IF(ISBLANK(dbt),FALSE,IF(人物卡!BK72=dbtg,dbt))</f>
        <v>0</v>
      </c>
      <c r="AS8" s="866">
        <f>IF(ISBLANK(dbth),FALSE,IF(人物卡!BK72=dbthg,dbth))</f>
        <v>0</v>
      </c>
      <c r="AT8" s="866">
        <f>IF(人物卡!BK72=dbfg,dbf)</f>
        <v>0</v>
      </c>
      <c r="AU8" s="866">
        <f>IF(人物卡!BK72=dbfig,dbfi)</f>
        <v>0</v>
      </c>
      <c r="AV8" s="869" t="b">
        <f>IF(ISBLANK(shog),FALSE,IF(人物卡!BK72=shog,sho))</f>
        <v>0</v>
      </c>
      <c r="AW8" s="869" t="b">
        <f>IF(ISBLANK(shtg),FALSE,IF(人物卡!BK72=shtg,sht))</f>
        <v>0</v>
      </c>
      <c r="AX8" s="869" t="b">
        <f>IF(ISBLANK(shthg),FALSE,IF(人物卡!BK72=shthg,shth))</f>
        <v>0</v>
      </c>
      <c r="AY8" s="869">
        <f>IF(人物卡!BK72=shfg,shf)</f>
        <v>0</v>
      </c>
      <c r="AZ8" s="869">
        <f>IF(人物卡!BK72=shfig,shfi)</f>
        <v>0</v>
      </c>
      <c r="BC8" s="869" t="b">
        <f>IF(人物卡!BK72=$BC$4,fight)</f>
        <v>0</v>
      </c>
      <c r="BD8" s="869" t="b">
        <f>IF(人物卡!BK72=$BD$4,pistol)</f>
        <v>0</v>
      </c>
      <c r="BE8" s="849" t="str">
        <f>IF(BF8=0,IF(人物卡!BK72=附表!U227,附表!V227,IF(人物卡!BK72=附表!U220,附表!V220,IF(人物卡!BK72=附表!U221,附表!V221,IF(人物卡!BK72=附表!U219,附表!V219,IF(人物卡!BK72=附表!U224,附表!V224,IF(人物卡!BK72=附表!U225,附表!V225,IF(人物卡!BK72=附表!U223,附表!V223,IF(人物卡!BK72=附表!U222,附表!V222,IF(人物卡!BK72=附表!U226,技能注释!#REF!,IF(人物卡!BK72=附表!Q220,附表!R220,IF(人物卡!BK72=附表!Q221,附表!R221,IF(人物卡!BK72=附表!Q222,附表!R222,IF(人物卡!BK72=附表!Q223,附表!R223,IF(人物卡!BK72=附表!Q224,附表!R224,IF(人物卡!BK72=附表!Q219,附表!R219,IF(人物卡!BK72=附表!Q225,附表!R225,"")))))))))))))))))</f>
        <v/>
      </c>
      <c r="BF8" s="876">
        <f>MAX(AL8:BD8)</f>
        <v>0</v>
      </c>
      <c r="BG8" s="877" t="str">
        <f t="shared" si="2"/>
        <v/>
      </c>
      <c r="BH8" s="865"/>
    </row>
    <row r="9" spans="1:145" hidden="1" outlineLevel="1">
      <c r="B9" s="886" t="s">
        <v>506</v>
      </c>
      <c r="C9" s="2867">
        <f>E8-C8-C7</f>
        <v>0</v>
      </c>
      <c r="D9" s="2867"/>
      <c r="E9" s="2868"/>
      <c r="N9" s="856" t="str">
        <f>IF(P7="-2","-2",IF(P7="-1","-1",IF(P7="0","0",IF(P7="1","+1D4",IF(P7=2,"+1D6",IF(P7&gt;2,"D6",0))))))</f>
        <v>0</v>
      </c>
      <c r="O9" s="836" t="str">
        <f>IF(N9="D6",P7-1,"0")</f>
        <v>0</v>
      </c>
      <c r="P9" s="882" t="str">
        <f>IF(N9="D6",O10,N9)</f>
        <v>0</v>
      </c>
      <c r="R9" s="867"/>
      <c r="S9" s="857" t="str">
        <f>"智力×"&amp;U9</f>
        <v>智力×0</v>
      </c>
      <c r="T9" s="858" t="str">
        <f>职业列表!I25</f>
        <v>×</v>
      </c>
      <c r="U9" s="859">
        <f>职业列表!J25</f>
        <v>0</v>
      </c>
      <c r="V9" s="747">
        <f>L14*U9</f>
        <v>0</v>
      </c>
      <c r="W9" s="747"/>
      <c r="X9" s="875" t="str">
        <f t="shared" si="0"/>
        <v/>
      </c>
      <c r="Y9" s="748" t="str">
        <f t="shared" si="1"/>
        <v/>
      </c>
      <c r="Z9" s="747"/>
      <c r="AA9" s="889" t="str">
        <f>X4&amp;Y4&amp;X5&amp;Y5&amp;X6&amp;Y6&amp;X7&amp;Y7&amp;X8&amp;Y8&amp;X9&amp;Y9&amp;X10&amp;Y10&amp;X11&amp;Y11&amp;X12</f>
        <v/>
      </c>
      <c r="AB9" s="887"/>
      <c r="AC9" s="890"/>
      <c r="AD9" s="890"/>
      <c r="AE9" s="891"/>
      <c r="AF9" s="747" t="s">
        <v>507</v>
      </c>
      <c r="AI9" s="854"/>
      <c r="AK9" s="2872"/>
      <c r="AL9" s="868" t="b">
        <f>IF(人物卡!BK73=$AL$4,"")</f>
        <v>0</v>
      </c>
      <c r="AM9" s="869" t="b">
        <f>IF(人物卡!BK73=$AM$4,blast)</f>
        <v>0</v>
      </c>
      <c r="AN9" s="869" t="b">
        <f>IF(人物卡!BK73=$AN$4,mema)</f>
        <v>0</v>
      </c>
      <c r="AO9" s="866" t="b">
        <f>IF(人物卡!BK73=$AO$4,arti)</f>
        <v>0</v>
      </c>
      <c r="AP9" s="866" t="b">
        <f>IF(人物卡!BK73=$AP$4,throw)</f>
        <v>0</v>
      </c>
      <c r="AQ9" s="866" t="b">
        <f>IF(ISBLANK(dbog),FALSE,IF(人物卡!BK73=dbog,dbo))</f>
        <v>0</v>
      </c>
      <c r="AR9" s="866">
        <f>IF(ISBLANK(dbt),FALSE,IF(人物卡!BK73=dbtg,dbt))</f>
        <v>0</v>
      </c>
      <c r="AS9" s="866">
        <f>IF(ISBLANK(dbth),FALSE,IF(人物卡!BK73=dbthg,dbth))</f>
        <v>0</v>
      </c>
      <c r="AT9" s="866">
        <f>IF(人物卡!BK73=dbfg,dbf)</f>
        <v>0</v>
      </c>
      <c r="AU9" s="866">
        <f>IF(人物卡!BK73=dbfig,dbfi)</f>
        <v>0</v>
      </c>
      <c r="AV9" s="869" t="b">
        <f>IF(ISBLANK(shog),FALSE,IF(人物卡!BK73=shog,sho))</f>
        <v>0</v>
      </c>
      <c r="AW9" s="869" t="b">
        <f>IF(ISBLANK(shtg),FALSE,IF(人物卡!BK73=shtg,sht))</f>
        <v>0</v>
      </c>
      <c r="AX9" s="869" t="b">
        <f>IF(ISBLANK(shthg),FALSE,IF(人物卡!BK73=shthg,shth))</f>
        <v>0</v>
      </c>
      <c r="AY9" s="869">
        <f>IF(人物卡!BK73=shfg,shf)</f>
        <v>0</v>
      </c>
      <c r="AZ9" s="869">
        <f>IF(人物卡!BK73=shfig,shfi)</f>
        <v>0</v>
      </c>
      <c r="BC9" s="869" t="b">
        <f>IF(人物卡!BK73=$BC$4,fight)</f>
        <v>0</v>
      </c>
      <c r="BD9" s="868" t="b">
        <f>IF(人物卡!BK73=$BD$4,pistol)</f>
        <v>0</v>
      </c>
      <c r="BE9" s="892" t="str">
        <f>IF(BF9=0,IF(人物卡!BK73=附表!U227,附表!V227,IF(人物卡!BK73=附表!U220,附表!V220,IF(人物卡!BK73=附表!U221,附表!V221,IF(人物卡!BK73=附表!U219,附表!V219,IF(人物卡!BK73=附表!U224,附表!V224,IF(人物卡!BK73=附表!U225,附表!V225,IF(人物卡!BK73=附表!U223,附表!V223,IF(人物卡!BK73=附表!U222,附表!V222,IF(人物卡!BK73=附表!U226,技能注释!#REF!,IF(人物卡!BK73=附表!Q220,附表!R220,IF(人物卡!BK73=附表!Q221,附表!R221,IF(人物卡!BK73=附表!Q222,附表!R222,IF(人物卡!BK73=附表!Q223,附表!R223,IF(人物卡!BK73=附表!Q224,附表!R224,IF(人物卡!BK73=附表!Q219,附表!R219,IF(人物卡!BK73=附表!Q225,附表!R225,"")))))))))))))))))</f>
        <v/>
      </c>
      <c r="BF9" s="893">
        <f>MAX(AL9:BD9)</f>
        <v>0</v>
      </c>
      <c r="BG9" s="877" t="str">
        <f t="shared" si="2"/>
        <v/>
      </c>
    </row>
    <row r="10" spans="1:145" hidden="1" outlineLevel="1">
      <c r="N10" s="883"/>
      <c r="O10" s="884" t="str">
        <f>"+"&amp;O9&amp;"D6"</f>
        <v>+0D6</v>
      </c>
      <c r="P10" s="885"/>
      <c r="R10" s="867"/>
      <c r="S10" s="857" t="str">
        <f>"教育×"&amp;U10</f>
        <v>教育×0</v>
      </c>
      <c r="T10" s="858" t="str">
        <f>职业列表!I26</f>
        <v>×</v>
      </c>
      <c r="U10" s="859">
        <f>职业列表!J26</f>
        <v>0</v>
      </c>
      <c r="V10" s="747">
        <f>N14*U10</f>
        <v>0</v>
      </c>
      <c r="W10" s="747"/>
      <c r="X10" s="875" t="str">
        <f t="shared" si="0"/>
        <v/>
      </c>
      <c r="Y10" s="748" t="str">
        <f t="shared" si="1"/>
        <v/>
      </c>
      <c r="Z10" s="747"/>
      <c r="AA10" s="894">
        <f>IF(AB10=职业列表!H30,1,0)</f>
        <v>0</v>
      </c>
      <c r="AB10" s="737" t="s">
        <v>508</v>
      </c>
      <c r="AC10" s="737"/>
      <c r="AD10" s="737"/>
      <c r="AE10" s="737"/>
      <c r="AF10" s="740">
        <f>IF(AA10=1,MAX(V4:V9,V11:V12)+V10,0)</f>
        <v>0</v>
      </c>
      <c r="AI10" s="854"/>
      <c r="AK10" s="879"/>
    </row>
    <row r="11" spans="1:145" hidden="1" outlineLevel="1">
      <c r="R11" s="867"/>
      <c r="S11" s="857" t="str">
        <f>"意志×"&amp;U11</f>
        <v>意志×0</v>
      </c>
      <c r="T11" s="858" t="str">
        <f>职业列表!I27</f>
        <v>×</v>
      </c>
      <c r="U11" s="859">
        <f>职业列表!J27</f>
        <v>0</v>
      </c>
      <c r="V11" s="747">
        <f>M14*U11</f>
        <v>0</v>
      </c>
      <c r="W11" s="747"/>
      <c r="X11" s="875" t="str">
        <f t="shared" si="0"/>
        <v/>
      </c>
      <c r="Y11" s="748" t="str">
        <f t="shared" si="1"/>
        <v/>
      </c>
      <c r="Z11" s="879"/>
      <c r="AA11" s="875">
        <f>IF(AB11=职业列表!H30,1,0)</f>
        <v>0</v>
      </c>
      <c r="AB11" s="747" t="s">
        <v>509</v>
      </c>
      <c r="AC11" s="747"/>
      <c r="AD11" s="879"/>
      <c r="AE11" s="747"/>
      <c r="AF11" s="895">
        <f>IF(AA11=1,V10+SUM(V4:V9,V11:V12),0)</f>
        <v>0</v>
      </c>
      <c r="AI11" s="854"/>
      <c r="AK11" s="879"/>
    </row>
    <row r="12" spans="1:145" hidden="1" outlineLevel="1">
      <c r="G12" s="845" t="s">
        <v>510</v>
      </c>
      <c r="H12" s="846" t="s">
        <v>511</v>
      </c>
      <c r="I12" s="850" t="s">
        <v>512</v>
      </c>
      <c r="J12" s="850"/>
      <c r="K12" s="850"/>
      <c r="L12" s="850"/>
      <c r="M12" s="850"/>
      <c r="N12" s="850"/>
      <c r="O12" s="849"/>
      <c r="R12" s="867"/>
      <c r="S12" s="896" t="str">
        <f>"幸运×"&amp;U12</f>
        <v>幸运×0</v>
      </c>
      <c r="T12" s="897" t="str">
        <f>职业列表!I28</f>
        <v>×</v>
      </c>
      <c r="U12" s="898">
        <f>职业列表!J28</f>
        <v>0</v>
      </c>
      <c r="V12" s="750">
        <f>O14*U12</f>
        <v>0</v>
      </c>
      <c r="W12" s="884"/>
      <c r="X12" s="899" t="str">
        <f t="shared" si="0"/>
        <v/>
      </c>
      <c r="Y12" s="885"/>
      <c r="Z12" s="884"/>
      <c r="AA12" s="883">
        <f>IF(AB12=职业列表!H30,1,0)</f>
        <v>1</v>
      </c>
      <c r="AB12" s="750" t="s">
        <v>513</v>
      </c>
      <c r="AC12" s="884"/>
      <c r="AD12" s="884"/>
      <c r="AE12" s="884"/>
      <c r="AF12" s="900">
        <f>IF(AA12=1,SUM(V4:V12),0)</f>
        <v>0</v>
      </c>
      <c r="AG12" s="884"/>
      <c r="AH12" s="884"/>
      <c r="AI12" s="885"/>
      <c r="AK12" s="747"/>
    </row>
    <row r="13" spans="1:145" ht="31" customHeight="1" collapsed="1">
      <c r="G13" s="901" t="s">
        <v>41</v>
      </c>
      <c r="H13" s="902" t="s">
        <v>53</v>
      </c>
      <c r="I13" s="903" t="s">
        <v>64</v>
      </c>
      <c r="J13" s="902" t="s">
        <v>42</v>
      </c>
      <c r="K13" s="903" t="s">
        <v>54</v>
      </c>
      <c r="L13" s="902" t="s">
        <v>65</v>
      </c>
      <c r="M13" s="903" t="s">
        <v>43</v>
      </c>
      <c r="N13" s="902" t="s">
        <v>514</v>
      </c>
      <c r="O13" s="904" t="s">
        <v>66</v>
      </c>
      <c r="Y13" s="2828" t="s">
        <v>515</v>
      </c>
      <c r="Z13" s="2829"/>
      <c r="AA13" s="2829"/>
      <c r="AB13" s="2860"/>
    </row>
    <row r="14" spans="1:145" ht="28" customHeight="1">
      <c r="B14" s="836" t="s">
        <v>516</v>
      </c>
      <c r="G14" s="906">
        <f>IF(STRA="未填写",0,STRA)</f>
        <v>0</v>
      </c>
      <c r="H14" s="907">
        <f>IF(CONA="未填写",0,CONA)</f>
        <v>0</v>
      </c>
      <c r="I14" s="908">
        <f>IF(SIZA="未填写",0,SIZA)</f>
        <v>0</v>
      </c>
      <c r="J14" s="907">
        <f>IF(DEXA="未填写",0,)</f>
        <v>0</v>
      </c>
      <c r="K14" s="908">
        <f>IF(APPA="未填写",0,)</f>
        <v>0</v>
      </c>
      <c r="L14" s="907">
        <f>IF(INTA="未填写",0,)</f>
        <v>0</v>
      </c>
      <c r="M14" s="908">
        <f>IF(POWA="未填写",0,)</f>
        <v>0</v>
      </c>
      <c r="N14" s="907">
        <f>IF(EDUA="未填写",0,)</f>
        <v>0</v>
      </c>
      <c r="O14" s="909">
        <f>IF(LuckA="未填写",0,)</f>
        <v>0</v>
      </c>
      <c r="U14" s="910" t="s">
        <v>517</v>
      </c>
      <c r="V14" s="911"/>
      <c r="W14" s="912"/>
      <c r="Y14" s="856" t="s">
        <v>480</v>
      </c>
      <c r="Z14" s="913">
        <f>IF(人物卡!BG60="武术",1,IF(人物卡!BG60="鞭子","5",IF(人物卡!BG60="电锯","10",IF(人物卡!BG60="斧","15",IF(人物卡!BG60="剑","20",IF(人物卡!BG60="绞具","15",IF(人物卡!BG60="链枷","10",IF(人物卡!BG60="矛","20",IF(人物卡!BG60=人物卡!$X$110,人物卡!$AD$110,0)))))))))</f>
        <v>0</v>
      </c>
      <c r="AA14" s="836" t="s">
        <v>485</v>
      </c>
      <c r="AB14" s="914">
        <f>IF(人物卡!CC60="步枪/霰弹枪","25",IF(人物卡!CC60="冲锋枪","15",IF(人物卡!CC60="弓术","15",IF(人物卡!CC60="喷射器","10",IF(人物卡!CC60="机枪","10",IF(人物卡!CC60="重武器","10",IF(人物卡!CC60=人物卡!$X$112,人物卡!$AD$112,0)))))))</f>
        <v>0</v>
      </c>
      <c r="AZ14" s="915" t="s">
        <v>512</v>
      </c>
      <c r="BA14" s="2783" t="e">
        <f>IF(AX27="仅显示1890_2023","",VLOOKUP(AX27,AZ25:BB29,3,FALSE))</f>
        <v>#N/A</v>
      </c>
      <c r="BF14" s="836" t="s">
        <v>518</v>
      </c>
      <c r="BG14" s="843" t="s">
        <v>519</v>
      </c>
      <c r="BH14" s="916" t="s">
        <v>419</v>
      </c>
      <c r="BI14" s="917"/>
      <c r="BJ14" s="917"/>
      <c r="BK14" s="917"/>
      <c r="BL14" s="917"/>
      <c r="BM14" s="917"/>
      <c r="BN14" s="917"/>
      <c r="BO14" s="917"/>
      <c r="BP14" s="917"/>
      <c r="BQ14" s="917"/>
      <c r="BR14" s="917"/>
      <c r="BS14" s="917"/>
      <c r="BT14" s="917"/>
      <c r="BU14" s="917"/>
      <c r="BV14" s="917"/>
      <c r="BW14" s="917"/>
      <c r="BX14" s="917"/>
      <c r="BY14" s="917"/>
      <c r="BZ14" s="917"/>
      <c r="CA14" s="917"/>
      <c r="CB14" s="917"/>
      <c r="CC14" s="917"/>
      <c r="CD14" s="917"/>
      <c r="CE14" s="917"/>
      <c r="CF14" s="917"/>
      <c r="CG14" s="917"/>
      <c r="CH14" s="917"/>
      <c r="CI14" s="917"/>
      <c r="CJ14" s="917"/>
      <c r="CK14" s="917"/>
      <c r="CL14" s="917"/>
      <c r="CM14" s="917"/>
      <c r="CN14" s="917"/>
      <c r="CO14" s="917"/>
      <c r="CP14" s="917"/>
      <c r="CQ14" s="917"/>
      <c r="CR14" s="917"/>
      <c r="CS14" s="917"/>
      <c r="CT14" s="917"/>
      <c r="CU14" s="917"/>
      <c r="CV14" s="917"/>
      <c r="CW14" s="917"/>
      <c r="CX14" s="917"/>
      <c r="CY14" s="917"/>
      <c r="CZ14" s="917"/>
      <c r="DA14" s="917"/>
      <c r="DB14" s="917"/>
      <c r="DC14" s="917"/>
      <c r="DD14" s="917"/>
      <c r="DE14" s="917"/>
      <c r="DF14" s="917"/>
      <c r="DG14" s="917"/>
      <c r="DH14" s="917"/>
      <c r="DI14" s="917"/>
      <c r="DJ14" s="917"/>
      <c r="DK14" s="917"/>
      <c r="DL14" s="917"/>
      <c r="DM14" s="917"/>
      <c r="DN14" s="917"/>
      <c r="DO14" s="917"/>
      <c r="DP14" s="917"/>
      <c r="DQ14" s="917"/>
      <c r="DR14" s="917"/>
      <c r="DS14" s="917"/>
      <c r="DT14" s="917"/>
      <c r="DU14" s="917"/>
      <c r="DV14" s="917"/>
      <c r="DW14" s="917"/>
      <c r="DX14" s="917"/>
      <c r="DY14" s="917"/>
      <c r="DZ14" s="917"/>
      <c r="EA14" s="917"/>
      <c r="EB14" s="917"/>
      <c r="EC14" s="917"/>
      <c r="ED14" s="917"/>
      <c r="EE14" s="917"/>
      <c r="EF14" s="917"/>
      <c r="EG14" s="917"/>
      <c r="EH14" s="917"/>
      <c r="EI14" s="917"/>
      <c r="EJ14" s="917"/>
      <c r="EK14" s="917"/>
      <c r="EL14" s="917"/>
      <c r="EM14" s="917"/>
      <c r="EN14" s="917"/>
      <c r="EO14" s="917"/>
    </row>
    <row r="15" spans="1:145" ht="31" customHeight="1">
      <c r="B15" s="863" t="s">
        <v>149</v>
      </c>
      <c r="C15" s="401"/>
      <c r="O15" s="2869" t="s">
        <v>520</v>
      </c>
      <c r="P15" s="2870"/>
      <c r="Q15" s="2871"/>
      <c r="U15" s="905">
        <v>1</v>
      </c>
      <c r="V15" s="918">
        <f>人物卡!BG48</f>
        <v>0</v>
      </c>
      <c r="W15" s="849">
        <f t="shared" ref="W15:W17" si="3">IF(V15="步枪/霰弹枪",1,0)</f>
        <v>0</v>
      </c>
      <c r="Y15" s="856" t="s">
        <v>481</v>
      </c>
      <c r="Z15" s="919">
        <f>IF(人物卡!BG61="武术",1,IF(人物卡!BG61="鞭子","5",IF(人物卡!BG61="电锯","10",IF(人物卡!BG61="斧","15",IF(人物卡!BG61="剑","20",IF(人物卡!BG61="绞具","15",IF(人物卡!BG61="链枷","10",IF(人物卡!BG61="矛","20",IF(人物卡!BG61=人物卡!$X$110,人物卡!$AD$110,0)))))))))</f>
        <v>0</v>
      </c>
      <c r="AA15" s="836" t="s">
        <v>486</v>
      </c>
      <c r="AB15" s="914">
        <f>IF(人物卡!CC61="步枪/霰弹枪","25",IF(人物卡!CC61="冲锋枪","15",IF(人物卡!CC61="弓术","15",IF(人物卡!CC61="喷射器","10",IF(人物卡!CC61="机枪","10",IF(人物卡!CC61="重武器","10",IF(人物卡!CC61=人物卡!$X$112,人物卡!$AD$112,0)))))))</f>
        <v>0</v>
      </c>
      <c r="BA15" s="2783"/>
      <c r="BF15" s="836">
        <f>COUNTA(BH17:BH21,BH24:BH34,BH37:BH43,BH46:BH64,BH67:BH71,BH75:BH80,BH83:BH89,BH92:BH99,BH102:BH117,BH120:BH127,BH131:BH137,BH140:BH149,BH152:BH167,BH170:BH177,BH180:BH192,BH195:BH207,BH210:BH224)</f>
        <v>174</v>
      </c>
      <c r="BG15" s="843">
        <f>COUNTA(BI17:EO224)</f>
        <v>2834</v>
      </c>
      <c r="BH15" s="920" t="s">
        <v>521</v>
      </c>
      <c r="BI15" s="917"/>
      <c r="BJ15" s="917"/>
      <c r="BK15" s="917"/>
      <c r="BL15" s="917"/>
      <c r="BM15" s="917"/>
      <c r="BN15" s="917"/>
      <c r="BO15" s="917"/>
      <c r="BP15" s="917"/>
      <c r="BQ15" s="917"/>
      <c r="BR15" s="917"/>
      <c r="BS15" s="917"/>
      <c r="BT15" s="917"/>
      <c r="BU15" s="917"/>
      <c r="BV15" s="917"/>
      <c r="BW15" s="917"/>
      <c r="BX15" s="917"/>
      <c r="BY15" s="917"/>
      <c r="BZ15" s="917"/>
      <c r="CA15" s="917"/>
      <c r="CB15" s="917"/>
      <c r="CC15" s="917"/>
      <c r="CD15" s="917"/>
      <c r="CE15" s="917"/>
      <c r="CF15" s="917"/>
      <c r="CG15" s="917"/>
      <c r="CH15" s="917"/>
      <c r="CI15" s="917"/>
      <c r="CJ15" s="917"/>
      <c r="CK15" s="917"/>
      <c r="CL15" s="917"/>
      <c r="CM15" s="917"/>
      <c r="CN15" s="917"/>
      <c r="CO15" s="917"/>
      <c r="CP15" s="917"/>
      <c r="CQ15" s="917"/>
      <c r="CR15" s="917"/>
      <c r="CS15" s="917"/>
      <c r="CT15" s="917"/>
      <c r="CU15" s="917"/>
      <c r="CV15" s="917"/>
      <c r="CW15" s="917"/>
      <c r="CX15" s="917"/>
      <c r="CY15" s="917"/>
      <c r="CZ15" s="917"/>
      <c r="DA15" s="917"/>
      <c r="DB15" s="917"/>
      <c r="DC15" s="917"/>
      <c r="DD15" s="917"/>
      <c r="DE15" s="917"/>
      <c r="DF15" s="917"/>
      <c r="DG15" s="917"/>
      <c r="DH15" s="917"/>
      <c r="DI15" s="917"/>
      <c r="DJ15" s="917"/>
      <c r="DK15" s="917"/>
      <c r="DL15" s="917"/>
      <c r="DM15" s="917"/>
      <c r="DN15" s="917"/>
      <c r="DO15" s="917"/>
      <c r="DP15" s="917"/>
      <c r="DQ15" s="917"/>
      <c r="DR15" s="917"/>
      <c r="DS15" s="917"/>
      <c r="DT15" s="917"/>
      <c r="DU15" s="917"/>
      <c r="DV15" s="917"/>
      <c r="DW15" s="917"/>
      <c r="DX15" s="917"/>
      <c r="DY15" s="917"/>
      <c r="DZ15" s="917"/>
      <c r="EA15" s="917"/>
      <c r="EB15" s="917"/>
      <c r="EC15" s="917"/>
      <c r="ED15" s="917"/>
      <c r="EE15" s="917"/>
      <c r="EF15" s="917"/>
      <c r="EG15" s="917"/>
      <c r="EH15" s="917"/>
      <c r="EI15" s="917"/>
      <c r="EJ15" s="917"/>
      <c r="EK15" s="917"/>
      <c r="EL15" s="917"/>
      <c r="EM15" s="917"/>
      <c r="EN15" s="917"/>
      <c r="EO15" s="917"/>
    </row>
    <row r="16" spans="1:145" ht="34" customHeight="1">
      <c r="B16" s="866"/>
      <c r="H16" s="921"/>
      <c r="K16" s="401"/>
      <c r="L16" s="922" t="s">
        <v>522</v>
      </c>
      <c r="M16" s="847"/>
      <c r="O16" s="905" t="s">
        <v>523</v>
      </c>
      <c r="P16" s="850"/>
      <c r="Q16" s="849"/>
      <c r="U16" s="856">
        <v>2</v>
      </c>
      <c r="V16" s="401">
        <f>人物卡!BG49</f>
        <v>0</v>
      </c>
      <c r="W16" s="854">
        <f t="shared" si="3"/>
        <v>0</v>
      </c>
      <c r="Y16" s="883" t="s">
        <v>482</v>
      </c>
      <c r="Z16" s="923">
        <f>IF(人物卡!BG62="武术",1,IF(人物卡!BG62="鞭子","5",IF(人物卡!BG62="电锯","10",IF(人物卡!BG62="斧","15",IF(人物卡!BG62="剑","20",IF(人物卡!BG62="绞具","15",IF(人物卡!BG62="链枷","10",IF(人物卡!BG62="矛","20",IF(人物卡!BG62=人物卡!$X$110,人物卡!$AD$110,0)))))))))</f>
        <v>0</v>
      </c>
      <c r="AA16" s="884" t="s">
        <v>487</v>
      </c>
      <c r="AB16" s="914">
        <f>IF(人物卡!CC62="步枪/霰弹枪","25",IF(人物卡!CC62="冲锋枪","15",IF(人物卡!CC62="弓术","15",IF(人物卡!CC62="喷射器","10",IF(人物卡!CC62="机枪","10",IF(人物卡!CC62="重武器","10",IF(人物卡!CC62=人物卡!$X$112,人物卡!$AD$112,0)))))))</f>
        <v>0</v>
      </c>
      <c r="BA16" s="2783"/>
      <c r="BH16" s="924" t="s">
        <v>524</v>
      </c>
      <c r="BI16" s="917"/>
      <c r="BJ16" s="917"/>
      <c r="BK16" s="917"/>
      <c r="BL16" s="917"/>
      <c r="BM16" s="917"/>
      <c r="BN16" s="917"/>
      <c r="BO16" s="917"/>
      <c r="BP16" s="917"/>
      <c r="BQ16" s="917"/>
      <c r="BR16" s="917"/>
      <c r="BS16" s="917"/>
      <c r="BT16" s="917"/>
      <c r="BU16" s="917"/>
      <c r="BV16" s="917"/>
      <c r="BW16" s="917"/>
      <c r="BX16" s="917"/>
      <c r="BY16" s="917"/>
      <c r="BZ16" s="917"/>
      <c r="CA16" s="917"/>
      <c r="CB16" s="917"/>
      <c r="CC16" s="917"/>
      <c r="CD16" s="917"/>
      <c r="CE16" s="917"/>
      <c r="CF16" s="917"/>
      <c r="CG16" s="917"/>
      <c r="CH16" s="917"/>
      <c r="CI16" s="917"/>
      <c r="CJ16" s="917"/>
      <c r="CK16" s="917"/>
      <c r="CL16" s="917"/>
      <c r="CM16" s="917"/>
      <c r="CN16" s="917"/>
      <c r="CO16" s="917"/>
      <c r="CP16" s="917"/>
      <c r="CQ16" s="917"/>
      <c r="CR16" s="917"/>
      <c r="CS16" s="917"/>
      <c r="CT16" s="917"/>
      <c r="CU16" s="917"/>
      <c r="CV16" s="917"/>
      <c r="CW16" s="917"/>
      <c r="CX16" s="917"/>
      <c r="CY16" s="917"/>
      <c r="CZ16" s="917"/>
      <c r="DA16" s="917"/>
      <c r="DB16" s="917"/>
      <c r="DC16" s="917"/>
      <c r="DD16" s="917"/>
      <c r="DE16" s="917"/>
      <c r="DF16" s="917"/>
      <c r="DG16" s="917"/>
      <c r="DH16" s="917"/>
      <c r="DI16" s="917"/>
      <c r="DJ16" s="917"/>
      <c r="DK16" s="917"/>
      <c r="DL16" s="917"/>
      <c r="DM16" s="917"/>
      <c r="DN16" s="917"/>
      <c r="DO16" s="917"/>
      <c r="DP16" s="917"/>
      <c r="DQ16" s="917"/>
      <c r="DR16" s="917"/>
      <c r="DS16" s="917"/>
      <c r="DT16" s="917"/>
      <c r="DU16" s="917"/>
      <c r="DV16" s="917"/>
      <c r="DW16" s="917"/>
      <c r="DX16" s="917"/>
      <c r="DY16" s="917"/>
      <c r="DZ16" s="917"/>
      <c r="EA16" s="917"/>
      <c r="EB16" s="917"/>
      <c r="EC16" s="917"/>
      <c r="ED16" s="917"/>
      <c r="EE16" s="917"/>
      <c r="EF16" s="917"/>
      <c r="EG16" s="917"/>
      <c r="EH16" s="917"/>
      <c r="EI16" s="917"/>
      <c r="EJ16" s="917"/>
      <c r="EK16" s="917"/>
      <c r="EL16" s="917"/>
      <c r="EM16" s="917"/>
      <c r="EN16" s="917"/>
      <c r="EO16" s="917"/>
    </row>
    <row r="17" spans="2:145" ht="17.25" customHeight="1">
      <c r="L17" s="925" t="s">
        <v>82</v>
      </c>
      <c r="M17" s="926" t="s">
        <v>491</v>
      </c>
      <c r="O17" s="856" t="s">
        <v>525</v>
      </c>
      <c r="R17" s="905" t="s">
        <v>98</v>
      </c>
      <c r="S17" s="849" t="s">
        <v>99</v>
      </c>
      <c r="U17" s="856">
        <v>3</v>
      </c>
      <c r="V17" s="401">
        <f>人物卡!BG50</f>
        <v>0</v>
      </c>
      <c r="W17" s="854">
        <f t="shared" si="3"/>
        <v>0</v>
      </c>
      <c r="Y17" s="856" t="s">
        <v>483</v>
      </c>
      <c r="Z17" s="923">
        <f>IF(人物卡!BG63="武术",1,IF(人物卡!BG63="鞭子","5",IF(人物卡!BG63="电锯","10",IF(人物卡!BG63="斧","15",IF(人物卡!BG63="剑","20",IF(人物卡!BG63="绞具","15",IF(人物卡!BG63="链枷","10",IF(人物卡!BG63="矛","20",IF(人物卡!BG63=人物卡!$X$110,人物卡!$AD$110,0)))))))))</f>
        <v>0</v>
      </c>
      <c r="AA17" s="836" t="s">
        <v>488</v>
      </c>
      <c r="AB17" s="914">
        <f>IF(人物卡!CC63="步枪/霰弹枪","25",IF(人物卡!CC63="冲锋枪","15",IF(人物卡!CC63="弓术","15",IF(人物卡!CC63="喷射器","10",IF(人物卡!CC63="机枪","10",IF(人物卡!CC63="重武器","10",IF(人物卡!CC63=人物卡!$X$112,人物卡!$AD$112,0)))))))</f>
        <v>0</v>
      </c>
      <c r="BA17" s="2783"/>
      <c r="BH17" s="927" t="s">
        <v>526</v>
      </c>
      <c r="BI17" s="928" t="s">
        <v>527</v>
      </c>
      <c r="BJ17" s="928" t="s">
        <v>528</v>
      </c>
      <c r="BK17" s="928" t="s">
        <v>529</v>
      </c>
      <c r="BL17" s="928" t="s">
        <v>530</v>
      </c>
      <c r="BM17" s="928" t="s">
        <v>531</v>
      </c>
      <c r="BN17" s="928" t="s">
        <v>532</v>
      </c>
      <c r="BO17" s="928" t="s">
        <v>533</v>
      </c>
      <c r="BP17" s="928" t="s">
        <v>534</v>
      </c>
      <c r="BQ17" s="928" t="s">
        <v>535</v>
      </c>
      <c r="BR17" s="928" t="s">
        <v>536</v>
      </c>
      <c r="BS17" s="928" t="s">
        <v>537</v>
      </c>
      <c r="BT17" s="928" t="s">
        <v>538</v>
      </c>
      <c r="BU17" s="928" t="s">
        <v>539</v>
      </c>
      <c r="BV17" s="928" t="s">
        <v>540</v>
      </c>
      <c r="BW17" s="928" t="s">
        <v>541</v>
      </c>
      <c r="BX17" s="928" t="s">
        <v>542</v>
      </c>
      <c r="BY17" s="928" t="s">
        <v>543</v>
      </c>
      <c r="BZ17" s="928" t="s">
        <v>544</v>
      </c>
      <c r="CA17" s="928" t="s">
        <v>545</v>
      </c>
      <c r="CB17" s="928" t="s">
        <v>546</v>
      </c>
      <c r="CC17" s="928" t="s">
        <v>547</v>
      </c>
      <c r="CD17" s="928" t="s">
        <v>548</v>
      </c>
      <c r="CE17" s="928" t="s">
        <v>549</v>
      </c>
      <c r="CF17" s="928" t="s">
        <v>550</v>
      </c>
      <c r="CG17" s="928" t="s">
        <v>551</v>
      </c>
      <c r="CH17" s="928" t="s">
        <v>552</v>
      </c>
      <c r="CI17" s="928" t="s">
        <v>553</v>
      </c>
      <c r="CJ17" s="928" t="s">
        <v>554</v>
      </c>
      <c r="CK17" s="928" t="s">
        <v>555</v>
      </c>
      <c r="CL17" s="928" t="s">
        <v>556</v>
      </c>
      <c r="CM17" s="928" t="s">
        <v>557</v>
      </c>
      <c r="CN17" s="928" t="s">
        <v>558</v>
      </c>
      <c r="CO17" s="928" t="s">
        <v>559</v>
      </c>
      <c r="CP17" s="928" t="s">
        <v>560</v>
      </c>
      <c r="CQ17" s="917"/>
      <c r="CR17" s="917"/>
      <c r="CS17" s="917"/>
      <c r="CT17" s="917"/>
      <c r="CU17" s="917"/>
      <c r="CV17" s="917"/>
      <c r="CW17" s="917"/>
      <c r="CX17" s="917"/>
      <c r="CY17" s="917"/>
      <c r="CZ17" s="917"/>
      <c r="DA17" s="917"/>
      <c r="DB17" s="917"/>
      <c r="DC17" s="917"/>
      <c r="DD17" s="917"/>
      <c r="DE17" s="917"/>
      <c r="DF17" s="917"/>
      <c r="DG17" s="917"/>
      <c r="DH17" s="917"/>
      <c r="DI17" s="917"/>
      <c r="DJ17" s="917"/>
      <c r="DK17" s="917"/>
      <c r="DL17" s="917"/>
      <c r="DM17" s="917"/>
      <c r="DN17" s="917"/>
      <c r="DO17" s="917"/>
      <c r="DP17" s="917"/>
      <c r="DQ17" s="917"/>
      <c r="DR17" s="917"/>
      <c r="DS17" s="917"/>
      <c r="DT17" s="917"/>
      <c r="DU17" s="917"/>
      <c r="DV17" s="917"/>
      <c r="DW17" s="917"/>
      <c r="DX17" s="917"/>
      <c r="DY17" s="917"/>
      <c r="DZ17" s="917"/>
      <c r="EA17" s="917"/>
      <c r="EB17" s="917"/>
      <c r="EC17" s="917"/>
      <c r="ED17" s="917"/>
      <c r="EE17" s="917"/>
      <c r="EF17" s="917"/>
      <c r="EG17" s="917"/>
      <c r="EH17" s="917"/>
      <c r="EI17" s="917"/>
      <c r="EJ17" s="917"/>
      <c r="EK17" s="917"/>
      <c r="EL17" s="917"/>
      <c r="EM17" s="917"/>
      <c r="EN17" s="917"/>
      <c r="EO17" s="917"/>
    </row>
    <row r="18" spans="2:145" ht="17.25" customHeight="1">
      <c r="B18" s="2862" t="s">
        <v>561</v>
      </c>
      <c r="C18" s="2865"/>
      <c r="D18" s="2865"/>
      <c r="E18" s="2865"/>
      <c r="F18" s="2865"/>
      <c r="G18" s="2865"/>
      <c r="H18" s="850"/>
      <c r="I18" s="850"/>
      <c r="J18" s="850"/>
      <c r="K18" s="849"/>
      <c r="L18" s="929">
        <f>M14</f>
        <v>0</v>
      </c>
      <c r="M18" s="930">
        <f>人物卡!BO19</f>
        <v>99</v>
      </c>
      <c r="O18" s="856" t="s">
        <v>562</v>
      </c>
      <c r="R18" s="856" t="s">
        <v>326</v>
      </c>
      <c r="S18" s="854" t="s">
        <v>378</v>
      </c>
      <c r="U18" s="931" t="s">
        <v>563</v>
      </c>
      <c r="V18" s="884" t="str">
        <f>人物卡!CA57</f>
        <v>炮术</v>
      </c>
      <c r="W18" s="885">
        <f>IF(V18="自定义技能",1,0)</f>
        <v>0</v>
      </c>
      <c r="Y18" s="856" t="s">
        <v>484</v>
      </c>
      <c r="Z18" s="923">
        <f>IF(人物卡!BG64="武术",1,IF(人物卡!BG64="鞭子","5",IF(人物卡!BG64="电锯","10",IF(人物卡!BG64="斧","15",IF(人物卡!BG64="剑","20",IF(人物卡!BG64="绞具","15",IF(人物卡!BG64="链枷","10",IF(人物卡!BG64="矛","20",IF(人物卡!BG64=人物卡!$X$110,人物卡!$AD$110,0)))))))))</f>
        <v>0</v>
      </c>
      <c r="AA18" s="836" t="s">
        <v>489</v>
      </c>
      <c r="AB18" s="914">
        <f>IF(人物卡!CC64="步枪/霰弹枪","25",IF(人物卡!CC64="冲锋枪","15",IF(人物卡!CC64="弓术","15",IF(人物卡!CC64="喷射器","10",IF(人物卡!CC64="机枪","10",IF(人物卡!CC64="重武器","10",IF(人物卡!CC64=人物卡!$X$112,人物卡!$AD$112,0)))))))</f>
        <v>0</v>
      </c>
      <c r="BA18" s="2783"/>
      <c r="BG18" s="932"/>
      <c r="BH18" s="927" t="s">
        <v>564</v>
      </c>
      <c r="BI18" s="933" t="s">
        <v>565</v>
      </c>
      <c r="BJ18" s="928" t="s">
        <v>566</v>
      </c>
      <c r="BK18" s="928" t="s">
        <v>567</v>
      </c>
      <c r="BL18" s="928" t="s">
        <v>568</v>
      </c>
      <c r="BM18" s="928" t="s">
        <v>569</v>
      </c>
      <c r="BN18" s="928" t="s">
        <v>570</v>
      </c>
      <c r="BO18" s="928" t="s">
        <v>571</v>
      </c>
      <c r="BP18" s="928" t="s">
        <v>572</v>
      </c>
      <c r="BQ18" s="928" t="s">
        <v>573</v>
      </c>
      <c r="BR18" s="928" t="s">
        <v>574</v>
      </c>
      <c r="BS18" s="928" t="s">
        <v>575</v>
      </c>
      <c r="BT18" s="928" t="s">
        <v>576</v>
      </c>
      <c r="BU18" s="928" t="s">
        <v>577</v>
      </c>
      <c r="BV18" s="928" t="s">
        <v>578</v>
      </c>
      <c r="BW18" s="928" t="s">
        <v>579</v>
      </c>
      <c r="BX18" s="928" t="s">
        <v>580</v>
      </c>
      <c r="BY18" s="928" t="s">
        <v>581</v>
      </c>
      <c r="BZ18" s="928" t="s">
        <v>582</v>
      </c>
      <c r="CA18" s="928" t="s">
        <v>583</v>
      </c>
      <c r="CB18" s="928" t="s">
        <v>584</v>
      </c>
      <c r="CC18" s="928" t="s">
        <v>585</v>
      </c>
      <c r="CD18" s="928" t="s">
        <v>586</v>
      </c>
      <c r="CE18" s="928" t="s">
        <v>587</v>
      </c>
      <c r="CF18" s="928" t="s">
        <v>588</v>
      </c>
      <c r="CG18" s="928" t="s">
        <v>589</v>
      </c>
      <c r="CH18" s="928" t="s">
        <v>590</v>
      </c>
      <c r="CI18" s="928" t="s">
        <v>591</v>
      </c>
      <c r="CJ18" s="928" t="s">
        <v>592</v>
      </c>
      <c r="CK18" s="928" t="s">
        <v>593</v>
      </c>
      <c r="CL18" s="928" t="s">
        <v>594</v>
      </c>
      <c r="CM18" s="928" t="s">
        <v>595</v>
      </c>
      <c r="CN18" s="928" t="s">
        <v>596</v>
      </c>
      <c r="CO18" s="928" t="s">
        <v>597</v>
      </c>
      <c r="CP18" s="928" t="s">
        <v>598</v>
      </c>
      <c r="CQ18" s="928" t="s">
        <v>599</v>
      </c>
      <c r="CR18" s="928" t="s">
        <v>600</v>
      </c>
      <c r="CS18" s="934" t="s">
        <v>601</v>
      </c>
      <c r="CT18" s="934" t="s">
        <v>602</v>
      </c>
      <c r="CU18" s="934" t="s">
        <v>603</v>
      </c>
      <c r="CV18" s="934" t="s">
        <v>604</v>
      </c>
      <c r="CW18" s="934" t="s">
        <v>605</v>
      </c>
      <c r="CX18" s="934" t="s">
        <v>606</v>
      </c>
      <c r="CY18" s="934" t="s">
        <v>607</v>
      </c>
      <c r="CZ18" s="934" t="s">
        <v>608</v>
      </c>
      <c r="DA18" s="934" t="s">
        <v>609</v>
      </c>
      <c r="DB18" s="934" t="s">
        <v>610</v>
      </c>
      <c r="DC18" s="934" t="s">
        <v>611</v>
      </c>
      <c r="DD18" s="917"/>
      <c r="DE18" s="917"/>
      <c r="DF18" s="917"/>
      <c r="DG18" s="917"/>
      <c r="DH18" s="917"/>
      <c r="DI18" s="917"/>
      <c r="DJ18" s="917"/>
      <c r="DK18" s="917"/>
      <c r="DL18" s="917"/>
      <c r="DM18" s="917"/>
      <c r="DN18" s="917"/>
      <c r="DO18" s="917"/>
      <c r="DP18" s="917"/>
      <c r="DQ18" s="917"/>
      <c r="DR18" s="917"/>
      <c r="DS18" s="917"/>
      <c r="DT18" s="917"/>
      <c r="DU18" s="917"/>
      <c r="DV18" s="917"/>
      <c r="DW18" s="917"/>
      <c r="DX18" s="917"/>
      <c r="DY18" s="917"/>
      <c r="DZ18" s="917"/>
      <c r="EA18" s="917"/>
      <c r="EB18" s="917"/>
      <c r="EC18" s="917"/>
      <c r="ED18" s="917"/>
      <c r="EE18" s="917"/>
      <c r="EF18" s="917"/>
      <c r="EG18" s="917"/>
      <c r="EH18" s="917"/>
      <c r="EI18" s="917"/>
      <c r="EJ18" s="917"/>
      <c r="EK18" s="917"/>
      <c r="EL18" s="917"/>
      <c r="EM18" s="917"/>
      <c r="EN18" s="917"/>
      <c r="EO18" s="917"/>
    </row>
    <row r="19" spans="2:145" ht="17.25" customHeight="1">
      <c r="B19" s="856" t="s">
        <v>612</v>
      </c>
      <c r="C19" s="836" t="s">
        <v>613</v>
      </c>
      <c r="D19" s="836" t="s">
        <v>21</v>
      </c>
      <c r="E19" s="2780" t="s">
        <v>321</v>
      </c>
      <c r="F19" s="2780"/>
      <c r="G19" s="2780"/>
      <c r="I19" s="838"/>
      <c r="K19" s="854"/>
      <c r="L19" s="935" t="s">
        <v>507</v>
      </c>
      <c r="M19" s="936"/>
      <c r="O19" s="856" t="s">
        <v>614</v>
      </c>
      <c r="R19" s="856" t="s">
        <v>271</v>
      </c>
      <c r="S19" s="854" t="s">
        <v>385</v>
      </c>
      <c r="AZ19" s="921"/>
      <c r="BA19" s="2783"/>
      <c r="BG19" s="937"/>
      <c r="BH19" s="927" t="s">
        <v>615</v>
      </c>
      <c r="BI19" s="928" t="s">
        <v>616</v>
      </c>
      <c r="BJ19" s="928" t="s">
        <v>617</v>
      </c>
      <c r="BK19" s="928" t="s">
        <v>618</v>
      </c>
      <c r="BL19" s="928" t="s">
        <v>619</v>
      </c>
      <c r="BM19" s="928" t="s">
        <v>620</v>
      </c>
      <c r="BN19" s="928" t="s">
        <v>621</v>
      </c>
      <c r="BO19" s="928" t="s">
        <v>622</v>
      </c>
      <c r="BP19" s="928" t="s">
        <v>623</v>
      </c>
      <c r="BQ19" s="928" t="s">
        <v>624</v>
      </c>
      <c r="BR19" s="928" t="s">
        <v>625</v>
      </c>
      <c r="BS19" s="928" t="s">
        <v>626</v>
      </c>
      <c r="BT19" s="928" t="s">
        <v>627</v>
      </c>
      <c r="BU19" s="928" t="s">
        <v>628</v>
      </c>
      <c r="BV19" s="928" t="s">
        <v>629</v>
      </c>
      <c r="BW19" s="928" t="s">
        <v>630</v>
      </c>
      <c r="BX19" s="928" t="s">
        <v>631</v>
      </c>
      <c r="BY19" s="917"/>
      <c r="BZ19" s="917"/>
      <c r="CA19" s="917"/>
      <c r="CB19" s="917"/>
      <c r="CC19" s="917"/>
      <c r="CD19" s="917"/>
      <c r="CE19" s="917"/>
      <c r="CF19" s="917"/>
      <c r="CG19" s="917"/>
      <c r="CH19" s="917"/>
      <c r="CI19" s="917"/>
      <c r="CJ19" s="917"/>
      <c r="CK19" s="917"/>
      <c r="CL19" s="917"/>
      <c r="CM19" s="917"/>
      <c r="CN19" s="917"/>
      <c r="CO19" s="917"/>
      <c r="CP19" s="917"/>
      <c r="CQ19" s="917"/>
      <c r="CR19" s="917"/>
      <c r="CS19" s="917"/>
      <c r="CT19" s="917"/>
      <c r="CU19" s="917"/>
      <c r="CV19" s="917"/>
      <c r="CW19" s="917"/>
      <c r="CX19" s="917"/>
      <c r="CY19" s="917"/>
      <c r="CZ19" s="917"/>
      <c r="DA19" s="917"/>
      <c r="DB19" s="917"/>
      <c r="DC19" s="917"/>
      <c r="DD19" s="917"/>
      <c r="DE19" s="917"/>
      <c r="DF19" s="917"/>
      <c r="DG19" s="917"/>
      <c r="DH19" s="917"/>
      <c r="DI19" s="917"/>
      <c r="DJ19" s="917"/>
      <c r="DK19" s="917"/>
      <c r="DL19" s="917"/>
      <c r="DM19" s="917"/>
      <c r="DN19" s="917"/>
      <c r="DO19" s="917"/>
      <c r="DP19" s="917"/>
      <c r="DQ19" s="917"/>
      <c r="DR19" s="917"/>
      <c r="DS19" s="917"/>
      <c r="DT19" s="917"/>
      <c r="DU19" s="917"/>
      <c r="DV19" s="917"/>
      <c r="DW19" s="917"/>
      <c r="DX19" s="917"/>
      <c r="DY19" s="917"/>
      <c r="DZ19" s="917"/>
      <c r="EA19" s="917"/>
      <c r="EB19" s="917"/>
      <c r="EC19" s="917"/>
      <c r="ED19" s="917"/>
      <c r="EE19" s="917"/>
      <c r="EF19" s="917"/>
      <c r="EG19" s="917"/>
      <c r="EH19" s="917"/>
      <c r="EI19" s="917"/>
      <c r="EJ19" s="917"/>
      <c r="EK19" s="917"/>
      <c r="EL19" s="917"/>
      <c r="EM19" s="917"/>
      <c r="EN19" s="917"/>
      <c r="EO19" s="917"/>
    </row>
    <row r="20" spans="2:145" ht="17.25" customHeight="1">
      <c r="B20" s="856" t="s">
        <v>632</v>
      </c>
      <c r="C20" s="836" t="s">
        <v>633</v>
      </c>
      <c r="D20" s="836">
        <v>70</v>
      </c>
      <c r="E20" s="836" t="s">
        <v>634</v>
      </c>
      <c r="K20" s="854"/>
      <c r="L20" s="938">
        <f>IF(L18&gt;M18,M18,L18)</f>
        <v>0</v>
      </c>
      <c r="M20" s="939"/>
      <c r="O20" s="856" t="s">
        <v>635</v>
      </c>
      <c r="R20" s="856" t="s">
        <v>636</v>
      </c>
      <c r="S20" s="854" t="s">
        <v>388</v>
      </c>
      <c r="AA20" s="2780" t="s">
        <v>637</v>
      </c>
      <c r="AB20" s="2780"/>
      <c r="AC20" s="2780"/>
      <c r="AD20" s="2780"/>
      <c r="AR20" s="915" t="s">
        <v>638</v>
      </c>
      <c r="BA20" s="2783"/>
      <c r="BG20" s="927"/>
      <c r="BH20" s="927" t="s">
        <v>639</v>
      </c>
      <c r="BI20" s="928" t="s">
        <v>640</v>
      </c>
      <c r="BJ20" s="928" t="s">
        <v>641</v>
      </c>
      <c r="BK20" s="928" t="s">
        <v>642</v>
      </c>
      <c r="BL20" s="928" t="s">
        <v>643</v>
      </c>
      <c r="BM20" s="928" t="s">
        <v>644</v>
      </c>
      <c r="BN20" s="928" t="s">
        <v>645</v>
      </c>
      <c r="BO20" s="928" t="s">
        <v>646</v>
      </c>
      <c r="BP20" s="928" t="s">
        <v>647</v>
      </c>
      <c r="BQ20" s="928" t="s">
        <v>648</v>
      </c>
      <c r="BR20" s="928" t="s">
        <v>625</v>
      </c>
      <c r="BS20" s="917"/>
      <c r="BT20" s="917"/>
      <c r="BU20" s="917"/>
      <c r="BV20" s="917"/>
      <c r="BW20" s="917"/>
      <c r="BX20" s="917"/>
      <c r="BY20" s="917"/>
      <c r="BZ20" s="917"/>
      <c r="CA20" s="917"/>
      <c r="CB20" s="917"/>
      <c r="CC20" s="917"/>
      <c r="CD20" s="917"/>
      <c r="CE20" s="917"/>
      <c r="CF20" s="917"/>
      <c r="CG20" s="917"/>
      <c r="CH20" s="917"/>
      <c r="CI20" s="917"/>
      <c r="CJ20" s="917"/>
      <c r="CK20" s="917"/>
      <c r="CL20" s="917"/>
      <c r="CM20" s="917"/>
      <c r="CN20" s="917"/>
      <c r="CO20" s="917"/>
      <c r="CP20" s="917"/>
      <c r="CQ20" s="917"/>
      <c r="CR20" s="917"/>
      <c r="CS20" s="917"/>
      <c r="CT20" s="917"/>
      <c r="CU20" s="917"/>
      <c r="CV20" s="917"/>
      <c r="CW20" s="917"/>
      <c r="CX20" s="917"/>
      <c r="CY20" s="917"/>
      <c r="CZ20" s="917"/>
      <c r="DA20" s="917"/>
      <c r="DB20" s="917"/>
      <c r="DC20" s="917"/>
      <c r="DD20" s="917"/>
      <c r="DE20" s="917"/>
      <c r="DF20" s="917"/>
      <c r="DG20" s="917"/>
      <c r="DH20" s="917"/>
      <c r="DI20" s="917"/>
      <c r="DJ20" s="917"/>
      <c r="DK20" s="917"/>
      <c r="DL20" s="917"/>
      <c r="DM20" s="917"/>
      <c r="DN20" s="917"/>
      <c r="DO20" s="917"/>
      <c r="DP20" s="917"/>
      <c r="DQ20" s="917"/>
      <c r="DR20" s="917"/>
      <c r="DS20" s="917"/>
      <c r="DT20" s="917"/>
      <c r="DU20" s="917"/>
      <c r="DV20" s="917"/>
      <c r="DW20" s="917"/>
      <c r="DX20" s="917"/>
      <c r="DY20" s="917"/>
      <c r="DZ20" s="917"/>
      <c r="EA20" s="917"/>
      <c r="EB20" s="917"/>
      <c r="EC20" s="917"/>
      <c r="ED20" s="917"/>
      <c r="EE20" s="917"/>
      <c r="EF20" s="917"/>
      <c r="EG20" s="917"/>
      <c r="EH20" s="917"/>
      <c r="EI20" s="917"/>
      <c r="EJ20" s="917"/>
      <c r="EK20" s="917"/>
      <c r="EL20" s="917"/>
      <c r="EM20" s="917"/>
      <c r="EN20" s="917"/>
      <c r="EO20" s="917"/>
    </row>
    <row r="21" spans="2:145" ht="17.25" customHeight="1">
      <c r="B21" s="856" t="s">
        <v>649</v>
      </c>
      <c r="C21" s="836" t="s">
        <v>650</v>
      </c>
      <c r="D21" s="836">
        <v>60</v>
      </c>
      <c r="E21" s="836" t="s">
        <v>651</v>
      </c>
      <c r="I21" s="838"/>
      <c r="K21" s="854"/>
      <c r="L21" s="940"/>
      <c r="M21" s="941"/>
      <c r="O21" s="856" t="s">
        <v>652</v>
      </c>
      <c r="R21" s="883" t="str">
        <f>IF(ISBLANK(人物卡!X122),"",人物卡!X122)</f>
        <v/>
      </c>
      <c r="S21" s="885" t="str">
        <f>IF(ISBLANK(人物卡!AB122),"",人物卡!AB122)</f>
        <v/>
      </c>
      <c r="AA21" s="905">
        <f>IF(ISBLANK(人物卡!CZ25),0,1)</f>
        <v>0</v>
      </c>
      <c r="AB21" s="849">
        <f>IF(ISBLANK(人物卡!DI25),0,1)</f>
        <v>0</v>
      </c>
      <c r="AC21" s="850" t="s">
        <v>653</v>
      </c>
      <c r="AD21" s="942" t="s">
        <v>654</v>
      </c>
      <c r="AE21" s="943" t="s">
        <v>507</v>
      </c>
      <c r="AF21" s="944"/>
      <c r="AG21" s="944"/>
      <c r="AH21" s="944"/>
      <c r="AI21" s="944"/>
      <c r="AJ21" s="944"/>
      <c r="AK21" s="944"/>
      <c r="AL21" s="944"/>
      <c r="AM21" s="944"/>
      <c r="AN21" s="944"/>
      <c r="AO21" s="944"/>
      <c r="AP21" s="944"/>
      <c r="AQ21" s="944"/>
      <c r="AR21" s="915">
        <f>人物卡!DK93</f>
        <v>1924</v>
      </c>
      <c r="AS21" s="836" t="str">
        <f>IF(AR21="仅显示1890_2023","",VLOOKUP(AR21,AE33:AS166,15,FALSE))</f>
        <v>纸制鸡蛋托
面巾纸</v>
      </c>
      <c r="BA21" s="2783"/>
      <c r="BG21" s="927"/>
      <c r="BH21" s="927" t="s">
        <v>655</v>
      </c>
      <c r="BI21" s="945" t="s">
        <v>656</v>
      </c>
      <c r="BJ21" s="945" t="s">
        <v>657</v>
      </c>
      <c r="BK21" s="945" t="s">
        <v>658</v>
      </c>
      <c r="BL21" s="945" t="s">
        <v>659</v>
      </c>
      <c r="BM21" s="945" t="s">
        <v>660</v>
      </c>
      <c r="BN21" s="945" t="s">
        <v>661</v>
      </c>
      <c r="BO21" s="945" t="s">
        <v>662</v>
      </c>
      <c r="BP21" s="945" t="s">
        <v>663</v>
      </c>
      <c r="BQ21" s="945" t="s">
        <v>664</v>
      </c>
      <c r="BR21" s="945" t="s">
        <v>665</v>
      </c>
      <c r="BS21" s="945" t="s">
        <v>666</v>
      </c>
      <c r="BT21" s="945" t="s">
        <v>667</v>
      </c>
      <c r="BU21" s="945" t="s">
        <v>668</v>
      </c>
      <c r="BV21" s="945" t="s">
        <v>669</v>
      </c>
      <c r="BW21" s="945" t="s">
        <v>670</v>
      </c>
      <c r="BX21" s="945" t="s">
        <v>671</v>
      </c>
      <c r="BY21" s="945" t="s">
        <v>672</v>
      </c>
      <c r="BZ21" s="945" t="s">
        <v>673</v>
      </c>
      <c r="CA21" s="945" t="s">
        <v>674</v>
      </c>
      <c r="CB21" s="945" t="s">
        <v>675</v>
      </c>
      <c r="CC21" s="945" t="s">
        <v>676</v>
      </c>
      <c r="CD21" s="945" t="s">
        <v>677</v>
      </c>
      <c r="CE21" s="917"/>
      <c r="CF21" s="917"/>
      <c r="CG21" s="917"/>
      <c r="CH21" s="917"/>
      <c r="CI21" s="917"/>
      <c r="CJ21" s="917"/>
      <c r="CK21" s="917"/>
      <c r="CL21" s="946"/>
      <c r="CM21" s="917"/>
      <c r="CN21" s="917"/>
      <c r="CO21" s="917"/>
      <c r="CP21" s="917"/>
      <c r="CQ21" s="917"/>
      <c r="CR21" s="917"/>
      <c r="CS21" s="917"/>
      <c r="CT21" s="917"/>
      <c r="CU21" s="917"/>
      <c r="CV21" s="917"/>
      <c r="CW21" s="917"/>
      <c r="CX21" s="917"/>
      <c r="CY21" s="917"/>
      <c r="CZ21" s="917"/>
      <c r="DA21" s="917"/>
      <c r="DB21" s="917"/>
      <c r="DC21" s="917"/>
      <c r="DD21" s="917"/>
      <c r="DE21" s="917"/>
      <c r="DF21" s="917"/>
      <c r="DG21" s="917"/>
      <c r="DH21" s="917"/>
      <c r="DI21" s="917"/>
      <c r="DJ21" s="917"/>
      <c r="DK21" s="917"/>
      <c r="DL21" s="917"/>
      <c r="DM21" s="917"/>
      <c r="DN21" s="917"/>
      <c r="DO21" s="917"/>
      <c r="DP21" s="917"/>
      <c r="DQ21" s="917"/>
      <c r="DR21" s="917"/>
      <c r="DS21" s="917"/>
      <c r="DT21" s="917"/>
      <c r="DU21" s="917"/>
      <c r="DV21" s="917"/>
      <c r="DW21" s="917"/>
      <c r="DX21" s="917"/>
      <c r="DY21" s="917"/>
      <c r="DZ21" s="917"/>
      <c r="EA21" s="917"/>
      <c r="EB21" s="917"/>
      <c r="EC21" s="917"/>
      <c r="ED21" s="917"/>
      <c r="EE21" s="917"/>
      <c r="EF21" s="917"/>
      <c r="EG21" s="917"/>
      <c r="EH21" s="917"/>
      <c r="EI21" s="917"/>
      <c r="EJ21" s="917"/>
      <c r="EK21" s="917"/>
      <c r="EL21" s="917"/>
      <c r="EM21" s="917"/>
      <c r="EN21" s="917"/>
      <c r="EO21" s="917"/>
    </row>
    <row r="22" spans="2:145" ht="17.25" customHeight="1">
      <c r="B22" s="856" t="s">
        <v>678</v>
      </c>
      <c r="C22" s="836" t="s">
        <v>650</v>
      </c>
      <c r="D22" s="836">
        <v>60</v>
      </c>
      <c r="E22" s="836" t="s">
        <v>679</v>
      </c>
      <c r="K22" s="854"/>
      <c r="M22" s="947"/>
      <c r="O22" s="856" t="s">
        <v>680</v>
      </c>
      <c r="Q22" s="854"/>
      <c r="AA22" s="856">
        <f>IF(ISBLANK(人物卡!CZ26),0,1)</f>
        <v>0</v>
      </c>
      <c r="AB22" s="854">
        <f>IF(ISBLANK(人物卡!DI26),0,1)</f>
        <v>0</v>
      </c>
      <c r="AC22" s="836">
        <f>AA21+AA23+AA22+AA25+AA24+AB21+AB22+AB23+AB24+AB25</f>
        <v>0</v>
      </c>
      <c r="AD22" s="948">
        <f>IF(人物卡!CT29="提示当前职业",0,1)</f>
        <v>0</v>
      </c>
      <c r="AE22" s="949" t="str">
        <f>IF(AD32=1,"仅显示1890_2023",AE28)</f>
        <v>仅显示1890_2023</v>
      </c>
      <c r="AF22" s="2783" t="str">
        <f>IF(AE22="仅显示1890_2023","",VLOOKUP(AE22,AE33:AS166,2,FALSE))</f>
        <v/>
      </c>
      <c r="AG22" s="2783" t="e">
        <f>IF(AE22="仅显示1890～2023","",VLOOKUP(AE22,AE33:AS166,3,FALSE))</f>
        <v>#N/A</v>
      </c>
      <c r="AH22" s="2783" t="e">
        <f>IF(AE22="仅显示1890～2023","",VLOOKUP(AE22,AE33:AS166,4,FALSE))</f>
        <v>#N/A</v>
      </c>
      <c r="AI22" s="2783" t="e">
        <f>IF(AE22="仅显示1890～2023","",VLOOKUP(AE22,AE33:AS166,5,FALSE))</f>
        <v>#N/A</v>
      </c>
      <c r="AJ22" s="2783" t="e">
        <f>IF(AE22="仅显示1890～2023","",VLOOKUP(AE22,AE33:AS166,6,FALSE))</f>
        <v>#N/A</v>
      </c>
      <c r="AK22" s="2783" t="e">
        <f>IF(AE22="仅显示1890～2023","",VLOOKUP(AE22,AE33:AS166,7,FALSE))</f>
        <v>#N/A</v>
      </c>
      <c r="AL22" s="2783" t="e">
        <f>IF(AE22="仅显示1890～2023","",VLOOKUP(AE22,AE33:AS166,8,FALSE))</f>
        <v>#N/A</v>
      </c>
      <c r="AM22" s="2783" t="e">
        <f>IF(AE22="仅显示1890～2023","",VLOOKUP(AE22,AE33:AS166,9,FALSE))</f>
        <v>#N/A</v>
      </c>
      <c r="AN22" s="2783" t="e">
        <f>IF(AE22="仅显示1890～2023","",VLOOKUP(AE22,AE33:AS166,10,FALSE))</f>
        <v>#N/A</v>
      </c>
      <c r="AO22" s="2783" t="e">
        <f>IF(AE22="仅显示1890～2023","",VLOOKUP(AE22,AE33:AS166,11,FALSE))</f>
        <v>#N/A</v>
      </c>
      <c r="AP22" s="2783" t="e">
        <f>IF(AE22="仅显示1890～2023","",VLOOKUP(AE22,AE33:AS166,12,FALSE))</f>
        <v>#N/A</v>
      </c>
      <c r="AQ22" s="2780" t="e">
        <f>IF(AE22="仅显示1890～2023","",VLOOKUP(AE22,AE33:AS166,13,FALSE))</f>
        <v>#N/A</v>
      </c>
      <c r="AR22" s="2780" t="e">
        <f>IF(AE22="仅显示1890～2023","",VLOOKUP(AE22,AE33:AS166,14,FALSE))</f>
        <v>#N/A</v>
      </c>
      <c r="AS22" s="2780" t="e">
        <f>IF(AE22="仅显示1890～2023","",VLOOKUP(AE22,AE33:AS166,15,FALSE))</f>
        <v>#N/A</v>
      </c>
      <c r="BA22" s="2783"/>
      <c r="BG22" s="927"/>
      <c r="BH22"/>
      <c r="BI22" s="928"/>
      <c r="BJ22" s="928"/>
      <c r="BK22" s="917"/>
      <c r="BL22" s="917"/>
      <c r="BM22" s="917"/>
      <c r="BN22" s="917"/>
      <c r="BO22" s="917"/>
      <c r="BP22" s="917"/>
      <c r="BQ22" s="917"/>
      <c r="BR22" s="917"/>
      <c r="BS22" s="917"/>
      <c r="BT22" s="917"/>
      <c r="BU22" s="917"/>
      <c r="BV22" s="917"/>
      <c r="BW22" s="917"/>
      <c r="BX22" s="917"/>
      <c r="BY22" s="917"/>
      <c r="BZ22" s="917"/>
      <c r="CA22" s="917"/>
      <c r="CB22" s="917"/>
      <c r="CC22" s="917"/>
      <c r="CD22" s="917"/>
      <c r="CE22" s="917"/>
      <c r="CF22" s="917"/>
      <c r="CG22" s="917"/>
      <c r="CH22" s="917"/>
      <c r="CI22" s="917"/>
      <c r="CJ22" s="917"/>
      <c r="CK22" s="917"/>
      <c r="CL22" s="917"/>
      <c r="CM22" s="917"/>
      <c r="CN22" s="917"/>
      <c r="CO22" s="917"/>
      <c r="CP22" s="917"/>
      <c r="CQ22" s="917"/>
      <c r="CR22" s="917"/>
      <c r="CS22" s="917"/>
      <c r="CT22" s="917"/>
      <c r="CU22" s="917"/>
      <c r="CV22" s="917"/>
      <c r="CW22" s="917"/>
      <c r="CX22" s="917"/>
      <c r="CY22" s="917"/>
      <c r="CZ22" s="917"/>
      <c r="DA22" s="917"/>
      <c r="DB22" s="917"/>
      <c r="DC22" s="917"/>
      <c r="DD22" s="917"/>
      <c r="DE22" s="917"/>
      <c r="DF22" s="917"/>
      <c r="DG22" s="917"/>
      <c r="DH22" s="917"/>
      <c r="DI22" s="917"/>
      <c r="DJ22" s="917"/>
      <c r="DK22" s="917"/>
      <c r="DL22" s="917"/>
      <c r="DM22" s="917"/>
      <c r="DN22" s="917"/>
      <c r="DO22" s="917"/>
      <c r="DP22" s="917"/>
      <c r="DQ22" s="917"/>
      <c r="DR22" s="917"/>
      <c r="DS22" s="917"/>
      <c r="DT22" s="917"/>
      <c r="DU22" s="917"/>
      <c r="DV22" s="917"/>
      <c r="DW22" s="917"/>
      <c r="DX22" s="917"/>
      <c r="DY22" s="917"/>
      <c r="DZ22" s="917"/>
      <c r="EA22" s="917"/>
      <c r="EB22" s="917"/>
      <c r="EC22" s="917"/>
      <c r="ED22" s="917"/>
      <c r="EE22" s="917"/>
      <c r="EF22" s="917"/>
      <c r="EG22" s="917"/>
      <c r="EH22" s="917"/>
      <c r="EI22" s="917"/>
      <c r="EJ22" s="917"/>
      <c r="EK22" s="917"/>
      <c r="EL22" s="917"/>
      <c r="EM22" s="917"/>
      <c r="EN22" s="917"/>
      <c r="EO22" s="917"/>
    </row>
    <row r="23" spans="2:145" ht="17.25" customHeight="1">
      <c r="B23" s="856" t="s">
        <v>681</v>
      </c>
      <c r="C23" s="836" t="s">
        <v>650</v>
      </c>
      <c r="D23" s="836">
        <v>60</v>
      </c>
      <c r="E23" s="836" t="s">
        <v>682</v>
      </c>
      <c r="I23" s="838"/>
      <c r="K23" s="854"/>
      <c r="M23" s="947"/>
      <c r="O23" s="856" t="s">
        <v>683</v>
      </c>
      <c r="Q23" s="950" t="s">
        <v>291</v>
      </c>
      <c r="AA23" s="856">
        <f>IF(ISBLANK(人物卡!CZ27),0,1)</f>
        <v>0</v>
      </c>
      <c r="AB23" s="854">
        <f>IF(ISBLANK(人物卡!DI27),0,1)</f>
        <v>0</v>
      </c>
      <c r="AC23" s="836" t="s">
        <v>684</v>
      </c>
      <c r="AD23" s="948"/>
      <c r="AE23" s="951" t="s">
        <v>685</v>
      </c>
      <c r="AF23" s="2783"/>
      <c r="AG23" s="2783"/>
      <c r="AH23" s="2783"/>
      <c r="AI23" s="2783"/>
      <c r="AJ23" s="2783"/>
      <c r="AK23" s="2783"/>
      <c r="AL23" s="2783"/>
      <c r="AM23" s="2783"/>
      <c r="AN23" s="2783"/>
      <c r="AO23" s="2783"/>
      <c r="AP23" s="2783"/>
      <c r="AQ23" s="2780"/>
      <c r="AR23" s="2780"/>
      <c r="AS23" s="2780"/>
      <c r="BA23" s="2783"/>
      <c r="BG23" s="927"/>
      <c r="BH23" s="924" t="s">
        <v>686</v>
      </c>
      <c r="BI23" s="917"/>
      <c r="BJ23" s="928"/>
      <c r="BK23" s="917"/>
      <c r="BL23" s="917"/>
      <c r="BM23" s="917"/>
      <c r="BN23" s="917"/>
      <c r="BO23" s="917"/>
      <c r="BP23" s="917"/>
      <c r="BQ23" s="917"/>
      <c r="BR23" s="917"/>
      <c r="BS23" s="917"/>
      <c r="BT23" s="917"/>
      <c r="BU23" s="917"/>
      <c r="BV23" s="917"/>
      <c r="BW23" s="917"/>
      <c r="BX23" s="917"/>
      <c r="BY23" s="917"/>
      <c r="BZ23" s="917"/>
      <c r="CA23" s="917"/>
      <c r="CB23" s="917"/>
      <c r="CC23" s="917"/>
      <c r="CD23" s="917"/>
      <c r="CE23" s="917"/>
      <c r="CF23" s="917"/>
      <c r="CG23" s="917"/>
      <c r="CH23" s="917"/>
      <c r="CI23" s="917"/>
      <c r="CJ23" s="917"/>
      <c r="CK23" s="917"/>
      <c r="CL23" s="917"/>
      <c r="CM23" s="917"/>
      <c r="CN23" s="917"/>
      <c r="CO23" s="917"/>
      <c r="CP23" s="917"/>
      <c r="CQ23" s="917"/>
      <c r="CR23" s="917"/>
      <c r="CS23" s="917"/>
      <c r="CT23" s="917"/>
      <c r="CU23" s="917"/>
      <c r="CV23" s="917"/>
      <c r="CW23" s="917"/>
      <c r="CX23" s="917"/>
      <c r="CY23" s="917"/>
      <c r="CZ23" s="917"/>
      <c r="DA23" s="917"/>
      <c r="DB23" s="917"/>
      <c r="DC23" s="917"/>
      <c r="DD23" s="917"/>
      <c r="DE23" s="917"/>
      <c r="DF23" s="917"/>
      <c r="DG23" s="917"/>
      <c r="DH23" s="917"/>
      <c r="DI23" s="917"/>
      <c r="DJ23" s="917"/>
      <c r="DK23" s="917"/>
      <c r="DL23" s="917"/>
      <c r="DM23" s="917"/>
      <c r="DN23" s="917"/>
      <c r="DO23" s="917"/>
      <c r="DP23" s="917"/>
      <c r="DQ23" s="917"/>
      <c r="DR23" s="917"/>
      <c r="DS23" s="917"/>
      <c r="DT23" s="917"/>
      <c r="DU23" s="917"/>
      <c r="DV23" s="917"/>
      <c r="DW23" s="917"/>
      <c r="DX23" s="917"/>
      <c r="DY23" s="917"/>
      <c r="DZ23" s="917"/>
      <c r="EA23" s="917"/>
      <c r="EB23" s="917"/>
      <c r="EC23" s="917"/>
      <c r="ED23" s="917"/>
      <c r="EE23" s="917"/>
      <c r="EF23" s="917"/>
      <c r="EG23" s="917"/>
      <c r="EH23" s="917"/>
      <c r="EI23" s="917"/>
      <c r="EJ23" s="917"/>
      <c r="EK23" s="917"/>
      <c r="EL23" s="917"/>
      <c r="EM23" s="917"/>
      <c r="EN23" s="917"/>
      <c r="EO23" s="917"/>
    </row>
    <row r="24" spans="2:145" ht="17.25" customHeight="1">
      <c r="B24" s="856" t="s">
        <v>687</v>
      </c>
      <c r="C24" s="836" t="s">
        <v>688</v>
      </c>
      <c r="D24" s="836">
        <v>0</v>
      </c>
      <c r="E24" s="836" t="s">
        <v>689</v>
      </c>
      <c r="I24" s="838"/>
      <c r="K24" s="854"/>
      <c r="M24" s="947"/>
      <c r="O24" s="856" t="s">
        <v>690</v>
      </c>
      <c r="Q24" s="854" t="s">
        <v>288</v>
      </c>
      <c r="S24" s="2784" t="str">
        <f>".st "&amp;"力量"&amp;G14&amp;"str"&amp;G14&amp;"敏捷"&amp;J14&amp;"dex"&amp;J14&amp;"意志"&amp;M14&amp;"pow"&amp;M14&amp;"体质"&amp;H14&amp;"con"&amp;H14&amp;"外貌"&amp;K14&amp;"app"&amp;K14&amp;"教育"&amp;N14&amp;"edu"&amp;N14&amp;"体型"&amp;I14&amp;"siz"&amp;I14&amp;"智力"&amp;L14&amp;"灵感"&amp;L14&amp;"int"&amp;L14&amp;"san"&amp;人物卡!BM19&amp;"san值"&amp;人物卡!BM19&amp;"理智"&amp;人物卡!BM19&amp;"理智值"&amp;人物卡!BM19&amp;"幸运"&amp;O14&amp;"运气"&amp;O14&amp;"mp"&amp;人物卡!BV19&amp;"魔法"&amp;人物卡!BV19&amp;"hp"&amp;人物卡!BD19&amp;"体力"&amp;人物卡!BD19&amp;人物卡!BE25&amp;人物卡!BQ25&amp;人物卡!BE26&amp;人物卡!BQ26&amp;人物卡!BE27&amp;人物卡!BQ27&amp;人物卡!BE28&amp;人物卡!BQ28&amp;IF(人物卡!BG29="","",人物卡!BG29&amp;人物卡!BQ29)&amp;IF(人物卡!BG30="","",人物卡!BG30&amp;人物卡!BQ30)&amp;IF(人物卡!BG31="","",人物卡!BG31&amp;人物卡!BQ31)&amp;人物卡!BE32&amp;人物卡!BQ32&amp;"魅惑"&amp;人物卡!BQ32&amp;人物卡!BE33&amp;人物卡!BQ33&amp;"计算机"&amp;人物卡!BQ34&amp;"计算机使用"&amp;人物卡!BQ34&amp;"电脑"&amp;人物卡!BQ34&amp;"信用"&amp;人物卡!BQ35&amp;"信誉"&amp;人物卡!BQ35&amp;"信用评级"&amp;人物卡!BQ35&amp;"克苏鲁"&amp;人物卡!BQ36&amp;"克苏鲁神话"&amp;人物卡!BQ36&amp;"cm"&amp;人物卡!BQ36&amp;人物卡!BE37&amp;人物卡!BQ37&amp;人物卡!BE38&amp;人物卡!BQ38&amp;"汽车"&amp;人物卡!BQ39&amp;"驾驶"&amp;人物卡!BQ39&amp;"汽车驾驶"&amp;人物卡!BQ39&amp;人物卡!BE40&amp;人物卡!BQ40&amp;"电子学"&amp;人物卡!BQ41&amp;人物卡!BE42&amp;人物卡!BQ42&amp;人物卡!BG43&amp;人物卡!BQ43&amp;IF(人物卡!BG44="","",人物卡!BG44&amp;人物卡!BQ44)&amp;IF(人物卡!BG45="","",人物卡!BG45&amp;人物卡!BQ45)&amp;IF(人物卡!BG46="","",人物卡!BG46&amp;人物卡!BQ46)&amp;人物卡!BG47&amp;人物卡!BQ47&amp;IF(W15=1,人物卡!CA48&amp;人物卡!BQ48&amp;"步枪"&amp;人物卡!BQ48&amp;"霰弹枪"&amp;人物卡!BQ48&amp;"步霰"&amp;人物卡!BQ48,IF(人物卡!BG48="","",人物卡!BG48&amp;人物卡!BQ48))&amp;IF(W16=1,人物卡!CA49&amp;人物卡!BQ49&amp;"步枪"&amp;人物卡!BQ49&amp;"霰弹枪"&amp;人物卡!BQ49&amp;"步霰"&amp;人物卡!BQ49,IF(人物卡!BG49="","",人物卡!BG49&amp;人物卡!BQ49))&amp;IF(W17=1,人物卡!CA50&amp;人物卡!BQ50&amp;"步枪"&amp;人物卡!BQ50&amp;"霰弹枪"&amp;人物卡!BQ50&amp;"步霰"&amp;人物卡!BQ50,IF(人物卡!BG50="","",人物卡!BG50&amp;人物卡!BQ50))&amp;人物卡!BE51&amp;人物卡!BQ51&amp;人物卡!BE52&amp;人物卡!BQ52&amp;人物卡!BE53&amp;人物卡!BQ53&amp;人物卡!BE54&amp;人物卡!BQ54&amp;IF(人物卡!BG55="","",人物卡!BG55&amp;人物卡!BQ55)&amp;IF(人物卡!BG56="","",人物卡!BG56&amp;人物卡!BQ56)&amp;IF(人物卡!BG57="","",人物卡!BG57&amp;人物卡!BQ57)&amp;人物卡!BE58&amp;人物卡!BQ58&amp;人物卡!CA25&amp;人物卡!CM25&amp;"图书馆"&amp;人物卡!CM26&amp;"图书馆使用"&amp;人物卡!CM26&amp;人物卡!CA27&amp;人物卡!CM27&amp;"开锁"&amp;人物卡!CM28&amp;"撬锁"&amp;人物卡!CM28&amp;"锁匠"&amp;人物卡!CM28&amp;人物卡!CA29&amp;人物卡!CM29&amp;人物卡!CA30&amp;人物卡!CM30&amp;"博物学"&amp;人物卡!CM31&amp;"自然学"&amp;人物卡!CM31&amp;"领航"&amp;人物卡!CM32&amp;"导航"&amp;人物卡!CM32&amp;人物卡!CA33&amp;人物卡!CM33&amp;"重型操作"&amp;人物卡!CM34&amp;"重型机械"&amp;人物卡!CM34&amp;"操作重型机械"&amp;人物卡!CM34&amp;"重型"&amp;人物卡!CM34&amp;人物卡!CA35&amp;人物卡!CM35&amp;IF(人物卡!CC36="","",人物卡!CC36&amp;人物卡!CM36)&amp;人物卡!CA37&amp;人物卡!CM37&amp;人物卡!CA38&amp;人物卡!CM38&amp;人物卡!CA39&amp;人物卡!CM39&amp;IF(人物卡!CC40="","",人物卡!CC40&amp;人物卡!CM40)&amp;IF(人物卡!CC41="","",人物卡!CC41&amp;人物卡!CM41)&amp;IF(人物卡!CC42="","",人物卡!CC42&amp;人物卡!CM42)&amp;人物卡!CA43&amp;人物卡!CM43&amp;人物卡!CA44&amp;人物卡!CM44&amp;人物卡!CA45&amp;人物卡!CM45&amp;"生存"&amp;人物卡!CM46&amp;人物卡!CA47&amp;人物卡!CM47&amp;人物卡!CA48&amp;人物卡!CM48&amp;人物卡!CA49&amp;人物卡!CM49&amp;人物卡!CA50&amp;人物卡!CM50&amp;人物卡!CA51&amp;人物卡!CM51&amp;人物卡!CA52&amp;人物卡!CM52&amp;人物卡!CA53&amp;人物卡!CM53&amp;人物卡!CA54&amp;人物卡!CM54&amp;人物卡!CA55&amp;人物卡!CM55&amp;IF(人物卡!CC56="","",人物卡!CC56&amp;人物卡!CM56)&amp;IF(W18=1,"",人物卡!CA57&amp;人物卡!CM57)&amp;IF(人物卡!CA58="","",人物卡!CA58&amp;人物卡!CM58)</f>
        <v>.st 力量0str0敏捷0dex0意志0pow0体质0con0外貌0app0教育0edu0体型0siz0智力0灵感0int0san0san值0理智0理智值0幸运0运气0mp0魔法0hp0体力0会计5法律5历史5人类学1神秘学5魅惑5信用评级0计算机0计算机使用0电脑0信用10信誉10信用评级10克苏鲁10克苏鲁神话10cm10电子学 Ω1操作重型机械1汽车1驾驶1汽车驾驶1计算机使用 Ω0电子学1科学②115技艺⑤5母语0外语①1外语②1闪避0锁匠1图书馆5图书馆使用5妙手10开锁20撬锁20锁匠20图书馆使用20聆听20博物学25自然学25领航10导航10导航10重型操作10重型机械10操作重型机械10重型10取悦15恐吓15说服10跳跃20游泳20精神分析1医学1生存30驾驶①1驾驶②1汽车驾驶20骑术5动物驯养5潜水1读唇1催眠1自定义①1炮术1投掷20</v>
      </c>
      <c r="T24" s="2784"/>
      <c r="U24" s="2784"/>
      <c r="V24" s="2784"/>
      <c r="AA24" s="856">
        <f>IF(ISBLANK(人物卡!CZ28),0,1)</f>
        <v>0</v>
      </c>
      <c r="AB24" s="854">
        <f>IF(ISBLANK(人物卡!DI28),0,1)</f>
        <v>0</v>
      </c>
      <c r="AC24" s="836">
        <f>人物卡!BE18-AC22</f>
        <v>0</v>
      </c>
      <c r="AD24" s="948"/>
      <c r="AE24" s="953">
        <f>人物卡!BF17</f>
        <v>0</v>
      </c>
      <c r="AF24" s="2783"/>
      <c r="AG24" s="2783"/>
      <c r="AH24" s="2783"/>
      <c r="AI24" s="2783"/>
      <c r="AJ24" s="2783"/>
      <c r="AK24" s="2783"/>
      <c r="AL24" s="2783"/>
      <c r="AM24" s="2783"/>
      <c r="AN24" s="2783"/>
      <c r="AO24" s="2783"/>
      <c r="AP24" s="2783"/>
      <c r="AQ24" s="2780"/>
      <c r="AR24" s="2780"/>
      <c r="AS24" s="2780"/>
      <c r="AT24" s="905"/>
      <c r="AU24" s="850"/>
      <c r="AV24" s="850"/>
      <c r="AW24" s="850"/>
      <c r="AX24" s="954" t="s">
        <v>500</v>
      </c>
      <c r="AY24" s="848"/>
      <c r="AZ24" s="2858" t="s">
        <v>29</v>
      </c>
      <c r="BA24" s="2858"/>
      <c r="BB24" s="2859"/>
      <c r="BH24" s="927" t="s">
        <v>691</v>
      </c>
      <c r="BI24" s="945" t="s">
        <v>692</v>
      </c>
      <c r="BJ24" s="945" t="s">
        <v>693</v>
      </c>
      <c r="BK24" s="945" t="s">
        <v>694</v>
      </c>
      <c r="BL24" s="945" t="s">
        <v>695</v>
      </c>
      <c r="BM24" s="945" t="s">
        <v>696</v>
      </c>
      <c r="BN24" s="945" t="s">
        <v>697</v>
      </c>
      <c r="BO24" s="945" t="s">
        <v>698</v>
      </c>
      <c r="BP24" s="945" t="s">
        <v>699</v>
      </c>
      <c r="BQ24" s="945" t="s">
        <v>700</v>
      </c>
      <c r="BR24" s="945" t="s">
        <v>701</v>
      </c>
      <c r="BS24" s="945" t="s">
        <v>702</v>
      </c>
      <c r="BT24" s="945" t="s">
        <v>703</v>
      </c>
      <c r="BU24" s="945" t="s">
        <v>704</v>
      </c>
      <c r="BV24" s="945" t="s">
        <v>705</v>
      </c>
      <c r="BW24" s="945" t="s">
        <v>706</v>
      </c>
      <c r="BX24" s="945" t="s">
        <v>707</v>
      </c>
      <c r="BY24" s="945" t="s">
        <v>708</v>
      </c>
      <c r="BZ24" s="945" t="s">
        <v>709</v>
      </c>
      <c r="CA24" s="945" t="s">
        <v>710</v>
      </c>
      <c r="CB24" s="945" t="s">
        <v>711</v>
      </c>
      <c r="CC24" s="945" t="s">
        <v>712</v>
      </c>
      <c r="CD24" s="945" t="s">
        <v>713</v>
      </c>
      <c r="CE24" s="945" t="s">
        <v>714</v>
      </c>
      <c r="CF24" s="945" t="s">
        <v>715</v>
      </c>
      <c r="CG24" s="945" t="s">
        <v>716</v>
      </c>
      <c r="CH24" s="945" t="s">
        <v>717</v>
      </c>
      <c r="CI24" s="945" t="s">
        <v>542</v>
      </c>
      <c r="CJ24" s="945" t="s">
        <v>718</v>
      </c>
      <c r="CK24" s="945" t="s">
        <v>719</v>
      </c>
      <c r="CL24" s="945" t="s">
        <v>720</v>
      </c>
      <c r="CM24" s="945" t="s">
        <v>695</v>
      </c>
      <c r="CN24" s="945" t="s">
        <v>721</v>
      </c>
      <c r="CO24" s="945" t="s">
        <v>722</v>
      </c>
      <c r="CP24" s="945" t="s">
        <v>529</v>
      </c>
      <c r="CQ24" s="955" t="s">
        <v>723</v>
      </c>
      <c r="CR24" s="955" t="s">
        <v>724</v>
      </c>
      <c r="CS24" s="955" t="s">
        <v>725</v>
      </c>
      <c r="CT24" s="955" t="s">
        <v>726</v>
      </c>
      <c r="CU24" s="955" t="s">
        <v>727</v>
      </c>
      <c r="CV24" s="955" t="s">
        <v>728</v>
      </c>
      <c r="CW24" s="955" t="s">
        <v>729</v>
      </c>
      <c r="CX24" s="955" t="s">
        <v>730</v>
      </c>
      <c r="CY24" s="955" t="s">
        <v>731</v>
      </c>
      <c r="CZ24" s="955" t="s">
        <v>732</v>
      </c>
      <c r="DA24" s="955" t="s">
        <v>733</v>
      </c>
      <c r="DB24" s="955" t="s">
        <v>734</v>
      </c>
      <c r="DC24" s="955" t="s">
        <v>735</v>
      </c>
      <c r="DD24" s="955" t="s">
        <v>736</v>
      </c>
      <c r="DE24" s="955" t="s">
        <v>737</v>
      </c>
      <c r="DF24" s="955" t="s">
        <v>696</v>
      </c>
      <c r="DG24" s="955" t="s">
        <v>738</v>
      </c>
      <c r="DH24" s="955" t="s">
        <v>739</v>
      </c>
      <c r="DI24" s="955" t="s">
        <v>740</v>
      </c>
      <c r="DJ24" s="955" t="s">
        <v>530</v>
      </c>
      <c r="DK24" s="955" t="s">
        <v>741</v>
      </c>
      <c r="DL24" s="955" t="s">
        <v>742</v>
      </c>
      <c r="DM24" s="955" t="s">
        <v>743</v>
      </c>
      <c r="DN24" s="955" t="s">
        <v>744</v>
      </c>
      <c r="DO24" s="955" t="s">
        <v>745</v>
      </c>
      <c r="DP24" s="955" t="s">
        <v>746</v>
      </c>
      <c r="DQ24" s="955" t="s">
        <v>747</v>
      </c>
      <c r="DR24" s="955" t="s">
        <v>748</v>
      </c>
      <c r="DS24" s="955" t="s">
        <v>749</v>
      </c>
      <c r="DT24" s="917"/>
      <c r="DU24" s="917"/>
      <c r="DV24" s="917"/>
      <c r="DW24" s="917"/>
      <c r="DX24" s="917"/>
      <c r="DY24" s="917"/>
      <c r="DZ24" s="917"/>
      <c r="EA24" s="917"/>
      <c r="EB24" s="917"/>
      <c r="EC24" s="917"/>
      <c r="ED24" s="917"/>
      <c r="EE24" s="917"/>
      <c r="EF24" s="917"/>
      <c r="EG24" s="917"/>
      <c r="EH24" s="917"/>
      <c r="EI24" s="917"/>
      <c r="EJ24" s="917"/>
      <c r="EK24" s="917"/>
      <c r="EL24" s="917"/>
      <c r="EM24" s="917"/>
      <c r="EN24" s="917"/>
      <c r="EO24" s="917"/>
    </row>
    <row r="25" spans="2:145" ht="17.25" customHeight="1">
      <c r="B25" s="856" t="str">
        <f>IF(ISBLANK(人物卡!AF108),"自定义经历包",人物卡!AF108)</f>
        <v>自定义经历包</v>
      </c>
      <c r="C25" s="836" t="str">
        <f>'简化卡 骰娘导入'!E96</f>
        <v/>
      </c>
      <c r="D25" s="836" t="str">
        <f>'简化卡 骰娘导入'!H96</f>
        <v/>
      </c>
      <c r="E25" s="836" t="str">
        <f>'简化卡 骰娘导入'!J96</f>
        <v/>
      </c>
      <c r="H25" s="921"/>
      <c r="K25" s="854"/>
      <c r="M25" s="947"/>
      <c r="O25" s="856" t="s">
        <v>750</v>
      </c>
      <c r="Q25" s="854" t="s">
        <v>751</v>
      </c>
      <c r="S25" s="2784"/>
      <c r="T25" s="2784"/>
      <c r="U25" s="2784"/>
      <c r="V25" s="2784"/>
      <c r="X25" s="956" t="s">
        <v>128</v>
      </c>
      <c r="Y25" s="849"/>
      <c r="AA25" s="883"/>
      <c r="AB25" s="885">
        <f>IF(ISBLANK(人物卡!DI29),0,1)</f>
        <v>0</v>
      </c>
      <c r="AC25" s="957" t="s">
        <v>752</v>
      </c>
      <c r="AD25" s="957" t="str">
        <f>IF(AD22=1," ",IF(AC24=0,"无",IF(AC24&lt;0,"过多！",AC24)))</f>
        <v>无</v>
      </c>
      <c r="AE25" s="953" t="s">
        <v>753</v>
      </c>
      <c r="AF25" s="2783"/>
      <c r="AG25" s="2783"/>
      <c r="AH25" s="2783"/>
      <c r="AI25" s="2783"/>
      <c r="AJ25" s="2783"/>
      <c r="AK25" s="2783"/>
      <c r="AL25" s="2783"/>
      <c r="AM25" s="2783"/>
      <c r="AN25" s="2783"/>
      <c r="AO25" s="2783"/>
      <c r="AP25" s="2783"/>
      <c r="AQ25" s="2780"/>
      <c r="AR25" s="2780"/>
      <c r="AS25" s="2780"/>
      <c r="AT25" s="958" t="s">
        <v>754</v>
      </c>
      <c r="AV25" s="836">
        <f>IF(AT25=人物卡!CY93,1,0)</f>
        <v>0</v>
      </c>
      <c r="AX25" s="837"/>
      <c r="AY25" s="855"/>
      <c r="AZ25" s="836">
        <v>1</v>
      </c>
      <c r="BA25" s="921" t="s">
        <v>755</v>
      </c>
      <c r="BB25" s="854" t="e">
        <f>AQ22</f>
        <v>#N/A</v>
      </c>
      <c r="BH25" s="927" t="s">
        <v>756</v>
      </c>
      <c r="BI25" s="945" t="s">
        <v>757</v>
      </c>
      <c r="BJ25" s="945" t="s">
        <v>758</v>
      </c>
      <c r="BK25" s="945" t="s">
        <v>759</v>
      </c>
      <c r="BL25" s="945" t="s">
        <v>760</v>
      </c>
      <c r="BM25" s="945" t="s">
        <v>761</v>
      </c>
      <c r="BN25" s="945" t="s">
        <v>762</v>
      </c>
      <c r="BO25" s="945" t="s">
        <v>763</v>
      </c>
      <c r="BP25" s="945" t="s">
        <v>764</v>
      </c>
      <c r="BQ25" s="945" t="s">
        <v>765</v>
      </c>
      <c r="BR25" s="945" t="s">
        <v>766</v>
      </c>
      <c r="BS25" s="945" t="s">
        <v>767</v>
      </c>
      <c r="BT25" s="945" t="s">
        <v>768</v>
      </c>
      <c r="BU25" s="945" t="s">
        <v>769</v>
      </c>
      <c r="BV25" s="945" t="s">
        <v>770</v>
      </c>
      <c r="BW25" s="945" t="s">
        <v>771</v>
      </c>
      <c r="BX25" s="945" t="s">
        <v>772</v>
      </c>
      <c r="BY25" s="945" t="s">
        <v>773</v>
      </c>
      <c r="BZ25" s="917"/>
      <c r="CA25" s="917"/>
      <c r="CB25" s="917"/>
      <c r="CC25" s="917"/>
      <c r="CD25" s="917"/>
      <c r="CE25" s="917"/>
      <c r="CF25" s="917"/>
      <c r="CG25" s="917"/>
      <c r="CH25" s="917"/>
      <c r="CI25" s="917"/>
      <c r="CJ25" s="917"/>
      <c r="CK25" s="917"/>
      <c r="CL25" s="917"/>
      <c r="CM25" s="917"/>
      <c r="CN25" s="917"/>
      <c r="CO25" s="917"/>
      <c r="CP25" s="917"/>
      <c r="CQ25" s="917"/>
      <c r="CR25" s="917"/>
      <c r="CS25" s="917"/>
      <c r="CT25" s="917"/>
      <c r="CU25" s="917"/>
      <c r="CV25" s="917"/>
      <c r="CW25" s="917"/>
      <c r="CX25" s="917"/>
      <c r="CY25" s="917"/>
      <c r="CZ25" s="917"/>
      <c r="DA25" s="917"/>
      <c r="DB25" s="917"/>
      <c r="DC25" s="917"/>
      <c r="DD25" s="917"/>
      <c r="DE25" s="917"/>
      <c r="DF25" s="917"/>
      <c r="DG25" s="917"/>
      <c r="DH25" s="917"/>
      <c r="DI25" s="917"/>
      <c r="DJ25" s="917"/>
      <c r="DK25" s="917"/>
      <c r="DL25" s="917"/>
      <c r="DM25" s="917"/>
      <c r="DN25" s="917"/>
      <c r="DO25" s="917"/>
      <c r="DP25" s="917"/>
      <c r="DQ25" s="917"/>
      <c r="DR25" s="917"/>
      <c r="DS25" s="917"/>
      <c r="DT25" s="917"/>
      <c r="DU25" s="917"/>
      <c r="DV25" s="917"/>
      <c r="DW25" s="917"/>
      <c r="DX25" s="917"/>
      <c r="DY25" s="917"/>
      <c r="DZ25" s="917"/>
      <c r="EA25" s="917"/>
      <c r="EB25" s="917"/>
      <c r="EC25" s="917"/>
      <c r="ED25" s="917"/>
      <c r="EE25" s="917"/>
      <c r="EF25" s="917"/>
      <c r="EG25" s="917"/>
      <c r="EH25" s="917"/>
      <c r="EI25" s="917"/>
      <c r="EJ25" s="917"/>
      <c r="EK25" s="917"/>
      <c r="EL25" s="917"/>
      <c r="EM25" s="917"/>
      <c r="EN25" s="917"/>
      <c r="EO25" s="917"/>
    </row>
    <row r="26" spans="2:145" ht="17.25" customHeight="1">
      <c r="B26" s="856" t="s">
        <v>236</v>
      </c>
      <c r="K26" s="854"/>
      <c r="M26" s="947"/>
      <c r="O26" s="856" t="s">
        <v>774</v>
      </c>
      <c r="Q26" s="854"/>
      <c r="S26" s="2784"/>
      <c r="T26" s="2784"/>
      <c r="U26" s="2784"/>
      <c r="V26" s="2784"/>
      <c r="X26" s="959" t="s">
        <v>131</v>
      </c>
      <c r="Y26" s="854"/>
      <c r="AE26" s="953">
        <f>IF(人物卡!BD17="公元前",人物卡!BF17*2,0)</f>
        <v>0</v>
      </c>
      <c r="AF26" s="2783"/>
      <c r="AG26" s="2783"/>
      <c r="AH26" s="2783"/>
      <c r="AI26" s="2783"/>
      <c r="AJ26" s="2783"/>
      <c r="AK26" s="2783"/>
      <c r="AL26" s="2783"/>
      <c r="AM26" s="2783"/>
      <c r="AN26" s="2783"/>
      <c r="AO26" s="2783"/>
      <c r="AP26" s="2783"/>
      <c r="AQ26" s="2780"/>
      <c r="AR26" s="2780"/>
      <c r="AS26" s="2780"/>
      <c r="AT26" s="958" t="s">
        <v>282</v>
      </c>
      <c r="AV26" s="836">
        <f>IF(AT26=人物卡!CY93,2,0)</f>
        <v>2</v>
      </c>
      <c r="AX26" s="837"/>
      <c r="AY26" s="855"/>
      <c r="AZ26" s="836">
        <v>2</v>
      </c>
      <c r="BA26" s="921" t="s">
        <v>775</v>
      </c>
      <c r="BB26" s="854" t="e">
        <f>AR22</f>
        <v>#N/A</v>
      </c>
      <c r="BG26" s="960"/>
      <c r="BH26" s="927" t="s">
        <v>776</v>
      </c>
      <c r="BI26" s="945" t="s">
        <v>777</v>
      </c>
      <c r="BJ26" s="945" t="s">
        <v>778</v>
      </c>
      <c r="BK26" s="945" t="s">
        <v>779</v>
      </c>
      <c r="BL26" s="945" t="s">
        <v>780</v>
      </c>
      <c r="BM26" s="945" t="s">
        <v>781</v>
      </c>
      <c r="BN26" s="945" t="s">
        <v>782</v>
      </c>
      <c r="BO26" s="945" t="s">
        <v>783</v>
      </c>
      <c r="BP26" s="945" t="s">
        <v>784</v>
      </c>
      <c r="BQ26" s="945" t="s">
        <v>785</v>
      </c>
      <c r="BR26" s="945" t="s">
        <v>786</v>
      </c>
      <c r="BS26" s="945" t="s">
        <v>787</v>
      </c>
      <c r="BT26" s="945" t="s">
        <v>788</v>
      </c>
      <c r="BU26" s="945" t="s">
        <v>789</v>
      </c>
      <c r="BV26" s="945" t="s">
        <v>790</v>
      </c>
      <c r="BW26" s="945" t="s">
        <v>791</v>
      </c>
      <c r="BX26" s="945" t="s">
        <v>792</v>
      </c>
      <c r="BY26" s="945" t="s">
        <v>793</v>
      </c>
      <c r="BZ26" s="945" t="s">
        <v>794</v>
      </c>
      <c r="CA26" s="917"/>
      <c r="CB26" s="917"/>
      <c r="CC26" s="917"/>
      <c r="CD26" s="917"/>
      <c r="CE26" s="917"/>
      <c r="CF26" s="917"/>
      <c r="CG26" s="917"/>
      <c r="CH26" s="917"/>
      <c r="CI26" s="917"/>
      <c r="CJ26" s="917"/>
      <c r="CK26" s="917"/>
      <c r="CL26" s="917"/>
      <c r="CM26" s="917"/>
      <c r="CN26" s="917"/>
      <c r="CO26" s="917"/>
      <c r="CP26" s="917"/>
      <c r="CQ26" s="917"/>
      <c r="CR26" s="917"/>
      <c r="CS26" s="917"/>
      <c r="CT26" s="917"/>
      <c r="CU26" s="917"/>
      <c r="CV26" s="917"/>
      <c r="CW26" s="917"/>
      <c r="CX26" s="917"/>
      <c r="CY26" s="917"/>
      <c r="CZ26" s="917"/>
      <c r="DA26" s="917"/>
      <c r="DB26" s="917"/>
      <c r="DC26" s="917"/>
      <c r="DD26" s="917"/>
      <c r="DE26" s="917"/>
      <c r="DF26" s="917"/>
      <c r="DG26" s="917"/>
      <c r="DH26" s="917"/>
      <c r="DI26" s="917"/>
      <c r="DJ26" s="917"/>
      <c r="DK26" s="917"/>
      <c r="DL26" s="917"/>
      <c r="DM26" s="917"/>
      <c r="DN26" s="917"/>
      <c r="DO26" s="917"/>
      <c r="DP26" s="917"/>
      <c r="DQ26" s="917"/>
      <c r="DR26" s="917"/>
      <c r="DS26" s="917"/>
      <c r="DT26" s="917"/>
      <c r="DU26" s="917"/>
      <c r="DV26" s="917"/>
      <c r="DW26" s="917"/>
      <c r="DX26" s="917"/>
      <c r="DY26" s="917"/>
      <c r="DZ26" s="917"/>
      <c r="EA26" s="917"/>
      <c r="EB26" s="917"/>
      <c r="EC26" s="917"/>
      <c r="ED26" s="917"/>
      <c r="EE26" s="917"/>
      <c r="EF26" s="917"/>
      <c r="EG26" s="917"/>
      <c r="EH26" s="917"/>
      <c r="EI26" s="917"/>
      <c r="EJ26" s="917"/>
      <c r="EK26" s="917"/>
      <c r="EL26" s="917"/>
      <c r="EM26" s="917"/>
      <c r="EN26" s="917"/>
      <c r="EO26" s="917"/>
    </row>
    <row r="27" spans="2:145" ht="17.25" customHeight="1">
      <c r="B27" s="856"/>
      <c r="C27" s="905">
        <f>IF(人物卡!BE148=B20,C20,0)</f>
        <v>0</v>
      </c>
      <c r="D27" s="850">
        <f>IF(人物卡!BE148=B20,D20,0)</f>
        <v>0</v>
      </c>
      <c r="E27" s="2829">
        <f>IF(人物卡!BE148=B20,E20,0)</f>
        <v>0</v>
      </c>
      <c r="F27" s="2829"/>
      <c r="G27" s="2829"/>
      <c r="H27" s="2829"/>
      <c r="I27" s="2829"/>
      <c r="J27" s="2829"/>
      <c r="K27" s="2860"/>
      <c r="M27" s="947"/>
      <c r="O27" s="856" t="s">
        <v>795</v>
      </c>
      <c r="Q27" s="854"/>
      <c r="S27" s="2784"/>
      <c r="T27" s="2784"/>
      <c r="U27" s="2784"/>
      <c r="V27" s="2784"/>
      <c r="X27" s="959" t="s">
        <v>133</v>
      </c>
      <c r="Y27" s="854"/>
      <c r="AB27" s="961" t="s">
        <v>796</v>
      </c>
      <c r="AC27" s="888" t="e">
        <f>D34-SUM(人物卡!BK25:BK58,人物卡!CG25:CG58)</f>
        <v>#VALUE!</v>
      </c>
      <c r="AD27" s="850" t="s">
        <v>507</v>
      </c>
      <c r="AE27" s="953" t="s">
        <v>797</v>
      </c>
      <c r="AF27" s="2783"/>
      <c r="AG27" s="2783"/>
      <c r="AH27" s="2783"/>
      <c r="AI27" s="2783"/>
      <c r="AJ27" s="2783"/>
      <c r="AK27" s="2783"/>
      <c r="AL27" s="2783"/>
      <c r="AM27" s="2783"/>
      <c r="AN27" s="2783"/>
      <c r="AO27" s="2783"/>
      <c r="AP27" s="2783"/>
      <c r="AQ27" s="2780"/>
      <c r="AR27" s="2780"/>
      <c r="AS27" s="2780"/>
      <c r="AT27" s="958"/>
      <c r="AX27" s="837">
        <f>AV25+AV26+AV28+AV29+AV30</f>
        <v>2</v>
      </c>
      <c r="AY27" s="855"/>
      <c r="AZ27" s="836">
        <v>3</v>
      </c>
      <c r="BA27" s="836" t="s">
        <v>798</v>
      </c>
      <c r="BB27" s="854" t="e">
        <f>AS22</f>
        <v>#N/A</v>
      </c>
      <c r="BG27" s="960"/>
      <c r="BH27" s="927" t="s">
        <v>799</v>
      </c>
      <c r="BI27" s="945" t="s">
        <v>800</v>
      </c>
      <c r="BJ27" s="945" t="s">
        <v>801</v>
      </c>
      <c r="BK27" s="945" t="s">
        <v>802</v>
      </c>
      <c r="BL27" s="945" t="s">
        <v>803</v>
      </c>
      <c r="BM27" s="945" t="s">
        <v>804</v>
      </c>
      <c r="BN27" s="945" t="s">
        <v>805</v>
      </c>
      <c r="BO27" s="945" t="s">
        <v>806</v>
      </c>
      <c r="BP27" s="945" t="s">
        <v>807</v>
      </c>
      <c r="BQ27" s="945" t="s">
        <v>808</v>
      </c>
      <c r="BR27" s="945" t="s">
        <v>809</v>
      </c>
      <c r="BS27" s="945" t="s">
        <v>810</v>
      </c>
      <c r="BT27" s="945" t="s">
        <v>811</v>
      </c>
      <c r="BU27" s="945" t="s">
        <v>812</v>
      </c>
      <c r="BV27" s="945" t="s">
        <v>813</v>
      </c>
      <c r="BW27" s="945" t="s">
        <v>814</v>
      </c>
      <c r="BX27" s="945" t="s">
        <v>815</v>
      </c>
      <c r="BY27" s="945" t="s">
        <v>816</v>
      </c>
      <c r="BZ27" s="945" t="s">
        <v>817</v>
      </c>
      <c r="CA27" s="945" t="s">
        <v>818</v>
      </c>
      <c r="CB27" s="945" t="s">
        <v>819</v>
      </c>
      <c r="CC27" s="945" t="s">
        <v>820</v>
      </c>
      <c r="CD27" s="945" t="s">
        <v>821</v>
      </c>
      <c r="CE27" s="945" t="s">
        <v>822</v>
      </c>
      <c r="CF27" s="945" t="s">
        <v>823</v>
      </c>
      <c r="CG27" s="945" t="s">
        <v>824</v>
      </c>
      <c r="CH27" s="945" t="s">
        <v>825</v>
      </c>
      <c r="CI27" s="945" t="s">
        <v>826</v>
      </c>
      <c r="CJ27" s="945" t="s">
        <v>827</v>
      </c>
      <c r="CK27" s="945" t="s">
        <v>828</v>
      </c>
      <c r="CL27" s="945" t="s">
        <v>829</v>
      </c>
      <c r="CM27" s="945" t="s">
        <v>830</v>
      </c>
      <c r="CN27" s="945" t="s">
        <v>831</v>
      </c>
      <c r="CO27" s="945" t="s">
        <v>832</v>
      </c>
      <c r="CP27" s="945" t="s">
        <v>833</v>
      </c>
      <c r="CQ27" s="955" t="s">
        <v>834</v>
      </c>
      <c r="CR27" s="955" t="s">
        <v>835</v>
      </c>
      <c r="CS27" s="955" t="s">
        <v>836</v>
      </c>
      <c r="CT27" s="955" t="s">
        <v>837</v>
      </c>
      <c r="CU27" s="955" t="s">
        <v>838</v>
      </c>
      <c r="CV27" s="955" t="s">
        <v>839</v>
      </c>
      <c r="CW27" s="955" t="s">
        <v>840</v>
      </c>
      <c r="CX27" s="955" t="s">
        <v>841</v>
      </c>
      <c r="CY27" s="955" t="s">
        <v>842</v>
      </c>
      <c r="CZ27" s="955" t="s">
        <v>843</v>
      </c>
      <c r="DA27" s="955" t="s">
        <v>844</v>
      </c>
      <c r="DB27" s="955" t="s">
        <v>845</v>
      </c>
      <c r="DC27" s="955" t="s">
        <v>846</v>
      </c>
      <c r="DD27" s="955" t="s">
        <v>847</v>
      </c>
      <c r="DE27" s="955" t="s">
        <v>848</v>
      </c>
      <c r="DF27" s="955" t="s">
        <v>849</v>
      </c>
      <c r="DG27" s="955" t="s">
        <v>850</v>
      </c>
      <c r="DH27" s="955" t="s">
        <v>851</v>
      </c>
      <c r="DI27" s="955" t="s">
        <v>852</v>
      </c>
      <c r="DJ27" s="955" t="s">
        <v>853</v>
      </c>
      <c r="DK27" s="955" t="s">
        <v>854</v>
      </c>
      <c r="DL27" s="955" t="s">
        <v>855</v>
      </c>
      <c r="DM27" s="955" t="s">
        <v>856</v>
      </c>
      <c r="DN27" s="955" t="s">
        <v>857</v>
      </c>
      <c r="DO27" s="955" t="s">
        <v>858</v>
      </c>
      <c r="DP27" s="955" t="s">
        <v>859</v>
      </c>
      <c r="DQ27" s="955" t="s">
        <v>860</v>
      </c>
      <c r="DR27" s="955" t="s">
        <v>861</v>
      </c>
      <c r="DS27" s="955" t="s">
        <v>862</v>
      </c>
      <c r="DT27" s="955" t="s">
        <v>863</v>
      </c>
      <c r="DU27" s="955" t="s">
        <v>864</v>
      </c>
      <c r="DV27" s="955" t="s">
        <v>865</v>
      </c>
      <c r="DW27" s="955" t="s">
        <v>866</v>
      </c>
      <c r="DX27" s="955" t="s">
        <v>867</v>
      </c>
      <c r="DY27" s="955" t="s">
        <v>868</v>
      </c>
      <c r="DZ27" s="955" t="s">
        <v>869</v>
      </c>
      <c r="EA27" s="955" t="s">
        <v>870</v>
      </c>
      <c r="EB27" s="955" t="s">
        <v>871</v>
      </c>
      <c r="EC27" s="955" t="s">
        <v>872</v>
      </c>
      <c r="ED27" s="955" t="s">
        <v>873</v>
      </c>
      <c r="EE27" s="955" t="s">
        <v>874</v>
      </c>
      <c r="EF27" s="955" t="s">
        <v>875</v>
      </c>
      <c r="EG27" s="955" t="s">
        <v>876</v>
      </c>
      <c r="EH27" s="917"/>
      <c r="EI27" s="917"/>
      <c r="EJ27" s="917"/>
      <c r="EK27" s="917"/>
      <c r="EL27" s="917"/>
      <c r="EM27" s="917"/>
      <c r="EN27" s="917"/>
      <c r="EO27" s="917"/>
    </row>
    <row r="28" spans="2:145" ht="17.25" customHeight="1">
      <c r="B28" s="856"/>
      <c r="C28" s="856">
        <f>IF(人物卡!BE148=B21,C21,0)</f>
        <v>0</v>
      </c>
      <c r="D28" s="836">
        <f>IF(人物卡!BE148=B21,D21,0)</f>
        <v>0</v>
      </c>
      <c r="E28" s="2780">
        <f>IF(人物卡!BE148=B21,E21,0)</f>
        <v>0</v>
      </c>
      <c r="F28" s="2780"/>
      <c r="G28" s="2780"/>
      <c r="H28" s="2780"/>
      <c r="I28" s="2780"/>
      <c r="J28" s="2780"/>
      <c r="K28" s="2861"/>
      <c r="M28" s="947"/>
      <c r="O28" s="856" t="s">
        <v>877</v>
      </c>
      <c r="Q28" s="854"/>
      <c r="S28" s="2784"/>
      <c r="T28" s="2784"/>
      <c r="U28" s="2784"/>
      <c r="V28" s="2784"/>
      <c r="X28" s="959" t="s">
        <v>135</v>
      </c>
      <c r="Y28" s="854"/>
      <c r="AB28" s="416" t="s">
        <v>494</v>
      </c>
      <c r="AC28" s="884" t="b">
        <f>ISNUMBER(AC27)</f>
        <v>0</v>
      </c>
      <c r="AD28" s="884" t="str">
        <f>IF(AC28=FALSE,"0",AC27)</f>
        <v>0</v>
      </c>
      <c r="AE28" s="962">
        <f>AE24-AE26</f>
        <v>0</v>
      </c>
      <c r="AF28" s="2783"/>
      <c r="AG28" s="2783"/>
      <c r="AH28" s="2783"/>
      <c r="AI28" s="2783"/>
      <c r="AJ28" s="2783"/>
      <c r="AK28" s="2783"/>
      <c r="AL28" s="2783"/>
      <c r="AM28" s="2783"/>
      <c r="AN28" s="2783"/>
      <c r="AO28" s="2783"/>
      <c r="AP28" s="2783"/>
      <c r="AQ28" s="2780"/>
      <c r="AR28" s="2780"/>
      <c r="AS28" s="2780"/>
      <c r="AT28" s="856" t="s">
        <v>798</v>
      </c>
      <c r="AV28" s="836">
        <f>IF(AT28=人物卡!CY93,3,0)</f>
        <v>0</v>
      </c>
      <c r="AX28" s="837"/>
      <c r="AY28" s="855"/>
      <c r="AZ28" s="836">
        <v>4</v>
      </c>
      <c r="BA28" s="836" t="s">
        <v>878</v>
      </c>
      <c r="BB28" s="854" t="str">
        <f>AS21</f>
        <v>纸制鸡蛋托
面巾纸</v>
      </c>
      <c r="BG28" s="960"/>
      <c r="BH28" s="927" t="s">
        <v>879</v>
      </c>
      <c r="BI28" s="945" t="s">
        <v>880</v>
      </c>
      <c r="BJ28" s="945" t="s">
        <v>881</v>
      </c>
      <c r="BK28" s="945" t="s">
        <v>882</v>
      </c>
      <c r="BL28" s="945" t="s">
        <v>883</v>
      </c>
      <c r="BM28" s="945" t="s">
        <v>884</v>
      </c>
      <c r="BN28" s="945" t="s">
        <v>885</v>
      </c>
      <c r="BO28" s="945" t="s">
        <v>886</v>
      </c>
      <c r="BP28" s="945" t="s">
        <v>887</v>
      </c>
      <c r="BQ28" s="945" t="s">
        <v>888</v>
      </c>
      <c r="BR28" s="945" t="s">
        <v>889</v>
      </c>
      <c r="BS28" s="945" t="s">
        <v>890</v>
      </c>
      <c r="BT28" s="945" t="s">
        <v>891</v>
      </c>
      <c r="BU28" s="945" t="s">
        <v>892</v>
      </c>
      <c r="BV28" s="945" t="s">
        <v>893</v>
      </c>
      <c r="BW28" s="945" t="s">
        <v>894</v>
      </c>
      <c r="BX28" s="917"/>
      <c r="BY28" s="917"/>
      <c r="BZ28" s="917"/>
      <c r="CA28" s="917"/>
      <c r="CB28" s="917"/>
      <c r="CC28" s="917"/>
      <c r="CD28" s="917"/>
      <c r="CE28" s="917"/>
      <c r="CF28" s="917"/>
      <c r="CG28" s="917"/>
      <c r="CH28" s="917"/>
      <c r="CI28" s="917"/>
      <c r="CJ28" s="917"/>
      <c r="CK28" s="917"/>
      <c r="CL28" s="917"/>
      <c r="CM28" s="917"/>
      <c r="CN28" s="917"/>
      <c r="CO28" s="917"/>
      <c r="CP28" s="917"/>
      <c r="CQ28" s="917"/>
      <c r="CR28" s="917"/>
      <c r="CS28" s="917"/>
      <c r="CT28" s="917"/>
      <c r="CU28" s="917"/>
      <c r="CV28" s="917"/>
      <c r="CW28" s="917"/>
      <c r="CX28" s="917"/>
      <c r="CY28" s="917"/>
      <c r="CZ28" s="917"/>
      <c r="DA28" s="917"/>
      <c r="DB28" s="917"/>
      <c r="DC28" s="917"/>
      <c r="DD28" s="917"/>
      <c r="DE28" s="917"/>
      <c r="DF28" s="917"/>
      <c r="DG28" s="917"/>
      <c r="DH28" s="917"/>
      <c r="DI28" s="917"/>
      <c r="DJ28" s="917"/>
      <c r="DK28" s="917"/>
      <c r="DL28" s="917"/>
      <c r="DM28" s="917"/>
      <c r="DN28" s="917"/>
      <c r="DO28" s="917"/>
      <c r="DP28" s="917"/>
      <c r="DQ28" s="917"/>
      <c r="DR28" s="917"/>
      <c r="DS28" s="917"/>
      <c r="DT28" s="917"/>
      <c r="DU28" s="917"/>
      <c r="DV28" s="917"/>
      <c r="DW28" s="917"/>
      <c r="DX28" s="917"/>
      <c r="DY28" s="917"/>
      <c r="DZ28" s="917"/>
      <c r="EA28" s="917"/>
      <c r="EB28" s="917"/>
      <c r="EC28" s="917"/>
      <c r="ED28" s="917"/>
      <c r="EE28" s="917"/>
      <c r="EF28" s="917"/>
      <c r="EG28" s="917"/>
      <c r="EH28" s="917"/>
      <c r="EI28" s="917"/>
      <c r="EJ28" s="917"/>
      <c r="EK28" s="917"/>
      <c r="EL28" s="917"/>
      <c r="EM28" s="917"/>
      <c r="EN28" s="917"/>
      <c r="EO28" s="917"/>
    </row>
    <row r="29" spans="2:145" ht="17.25" customHeight="1">
      <c r="B29" s="856"/>
      <c r="C29" s="856">
        <f>IF(人物卡!BE148=B22,C22,0)</f>
        <v>0</v>
      </c>
      <c r="D29" s="836">
        <f>IF(人物卡!BE148=B22,D22,0)</f>
        <v>0</v>
      </c>
      <c r="E29" s="2780">
        <f>IF(人物卡!BE148=B22,E22,0)</f>
        <v>0</v>
      </c>
      <c r="F29" s="2780"/>
      <c r="G29" s="2780"/>
      <c r="H29" s="2780"/>
      <c r="I29" s="2780"/>
      <c r="J29" s="2780"/>
      <c r="K29" s="2861"/>
      <c r="M29" s="947"/>
      <c r="O29" s="856" t="s">
        <v>289</v>
      </c>
      <c r="Q29" s="854"/>
      <c r="S29" s="2784"/>
      <c r="T29" s="2784"/>
      <c r="U29" s="2784"/>
      <c r="V29" s="2784"/>
      <c r="X29" s="963" t="s">
        <v>137</v>
      </c>
      <c r="Y29" s="854"/>
      <c r="AB29" s="886" t="s">
        <v>895</v>
      </c>
      <c r="AC29" s="887" t="str">
        <f>IF(人物卡!BL11=0," ",LOOKUP(人物卡!BL11,职业列表!A2:C237,职业列表!F2:F237))</f>
        <v xml:space="preserve"> </v>
      </c>
      <c r="AD29" s="2862" t="s">
        <v>896</v>
      </c>
      <c r="AE29" s="2863"/>
      <c r="AF29" s="2783"/>
      <c r="AG29" s="2783"/>
      <c r="AH29" s="2783"/>
      <c r="AI29" s="2783"/>
      <c r="AJ29" s="2783"/>
      <c r="AK29" s="2783"/>
      <c r="AL29" s="2783"/>
      <c r="AM29" s="2783"/>
      <c r="AN29" s="2783"/>
      <c r="AO29" s="2783"/>
      <c r="AP29" s="2783"/>
      <c r="AQ29" s="2780"/>
      <c r="AR29" s="2780"/>
      <c r="AS29" s="2780"/>
      <c r="AT29" s="856" t="s">
        <v>878</v>
      </c>
      <c r="AV29" s="836">
        <f>IF(AT29=人物卡!CY93,4,0)</f>
        <v>0</v>
      </c>
      <c r="AX29" s="837"/>
      <c r="AY29" s="964"/>
      <c r="AZ29" s="965">
        <v>5</v>
      </c>
      <c r="BA29" s="965" t="s">
        <v>897</v>
      </c>
      <c r="BB29" s="966" t="s">
        <v>898</v>
      </c>
      <c r="BG29" s="960"/>
      <c r="BH29" s="927" t="s">
        <v>899</v>
      </c>
      <c r="BI29" s="945" t="s">
        <v>900</v>
      </c>
      <c r="BJ29" s="945" t="s">
        <v>901</v>
      </c>
      <c r="BK29" s="945" t="s">
        <v>902</v>
      </c>
      <c r="BL29" s="945" t="s">
        <v>903</v>
      </c>
      <c r="BM29" s="945" t="s">
        <v>904</v>
      </c>
      <c r="BN29" s="945" t="s">
        <v>905</v>
      </c>
      <c r="BO29" s="945" t="s">
        <v>906</v>
      </c>
      <c r="BP29" s="945" t="s">
        <v>907</v>
      </c>
      <c r="BQ29" s="945" t="s">
        <v>908</v>
      </c>
      <c r="BR29" s="945" t="s">
        <v>909</v>
      </c>
      <c r="BS29" s="945" t="s">
        <v>910</v>
      </c>
      <c r="BT29" s="945" t="s">
        <v>911</v>
      </c>
      <c r="BU29" s="945" t="s">
        <v>912</v>
      </c>
      <c r="BV29" s="945" t="s">
        <v>913</v>
      </c>
      <c r="BW29" s="945" t="s">
        <v>914</v>
      </c>
      <c r="BX29" s="945" t="s">
        <v>915</v>
      </c>
      <c r="BY29" s="917"/>
      <c r="BZ29" s="917"/>
      <c r="CA29" s="917"/>
      <c r="CB29" s="917"/>
      <c r="CC29" s="917"/>
      <c r="CD29" s="917"/>
      <c r="CE29" s="917"/>
      <c r="CF29" s="917"/>
      <c r="CG29" s="917"/>
      <c r="CH29" s="917"/>
      <c r="CI29" s="917"/>
      <c r="CJ29" s="917"/>
      <c r="CK29" s="917"/>
      <c r="CL29" s="917"/>
      <c r="CM29" s="917"/>
      <c r="CN29" s="917"/>
      <c r="CO29" s="917"/>
      <c r="CP29" s="917"/>
      <c r="CQ29" s="917"/>
      <c r="CR29" s="917"/>
      <c r="CS29" s="917"/>
      <c r="CT29" s="917"/>
      <c r="CU29" s="917"/>
      <c r="CV29" s="917"/>
      <c r="CW29" s="917"/>
      <c r="CX29" s="917"/>
      <c r="CY29" s="917"/>
      <c r="CZ29" s="917"/>
      <c r="DA29" s="917"/>
      <c r="DB29" s="917"/>
      <c r="DC29" s="917"/>
      <c r="DD29" s="917"/>
      <c r="DE29" s="917"/>
      <c r="DF29" s="917"/>
      <c r="DG29" s="917"/>
      <c r="DH29" s="917"/>
      <c r="DI29" s="917"/>
      <c r="DJ29" s="917"/>
      <c r="DK29" s="917"/>
      <c r="DL29" s="917"/>
      <c r="DM29" s="917"/>
      <c r="DN29" s="917"/>
      <c r="DO29" s="917"/>
      <c r="DP29" s="917"/>
      <c r="DQ29" s="917"/>
      <c r="DR29" s="917"/>
      <c r="DS29" s="917"/>
      <c r="DT29" s="917"/>
      <c r="DU29" s="917"/>
      <c r="DV29" s="917"/>
      <c r="DW29" s="917"/>
      <c r="DX29" s="917"/>
      <c r="DY29" s="917"/>
      <c r="DZ29" s="917"/>
      <c r="EA29" s="917"/>
      <c r="EB29" s="917"/>
      <c r="EC29" s="917"/>
      <c r="ED29" s="917"/>
      <c r="EE29" s="917"/>
      <c r="EF29" s="917"/>
      <c r="EG29" s="917"/>
      <c r="EH29" s="917"/>
      <c r="EI29" s="917"/>
      <c r="EJ29" s="917"/>
      <c r="EK29" s="917"/>
      <c r="EL29" s="917"/>
      <c r="EM29" s="917"/>
      <c r="EN29" s="917"/>
      <c r="EO29" s="917"/>
    </row>
    <row r="30" spans="2:145" ht="17.25" customHeight="1">
      <c r="B30" s="856"/>
      <c r="C30" s="856">
        <f>IF(人物卡!BE148=B23,C23,0)</f>
        <v>0</v>
      </c>
      <c r="D30" s="836">
        <f>IF(人物卡!BE148=B23,D23,0)</f>
        <v>0</v>
      </c>
      <c r="E30" s="2780">
        <f>IF(人物卡!BE148=B23,E23,0)</f>
        <v>0</v>
      </c>
      <c r="F30" s="2780"/>
      <c r="G30" s="2780"/>
      <c r="H30" s="2780"/>
      <c r="I30" s="2780"/>
      <c r="J30" s="2780"/>
      <c r="K30" s="2861"/>
      <c r="M30" s="947"/>
      <c r="O30" s="856" t="s">
        <v>916</v>
      </c>
      <c r="Q30" s="854"/>
      <c r="S30" s="2784"/>
      <c r="T30" s="2784"/>
      <c r="U30" s="2784"/>
      <c r="V30" s="2784"/>
      <c r="X30" s="967" t="s">
        <v>140</v>
      </c>
      <c r="Y30" s="854"/>
      <c r="AD30" s="968">
        <f>IF(AE30="大",1,0)</f>
        <v>0</v>
      </c>
      <c r="AE30" s="969" t="b">
        <f>IF(AE28&gt;2023,"大")</f>
        <v>0</v>
      </c>
      <c r="AF30" s="2783"/>
      <c r="AG30" s="2783"/>
      <c r="AH30" s="2783"/>
      <c r="AI30" s="2783"/>
      <c r="AJ30" s="2783"/>
      <c r="AK30" s="2783"/>
      <c r="AL30" s="2783"/>
      <c r="AM30" s="2783"/>
      <c r="AN30" s="2783"/>
      <c r="AO30" s="2783"/>
      <c r="AP30" s="2783"/>
      <c r="AQ30" s="2780"/>
      <c r="AR30" s="2780"/>
      <c r="AS30" s="2780"/>
      <c r="AT30" s="836" t="s">
        <v>917</v>
      </c>
      <c r="AU30" s="883" t="s">
        <v>897</v>
      </c>
      <c r="AV30" s="884">
        <f>IF(AU30=人物卡!CY93,5,0)</f>
        <v>0</v>
      </c>
      <c r="AW30" s="884"/>
      <c r="AX30" s="970"/>
      <c r="AY30" s="884"/>
      <c r="AZ30" s="884"/>
      <c r="BA30" s="884"/>
      <c r="BB30" s="885"/>
      <c r="BG30" s="960"/>
      <c r="BH30" s="927" t="s">
        <v>918</v>
      </c>
      <c r="BI30" s="917" t="s">
        <v>919</v>
      </c>
      <c r="BJ30" s="917"/>
      <c r="BK30" s="917"/>
      <c r="BL30" s="917"/>
      <c r="BM30" s="917"/>
      <c r="BN30" s="917"/>
      <c r="BO30" s="917"/>
      <c r="BP30" s="917"/>
      <c r="BQ30" s="917"/>
      <c r="BR30" s="917"/>
      <c r="BS30" s="917"/>
      <c r="BT30" s="917"/>
      <c r="BU30" s="917"/>
      <c r="BV30" s="917"/>
      <c r="BW30" s="917"/>
      <c r="BX30" s="917"/>
      <c r="BY30" s="917"/>
      <c r="BZ30" s="917"/>
      <c r="CA30" s="917"/>
      <c r="CB30" s="917"/>
      <c r="CC30" s="917"/>
      <c r="CD30" s="917"/>
      <c r="CE30" s="917"/>
      <c r="CF30" s="917"/>
      <c r="CG30" s="917"/>
      <c r="CH30" s="917"/>
      <c r="CI30" s="917"/>
      <c r="CJ30" s="917"/>
      <c r="CK30" s="917"/>
      <c r="CL30" s="917"/>
      <c r="CM30" s="917"/>
      <c r="CN30" s="917"/>
      <c r="CO30" s="917"/>
      <c r="CP30" s="917"/>
      <c r="CQ30" s="917"/>
      <c r="CR30" s="917"/>
      <c r="CS30" s="917"/>
      <c r="CT30" s="917"/>
      <c r="CU30" s="917"/>
      <c r="CV30" s="917"/>
      <c r="CW30" s="917"/>
      <c r="CX30" s="917"/>
      <c r="CY30" s="917"/>
      <c r="CZ30" s="917"/>
      <c r="DA30" s="917"/>
      <c r="DB30" s="917"/>
      <c r="DC30" s="917"/>
      <c r="DD30" s="917"/>
      <c r="DE30" s="917"/>
      <c r="DF30" s="917"/>
      <c r="DG30" s="917"/>
      <c r="DH30" s="917"/>
      <c r="DI30" s="917"/>
      <c r="DJ30" s="917"/>
      <c r="DK30" s="917"/>
      <c r="DL30" s="917"/>
      <c r="DM30" s="917"/>
      <c r="DN30" s="917"/>
      <c r="DO30" s="917"/>
      <c r="DP30" s="917"/>
      <c r="DQ30" s="917"/>
      <c r="DR30" s="917"/>
      <c r="DS30" s="917"/>
      <c r="DT30" s="917"/>
      <c r="DU30" s="917"/>
      <c r="DV30" s="917"/>
      <c r="DW30" s="917"/>
      <c r="DX30" s="917"/>
      <c r="DY30" s="917"/>
      <c r="DZ30" s="917"/>
      <c r="EA30" s="917"/>
      <c r="EB30" s="917"/>
      <c r="EC30" s="917"/>
      <c r="ED30" s="917"/>
      <c r="EE30" s="917"/>
      <c r="EF30" s="917"/>
      <c r="EG30" s="917"/>
      <c r="EH30" s="917"/>
      <c r="EI30" s="917"/>
      <c r="EJ30" s="917"/>
      <c r="EK30" s="917"/>
      <c r="EL30" s="917"/>
      <c r="EM30" s="917"/>
      <c r="EN30" s="917"/>
      <c r="EO30" s="917"/>
    </row>
    <row r="31" spans="2:145" ht="17.25" customHeight="1">
      <c r="B31" s="856"/>
      <c r="C31" s="883">
        <f>IF(人物卡!BE148=B24,C24,0)</f>
        <v>0</v>
      </c>
      <c r="D31" s="884">
        <f>IF(人物卡!BE148=B24,D24,0)</f>
        <v>0</v>
      </c>
      <c r="E31" s="2852">
        <f>IF(人物卡!BE148=B24,E24,0)</f>
        <v>0</v>
      </c>
      <c r="F31" s="2852"/>
      <c r="G31" s="2852"/>
      <c r="H31" s="2852"/>
      <c r="I31" s="2852"/>
      <c r="J31" s="2852"/>
      <c r="K31" s="2853"/>
      <c r="M31" s="947"/>
      <c r="O31" s="856" t="s">
        <v>920</v>
      </c>
      <c r="Q31" s="854"/>
      <c r="S31" s="2784"/>
      <c r="T31" s="2784"/>
      <c r="U31" s="2784"/>
      <c r="V31" s="2784"/>
      <c r="X31" s="963" t="s">
        <v>143</v>
      </c>
      <c r="Y31" s="854"/>
      <c r="AD31" s="971">
        <f>IF(AE31="小",1,0)</f>
        <v>1</v>
      </c>
      <c r="AE31" s="972" t="str">
        <f>IF(AE28&lt;1890,"小")</f>
        <v>小</v>
      </c>
      <c r="AF31" s="2783"/>
      <c r="AG31" s="2783"/>
      <c r="AH31" s="2783"/>
      <c r="AI31" s="2783"/>
      <c r="AJ31" s="2783"/>
      <c r="AK31" s="2783"/>
      <c r="AL31" s="2783"/>
      <c r="AM31" s="2783"/>
      <c r="AN31" s="2783"/>
      <c r="AO31" s="2783"/>
      <c r="AP31" s="2783"/>
      <c r="AQ31" s="2780"/>
      <c r="AR31" s="2780"/>
      <c r="AS31" s="2780"/>
      <c r="BG31" s="960"/>
      <c r="BH31" s="927" t="s">
        <v>921</v>
      </c>
      <c r="BI31" s="945" t="s">
        <v>922</v>
      </c>
      <c r="BJ31" s="945" t="s">
        <v>923</v>
      </c>
      <c r="BK31" s="945" t="s">
        <v>924</v>
      </c>
      <c r="BL31" s="945" t="s">
        <v>925</v>
      </c>
      <c r="BM31" s="945" t="s">
        <v>926</v>
      </c>
      <c r="BN31" s="945" t="s">
        <v>927</v>
      </c>
      <c r="BO31" s="945" t="s">
        <v>928</v>
      </c>
      <c r="BP31" s="945" t="s">
        <v>929</v>
      </c>
      <c r="BQ31" s="945" t="s">
        <v>930</v>
      </c>
      <c r="BR31" s="945" t="s">
        <v>931</v>
      </c>
      <c r="BS31" s="945" t="s">
        <v>932</v>
      </c>
      <c r="BT31" s="945" t="s">
        <v>933</v>
      </c>
      <c r="BU31" s="945" t="s">
        <v>934</v>
      </c>
      <c r="BV31" s="945" t="s">
        <v>935</v>
      </c>
      <c r="BW31" s="945" t="s">
        <v>936</v>
      </c>
      <c r="BX31" s="945" t="s">
        <v>937</v>
      </c>
      <c r="BY31" s="945" t="s">
        <v>938</v>
      </c>
      <c r="BZ31" s="945" t="s">
        <v>939</v>
      </c>
      <c r="CA31" s="945" t="s">
        <v>940</v>
      </c>
      <c r="CB31" s="945" t="s">
        <v>941</v>
      </c>
      <c r="CC31" s="945" t="s">
        <v>942</v>
      </c>
      <c r="CD31" s="945" t="s">
        <v>943</v>
      </c>
      <c r="CE31" s="945" t="s">
        <v>944</v>
      </c>
      <c r="CF31" s="945" t="s">
        <v>945</v>
      </c>
      <c r="CG31" s="945" t="s">
        <v>946</v>
      </c>
      <c r="CH31" s="945" t="s">
        <v>947</v>
      </c>
      <c r="CI31" s="945" t="s">
        <v>948</v>
      </c>
      <c r="CJ31" s="945" t="s">
        <v>949</v>
      </c>
      <c r="CK31" s="945" t="s">
        <v>950</v>
      </c>
      <c r="CL31" s="945" t="s">
        <v>951</v>
      </c>
      <c r="CM31" s="945" t="s">
        <v>952</v>
      </c>
      <c r="CN31" s="945" t="s">
        <v>953</v>
      </c>
      <c r="CO31" s="945" t="s">
        <v>954</v>
      </c>
      <c r="CP31" s="945" t="s">
        <v>955</v>
      </c>
      <c r="CQ31" s="955" t="s">
        <v>956</v>
      </c>
      <c r="CR31" s="955" t="s">
        <v>957</v>
      </c>
      <c r="CS31" s="955" t="s">
        <v>958</v>
      </c>
      <c r="CT31" s="955" t="s">
        <v>959</v>
      </c>
      <c r="CU31" s="955" t="s">
        <v>960</v>
      </c>
      <c r="CV31" s="955" t="s">
        <v>961</v>
      </c>
      <c r="CW31" s="955" t="s">
        <v>962</v>
      </c>
      <c r="CX31" s="917"/>
      <c r="CY31" s="917"/>
      <c r="CZ31" s="917"/>
      <c r="DA31" s="917"/>
      <c r="DB31" s="917"/>
      <c r="DC31" s="917"/>
      <c r="DD31" s="917"/>
      <c r="DE31" s="917"/>
      <c r="DF31" s="917"/>
      <c r="DG31" s="917"/>
      <c r="DH31" s="917"/>
      <c r="DI31" s="917"/>
      <c r="DJ31" s="917"/>
      <c r="DK31" s="917"/>
      <c r="DL31" s="917"/>
      <c r="DM31" s="917"/>
      <c r="DN31" s="917"/>
      <c r="DO31" s="917"/>
      <c r="DP31" s="917"/>
      <c r="DQ31" s="917"/>
      <c r="DR31" s="917"/>
      <c r="DS31" s="917"/>
      <c r="DT31" s="917"/>
      <c r="DU31" s="917"/>
      <c r="DV31" s="917"/>
      <c r="DW31" s="917"/>
      <c r="DX31" s="917"/>
      <c r="DY31" s="917"/>
      <c r="DZ31" s="917"/>
      <c r="EA31" s="917"/>
      <c r="EB31" s="917"/>
      <c r="EC31" s="917"/>
      <c r="ED31" s="917"/>
      <c r="EE31" s="917"/>
      <c r="EF31" s="917"/>
      <c r="EG31" s="917"/>
      <c r="EH31" s="917"/>
      <c r="EI31" s="917"/>
      <c r="EJ31" s="917"/>
      <c r="EK31" s="917"/>
      <c r="EL31" s="917"/>
      <c r="EM31" s="917"/>
      <c r="EN31" s="917"/>
      <c r="EO31" s="917"/>
    </row>
    <row r="32" spans="2:145" ht="17.25" customHeight="1">
      <c r="B32" s="856"/>
      <c r="C32" s="836" t="str">
        <f>IF(人物卡!BE148=B25,C25,0)</f>
        <v/>
      </c>
      <c r="D32" s="836" t="str">
        <f>IF(人物卡!BE148=B25,D25,0)</f>
        <v/>
      </c>
      <c r="E32" s="2780" t="str">
        <f>IF(人物卡!BE148=B25,E25,0)</f>
        <v/>
      </c>
      <c r="F32" s="2780"/>
      <c r="G32" s="2780"/>
      <c r="H32" s="2780"/>
      <c r="I32" s="2780"/>
      <c r="J32" s="2780"/>
      <c r="K32" s="2861"/>
      <c r="M32" s="947"/>
      <c r="O32" s="856" t="s">
        <v>963</v>
      </c>
      <c r="Q32" s="854"/>
      <c r="S32" s="2784"/>
      <c r="T32" s="2784"/>
      <c r="U32" s="2784"/>
      <c r="V32" s="2784"/>
      <c r="X32" s="959" t="s">
        <v>146</v>
      </c>
      <c r="Y32" s="854"/>
      <c r="AD32" s="973">
        <f>AD30+AD31</f>
        <v>1</v>
      </c>
      <c r="AE32" s="974" t="s">
        <v>964</v>
      </c>
      <c r="AF32" s="975" t="s">
        <v>965</v>
      </c>
      <c r="AG32" s="975">
        <v>2</v>
      </c>
      <c r="AH32" s="975">
        <v>3</v>
      </c>
      <c r="AI32" s="975" t="s">
        <v>966</v>
      </c>
      <c r="AJ32" s="975"/>
      <c r="AK32" s="975"/>
      <c r="AL32" s="975" t="s">
        <v>183</v>
      </c>
      <c r="AM32" s="975"/>
      <c r="AN32" s="975"/>
      <c r="AO32" s="975" t="s">
        <v>967</v>
      </c>
      <c r="AP32" s="976" t="s">
        <v>968</v>
      </c>
      <c r="AQ32" s="977" t="s">
        <v>755</v>
      </c>
      <c r="AR32" s="977" t="s">
        <v>775</v>
      </c>
      <c r="AS32" s="977" t="s">
        <v>969</v>
      </c>
      <c r="AT32" s="978"/>
      <c r="BG32" s="960"/>
      <c r="BH32" s="927" t="s">
        <v>970</v>
      </c>
      <c r="BI32" s="945" t="s">
        <v>971</v>
      </c>
      <c r="BJ32" s="945" t="s">
        <v>972</v>
      </c>
      <c r="BK32" s="945" t="s">
        <v>973</v>
      </c>
      <c r="BL32" s="945" t="s">
        <v>974</v>
      </c>
      <c r="BM32" s="945" t="s">
        <v>975</v>
      </c>
      <c r="BN32" s="945" t="s">
        <v>976</v>
      </c>
      <c r="BO32" s="945" t="s">
        <v>977</v>
      </c>
      <c r="BP32" s="945" t="s">
        <v>978</v>
      </c>
      <c r="BQ32" s="945" t="s">
        <v>979</v>
      </c>
      <c r="BR32" s="945" t="s">
        <v>980</v>
      </c>
      <c r="BS32" s="945" t="s">
        <v>981</v>
      </c>
      <c r="BT32" s="945" t="s">
        <v>982</v>
      </c>
      <c r="BU32" s="945" t="s">
        <v>983</v>
      </c>
      <c r="BV32" s="945" t="s">
        <v>984</v>
      </c>
      <c r="BW32" s="945" t="s">
        <v>985</v>
      </c>
      <c r="BX32" s="945" t="s">
        <v>986</v>
      </c>
      <c r="BY32" s="945" t="s">
        <v>987</v>
      </c>
      <c r="BZ32" s="945" t="s">
        <v>988</v>
      </c>
      <c r="CA32" s="945" t="s">
        <v>989</v>
      </c>
      <c r="CB32" s="945" t="s">
        <v>990</v>
      </c>
      <c r="CC32" s="945" t="s">
        <v>991</v>
      </c>
      <c r="CD32" s="945" t="s">
        <v>992</v>
      </c>
      <c r="CE32" s="945" t="s">
        <v>993</v>
      </c>
      <c r="CF32" s="945" t="s">
        <v>994</v>
      </c>
      <c r="CG32" s="945" t="s">
        <v>995</v>
      </c>
      <c r="CH32" s="945" t="s">
        <v>996</v>
      </c>
      <c r="CI32" s="945" t="s">
        <v>997</v>
      </c>
      <c r="CJ32" s="945" t="s">
        <v>998</v>
      </c>
      <c r="CK32" s="945" t="s">
        <v>999</v>
      </c>
      <c r="CL32" s="945" t="s">
        <v>1000</v>
      </c>
      <c r="CM32" s="945" t="s">
        <v>1001</v>
      </c>
      <c r="CN32" s="945" t="s">
        <v>1002</v>
      </c>
      <c r="CO32" s="945" t="s">
        <v>1003</v>
      </c>
      <c r="CP32" s="945" t="s">
        <v>1004</v>
      </c>
      <c r="CQ32" s="955" t="s">
        <v>1005</v>
      </c>
      <c r="CR32" s="955" t="s">
        <v>1006</v>
      </c>
      <c r="CS32" s="955" t="s">
        <v>1007</v>
      </c>
      <c r="CT32" s="917"/>
      <c r="CU32" s="917"/>
      <c r="CV32" s="917"/>
      <c r="CW32" s="917"/>
      <c r="CX32" s="917"/>
      <c r="CY32" s="917"/>
      <c r="CZ32" s="917"/>
      <c r="DA32" s="917"/>
      <c r="DB32" s="917"/>
      <c r="DC32" s="917"/>
      <c r="DD32" s="917"/>
      <c r="DE32" s="917"/>
      <c r="DF32" s="917"/>
      <c r="DG32" s="917"/>
      <c r="DH32" s="917"/>
      <c r="DI32" s="917"/>
      <c r="DJ32" s="917"/>
      <c r="DK32" s="917"/>
      <c r="DL32" s="917"/>
      <c r="DM32" s="917"/>
      <c r="DN32" s="917"/>
      <c r="DO32" s="917"/>
      <c r="DP32" s="917"/>
      <c r="DQ32" s="917"/>
      <c r="DR32" s="917"/>
      <c r="DS32" s="917"/>
      <c r="DT32" s="917"/>
      <c r="DU32" s="917"/>
      <c r="DV32" s="917"/>
      <c r="DW32" s="917"/>
      <c r="DX32" s="917"/>
      <c r="DY32" s="917"/>
      <c r="DZ32" s="917"/>
      <c r="EA32" s="917"/>
      <c r="EB32" s="917"/>
      <c r="EC32" s="917"/>
      <c r="ED32" s="917"/>
      <c r="EE32" s="917"/>
      <c r="EF32" s="917"/>
      <c r="EG32" s="917"/>
      <c r="EH32" s="917"/>
      <c r="EI32" s="917"/>
      <c r="EJ32" s="917"/>
      <c r="EK32" s="917"/>
      <c r="EL32" s="917"/>
      <c r="EM32" s="917"/>
      <c r="EN32" s="917"/>
      <c r="EO32" s="917"/>
    </row>
    <row r="33" spans="2:145" ht="17.25" customHeight="1">
      <c r="B33" s="856"/>
      <c r="K33" s="854"/>
      <c r="M33" s="947"/>
      <c r="O33" s="856" t="s">
        <v>290</v>
      </c>
      <c r="Q33" s="854"/>
      <c r="S33" s="2784"/>
      <c r="T33" s="2784"/>
      <c r="U33" s="2784"/>
      <c r="V33" s="2784"/>
      <c r="X33" s="959" t="s">
        <v>150</v>
      </c>
      <c r="Y33" s="854"/>
      <c r="AE33" s="979">
        <v>1890</v>
      </c>
      <c r="AF33" s="401" t="s">
        <v>1008</v>
      </c>
      <c r="AG33" s="401" t="s">
        <v>1009</v>
      </c>
      <c r="AH33" s="401"/>
      <c r="AI33" s="401" t="s">
        <v>148</v>
      </c>
      <c r="AJ33" s="401"/>
      <c r="AK33" s="401"/>
      <c r="AL33" s="401" t="s">
        <v>1010</v>
      </c>
      <c r="AM33" s="401" t="s">
        <v>1011</v>
      </c>
      <c r="AN33" s="401" t="s">
        <v>1012</v>
      </c>
      <c r="AO33" s="401" t="s">
        <v>1013</v>
      </c>
      <c r="AP33" s="836" t="s">
        <v>1014</v>
      </c>
      <c r="AQ33" s="401" t="s">
        <v>1015</v>
      </c>
      <c r="AR33" s="836" t="s">
        <v>1016</v>
      </c>
      <c r="AS33" s="978" t="s">
        <v>1017</v>
      </c>
      <c r="AT33" s="979">
        <v>1890</v>
      </c>
      <c r="BG33" s="960"/>
      <c r="BH33" s="927" t="s">
        <v>1018</v>
      </c>
      <c r="BI33" s="928" t="s">
        <v>1019</v>
      </c>
      <c r="BJ33" s="928"/>
      <c r="BK33" s="917"/>
      <c r="BL33" s="917"/>
      <c r="BM33" s="917"/>
      <c r="BN33" s="917"/>
      <c r="BO33" s="917"/>
      <c r="BP33" s="917"/>
      <c r="BQ33" s="917"/>
      <c r="BR33" s="917"/>
      <c r="BS33" s="917"/>
      <c r="BT33" s="917"/>
      <c r="BU33" s="917"/>
      <c r="BV33" s="917"/>
      <c r="BW33" s="917"/>
      <c r="BX33" s="917"/>
      <c r="BY33" s="917"/>
      <c r="BZ33" s="917"/>
      <c r="CA33" s="917"/>
      <c r="CB33" s="917"/>
      <c r="CC33" s="917"/>
      <c r="CD33" s="917"/>
      <c r="CE33" s="917"/>
      <c r="CF33" s="917"/>
      <c r="CG33" s="917"/>
      <c r="CH33" s="917"/>
      <c r="CI33" s="917"/>
      <c r="CJ33" s="917"/>
      <c r="CK33" s="917"/>
      <c r="CL33" s="917"/>
      <c r="CM33" s="917"/>
      <c r="CN33" s="917"/>
      <c r="CO33" s="917"/>
      <c r="CP33" s="917"/>
      <c r="CQ33" s="917"/>
      <c r="CR33" s="917"/>
      <c r="CS33" s="917"/>
      <c r="CT33" s="917"/>
      <c r="CU33" s="917"/>
      <c r="CV33" s="917"/>
      <c r="CW33" s="917"/>
      <c r="CX33" s="917"/>
      <c r="CY33" s="917"/>
      <c r="CZ33" s="917"/>
      <c r="DA33" s="917"/>
      <c r="DB33" s="917"/>
      <c r="DC33" s="917"/>
      <c r="DD33" s="917"/>
      <c r="DE33" s="917"/>
      <c r="DF33" s="917"/>
      <c r="DG33" s="917"/>
      <c r="DH33" s="917"/>
      <c r="DI33" s="917"/>
      <c r="DJ33" s="917"/>
      <c r="DK33" s="917"/>
      <c r="DL33" s="917"/>
      <c r="DM33" s="917"/>
      <c r="DN33" s="917"/>
      <c r="DO33" s="917"/>
      <c r="DP33" s="917"/>
      <c r="DQ33" s="917"/>
      <c r="DR33" s="917"/>
      <c r="DS33" s="917"/>
      <c r="DT33" s="917"/>
      <c r="DU33" s="917"/>
      <c r="DV33" s="917"/>
      <c r="DW33" s="917"/>
      <c r="DX33" s="917"/>
      <c r="DY33" s="917"/>
      <c r="DZ33" s="917"/>
      <c r="EA33" s="917"/>
      <c r="EB33" s="917"/>
      <c r="EC33" s="917"/>
      <c r="ED33" s="917"/>
      <c r="EE33" s="917"/>
      <c r="EF33" s="917"/>
      <c r="EG33" s="917"/>
      <c r="EH33" s="917"/>
      <c r="EI33" s="917"/>
      <c r="EJ33" s="917"/>
      <c r="EK33" s="917"/>
      <c r="EL33" s="917"/>
      <c r="EM33" s="917"/>
      <c r="EN33" s="917"/>
      <c r="EO33" s="917"/>
    </row>
    <row r="34" spans="2:145" ht="17.25" customHeight="1">
      <c r="B34" s="883"/>
      <c r="C34" s="884" t="str">
        <f>IF(C27=0,IF(C28=0,IF(C29=0,IF(C30=0,IF(C31=0,IF(C32=0,"",C32),C31),C30),C29),C28),C27)</f>
        <v/>
      </c>
      <c r="D34" s="884" t="str">
        <f>IF(D27=0,IF(D28=0,IF(D29=0,IF(D30=0,IF(D31=0,IF(D32=0,0,D32),D31),D30),D29),D28),D27)</f>
        <v/>
      </c>
      <c r="E34" s="2852" t="str">
        <f>IF(E27=0,IF(E28=0,IF(E29=0,IF(E30=0,IF(E31=0,IF(E32=0,"",E32),E31),E30),E29),E28),E27)</f>
        <v/>
      </c>
      <c r="F34" s="2852"/>
      <c r="G34" s="2852"/>
      <c r="H34" s="2852"/>
      <c r="I34" s="2852"/>
      <c r="J34" s="2852"/>
      <c r="K34" s="2853"/>
      <c r="O34" s="856" t="s">
        <v>1020</v>
      </c>
      <c r="Q34" s="854"/>
      <c r="S34" s="2784"/>
      <c r="T34" s="2784"/>
      <c r="U34" s="2784"/>
      <c r="V34" s="2784"/>
      <c r="X34" s="959" t="s">
        <v>152</v>
      </c>
      <c r="Y34" s="854"/>
      <c r="AA34" s="2781" t="str">
        <f>AA50&amp;AA62</f>
        <v>.st力量未填写str未填写敏捷未填写dex未填写意志未填写pow未填写体质未填写con未填写外貌未填写app未填写教育未填写edu未填写体型未填写siz未填写智力未填写int未填写灵感未填写san0san值0理智0理智值0幸运0运气0mp0魔法0hp0体力0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AB34" s="980"/>
      <c r="AC34" s="2781" t="str">
        <f>_xlfn.CONCAT(AA56,AA67)</f>
        <v>.st力量str敏捷dex意志pow体质con外貌app教育edu体型siz智力int灵感san0san值0理智0理智值0幸运0运气0mp0魔法0hp0体力0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AD34" s="19" t="str">
        <f>IF(人物卡!CM69="","",".st&amp;"&amp;人物卡!CM69&amp;"="&amp;人物卡!BU69)</f>
        <v/>
      </c>
      <c r="AE34" s="836">
        <v>1891</v>
      </c>
      <c r="AF34" s="401" t="s">
        <v>1021</v>
      </c>
      <c r="AG34" s="401"/>
      <c r="AH34" s="401"/>
      <c r="AI34" s="401" t="s">
        <v>148</v>
      </c>
      <c r="AJ34" s="401"/>
      <c r="AK34" s="401"/>
      <c r="AL34" s="401" t="s">
        <v>1010</v>
      </c>
      <c r="AM34" s="401" t="s">
        <v>1022</v>
      </c>
      <c r="AN34" s="401" t="s">
        <v>1023</v>
      </c>
      <c r="AO34" s="401" t="s">
        <v>1024</v>
      </c>
      <c r="AP34" s="836" t="s">
        <v>1014</v>
      </c>
      <c r="AQ34" s="401" t="s">
        <v>1025</v>
      </c>
      <c r="AR34" s="401" t="s">
        <v>1026</v>
      </c>
      <c r="AS34" s="836" t="s">
        <v>1027</v>
      </c>
      <c r="AT34" s="979">
        <v>1891</v>
      </c>
      <c r="BG34" s="960"/>
      <c r="BH34" s="927" t="s">
        <v>1028</v>
      </c>
      <c r="BI34" s="928" t="s">
        <v>1029</v>
      </c>
      <c r="BJ34" s="928"/>
      <c r="BK34" s="917"/>
      <c r="BL34" s="917"/>
      <c r="BM34" s="917"/>
      <c r="BN34" s="917"/>
      <c r="BO34" s="917"/>
      <c r="BP34" s="917"/>
      <c r="BQ34" s="917"/>
      <c r="BR34" s="917"/>
      <c r="BS34" s="917"/>
      <c r="BT34" s="917"/>
      <c r="BU34" s="917"/>
      <c r="BV34" s="917"/>
      <c r="BW34" s="917"/>
      <c r="BX34" s="917"/>
      <c r="BY34" s="917"/>
      <c r="BZ34" s="917"/>
      <c r="CA34" s="917"/>
      <c r="CB34" s="917"/>
      <c r="CC34" s="917"/>
      <c r="CD34" s="917"/>
      <c r="CE34" s="917"/>
      <c r="CF34" s="917"/>
      <c r="CG34" s="917"/>
      <c r="CH34" s="917"/>
      <c r="CI34" s="917"/>
      <c r="CJ34" s="917"/>
      <c r="CK34" s="917"/>
      <c r="CL34" s="917"/>
      <c r="CM34" s="917"/>
      <c r="CN34" s="917"/>
      <c r="CO34" s="917"/>
      <c r="CP34" s="917"/>
      <c r="CQ34" s="917"/>
      <c r="CR34" s="917"/>
      <c r="CS34" s="917"/>
      <c r="CT34" s="917"/>
      <c r="CU34" s="917"/>
      <c r="CV34" s="917"/>
      <c r="CW34" s="917"/>
      <c r="CX34" s="917"/>
      <c r="CY34" s="917"/>
      <c r="CZ34" s="917"/>
      <c r="DA34" s="917"/>
      <c r="DB34" s="917"/>
      <c r="DC34" s="917"/>
      <c r="DD34" s="917"/>
      <c r="DE34" s="917"/>
      <c r="DF34" s="917"/>
      <c r="DG34" s="917"/>
      <c r="DH34" s="917"/>
      <c r="DI34" s="917"/>
      <c r="DJ34" s="917"/>
      <c r="DK34" s="917"/>
      <c r="DL34" s="917"/>
      <c r="DM34" s="917"/>
      <c r="DN34" s="917"/>
      <c r="DO34" s="917"/>
      <c r="DP34" s="917"/>
      <c r="DQ34" s="917"/>
      <c r="DR34" s="917"/>
      <c r="DS34" s="917"/>
      <c r="DT34" s="917"/>
      <c r="DU34" s="917"/>
      <c r="DV34" s="917"/>
      <c r="DW34" s="917"/>
      <c r="DX34" s="917"/>
      <c r="DY34" s="917"/>
      <c r="DZ34" s="917"/>
      <c r="EA34" s="917"/>
      <c r="EB34" s="917"/>
      <c r="EC34" s="917"/>
      <c r="ED34" s="917"/>
      <c r="EE34" s="917"/>
      <c r="EF34" s="917"/>
      <c r="EG34" s="917"/>
      <c r="EH34" s="917"/>
      <c r="EI34" s="917"/>
      <c r="EJ34" s="917"/>
      <c r="EK34" s="917"/>
      <c r="EL34" s="917"/>
      <c r="EM34" s="917"/>
      <c r="EN34" s="917"/>
      <c r="EO34" s="917"/>
    </row>
    <row r="35" spans="2:145" ht="17.25" customHeight="1">
      <c r="O35" s="856" t="s">
        <v>1030</v>
      </c>
      <c r="Q35" s="854"/>
      <c r="S35" s="2784"/>
      <c r="T35" s="2784"/>
      <c r="U35" s="2784"/>
      <c r="V35" s="2784"/>
      <c r="X35" s="959" t="s">
        <v>154</v>
      </c>
      <c r="Y35" s="854"/>
      <c r="AA35" s="2781"/>
      <c r="AB35" s="980"/>
      <c r="AC35" s="2781"/>
      <c r="AD35" s="19" t="str">
        <f>IF(人物卡!CM70="","",".st&amp;"&amp;人物卡!CM70&amp;"="&amp;人物卡!BU70)</f>
        <v/>
      </c>
      <c r="AE35" s="836">
        <v>1892</v>
      </c>
      <c r="AF35" s="401" t="s">
        <v>148</v>
      </c>
      <c r="AG35" s="401"/>
      <c r="AH35" s="401"/>
      <c r="AI35" s="401" t="s">
        <v>148</v>
      </c>
      <c r="AJ35" s="401"/>
      <c r="AK35" s="401"/>
      <c r="AL35" s="401" t="s">
        <v>1010</v>
      </c>
      <c r="AM35" s="401" t="s">
        <v>1031</v>
      </c>
      <c r="AN35" s="401" t="s">
        <v>1032</v>
      </c>
      <c r="AO35" s="401" t="s">
        <v>1033</v>
      </c>
      <c r="AP35" s="401" t="s">
        <v>1034</v>
      </c>
      <c r="AQ35" s="401" t="s">
        <v>1035</v>
      </c>
      <c r="AR35" s="401" t="s">
        <v>1036</v>
      </c>
      <c r="AS35" s="836" t="s">
        <v>1037</v>
      </c>
      <c r="AT35" s="979">
        <v>1892</v>
      </c>
      <c r="BG35" s="960"/>
      <c r="BH35"/>
      <c r="BI35" s="917"/>
      <c r="BJ35" s="928"/>
      <c r="BK35" s="917"/>
      <c r="BL35" s="917"/>
      <c r="BM35" s="917"/>
      <c r="BN35" s="917"/>
      <c r="BO35" s="917"/>
      <c r="BP35" s="917"/>
      <c r="BQ35" s="917"/>
      <c r="BR35" s="917"/>
      <c r="BS35" s="917"/>
      <c r="BT35" s="917"/>
      <c r="BU35" s="917"/>
      <c r="BV35" s="917"/>
      <c r="BW35" s="917"/>
      <c r="BX35" s="917"/>
      <c r="BY35" s="917"/>
      <c r="BZ35" s="917"/>
      <c r="CA35" s="917"/>
      <c r="CB35" s="917"/>
      <c r="CC35" s="917"/>
      <c r="CD35" s="917"/>
      <c r="CE35" s="917"/>
      <c r="CF35" s="917"/>
      <c r="CG35" s="917"/>
      <c r="CH35" s="917"/>
      <c r="CI35" s="917"/>
      <c r="CJ35" s="917"/>
      <c r="CK35" s="917"/>
      <c r="CL35" s="917"/>
      <c r="CM35" s="917"/>
      <c r="CN35" s="917"/>
      <c r="CO35" s="917"/>
      <c r="CP35" s="917"/>
      <c r="CQ35" s="917"/>
      <c r="CR35" s="917"/>
      <c r="CS35" s="917"/>
      <c r="CT35" s="917"/>
      <c r="CU35" s="917"/>
      <c r="CV35" s="917"/>
      <c r="CW35" s="917"/>
      <c r="CX35" s="917"/>
      <c r="CY35" s="917"/>
      <c r="CZ35" s="917"/>
      <c r="DA35" s="917"/>
      <c r="DB35" s="917"/>
      <c r="DC35" s="917"/>
      <c r="DD35" s="917"/>
      <c r="DE35" s="917"/>
      <c r="DF35" s="917"/>
      <c r="DG35" s="917"/>
      <c r="DH35" s="917"/>
      <c r="DI35" s="917"/>
      <c r="DJ35" s="917"/>
      <c r="DK35" s="917"/>
      <c r="DL35" s="917"/>
      <c r="DM35" s="917"/>
      <c r="DN35" s="917"/>
      <c r="DO35" s="917"/>
      <c r="DP35" s="917"/>
      <c r="DQ35" s="917"/>
      <c r="DR35" s="917"/>
      <c r="DS35" s="917"/>
      <c r="DT35" s="917"/>
      <c r="DU35" s="917"/>
      <c r="DV35" s="917"/>
      <c r="DW35" s="917"/>
      <c r="DX35" s="917"/>
      <c r="DY35" s="917"/>
      <c r="DZ35" s="917"/>
      <c r="EA35" s="917"/>
      <c r="EB35" s="917"/>
      <c r="EC35" s="917"/>
      <c r="ED35" s="917"/>
      <c r="EE35" s="917"/>
      <c r="EF35" s="917"/>
      <c r="EG35" s="917"/>
      <c r="EH35" s="917"/>
      <c r="EI35" s="917"/>
      <c r="EJ35" s="917"/>
      <c r="EK35" s="917"/>
      <c r="EL35" s="917"/>
      <c r="EM35" s="917"/>
      <c r="EN35" s="917"/>
      <c r="EO35" s="917"/>
    </row>
    <row r="36" spans="2:145" ht="17.25" customHeight="1">
      <c r="B36" s="981"/>
      <c r="C36" s="982" t="s">
        <v>58</v>
      </c>
      <c r="D36" s="982" t="s">
        <v>507</v>
      </c>
      <c r="E36" s="850"/>
      <c r="F36" s="983"/>
      <c r="I36" s="2854" t="s">
        <v>1038</v>
      </c>
      <c r="J36" s="2854"/>
      <c r="K36" s="2854"/>
      <c r="L36" s="2854"/>
      <c r="M36" s="2854"/>
      <c r="O36" s="856" t="s">
        <v>1039</v>
      </c>
      <c r="Q36" s="854"/>
      <c r="S36" s="952"/>
      <c r="T36" s="952"/>
      <c r="U36" s="952"/>
      <c r="V36" s="952"/>
      <c r="X36" s="959" t="s">
        <v>156</v>
      </c>
      <c r="Y36" s="854"/>
      <c r="AA36" s="2781"/>
      <c r="AB36" s="980"/>
      <c r="AC36" s="2781"/>
      <c r="AD36" s="19" t="str">
        <f>IF(人物卡!CM71="","",".st&amp;"&amp;人物卡!CM71&amp;"="&amp;人物卡!BU71)</f>
        <v/>
      </c>
      <c r="AE36" s="836">
        <v>1893</v>
      </c>
      <c r="AF36" s="401" t="s">
        <v>1040</v>
      </c>
      <c r="AG36" s="401" t="s">
        <v>1041</v>
      </c>
      <c r="AH36" s="401"/>
      <c r="AI36" s="401" t="s">
        <v>148</v>
      </c>
      <c r="AJ36" s="401"/>
      <c r="AK36" s="401"/>
      <c r="AL36" s="401" t="s">
        <v>1010</v>
      </c>
      <c r="AM36" s="401" t="s">
        <v>1042</v>
      </c>
      <c r="AN36" s="401" t="s">
        <v>1043</v>
      </c>
      <c r="AO36" s="836" t="s">
        <v>1044</v>
      </c>
      <c r="AP36" s="836" t="s">
        <v>1045</v>
      </c>
      <c r="AQ36" s="401" t="s">
        <v>1046</v>
      </c>
      <c r="AR36" s="401" t="s">
        <v>1047</v>
      </c>
      <c r="AS36" s="836" t="s">
        <v>1048</v>
      </c>
      <c r="AT36" s="979">
        <v>1893</v>
      </c>
      <c r="AV36" s="401" t="s">
        <v>1049</v>
      </c>
      <c r="AZ36" s="984"/>
      <c r="BA36" s="984"/>
      <c r="BB36" s="2781" t="s">
        <v>434</v>
      </c>
      <c r="BC36" s="2781"/>
      <c r="BD36" s="2781"/>
      <c r="BE36" s="2781"/>
      <c r="BF36" s="984"/>
      <c r="BG36" s="960"/>
      <c r="BH36" s="924" t="s">
        <v>1050</v>
      </c>
      <c r="BI36" s="917"/>
      <c r="BJ36" s="917"/>
      <c r="BK36" s="917"/>
      <c r="BL36" s="917"/>
      <c r="BM36" s="917"/>
      <c r="BN36" s="917"/>
      <c r="BO36" s="917"/>
      <c r="BP36" s="917"/>
      <c r="BQ36" s="917"/>
      <c r="BR36" s="917"/>
      <c r="BS36" s="917"/>
      <c r="BT36" s="917"/>
      <c r="BU36" s="917"/>
      <c r="BV36" s="917"/>
      <c r="BW36" s="917"/>
      <c r="BX36" s="917"/>
      <c r="BY36" s="917"/>
      <c r="BZ36" s="917"/>
      <c r="CA36" s="917"/>
      <c r="CB36" s="917"/>
      <c r="CC36" s="917"/>
      <c r="CD36" s="917"/>
      <c r="CE36" s="917"/>
      <c r="CF36" s="917"/>
      <c r="CG36" s="917"/>
      <c r="CH36" s="917"/>
      <c r="CI36" s="917"/>
      <c r="CJ36" s="917"/>
      <c r="CK36" s="917"/>
      <c r="CL36" s="917"/>
      <c r="CM36" s="917"/>
      <c r="CN36" s="917"/>
      <c r="CO36" s="917"/>
      <c r="CP36" s="917"/>
      <c r="CQ36" s="917"/>
      <c r="CR36" s="917"/>
      <c r="CS36" s="917"/>
      <c r="CT36" s="917"/>
      <c r="CU36" s="917"/>
      <c r="CV36" s="917"/>
      <c r="CW36" s="917"/>
      <c r="CX36" s="917"/>
      <c r="CY36" s="917"/>
      <c r="CZ36" s="917"/>
      <c r="DA36" s="917"/>
      <c r="DB36" s="917"/>
      <c r="DC36" s="917"/>
      <c r="DD36" s="917"/>
      <c r="DE36" s="917"/>
      <c r="DF36" s="917"/>
      <c r="DG36" s="917"/>
      <c r="DH36" s="917"/>
      <c r="DI36" s="917"/>
      <c r="DJ36" s="917"/>
      <c r="DK36" s="917"/>
      <c r="DL36" s="917"/>
      <c r="DM36" s="917"/>
      <c r="DN36" s="917"/>
      <c r="DO36" s="917"/>
      <c r="DP36" s="917"/>
      <c r="DQ36" s="917"/>
      <c r="DR36" s="917"/>
      <c r="DS36" s="917"/>
      <c r="DT36" s="917"/>
      <c r="DU36" s="917"/>
      <c r="DV36" s="917"/>
      <c r="DW36" s="917"/>
      <c r="DX36" s="917"/>
      <c r="DY36" s="917"/>
      <c r="DZ36" s="917"/>
      <c r="EA36" s="917"/>
      <c r="EB36" s="917"/>
      <c r="EC36" s="917"/>
      <c r="ED36" s="917"/>
      <c r="EE36" s="917"/>
      <c r="EF36" s="917"/>
      <c r="EG36" s="917"/>
      <c r="EH36" s="917"/>
      <c r="EI36" s="917"/>
      <c r="EJ36" s="917"/>
      <c r="EK36" s="917"/>
      <c r="EL36" s="917"/>
      <c r="EM36" s="917"/>
      <c r="EN36" s="917"/>
      <c r="EO36" s="917"/>
    </row>
    <row r="37" spans="2:145" ht="17.25" customHeight="1">
      <c r="B37" s="985"/>
      <c r="C37" s="838" cm="1">
        <f t="array" ref="C37">IFERROR(0,fABS(人物卡!BD12))</f>
        <v>0</v>
      </c>
      <c r="D37" s="838" t="str">
        <f>IF(ISBLANK(人物卡!X119),IF(AND(C37&gt;=15,C37&lt;=19),D39,IF(AND(C37&gt;=20,C37&lt;=39),D40,IF(AND(C37&gt;=40,C37&lt;=49),D41,IF(AND(C37&gt;=50,C37&lt;=59),D42,IF(AND(C37&gt;=60,C37&lt;=69),D43,IF(AND(C37&gt;=70,C37&lt;=79),D44,IF(AND(C37&gt;=80,C37&lt;=89),D45,IF(ABS(C37)&gt;=90,D48,"请和kp商议")))))))),人物卡!X119)</f>
        <v>请和kp商议</v>
      </c>
      <c r="F37" s="986"/>
      <c r="I37" s="987" t="s">
        <v>1051</v>
      </c>
      <c r="J37" s="987" t="s">
        <v>1052</v>
      </c>
      <c r="K37" s="987" t="s">
        <v>1053</v>
      </c>
      <c r="L37" s="987" t="s">
        <v>228</v>
      </c>
      <c r="M37" s="987" t="s">
        <v>321</v>
      </c>
      <c r="O37" s="856" t="s">
        <v>1054</v>
      </c>
      <c r="Q37" s="854"/>
      <c r="S37" s="2784" t="str">
        <f>IF(人物卡!BL10="","","时代:"&amp;人物卡!BL10&amp;CHAR(9))&amp;IF(人物卡!BD11="","","职业:"&amp;人物卡!BD11&amp;CHAR(9))&amp;IF(人物卡!BD12="","","年龄"&amp;人物卡!BD12&amp;" ")&amp;IF(人物卡!BL12="","","性别:"&amp;人物卡!BL12&amp;CHAR(9))&amp;IF(人物卡!BD14="","","住地:"&amp;人物卡!BD14&amp;CHAR(9))&amp;IF(人物卡!BL14="","","出身:"&amp;人物卡!BL14&amp;CHAR(9))</f>
        <v xml:space="preserve">时代:1920s	年龄时间未填 </v>
      </c>
      <c r="T37" s="2784"/>
      <c r="U37" s="2784"/>
      <c r="V37" s="2784"/>
      <c r="X37" s="959" t="s">
        <v>159</v>
      </c>
      <c r="Y37" s="854"/>
      <c r="AA37" s="2781"/>
      <c r="AB37" s="980"/>
      <c r="AC37" s="2781"/>
      <c r="AD37" s="19" t="str">
        <f>IF(人物卡!CM72="","",".st&amp;"&amp;人物卡!CM72&amp;"="&amp;人物卡!BU72)</f>
        <v/>
      </c>
      <c r="AE37" s="836">
        <v>1894</v>
      </c>
      <c r="AF37" s="401" t="s">
        <v>1055</v>
      </c>
      <c r="AG37" s="401" t="s">
        <v>1056</v>
      </c>
      <c r="AH37" s="401"/>
      <c r="AI37" s="401" t="s">
        <v>1057</v>
      </c>
      <c r="AJ37" s="401" t="s">
        <v>1058</v>
      </c>
      <c r="AK37" s="401"/>
      <c r="AL37" s="401" t="s">
        <v>1010</v>
      </c>
      <c r="AM37" s="401" t="s">
        <v>1059</v>
      </c>
      <c r="AN37" s="401" t="s">
        <v>1060</v>
      </c>
      <c r="AO37" s="401" t="s">
        <v>1061</v>
      </c>
      <c r="AP37" s="836" t="s">
        <v>1062</v>
      </c>
      <c r="AQ37" s="401" t="s">
        <v>1063</v>
      </c>
      <c r="AR37" s="401" t="s">
        <v>1064</v>
      </c>
      <c r="AS37" s="401" t="s">
        <v>1049</v>
      </c>
      <c r="AT37" s="979">
        <v>1894</v>
      </c>
      <c r="AZ37" s="984"/>
      <c r="BA37" s="984"/>
      <c r="BB37" s="401" t="s">
        <v>1065</v>
      </c>
      <c r="BC37" s="401">
        <f>IF(人物卡!BD9="",1,0)</f>
        <v>1</v>
      </c>
      <c r="BD37" s="401"/>
      <c r="BE37" s="401"/>
      <c r="BF37" s="984"/>
      <c r="BG37" s="960"/>
      <c r="BH37" s="927" t="s">
        <v>1066</v>
      </c>
      <c r="BI37" s="955" t="s">
        <v>1067</v>
      </c>
      <c r="BJ37" s="955" t="s">
        <v>1068</v>
      </c>
      <c r="BK37" s="955" t="s">
        <v>1069</v>
      </c>
      <c r="BL37" s="955" t="s">
        <v>1070</v>
      </c>
      <c r="BM37" s="955" t="s">
        <v>1071</v>
      </c>
      <c r="BN37" s="955" t="s">
        <v>1072</v>
      </c>
      <c r="BO37" s="955" t="s">
        <v>1073</v>
      </c>
      <c r="BP37" s="955" t="s">
        <v>1074</v>
      </c>
      <c r="BQ37" s="955" t="s">
        <v>1075</v>
      </c>
      <c r="BR37" s="955" t="s">
        <v>1076</v>
      </c>
      <c r="BS37" s="955" t="s">
        <v>1077</v>
      </c>
      <c r="BT37" s="955" t="s">
        <v>1078</v>
      </c>
      <c r="BU37" s="955" t="s">
        <v>1079</v>
      </c>
      <c r="BV37" s="955" t="s">
        <v>1080</v>
      </c>
      <c r="BW37" s="955" t="s">
        <v>1081</v>
      </c>
      <c r="BX37" s="955" t="s">
        <v>1082</v>
      </c>
      <c r="BY37" s="955" t="s">
        <v>1083</v>
      </c>
      <c r="BZ37" s="955" t="s">
        <v>1084</v>
      </c>
      <c r="CA37" s="955" t="s">
        <v>1085</v>
      </c>
      <c r="CB37" s="955" t="s">
        <v>1086</v>
      </c>
      <c r="CC37" s="955" t="s">
        <v>1087</v>
      </c>
      <c r="CD37" s="955" t="s">
        <v>1088</v>
      </c>
      <c r="CE37" s="955" t="s">
        <v>1089</v>
      </c>
      <c r="CF37" s="955" t="s">
        <v>1090</v>
      </c>
      <c r="CG37" s="955" t="s">
        <v>1091</v>
      </c>
      <c r="CH37" s="955" t="s">
        <v>1092</v>
      </c>
      <c r="CI37" s="955" t="s">
        <v>1093</v>
      </c>
      <c r="CJ37" s="955" t="s">
        <v>1094</v>
      </c>
      <c r="CK37" s="955" t="s">
        <v>1095</v>
      </c>
      <c r="CL37" s="955" t="s">
        <v>1096</v>
      </c>
      <c r="CM37" s="955" t="s">
        <v>1097</v>
      </c>
      <c r="CN37" s="955" t="s">
        <v>1098</v>
      </c>
      <c r="CO37" s="955" t="s">
        <v>1099</v>
      </c>
      <c r="CP37" s="955" t="s">
        <v>1100</v>
      </c>
      <c r="CQ37" s="955" t="s">
        <v>1101</v>
      </c>
      <c r="CR37" s="917"/>
      <c r="CS37" s="917"/>
      <c r="CT37" s="917"/>
      <c r="CU37" s="917"/>
      <c r="CV37" s="917"/>
      <c r="CW37" s="917"/>
      <c r="CX37" s="917"/>
      <c r="CY37" s="917"/>
      <c r="CZ37" s="917"/>
      <c r="DA37" s="917"/>
      <c r="DB37" s="917"/>
      <c r="DC37" s="917"/>
      <c r="DD37" s="917"/>
      <c r="DE37" s="917"/>
      <c r="DF37" s="917"/>
      <c r="DG37" s="917"/>
      <c r="DH37" s="917"/>
      <c r="DI37" s="917"/>
      <c r="DJ37" s="917"/>
      <c r="DK37" s="917"/>
      <c r="DL37" s="917"/>
      <c r="DM37" s="917"/>
      <c r="DN37" s="917"/>
      <c r="DO37" s="917"/>
      <c r="DP37" s="917"/>
      <c r="DQ37" s="917"/>
      <c r="DR37" s="917"/>
      <c r="DS37" s="917"/>
      <c r="DT37" s="917"/>
      <c r="DU37" s="917"/>
      <c r="DV37" s="917"/>
      <c r="DW37" s="917"/>
      <c r="DX37" s="917"/>
      <c r="DY37" s="917"/>
      <c r="DZ37" s="917"/>
      <c r="EA37" s="917"/>
      <c r="EB37" s="917"/>
      <c r="EC37" s="917"/>
      <c r="ED37" s="917"/>
      <c r="EE37" s="917"/>
      <c r="EF37" s="917"/>
      <c r="EG37" s="917"/>
      <c r="EH37" s="917"/>
      <c r="EI37" s="917"/>
      <c r="EJ37" s="917"/>
      <c r="EK37" s="917"/>
      <c r="EL37" s="917"/>
      <c r="EM37" s="917"/>
      <c r="EN37" s="917"/>
      <c r="EO37" s="917"/>
    </row>
    <row r="38" spans="2:145" ht="17.25" customHeight="1">
      <c r="B38" s="985"/>
      <c r="C38" s="2855" t="s">
        <v>1102</v>
      </c>
      <c r="D38" s="2856"/>
      <c r="E38" s="2857"/>
      <c r="F38" s="986"/>
      <c r="I38" s="988" t="s">
        <v>1103</v>
      </c>
      <c r="J38" s="989" t="s">
        <v>1104</v>
      </c>
      <c r="K38" s="989" t="s">
        <v>1105</v>
      </c>
      <c r="L38" s="989" t="s">
        <v>1106</v>
      </c>
      <c r="M38" s="989" t="s">
        <v>1107</v>
      </c>
      <c r="O38" s="856" t="s">
        <v>1108</v>
      </c>
      <c r="Q38" s="854"/>
      <c r="S38" s="2784"/>
      <c r="T38" s="2784"/>
      <c r="U38" s="2784"/>
      <c r="V38" s="2784"/>
      <c r="X38" s="959" t="s">
        <v>161</v>
      </c>
      <c r="Y38" s="854"/>
      <c r="AA38" s="2781"/>
      <c r="AB38" s="980"/>
      <c r="AC38" s="2781"/>
      <c r="AD38" s="19" t="str">
        <f>IF(人物卡!CM73="","",".st&amp;"&amp;人物卡!CM73&amp;"="&amp;人物卡!BU73)</f>
        <v/>
      </c>
      <c r="AE38" s="836">
        <v>1895</v>
      </c>
      <c r="AF38" s="401" t="s">
        <v>1109</v>
      </c>
      <c r="AG38" s="401" t="s">
        <v>1110</v>
      </c>
      <c r="AH38" s="401"/>
      <c r="AI38" s="401" t="s">
        <v>1111</v>
      </c>
      <c r="AJ38" s="401" t="s">
        <v>1112</v>
      </c>
      <c r="AK38" s="401"/>
      <c r="AL38" s="401" t="s">
        <v>1010</v>
      </c>
      <c r="AM38" s="401" t="s">
        <v>1113</v>
      </c>
      <c r="AN38" s="401" t="s">
        <v>1114</v>
      </c>
      <c r="AO38" s="401" t="s">
        <v>1115</v>
      </c>
      <c r="AP38" s="836" t="s">
        <v>1062</v>
      </c>
      <c r="AQ38" s="401" t="s">
        <v>1116</v>
      </c>
      <c r="AR38" s="401" t="s">
        <v>1117</v>
      </c>
      <c r="AS38" s="836" t="s">
        <v>1118</v>
      </c>
      <c r="AT38" s="979">
        <v>1895</v>
      </c>
      <c r="AV38" s="2780">
        <f>IF(AV36="仅显示1890_2012","",VLOOKUP(AV36,AS33:AT155,2,FALSE))</f>
        <v>1894</v>
      </c>
      <c r="AZ38" s="984"/>
      <c r="BA38" s="984"/>
      <c r="BB38" s="401" t="s">
        <v>1119</v>
      </c>
      <c r="BC38" s="401">
        <f>IF(人物卡!BD10="",1,0)</f>
        <v>1</v>
      </c>
      <c r="BD38" s="401" t="s">
        <v>1120</v>
      </c>
      <c r="BE38" s="401">
        <f>IF(人物卡!BL10="",1,0)</f>
        <v>0</v>
      </c>
      <c r="BF38" s="984"/>
      <c r="BG38" s="960"/>
      <c r="BH38" s="927" t="s">
        <v>1121</v>
      </c>
      <c r="BI38" s="955" t="s">
        <v>1122</v>
      </c>
      <c r="BJ38" s="955" t="s">
        <v>1123</v>
      </c>
      <c r="BK38" s="955" t="s">
        <v>1124</v>
      </c>
      <c r="BL38" s="955" t="s">
        <v>1125</v>
      </c>
      <c r="BM38" s="955" t="s">
        <v>1126</v>
      </c>
      <c r="BN38" s="955" t="s">
        <v>1127</v>
      </c>
      <c r="BO38" s="955" t="s">
        <v>1128</v>
      </c>
      <c r="BP38" s="955" t="s">
        <v>1129</v>
      </c>
      <c r="BQ38" s="990"/>
      <c r="BR38" s="990"/>
      <c r="BS38" s="990"/>
      <c r="BT38" s="917"/>
      <c r="BU38" s="917"/>
      <c r="BV38" s="917"/>
      <c r="BW38" s="917"/>
      <c r="BX38" s="917"/>
      <c r="BY38" s="917"/>
      <c r="BZ38" s="917"/>
      <c r="CA38" s="917"/>
      <c r="CB38" s="917"/>
      <c r="CC38" s="917"/>
      <c r="CD38" s="917"/>
      <c r="CE38" s="917"/>
      <c r="CF38" s="917"/>
      <c r="CG38" s="917"/>
      <c r="CH38" s="917"/>
      <c r="CI38" s="917"/>
      <c r="CJ38" s="917"/>
      <c r="CK38" s="917"/>
      <c r="CL38" s="917"/>
      <c r="CM38" s="917"/>
      <c r="CN38" s="917"/>
      <c r="CO38" s="917"/>
      <c r="CP38" s="917"/>
      <c r="CQ38" s="917"/>
      <c r="CR38" s="917"/>
      <c r="CS38" s="917"/>
      <c r="CT38" s="917"/>
      <c r="CU38" s="917"/>
      <c r="CV38" s="917"/>
      <c r="CW38" s="917"/>
      <c r="CX38" s="917"/>
      <c r="CY38" s="917"/>
      <c r="CZ38" s="917"/>
      <c r="DA38" s="917"/>
      <c r="DB38" s="917"/>
      <c r="DC38" s="917"/>
      <c r="DD38" s="917"/>
      <c r="DE38" s="917"/>
      <c r="DF38" s="917"/>
      <c r="DG38" s="917"/>
      <c r="DH38" s="917"/>
      <c r="DI38" s="917"/>
      <c r="DJ38" s="917"/>
      <c r="DK38" s="917"/>
      <c r="DL38" s="917"/>
      <c r="DM38" s="917"/>
      <c r="DN38" s="917"/>
      <c r="DO38" s="917"/>
      <c r="DP38" s="917"/>
      <c r="DQ38" s="917"/>
      <c r="DR38" s="917"/>
      <c r="DS38" s="917"/>
      <c r="DT38" s="917"/>
      <c r="DU38" s="917"/>
      <c r="DV38" s="917"/>
      <c r="DW38" s="917"/>
      <c r="DX38" s="917"/>
      <c r="DY38" s="917"/>
      <c r="DZ38" s="917"/>
      <c r="EA38" s="917"/>
      <c r="EB38" s="917"/>
      <c r="EC38" s="917"/>
      <c r="ED38" s="917"/>
      <c r="EE38" s="917"/>
      <c r="EF38" s="917"/>
      <c r="EG38" s="917"/>
      <c r="EH38" s="917"/>
      <c r="EI38" s="917"/>
      <c r="EJ38" s="917"/>
      <c r="EK38" s="917"/>
      <c r="EL38" s="917"/>
      <c r="EM38" s="917"/>
      <c r="EN38" s="917"/>
      <c r="EO38" s="917"/>
    </row>
    <row r="39" spans="2:145" ht="17.25" customHeight="1">
      <c r="B39" s="985">
        <v>15</v>
      </c>
      <c r="C39" s="838">
        <v>19</v>
      </c>
      <c r="D39" s="838" t="s">
        <v>1130</v>
      </c>
      <c r="E39" s="838"/>
      <c r="F39" s="986"/>
      <c r="I39" s="991" t="s">
        <v>1131</v>
      </c>
      <c r="J39" s="992" t="s">
        <v>1132</v>
      </c>
      <c r="K39" s="993" t="s">
        <v>1133</v>
      </c>
      <c r="L39" s="993" t="s">
        <v>1134</v>
      </c>
      <c r="M39" s="992" t="s">
        <v>1135</v>
      </c>
      <c r="O39" s="856" t="s">
        <v>1136</v>
      </c>
      <c r="Q39" s="854"/>
      <c r="S39" s="2784" t="str">
        <f>IF(人物卡!BH20="",""," 身体状态:"&amp;人物卡!BH20&amp;CHAR(9))&amp;IF(人物卡!BQ20="",""," 精神状态:"&amp;人物卡!BQ20&amp;CHAR(9))</f>
        <v xml:space="preserve"> 身体状态:健康	 精神状态:清醒	</v>
      </c>
      <c r="T39" s="2784"/>
      <c r="U39" s="2784"/>
      <c r="V39" s="2784"/>
      <c r="X39" s="959" t="s">
        <v>163</v>
      </c>
      <c r="Y39" s="854"/>
      <c r="AA39" s="2781"/>
      <c r="AB39" s="980"/>
      <c r="AC39" s="2781"/>
      <c r="AE39" s="979">
        <v>1896</v>
      </c>
      <c r="AF39" s="401" t="s">
        <v>1137</v>
      </c>
      <c r="AG39" s="401"/>
      <c r="AH39" s="401"/>
      <c r="AI39" s="401" t="s">
        <v>1138</v>
      </c>
      <c r="AJ39" s="401"/>
      <c r="AK39" s="401"/>
      <c r="AL39" s="401" t="s">
        <v>1010</v>
      </c>
      <c r="AM39" s="401" t="s">
        <v>1139</v>
      </c>
      <c r="AN39" s="401" t="s">
        <v>1140</v>
      </c>
      <c r="AO39" s="836" t="s">
        <v>1141</v>
      </c>
      <c r="AP39" s="836" t="s">
        <v>1062</v>
      </c>
      <c r="AQ39" s="401" t="s">
        <v>1142</v>
      </c>
      <c r="AR39" s="401" t="s">
        <v>1143</v>
      </c>
      <c r="AS39" s="836" t="s">
        <v>1144</v>
      </c>
      <c r="AT39" s="979">
        <v>1896</v>
      </c>
      <c r="AV39" s="2780"/>
      <c r="AZ39" s="984"/>
      <c r="BA39" s="984"/>
      <c r="BB39" s="401" t="s">
        <v>1145</v>
      </c>
      <c r="BC39" s="401">
        <f>IF(人物卡!BD11="",1,0)</f>
        <v>1</v>
      </c>
      <c r="BD39" s="401" t="s">
        <v>1146</v>
      </c>
      <c r="BE39" s="401">
        <f>IF(人物卡!BL11="",1,0)</f>
        <v>1</v>
      </c>
      <c r="BF39" s="984"/>
      <c r="BG39" s="960"/>
      <c r="BH39" s="927" t="s">
        <v>1147</v>
      </c>
      <c r="BI39" s="955" t="s">
        <v>1148</v>
      </c>
      <c r="BJ39" s="955" t="s">
        <v>1149</v>
      </c>
      <c r="BK39" s="955" t="s">
        <v>1150</v>
      </c>
      <c r="BL39" s="955" t="s">
        <v>1151</v>
      </c>
      <c r="BM39" s="955" t="s">
        <v>1152</v>
      </c>
      <c r="BN39" s="955" t="s">
        <v>1153</v>
      </c>
      <c r="BO39" s="955" t="s">
        <v>1154</v>
      </c>
      <c r="BP39" s="955" t="s">
        <v>1155</v>
      </c>
      <c r="BQ39" s="955" t="s">
        <v>1156</v>
      </c>
      <c r="BR39" s="955" t="s">
        <v>1157</v>
      </c>
      <c r="BS39" s="990"/>
      <c r="BT39" s="917"/>
      <c r="BU39" s="917"/>
      <c r="BV39" s="917"/>
      <c r="BW39" s="917"/>
      <c r="BX39" s="917"/>
      <c r="BY39" s="917"/>
      <c r="BZ39" s="917"/>
      <c r="CA39" s="917"/>
      <c r="CB39" s="917"/>
      <c r="CC39" s="917"/>
      <c r="CD39" s="917"/>
      <c r="CE39" s="917"/>
      <c r="CF39" s="917"/>
      <c r="CG39" s="917"/>
      <c r="CH39" s="917"/>
      <c r="CI39" s="917"/>
      <c r="CJ39" s="917"/>
      <c r="CK39" s="917"/>
      <c r="CL39" s="917"/>
      <c r="CM39" s="917"/>
      <c r="CN39" s="917"/>
      <c r="CO39" s="917"/>
      <c r="CP39" s="917"/>
      <c r="CQ39" s="917"/>
      <c r="CR39" s="917"/>
      <c r="CS39" s="917"/>
      <c r="CT39" s="917"/>
      <c r="CU39" s="917"/>
      <c r="CV39" s="917"/>
      <c r="CW39" s="917"/>
      <c r="CX39" s="917"/>
      <c r="CY39" s="917"/>
      <c r="CZ39" s="917"/>
      <c r="DA39" s="917"/>
      <c r="DB39" s="917"/>
      <c r="DC39" s="917"/>
      <c r="DD39" s="917"/>
      <c r="DE39" s="917"/>
      <c r="DF39" s="917"/>
      <c r="DG39" s="917"/>
      <c r="DH39" s="917"/>
      <c r="DI39" s="917"/>
      <c r="DJ39" s="917"/>
      <c r="DK39" s="917"/>
      <c r="DL39" s="917"/>
      <c r="DM39" s="917"/>
      <c r="DN39" s="917"/>
      <c r="DO39" s="917"/>
      <c r="DP39" s="917"/>
      <c r="DQ39" s="917"/>
      <c r="DR39" s="917"/>
      <c r="DS39" s="917"/>
      <c r="DT39" s="917"/>
      <c r="DU39" s="917"/>
      <c r="DV39" s="917"/>
      <c r="DW39" s="917"/>
      <c r="DX39" s="917"/>
      <c r="DY39" s="917"/>
      <c r="DZ39" s="917"/>
      <c r="EA39" s="917"/>
      <c r="EB39" s="917"/>
      <c r="EC39" s="917"/>
      <c r="ED39" s="917"/>
      <c r="EE39" s="917"/>
      <c r="EF39" s="917"/>
      <c r="EG39" s="917"/>
      <c r="EH39" s="917"/>
      <c r="EI39" s="917"/>
      <c r="EJ39" s="917"/>
      <c r="EK39" s="917"/>
      <c r="EL39" s="917"/>
      <c r="EM39" s="917"/>
      <c r="EN39" s="917"/>
      <c r="EO39" s="917"/>
    </row>
    <row r="40" spans="2:145" ht="17.25" customHeight="1">
      <c r="B40" s="985">
        <v>20</v>
      </c>
      <c r="C40" s="838">
        <v>39</v>
      </c>
      <c r="D40" s="838" t="s">
        <v>1158</v>
      </c>
      <c r="E40" s="838"/>
      <c r="F40" s="986"/>
      <c r="I40" s="988" t="s">
        <v>1159</v>
      </c>
      <c r="J40" s="989" t="s">
        <v>1160</v>
      </c>
      <c r="K40" s="994" t="s">
        <v>1161</v>
      </c>
      <c r="L40" s="989" t="s">
        <v>1134</v>
      </c>
      <c r="M40" s="989" t="s">
        <v>1162</v>
      </c>
      <c r="O40" s="856" t="s">
        <v>292</v>
      </c>
      <c r="Q40" s="854"/>
      <c r="S40" s="2784" t="str">
        <f>IF(人物卡!CP67="","","&amp;DB="&amp;人物卡!CP67&amp;" 体格:"&amp;人物卡!CP70)&amp;IF(OR(人物卡!CP72="",,人物卡!BQ38&lt;&gt;人物卡!BI38),""," 闪避:"&amp;人物卡!CP72)&amp;IF(人物卡!CM19="",""," 护甲:"&amp;人物卡!CM19)</f>
        <v>&amp;DB=0 体格:0 闪避:0 护甲:无</v>
      </c>
      <c r="T40" s="2784"/>
      <c r="U40" s="2784"/>
      <c r="V40" s="2784"/>
      <c r="X40" s="959" t="s">
        <v>165</v>
      </c>
      <c r="Y40" s="854"/>
      <c r="AA40" s="2781"/>
      <c r="AB40" s="980"/>
      <c r="AC40" s="2781"/>
      <c r="AD40" s="2782" t="str">
        <f>AD34&amp;AD35&amp;AD36&amp;AD37&amp;AD38</f>
        <v/>
      </c>
      <c r="AE40" s="836">
        <v>1897</v>
      </c>
      <c r="AF40" s="401" t="s">
        <v>148</v>
      </c>
      <c r="AG40" s="401"/>
      <c r="AH40" s="401"/>
      <c r="AI40" s="401" t="s">
        <v>148</v>
      </c>
      <c r="AJ40" s="401"/>
      <c r="AK40" s="401"/>
      <c r="AL40" s="401" t="s">
        <v>1010</v>
      </c>
      <c r="AM40" s="401" t="s">
        <v>1163</v>
      </c>
      <c r="AN40" s="401" t="s">
        <v>1164</v>
      </c>
      <c r="AO40" s="836" t="s">
        <v>1165</v>
      </c>
      <c r="AP40" s="836" t="s">
        <v>1166</v>
      </c>
      <c r="AQ40" s="401" t="s">
        <v>1167</v>
      </c>
      <c r="AR40" s="401" t="s">
        <v>1168</v>
      </c>
      <c r="AS40" s="836" t="s">
        <v>1169</v>
      </c>
      <c r="AT40" s="979">
        <v>1897</v>
      </c>
      <c r="AV40" s="2780"/>
      <c r="BB40" s="401" t="s">
        <v>76</v>
      </c>
      <c r="BC40" s="401">
        <f>IF(人物卡!BD12="",1,0)</f>
        <v>0</v>
      </c>
      <c r="BD40" s="401" t="s">
        <v>1170</v>
      </c>
      <c r="BE40" s="401">
        <f>IF(人物卡!BL12="",1,0)</f>
        <v>1</v>
      </c>
      <c r="BG40" s="960"/>
      <c r="BH40" s="927" t="s">
        <v>1171</v>
      </c>
      <c r="BI40" s="955" t="s">
        <v>1172</v>
      </c>
      <c r="BJ40" s="955" t="s">
        <v>1173</v>
      </c>
      <c r="BK40" s="955" t="s">
        <v>1174</v>
      </c>
      <c r="BL40" s="955" t="s">
        <v>1175</v>
      </c>
      <c r="BM40" s="917"/>
      <c r="BN40" s="917"/>
      <c r="BO40" s="917"/>
      <c r="BP40" s="917"/>
      <c r="BQ40" s="917"/>
      <c r="BR40" s="917"/>
      <c r="BS40" s="917"/>
      <c r="BT40" s="917"/>
      <c r="BU40" s="917"/>
      <c r="BV40" s="917"/>
      <c r="BW40" s="917"/>
      <c r="BX40" s="917"/>
      <c r="BY40" s="917"/>
      <c r="BZ40" s="917"/>
      <c r="CA40" s="917"/>
      <c r="CB40" s="917"/>
      <c r="CC40" s="917"/>
      <c r="CD40" s="917"/>
      <c r="CE40" s="917"/>
      <c r="CF40" s="917"/>
      <c r="CG40" s="917"/>
      <c r="CH40" s="917"/>
      <c r="CI40" s="917"/>
      <c r="CJ40" s="917"/>
      <c r="CK40" s="917"/>
      <c r="CL40" s="917"/>
      <c r="CM40" s="917"/>
      <c r="CN40" s="917"/>
      <c r="CO40" s="917"/>
      <c r="CP40" s="917"/>
      <c r="CQ40" s="917"/>
      <c r="CR40" s="917"/>
      <c r="CS40" s="917"/>
      <c r="CT40" s="917"/>
      <c r="CU40" s="917"/>
      <c r="CV40" s="917"/>
      <c r="CW40" s="917"/>
      <c r="CX40" s="917"/>
      <c r="CY40" s="917"/>
      <c r="CZ40" s="917"/>
      <c r="DA40" s="917"/>
      <c r="DB40" s="917"/>
      <c r="DC40" s="917"/>
      <c r="DD40" s="917"/>
      <c r="DE40" s="917"/>
      <c r="DF40" s="917"/>
      <c r="DG40" s="917"/>
      <c r="DH40" s="917"/>
      <c r="DI40" s="917"/>
      <c r="DJ40" s="917"/>
      <c r="DK40" s="917"/>
      <c r="DL40" s="917"/>
      <c r="DM40" s="917"/>
      <c r="DN40" s="917"/>
      <c r="DO40" s="917"/>
      <c r="DP40" s="917"/>
      <c r="DQ40" s="917"/>
      <c r="DR40" s="917"/>
      <c r="DS40" s="917"/>
      <c r="DT40" s="917"/>
      <c r="DU40" s="917"/>
      <c r="DV40" s="917"/>
      <c r="DW40" s="917"/>
      <c r="DX40" s="917"/>
      <c r="DY40" s="917"/>
      <c r="DZ40" s="917"/>
      <c r="EA40" s="917"/>
      <c r="EB40" s="917"/>
      <c r="EC40" s="917"/>
      <c r="ED40" s="917"/>
      <c r="EE40" s="917"/>
      <c r="EF40" s="917"/>
      <c r="EG40" s="917"/>
      <c r="EH40" s="917"/>
      <c r="EI40" s="917"/>
      <c r="EJ40" s="917"/>
      <c r="EK40" s="917"/>
      <c r="EL40" s="917"/>
      <c r="EM40" s="917"/>
      <c r="EN40" s="917"/>
      <c r="EO40" s="917"/>
    </row>
    <row r="41" spans="2:145" ht="17.25" customHeight="1">
      <c r="B41" s="985">
        <v>40</v>
      </c>
      <c r="C41" s="838">
        <v>49</v>
      </c>
      <c r="D41" s="838" t="s">
        <v>1176</v>
      </c>
      <c r="E41" s="838"/>
      <c r="F41" s="986"/>
      <c r="I41" s="991" t="s">
        <v>1177</v>
      </c>
      <c r="J41" s="993" t="s">
        <v>1178</v>
      </c>
      <c r="K41" s="992" t="s">
        <v>1179</v>
      </c>
      <c r="L41" s="993" t="s">
        <v>1106</v>
      </c>
      <c r="M41" s="993" t="s">
        <v>1180</v>
      </c>
      <c r="O41" s="856" t="s">
        <v>1181</v>
      </c>
      <c r="Q41" s="854"/>
      <c r="S41" s="2784" t="str">
        <f>IF(人物卡!BF69="",IF(人物卡!BA69="",""," &amp;"&amp;人物卡!BA69&amp;"="&amp;人物卡!BU69)," &amp;"&amp;人物卡!BA69&amp;"="&amp;VLOOKUP(人物卡!BF69,'武器列表 战斗'!B2:T121,19,FALSE))</f>
        <v/>
      </c>
      <c r="T41" s="2784"/>
      <c r="U41" s="2784"/>
      <c r="V41" s="2784"/>
      <c r="X41" s="959" t="s">
        <v>167</v>
      </c>
      <c r="Y41" s="854"/>
      <c r="AA41" s="2781"/>
      <c r="AB41" s="980"/>
      <c r="AC41" s="2781"/>
      <c r="AD41" s="2782"/>
      <c r="AE41" s="836">
        <v>1898</v>
      </c>
      <c r="AF41" s="401" t="s">
        <v>1182</v>
      </c>
      <c r="AG41" s="995" t="s">
        <v>1183</v>
      </c>
      <c r="AH41" s="401"/>
      <c r="AI41" s="401" t="s">
        <v>1184</v>
      </c>
      <c r="AJ41" s="401"/>
      <c r="AK41" s="996"/>
      <c r="AL41" s="401" t="s">
        <v>1185</v>
      </c>
      <c r="AM41" s="401" t="s">
        <v>1186</v>
      </c>
      <c r="AN41" s="401" t="s">
        <v>1187</v>
      </c>
      <c r="AO41" s="401" t="s">
        <v>1188</v>
      </c>
      <c r="AP41" s="836" t="s">
        <v>1189</v>
      </c>
      <c r="AQ41" s="401" t="s">
        <v>1190</v>
      </c>
      <c r="AR41" s="401" t="s">
        <v>1191</v>
      </c>
      <c r="AS41" s="836" t="s">
        <v>1192</v>
      </c>
      <c r="AT41" s="979">
        <v>1898</v>
      </c>
      <c r="AV41" s="2780"/>
      <c r="BB41" s="401" t="s">
        <v>1193</v>
      </c>
      <c r="BC41" s="401">
        <f>IF(人物卡!BD13="",1,0)</f>
        <v>1</v>
      </c>
      <c r="BD41" s="401" t="s">
        <v>1194</v>
      </c>
      <c r="BE41" s="401">
        <f>IF(人物卡!BL13="",1,0)</f>
        <v>0</v>
      </c>
      <c r="BF41" s="836">
        <f>SUM(BC37:BC41,BE38:BE41)</f>
        <v>6</v>
      </c>
      <c r="BG41" s="960"/>
      <c r="BH41" s="927" t="s">
        <v>1195</v>
      </c>
      <c r="BI41" s="955" t="s">
        <v>1196</v>
      </c>
      <c r="BJ41" s="955" t="s">
        <v>1197</v>
      </c>
      <c r="BK41" s="955" t="s">
        <v>1198</v>
      </c>
      <c r="BL41" s="955" t="s">
        <v>1199</v>
      </c>
      <c r="BM41" s="955" t="s">
        <v>1200</v>
      </c>
      <c r="BN41" s="955" t="s">
        <v>1201</v>
      </c>
      <c r="BO41" s="955" t="s">
        <v>1202</v>
      </c>
      <c r="BP41" s="955" t="s">
        <v>1203</v>
      </c>
      <c r="BQ41" s="955" t="s">
        <v>1204</v>
      </c>
      <c r="BR41" s="955" t="s">
        <v>1205</v>
      </c>
      <c r="BS41" s="955" t="s">
        <v>1206</v>
      </c>
      <c r="BT41" s="955" t="s">
        <v>1207</v>
      </c>
      <c r="BU41" s="955" t="s">
        <v>1208</v>
      </c>
      <c r="BV41" s="917"/>
      <c r="BW41" s="917"/>
      <c r="BX41" s="917"/>
      <c r="BY41" s="917"/>
      <c r="BZ41" s="917"/>
      <c r="CA41" s="917"/>
      <c r="CB41" s="917"/>
      <c r="CC41" s="917"/>
      <c r="CD41" s="917"/>
      <c r="CE41" s="917"/>
      <c r="CF41" s="917"/>
      <c r="CG41" s="917"/>
      <c r="CH41" s="917"/>
      <c r="CI41" s="917"/>
      <c r="CJ41" s="917"/>
      <c r="CK41" s="917"/>
      <c r="CL41" s="917"/>
      <c r="CM41" s="917"/>
      <c r="CN41" s="917"/>
      <c r="CO41" s="917"/>
      <c r="CP41" s="917"/>
      <c r="CQ41" s="917"/>
      <c r="CR41" s="917"/>
      <c r="CS41" s="917"/>
      <c r="CT41" s="917"/>
      <c r="CU41" s="917"/>
      <c r="CV41" s="917"/>
      <c r="CW41" s="917"/>
      <c r="CX41" s="917"/>
      <c r="CY41" s="917"/>
      <c r="CZ41" s="917"/>
      <c r="DA41" s="917"/>
      <c r="DB41" s="917"/>
      <c r="DC41" s="917"/>
      <c r="DD41" s="917"/>
      <c r="DE41" s="917"/>
      <c r="DF41" s="917"/>
      <c r="DG41" s="917"/>
      <c r="DH41" s="917"/>
      <c r="DI41" s="917"/>
      <c r="DJ41" s="917"/>
      <c r="DK41" s="917"/>
      <c r="DL41" s="917"/>
      <c r="DM41" s="917"/>
      <c r="DN41" s="917"/>
      <c r="DO41" s="917"/>
      <c r="DP41" s="917"/>
      <c r="DQ41" s="917"/>
      <c r="DR41" s="917"/>
      <c r="DS41" s="917"/>
      <c r="DT41" s="917"/>
      <c r="DU41" s="917"/>
      <c r="DV41" s="917"/>
      <c r="DW41" s="917"/>
      <c r="DX41" s="917"/>
      <c r="DY41" s="917"/>
      <c r="DZ41" s="917"/>
      <c r="EA41" s="917"/>
      <c r="EB41" s="917"/>
      <c r="EC41" s="917"/>
      <c r="ED41" s="917"/>
      <c r="EE41" s="917"/>
      <c r="EF41" s="917"/>
      <c r="EG41" s="917"/>
      <c r="EH41" s="917"/>
      <c r="EI41" s="917"/>
      <c r="EJ41" s="917"/>
      <c r="EK41" s="917"/>
      <c r="EL41" s="917"/>
      <c r="EM41" s="917"/>
      <c r="EN41" s="917"/>
      <c r="EO41" s="917"/>
    </row>
    <row r="42" spans="2:145" ht="17.25" customHeight="1">
      <c r="B42" s="985">
        <v>50</v>
      </c>
      <c r="C42" s="838">
        <v>59</v>
      </c>
      <c r="D42" s="838" t="s">
        <v>1209</v>
      </c>
      <c r="E42" s="838"/>
      <c r="F42" s="986"/>
      <c r="I42" s="988" t="s">
        <v>1210</v>
      </c>
      <c r="J42" s="989" t="s">
        <v>1211</v>
      </c>
      <c r="K42" s="994" t="s">
        <v>1212</v>
      </c>
      <c r="L42" s="989" t="s">
        <v>1213</v>
      </c>
      <c r="M42" s="989" t="s">
        <v>1214</v>
      </c>
      <c r="O42" s="856" t="s">
        <v>1215</v>
      </c>
      <c r="Q42" s="854"/>
      <c r="S42" s="2784" t="str">
        <f>IF(人物卡!BF70="",IF(人物卡!BA70="",""," &amp;"&amp;人物卡!BA70&amp;"="&amp;人物卡!BU70)," &amp;"&amp;人物卡!BA70&amp;"="&amp;VLOOKUP(人物卡!BF70,'武器列表 战斗'!B2:T121,19,FALSE))</f>
        <v/>
      </c>
      <c r="T42" s="2784"/>
      <c r="U42" s="2784"/>
      <c r="V42" s="2784"/>
      <c r="X42" s="959" t="s">
        <v>169</v>
      </c>
      <c r="Y42" s="854"/>
      <c r="AA42" s="2781"/>
      <c r="AB42" s="980"/>
      <c r="AC42" s="2781"/>
      <c r="AD42" s="2782"/>
      <c r="AE42" s="836">
        <v>1899</v>
      </c>
      <c r="AF42" s="836" t="s">
        <v>1216</v>
      </c>
      <c r="AG42" s="401"/>
      <c r="AH42" s="401"/>
      <c r="AI42" s="401" t="s">
        <v>148</v>
      </c>
      <c r="AJ42" s="401"/>
      <c r="AK42" s="401"/>
      <c r="AL42" s="401" t="s">
        <v>1010</v>
      </c>
      <c r="AM42" s="401" t="s">
        <v>1217</v>
      </c>
      <c r="AN42" s="401" t="s">
        <v>1218</v>
      </c>
      <c r="AO42" s="836" t="s">
        <v>1219</v>
      </c>
      <c r="AP42" s="836" t="s">
        <v>1189</v>
      </c>
      <c r="AQ42" s="401" t="s">
        <v>1220</v>
      </c>
      <c r="AR42" s="401" t="s">
        <v>1221</v>
      </c>
      <c r="AS42" s="836" t="s">
        <v>1222</v>
      </c>
      <c r="AT42" s="979">
        <v>1899</v>
      </c>
      <c r="AV42" s="2780"/>
      <c r="BG42" s="960"/>
      <c r="BH42" s="927" t="s">
        <v>1223</v>
      </c>
      <c r="BI42" s="955" t="s">
        <v>1224</v>
      </c>
      <c r="BJ42" s="955" t="s">
        <v>670</v>
      </c>
      <c r="BK42" s="955" t="s">
        <v>1225</v>
      </c>
      <c r="BL42" s="955" t="s">
        <v>1226</v>
      </c>
      <c r="BM42" s="955" t="s">
        <v>1227</v>
      </c>
      <c r="BN42" s="955" t="s">
        <v>1228</v>
      </c>
      <c r="BO42" s="955" t="s">
        <v>1229</v>
      </c>
      <c r="BP42" s="955" t="s">
        <v>663</v>
      </c>
      <c r="BQ42" s="955" t="s">
        <v>1230</v>
      </c>
      <c r="BR42" s="917"/>
      <c r="BS42" s="917"/>
      <c r="BT42" s="917"/>
      <c r="BU42" s="917"/>
      <c r="BV42" s="917"/>
      <c r="BW42" s="917"/>
      <c r="BX42" s="917"/>
      <c r="BY42" s="917"/>
      <c r="BZ42" s="917"/>
      <c r="CA42" s="917"/>
      <c r="CB42" s="917"/>
      <c r="CC42" s="917"/>
      <c r="CD42" s="917"/>
      <c r="CE42" s="917"/>
      <c r="CF42" s="917"/>
      <c r="CG42" s="917"/>
      <c r="CH42" s="917"/>
      <c r="CI42" s="917"/>
      <c r="CJ42" s="917"/>
      <c r="CK42" s="917"/>
      <c r="CL42" s="917"/>
      <c r="CM42" s="917"/>
      <c r="CN42" s="917"/>
      <c r="CO42" s="917"/>
      <c r="CP42" s="917"/>
      <c r="CQ42" s="917"/>
      <c r="CR42" s="917"/>
      <c r="CS42" s="917"/>
      <c r="CT42" s="917"/>
      <c r="CU42" s="917"/>
      <c r="CV42" s="917"/>
      <c r="CW42" s="917"/>
      <c r="CX42" s="917"/>
      <c r="CY42" s="917"/>
      <c r="CZ42" s="917"/>
      <c r="DA42" s="917"/>
      <c r="DB42" s="917"/>
      <c r="DC42" s="917"/>
      <c r="DD42" s="917"/>
      <c r="DE42" s="917"/>
      <c r="DF42" s="917"/>
      <c r="DG42" s="917"/>
      <c r="DH42" s="917"/>
      <c r="DI42" s="917"/>
      <c r="DJ42" s="917"/>
      <c r="DK42" s="917"/>
      <c r="DL42" s="917"/>
      <c r="DM42" s="917"/>
      <c r="DN42" s="917"/>
      <c r="DO42" s="917"/>
      <c r="DP42" s="917"/>
      <c r="DQ42" s="917"/>
      <c r="DR42" s="917"/>
      <c r="DS42" s="917"/>
      <c r="DT42" s="917"/>
      <c r="DU42" s="917"/>
      <c r="DV42" s="917"/>
      <c r="DW42" s="917"/>
      <c r="DX42" s="917"/>
      <c r="DY42" s="917"/>
      <c r="DZ42" s="917"/>
      <c r="EA42" s="917"/>
      <c r="EB42" s="917"/>
      <c r="EC42" s="917"/>
      <c r="ED42" s="917"/>
      <c r="EE42" s="917"/>
      <c r="EF42" s="917"/>
      <c r="EG42" s="917"/>
      <c r="EH42" s="917"/>
      <c r="EI42" s="917"/>
      <c r="EJ42" s="917"/>
      <c r="EK42" s="917"/>
      <c r="EL42" s="917"/>
      <c r="EM42" s="917"/>
      <c r="EN42" s="917"/>
      <c r="EO42" s="917"/>
    </row>
    <row r="43" spans="2:145" ht="17.25" customHeight="1">
      <c r="B43" s="985">
        <v>60</v>
      </c>
      <c r="C43" s="838">
        <v>69</v>
      </c>
      <c r="D43" s="838" t="s">
        <v>1231</v>
      </c>
      <c r="E43" s="838"/>
      <c r="F43" s="986"/>
      <c r="I43" s="991" t="s">
        <v>1232</v>
      </c>
      <c r="J43" s="993" t="s">
        <v>1233</v>
      </c>
      <c r="K43" s="997" t="s">
        <v>1234</v>
      </c>
      <c r="L43" s="992" t="s">
        <v>1134</v>
      </c>
      <c r="M43" s="993" t="s">
        <v>1235</v>
      </c>
      <c r="O43" s="856" t="s">
        <v>1236</v>
      </c>
      <c r="Q43" s="854"/>
      <c r="S43" s="2784" t="str">
        <f>IF(人物卡!BF71="",IF(人物卡!BA71="",""," &amp;"&amp;人物卡!BA71&amp;"="&amp;人物卡!BU71)," &amp;"&amp;人物卡!BA71&amp;"="&amp;VLOOKUP(人物卡!BF71,'武器列表 战斗'!B2:T121,19,FALSE))</f>
        <v/>
      </c>
      <c r="T43" s="2784"/>
      <c r="U43" s="2784"/>
      <c r="V43" s="2784"/>
      <c r="X43" s="959" t="s">
        <v>171</v>
      </c>
      <c r="Y43" s="854"/>
      <c r="AA43" s="2781"/>
      <c r="AB43" s="980"/>
      <c r="AC43" s="2781"/>
      <c r="AD43" s="2782"/>
      <c r="AE43" s="836">
        <v>1900</v>
      </c>
      <c r="AF43" s="401" t="s">
        <v>1237</v>
      </c>
      <c r="AG43" s="401" t="s">
        <v>1238</v>
      </c>
      <c r="AH43" s="401"/>
      <c r="AI43" s="401" t="s">
        <v>1239</v>
      </c>
      <c r="AJ43" s="401" t="s">
        <v>1240</v>
      </c>
      <c r="AK43" s="401"/>
      <c r="AL43" s="401" t="s">
        <v>1241</v>
      </c>
      <c r="AM43" s="401" t="s">
        <v>1242</v>
      </c>
      <c r="AN43" s="401" t="s">
        <v>1243</v>
      </c>
      <c r="AO43" s="836" t="s">
        <v>1244</v>
      </c>
      <c r="AP43" s="836" t="s">
        <v>1189</v>
      </c>
      <c r="AQ43" s="401" t="s">
        <v>1245</v>
      </c>
      <c r="AR43" s="401" t="s">
        <v>1246</v>
      </c>
      <c r="AS43" s="836" t="s">
        <v>1247</v>
      </c>
      <c r="AT43" s="979">
        <v>1900</v>
      </c>
      <c r="AV43" s="2780"/>
      <c r="BA43" s="836" t="s">
        <v>1248</v>
      </c>
      <c r="BB43" s="836" t="s">
        <v>1193</v>
      </c>
      <c r="BC43" s="836">
        <f>IF(人物卡!BC14="",1,0)</f>
        <v>1</v>
      </c>
      <c r="BD43" s="836" t="s">
        <v>1249</v>
      </c>
      <c r="BE43" s="836">
        <f>IF(人物卡!BF14="",1,0)</f>
        <v>1</v>
      </c>
      <c r="BG43" s="960"/>
      <c r="BH43" s="927" t="s">
        <v>1250</v>
      </c>
      <c r="BI43" s="917" t="s">
        <v>1251</v>
      </c>
      <c r="BJ43" s="928"/>
      <c r="BK43" s="917"/>
      <c r="BL43" s="917"/>
      <c r="BM43" s="917"/>
      <c r="BN43" s="917"/>
      <c r="BO43" s="917"/>
      <c r="BP43" s="917"/>
      <c r="BQ43" s="917"/>
      <c r="BR43" s="917"/>
      <c r="BS43" s="917"/>
      <c r="BT43" s="917"/>
      <c r="BU43" s="917"/>
      <c r="BV43" s="917"/>
      <c r="BW43" s="917"/>
      <c r="BX43" s="917"/>
      <c r="BY43" s="917"/>
      <c r="BZ43" s="917"/>
      <c r="CA43" s="917"/>
      <c r="CB43" s="917"/>
      <c r="CC43" s="917"/>
      <c r="CD43" s="917"/>
      <c r="CE43" s="917"/>
      <c r="CF43" s="917"/>
      <c r="CG43" s="917"/>
      <c r="CH43" s="917"/>
      <c r="CI43" s="917"/>
      <c r="CJ43" s="917"/>
      <c r="CK43" s="917"/>
      <c r="CL43" s="917"/>
      <c r="CM43" s="917"/>
      <c r="CN43" s="917"/>
      <c r="CO43" s="917"/>
      <c r="CP43" s="917"/>
      <c r="CQ43" s="917"/>
      <c r="CR43" s="917"/>
      <c r="CS43" s="917"/>
      <c r="CT43" s="917"/>
      <c r="CU43" s="917"/>
      <c r="CV43" s="917"/>
      <c r="CW43" s="917"/>
      <c r="CX43" s="917"/>
      <c r="CY43" s="917"/>
      <c r="CZ43" s="917"/>
      <c r="DA43" s="917"/>
      <c r="DB43" s="917"/>
      <c r="DC43" s="917"/>
      <c r="DD43" s="917"/>
      <c r="DE43" s="917"/>
      <c r="DF43" s="917"/>
      <c r="DG43" s="917"/>
      <c r="DH43" s="917"/>
      <c r="DI43" s="917"/>
      <c r="DJ43" s="917"/>
      <c r="DK43" s="917"/>
      <c r="DL43" s="917"/>
      <c r="DM43" s="917"/>
      <c r="DN43" s="917"/>
      <c r="DO43" s="917"/>
      <c r="DP43" s="917"/>
      <c r="DQ43" s="917"/>
      <c r="DR43" s="917"/>
      <c r="DS43" s="917"/>
      <c r="DT43" s="917"/>
      <c r="DU43" s="917"/>
      <c r="DV43" s="917"/>
      <c r="DW43" s="917"/>
      <c r="DX43" s="917"/>
      <c r="DY43" s="917"/>
      <c r="DZ43" s="917"/>
      <c r="EA43" s="917"/>
      <c r="EB43" s="917"/>
      <c r="EC43" s="917"/>
      <c r="ED43" s="917"/>
      <c r="EE43" s="917"/>
      <c r="EF43" s="917"/>
      <c r="EG43" s="917"/>
      <c r="EH43" s="917"/>
      <c r="EI43" s="917"/>
      <c r="EJ43" s="917"/>
      <c r="EK43" s="917"/>
      <c r="EL43" s="917"/>
      <c r="EM43" s="917"/>
      <c r="EN43" s="917"/>
      <c r="EO43" s="917"/>
    </row>
    <row r="44" spans="2:145" ht="17.25" customHeight="1">
      <c r="B44" s="985">
        <v>70</v>
      </c>
      <c r="C44" s="838">
        <v>79</v>
      </c>
      <c r="D44" s="838" t="s">
        <v>1252</v>
      </c>
      <c r="E44" s="838"/>
      <c r="F44" s="986"/>
      <c r="I44" s="988" t="s">
        <v>1253</v>
      </c>
      <c r="J44" s="989" t="s">
        <v>1211</v>
      </c>
      <c r="K44" s="836" t="s">
        <v>1254</v>
      </c>
      <c r="L44" s="994" t="s">
        <v>1134</v>
      </c>
      <c r="M44" s="989" t="s">
        <v>1255</v>
      </c>
      <c r="O44" s="856" t="s">
        <v>1256</v>
      </c>
      <c r="Q44" s="854"/>
      <c r="S44" s="2784" t="str">
        <f>S41&amp;S42&amp;S43</f>
        <v/>
      </c>
      <c r="T44" s="2784"/>
      <c r="U44" s="2784"/>
      <c r="V44" s="2784"/>
      <c r="X44" s="967" t="s">
        <v>173</v>
      </c>
      <c r="Y44" s="854"/>
      <c r="AA44" s="2781"/>
      <c r="AB44" s="980"/>
      <c r="AC44" s="2781"/>
      <c r="AD44" s="2782"/>
      <c r="AE44" s="836">
        <v>1901</v>
      </c>
      <c r="AF44" s="401" t="s">
        <v>1257</v>
      </c>
      <c r="AG44" s="401"/>
      <c r="AH44" s="401"/>
      <c r="AI44" s="401" t="s">
        <v>1258</v>
      </c>
      <c r="AJ44" s="401"/>
      <c r="AK44" s="401"/>
      <c r="AL44" s="401" t="s">
        <v>1241</v>
      </c>
      <c r="AM44" s="401" t="s">
        <v>1259</v>
      </c>
      <c r="AN44" s="401" t="s">
        <v>1260</v>
      </c>
      <c r="AO44" s="836" t="s">
        <v>1261</v>
      </c>
      <c r="AP44" s="836" t="s">
        <v>1262</v>
      </c>
      <c r="AQ44" s="401" t="s">
        <v>1263</v>
      </c>
      <c r="AR44" s="401" t="s">
        <v>1264</v>
      </c>
      <c r="AS44" s="836" t="s">
        <v>1265</v>
      </c>
      <c r="AT44" s="979">
        <v>1901</v>
      </c>
      <c r="AV44" s="2780"/>
      <c r="BB44" s="836" t="s">
        <v>1266</v>
      </c>
      <c r="BC44" s="836">
        <f>IF(人物卡!BC15="",1,0)</f>
        <v>1</v>
      </c>
      <c r="BD44" s="836" t="s">
        <v>1267</v>
      </c>
      <c r="BE44" s="836">
        <f>IF(人物卡!BF15="",1,0)</f>
        <v>1</v>
      </c>
      <c r="BF44" s="836">
        <f>SUM(BC43,BE43,BC44,BE44)</f>
        <v>4</v>
      </c>
      <c r="BG44" s="960"/>
      <c r="BH44"/>
      <c r="BI44" s="917"/>
      <c r="BJ44" s="928"/>
      <c r="BK44" s="917"/>
      <c r="BL44" s="917"/>
      <c r="BM44" s="917"/>
      <c r="BN44" s="917"/>
      <c r="BO44" s="917"/>
      <c r="BP44" s="917"/>
      <c r="BQ44" s="917"/>
      <c r="BR44" s="917"/>
      <c r="BS44" s="917"/>
      <c r="BT44" s="917"/>
      <c r="BU44" s="917"/>
      <c r="BV44" s="917"/>
      <c r="BW44" s="917"/>
      <c r="BX44" s="917"/>
      <c r="BY44" s="917"/>
      <c r="BZ44" s="917"/>
      <c r="CA44" s="917"/>
      <c r="CB44" s="917"/>
      <c r="CC44" s="917"/>
      <c r="CD44" s="917"/>
      <c r="CE44" s="917"/>
      <c r="CF44" s="917"/>
      <c r="CG44" s="917"/>
      <c r="CH44" s="917"/>
      <c r="CI44" s="917"/>
      <c r="CJ44" s="917"/>
      <c r="CK44" s="917"/>
      <c r="CL44" s="917"/>
      <c r="CM44" s="917"/>
      <c r="CN44" s="917"/>
      <c r="CO44" s="917"/>
      <c r="CP44" s="917"/>
      <c r="CQ44" s="917"/>
      <c r="CR44" s="917"/>
      <c r="CS44" s="917"/>
      <c r="CT44" s="917"/>
      <c r="CU44" s="917"/>
      <c r="CV44" s="917"/>
      <c r="CW44" s="917"/>
      <c r="CX44" s="917"/>
      <c r="CY44" s="917"/>
      <c r="CZ44" s="917"/>
      <c r="DA44" s="917"/>
      <c r="DB44" s="917"/>
      <c r="DC44" s="917"/>
      <c r="DD44" s="917"/>
      <c r="DE44" s="917"/>
      <c r="DF44" s="917"/>
      <c r="DG44" s="917"/>
      <c r="DH44" s="917"/>
      <c r="DI44" s="917"/>
      <c r="DJ44" s="917"/>
      <c r="DK44" s="917"/>
      <c r="DL44" s="917"/>
      <c r="DM44" s="917"/>
      <c r="DN44" s="917"/>
      <c r="DO44" s="917"/>
      <c r="DP44" s="917"/>
      <c r="DQ44" s="917"/>
      <c r="DR44" s="917"/>
      <c r="DS44" s="917"/>
      <c r="DT44" s="917"/>
      <c r="DU44" s="917"/>
      <c r="DV44" s="917"/>
      <c r="DW44" s="917"/>
      <c r="DX44" s="917"/>
      <c r="DY44" s="917"/>
      <c r="DZ44" s="917"/>
      <c r="EA44" s="917"/>
      <c r="EB44" s="917"/>
      <c r="EC44" s="917"/>
      <c r="ED44" s="917"/>
      <c r="EE44" s="917"/>
      <c r="EF44" s="917"/>
      <c r="EG44" s="917"/>
      <c r="EH44" s="917"/>
      <c r="EI44" s="917"/>
      <c r="EJ44" s="917"/>
      <c r="EK44" s="917"/>
      <c r="EL44" s="917"/>
      <c r="EM44" s="917"/>
      <c r="EN44" s="917"/>
      <c r="EO44" s="917"/>
    </row>
    <row r="45" spans="2:145" ht="17.25" customHeight="1">
      <c r="B45" s="985">
        <v>80</v>
      </c>
      <c r="C45" s="838">
        <v>89</v>
      </c>
      <c r="D45" s="838" t="s">
        <v>1268</v>
      </c>
      <c r="E45" s="838"/>
      <c r="F45" s="986"/>
      <c r="I45" s="991" t="s">
        <v>1269</v>
      </c>
      <c r="J45" s="993" t="s">
        <v>1270</v>
      </c>
      <c r="K45" s="992" t="s">
        <v>1271</v>
      </c>
      <c r="L45" s="993" t="s">
        <v>1134</v>
      </c>
      <c r="M45" s="993" t="s">
        <v>1272</v>
      </c>
      <c r="O45" s="856" t="s">
        <v>1273</v>
      </c>
      <c r="Q45" s="854"/>
      <c r="S45" s="952"/>
      <c r="T45" s="952"/>
      <c r="U45" s="952"/>
      <c r="V45" s="952"/>
      <c r="X45" s="959" t="s">
        <v>175</v>
      </c>
      <c r="Y45" s="854"/>
      <c r="AA45" s="980"/>
      <c r="AB45" s="980"/>
      <c r="AC45" s="980"/>
      <c r="AE45" s="979">
        <v>1902</v>
      </c>
      <c r="AF45" s="401" t="s">
        <v>1274</v>
      </c>
      <c r="AG45" s="401"/>
      <c r="AH45" s="401"/>
      <c r="AI45" s="401" t="s">
        <v>148</v>
      </c>
      <c r="AJ45" s="401"/>
      <c r="AK45" s="401"/>
      <c r="AL45" s="401" t="s">
        <v>1241</v>
      </c>
      <c r="AM45" s="401" t="s">
        <v>1275</v>
      </c>
      <c r="AN45" s="401" t="s">
        <v>1276</v>
      </c>
      <c r="AO45" s="836" t="s">
        <v>1277</v>
      </c>
      <c r="AP45" s="836" t="s">
        <v>1278</v>
      </c>
      <c r="AQ45" s="401" t="s">
        <v>1279</v>
      </c>
      <c r="AR45" s="401" t="s">
        <v>1280</v>
      </c>
      <c r="AS45" s="836" t="s">
        <v>1281</v>
      </c>
      <c r="AT45" s="979">
        <v>1902</v>
      </c>
      <c r="AV45" s="2780"/>
      <c r="BA45" s="836" t="s">
        <v>1282</v>
      </c>
      <c r="BB45" s="836" t="s">
        <v>1193</v>
      </c>
      <c r="BC45" s="836">
        <f>IF(人物卡!BK14="",1,0)</f>
        <v>1</v>
      </c>
      <c r="BD45" s="836" t="s">
        <v>1249</v>
      </c>
      <c r="BE45" s="836">
        <f>IF(人物卡!BN14="",1,0)</f>
        <v>1</v>
      </c>
      <c r="BG45" s="960"/>
      <c r="BH45" s="924" t="s">
        <v>1283</v>
      </c>
      <c r="BI45" s="917"/>
      <c r="BJ45" s="928"/>
      <c r="BK45" s="917"/>
      <c r="BL45" s="917"/>
      <c r="BM45" s="917"/>
      <c r="BN45" s="917"/>
      <c r="BO45" s="917"/>
      <c r="BP45" s="917"/>
      <c r="BQ45" s="917"/>
      <c r="BR45" s="917"/>
      <c r="BS45" s="917"/>
      <c r="BT45" s="917"/>
      <c r="BU45" s="917"/>
      <c r="BV45" s="917"/>
      <c r="BW45" s="917"/>
      <c r="BX45" s="917"/>
      <c r="BY45" s="917"/>
      <c r="BZ45" s="917"/>
      <c r="CA45" s="917"/>
      <c r="CB45" s="917"/>
      <c r="CC45" s="917"/>
      <c r="CD45" s="917"/>
      <c r="CE45" s="917"/>
      <c r="CF45" s="917"/>
      <c r="CG45" s="917"/>
      <c r="CH45" s="917"/>
      <c r="CI45" s="917"/>
      <c r="CJ45" s="917"/>
      <c r="CK45" s="917"/>
      <c r="CL45" s="917"/>
      <c r="CM45" s="917"/>
      <c r="CN45" s="917"/>
      <c r="CO45" s="917"/>
      <c r="CP45" s="917"/>
      <c r="CQ45" s="917"/>
      <c r="CR45" s="917"/>
      <c r="CS45" s="917"/>
      <c r="CT45" s="917"/>
      <c r="CU45" s="917"/>
      <c r="CV45" s="917"/>
      <c r="CW45" s="917"/>
      <c r="CX45" s="917"/>
      <c r="CY45" s="917"/>
      <c r="CZ45" s="917"/>
      <c r="DA45" s="917"/>
      <c r="DB45" s="917"/>
      <c r="DC45" s="917"/>
      <c r="DD45" s="917"/>
      <c r="DE45" s="917"/>
      <c r="DF45" s="917"/>
      <c r="DG45" s="917"/>
      <c r="DH45" s="917"/>
      <c r="DI45" s="917"/>
      <c r="DJ45" s="917"/>
      <c r="DK45" s="917"/>
      <c r="DL45" s="917"/>
      <c r="DM45" s="917"/>
      <c r="DN45" s="917"/>
      <c r="DO45" s="917"/>
      <c r="DP45" s="917"/>
      <c r="DQ45" s="917"/>
      <c r="DR45" s="917"/>
      <c r="DS45" s="917"/>
      <c r="DT45" s="917"/>
      <c r="DU45" s="917"/>
      <c r="DV45" s="917"/>
      <c r="DW45" s="917"/>
      <c r="DX45" s="917"/>
      <c r="DY45" s="917"/>
      <c r="DZ45" s="917"/>
      <c r="EA45" s="917"/>
      <c r="EB45" s="917"/>
      <c r="EC45" s="917"/>
      <c r="ED45" s="917"/>
      <c r="EE45" s="917"/>
      <c r="EF45" s="917"/>
      <c r="EG45" s="917"/>
      <c r="EH45" s="917"/>
      <c r="EI45" s="917"/>
      <c r="EJ45" s="917"/>
      <c r="EK45" s="917"/>
      <c r="EL45" s="917"/>
      <c r="EM45" s="917"/>
      <c r="EN45" s="917"/>
      <c r="EO45" s="917"/>
    </row>
    <row r="46" spans="2:145" ht="17.25" customHeight="1">
      <c r="B46" s="985"/>
      <c r="C46" s="998" t="s">
        <v>1284</v>
      </c>
      <c r="D46" s="999" t="s">
        <v>1285</v>
      </c>
      <c r="E46" s="1000" t="s">
        <v>1286</v>
      </c>
      <c r="F46" s="986"/>
      <c r="I46" s="988" t="s">
        <v>1287</v>
      </c>
      <c r="J46" s="836" t="s">
        <v>1233</v>
      </c>
      <c r="K46" s="994" t="s">
        <v>1288</v>
      </c>
      <c r="L46" s="836" t="s">
        <v>1289</v>
      </c>
      <c r="M46" s="994" t="s">
        <v>1290</v>
      </c>
      <c r="O46" s="856" t="s">
        <v>1291</v>
      </c>
      <c r="Q46" s="854"/>
      <c r="S46" s="2784" t="str">
        <f>S24&amp;S37&amp;S39&amp;S40&amp;S44</f>
        <v>.st 力量0str0敏捷0dex0意志0pow0体质0con0外貌0app0教育0edu0体型0siz0智力0灵感0int0san0san值0理智0理智值0幸运0运气0mp0魔法0hp0体力0会计5法律5历史5人类学1神秘学5魅惑5信用评级0计算机0计算机使用0电脑0信用10信誉10信用评级10克苏鲁10克苏鲁神话10cm10电子学 Ω1操作重型机械1汽车1驾驶1汽车驾驶1计算机使用 Ω0电子学1科学②115技艺⑤5母语0外语①1外语②1闪避0锁匠1图书馆5图书馆使用5妙手10开锁20撬锁20锁匠20图书馆使用20聆听20博物学25自然学25领航10导航10导航10重型操作10重型机械10操作重型机械10重型10取悦15恐吓15说服10跳跃20游泳20精神分析1医学1生存30驾驶①1驾驶②1汽车驾驶20骑术5动物驯养5潜水1读唇1催眠1自定义①1炮术1投掷20时代:1920s	年龄时间未填  身体状态:健康	 精神状态:清醒	&amp;DB=0 体格:0 闪避:0 护甲:无</v>
      </c>
      <c r="T46" s="2784"/>
      <c r="U46" s="2784"/>
      <c r="V46" s="2784"/>
      <c r="X46" s="959" t="s">
        <v>177</v>
      </c>
      <c r="Y46" s="854"/>
      <c r="AA46" s="980"/>
      <c r="AB46" s="980"/>
      <c r="AC46" s="980"/>
      <c r="AE46" s="979">
        <v>1903</v>
      </c>
      <c r="AF46" s="401" t="s">
        <v>148</v>
      </c>
      <c r="AG46" s="401"/>
      <c r="AH46" s="401"/>
      <c r="AI46" s="401" t="s">
        <v>148</v>
      </c>
      <c r="AJ46" s="401"/>
      <c r="AK46" s="401"/>
      <c r="AL46" s="401" t="s">
        <v>1241</v>
      </c>
      <c r="AM46" s="401" t="s">
        <v>1292</v>
      </c>
      <c r="AN46" s="401" t="s">
        <v>1293</v>
      </c>
      <c r="AO46" s="401" t="s">
        <v>1294</v>
      </c>
      <c r="AP46" s="836" t="s">
        <v>1278</v>
      </c>
      <c r="AQ46" s="401" t="s">
        <v>1295</v>
      </c>
      <c r="AR46" s="401" t="s">
        <v>1296</v>
      </c>
      <c r="AS46" s="836" t="s">
        <v>1297</v>
      </c>
      <c r="AT46" s="979">
        <v>1903</v>
      </c>
      <c r="AV46" s="2780"/>
      <c r="BB46" s="836" t="s">
        <v>1266</v>
      </c>
      <c r="BC46" s="836">
        <f>IF(人物卡!BK15="",1,0)</f>
        <v>1</v>
      </c>
      <c r="BD46" s="836" t="s">
        <v>1267</v>
      </c>
      <c r="BE46" s="836">
        <f>IF(人物卡!BN15="",1,0)</f>
        <v>1</v>
      </c>
      <c r="BF46" s="836">
        <f>SUM(BC45,BE45,BC46,BE46)</f>
        <v>4</v>
      </c>
      <c r="BG46" s="1001"/>
      <c r="BH46" s="927" t="s">
        <v>1298</v>
      </c>
      <c r="BI46" s="934" t="s">
        <v>1299</v>
      </c>
      <c r="BJ46" s="934" t="s">
        <v>1300</v>
      </c>
      <c r="BK46" s="934" t="s">
        <v>1301</v>
      </c>
      <c r="BL46" s="934" t="s">
        <v>1302</v>
      </c>
      <c r="BM46" s="934" t="s">
        <v>1303</v>
      </c>
      <c r="BN46" s="934" t="s">
        <v>1304</v>
      </c>
      <c r="BO46" s="934" t="s">
        <v>1305</v>
      </c>
      <c r="BP46" s="934" t="s">
        <v>1306</v>
      </c>
      <c r="BQ46" s="934" t="s">
        <v>1307</v>
      </c>
      <c r="BR46" s="934" t="s">
        <v>1308</v>
      </c>
      <c r="BS46" s="934" t="s">
        <v>1309</v>
      </c>
      <c r="BT46" s="934" t="s">
        <v>1310</v>
      </c>
      <c r="BU46" s="934" t="s">
        <v>1311</v>
      </c>
      <c r="BV46" s="934" t="s">
        <v>1312</v>
      </c>
      <c r="BW46" s="934" t="s">
        <v>1313</v>
      </c>
      <c r="BX46" s="934" t="s">
        <v>1314</v>
      </c>
      <c r="BY46" s="934" t="s">
        <v>1315</v>
      </c>
      <c r="BZ46" s="934" t="s">
        <v>1316</v>
      </c>
      <c r="CA46" s="934" t="s">
        <v>1317</v>
      </c>
      <c r="CB46" s="934" t="s">
        <v>1318</v>
      </c>
      <c r="CC46" s="934" t="s">
        <v>1319</v>
      </c>
      <c r="CD46" s="934" t="s">
        <v>1320</v>
      </c>
      <c r="CE46" s="934" t="s">
        <v>1321</v>
      </c>
      <c r="CF46" s="934" t="s">
        <v>670</v>
      </c>
      <c r="CG46" s="934" t="s">
        <v>1322</v>
      </c>
      <c r="CH46" s="934" t="s">
        <v>1323</v>
      </c>
      <c r="CI46" s="934" t="s">
        <v>1324</v>
      </c>
      <c r="CJ46" s="934" t="s">
        <v>1325</v>
      </c>
      <c r="CK46" s="934" t="s">
        <v>1326</v>
      </c>
      <c r="CL46" s="934" t="s">
        <v>1327</v>
      </c>
      <c r="CM46" s="934" t="s">
        <v>1328</v>
      </c>
      <c r="CN46" s="934" t="s">
        <v>1329</v>
      </c>
      <c r="CO46" s="934" t="s">
        <v>1317</v>
      </c>
      <c r="CP46" s="934" t="s">
        <v>1330</v>
      </c>
      <c r="CQ46" s="917"/>
      <c r="CR46" s="917"/>
      <c r="CS46" s="917"/>
      <c r="CT46" s="917"/>
      <c r="CU46" s="917"/>
      <c r="CV46" s="917"/>
      <c r="CW46" s="917"/>
      <c r="CX46" s="917"/>
      <c r="CY46" s="917"/>
      <c r="CZ46" s="917"/>
      <c r="DA46" s="917"/>
      <c r="DB46" s="917"/>
      <c r="DC46" s="917"/>
      <c r="DD46" s="917"/>
      <c r="DE46" s="917"/>
      <c r="DF46" s="917"/>
      <c r="DG46" s="917"/>
      <c r="DH46" s="917"/>
      <c r="DI46" s="917"/>
      <c r="DJ46" s="917"/>
      <c r="DK46" s="917"/>
      <c r="DL46" s="917"/>
      <c r="DM46" s="917"/>
      <c r="DN46" s="917"/>
      <c r="DO46" s="917"/>
      <c r="DP46" s="917"/>
      <c r="DQ46" s="917"/>
      <c r="DR46" s="917"/>
      <c r="DS46" s="917"/>
      <c r="DT46" s="917"/>
      <c r="DU46" s="917"/>
      <c r="DV46" s="917"/>
      <c r="DW46" s="917"/>
      <c r="DX46" s="917"/>
      <c r="DY46" s="917"/>
      <c r="DZ46" s="917"/>
      <c r="EA46" s="917"/>
      <c r="EB46" s="917"/>
      <c r="EC46" s="917"/>
      <c r="ED46" s="917"/>
      <c r="EE46" s="917"/>
      <c r="EF46" s="917"/>
      <c r="EG46" s="917"/>
      <c r="EH46" s="917"/>
      <c r="EI46" s="917"/>
      <c r="EJ46" s="917"/>
      <c r="EK46" s="917"/>
      <c r="EL46" s="917"/>
      <c r="EM46" s="917"/>
      <c r="EN46" s="917"/>
      <c r="EO46" s="917"/>
    </row>
    <row r="47" spans="2:145" ht="17.25" customHeight="1">
      <c r="B47" s="985"/>
      <c r="C47" s="1002">
        <f>INT((C37-B45)/10)</f>
        <v>-8</v>
      </c>
      <c r="D47" s="1003">
        <f>80+80*C47</f>
        <v>-560</v>
      </c>
      <c r="E47" s="1004">
        <v>25</v>
      </c>
      <c r="F47" s="986"/>
      <c r="I47" s="997" t="s">
        <v>1331</v>
      </c>
      <c r="J47" s="992" t="s">
        <v>1332</v>
      </c>
      <c r="K47" s="992" t="s">
        <v>1333</v>
      </c>
      <c r="L47" s="993" t="s">
        <v>1213</v>
      </c>
      <c r="M47" s="993" t="s">
        <v>1334</v>
      </c>
      <c r="O47" s="856" t="s">
        <v>1335</v>
      </c>
      <c r="Q47" s="854"/>
      <c r="S47" s="2784"/>
      <c r="T47" s="2784"/>
      <c r="U47" s="2784"/>
      <c r="V47" s="2784"/>
      <c r="X47" s="963" t="s">
        <v>179</v>
      </c>
      <c r="Y47" s="854"/>
      <c r="AA47" s="980"/>
      <c r="AB47" s="980"/>
      <c r="AC47" s="980"/>
      <c r="AE47" s="979">
        <v>1904</v>
      </c>
      <c r="AF47" s="401" t="s">
        <v>1336</v>
      </c>
      <c r="AG47" s="401" t="s">
        <v>1337</v>
      </c>
      <c r="AH47" s="401"/>
      <c r="AI47" s="401" t="s">
        <v>148</v>
      </c>
      <c r="AJ47" s="401"/>
      <c r="AK47" s="401"/>
      <c r="AL47" s="401" t="s">
        <v>1241</v>
      </c>
      <c r="AM47" s="401" t="s">
        <v>1338</v>
      </c>
      <c r="AN47" s="401" t="s">
        <v>1339</v>
      </c>
      <c r="AO47" s="836" t="s">
        <v>1340</v>
      </c>
      <c r="AP47" s="836" t="s">
        <v>1278</v>
      </c>
      <c r="AQ47" s="401" t="s">
        <v>1341</v>
      </c>
      <c r="AR47" s="401" t="s">
        <v>1342</v>
      </c>
      <c r="AS47" s="836" t="s">
        <v>1343</v>
      </c>
      <c r="AT47" s="979">
        <v>1904</v>
      </c>
      <c r="AV47" s="2780"/>
      <c r="BB47" s="401"/>
      <c r="BC47" s="1005"/>
      <c r="BD47" s="1005"/>
      <c r="BE47" s="1005"/>
      <c r="BF47" s="1005"/>
      <c r="BG47" s="1001"/>
      <c r="BH47" s="927" t="s">
        <v>1344</v>
      </c>
      <c r="BI47" s="934" t="s">
        <v>1345</v>
      </c>
      <c r="BJ47" s="934" t="s">
        <v>1346</v>
      </c>
      <c r="BK47" s="934" t="s">
        <v>1347</v>
      </c>
      <c r="BL47" s="934" t="s">
        <v>1348</v>
      </c>
      <c r="BM47" s="934" t="s">
        <v>1349</v>
      </c>
      <c r="BN47" s="934" t="s">
        <v>1350</v>
      </c>
      <c r="BO47" s="934" t="s">
        <v>1351</v>
      </c>
      <c r="BP47" s="934" t="s">
        <v>1352</v>
      </c>
      <c r="BQ47" s="934" t="s">
        <v>1353</v>
      </c>
      <c r="BR47" s="934" t="s">
        <v>1354</v>
      </c>
      <c r="BS47" s="934" t="s">
        <v>1355</v>
      </c>
      <c r="BT47" s="934" t="s">
        <v>1356</v>
      </c>
      <c r="BU47" s="934" t="s">
        <v>1357</v>
      </c>
      <c r="BV47" s="934" t="s">
        <v>1358</v>
      </c>
      <c r="BW47" s="934" t="s">
        <v>1359</v>
      </c>
      <c r="BX47" s="934" t="s">
        <v>1360</v>
      </c>
      <c r="BY47" s="934" t="s">
        <v>1361</v>
      </c>
      <c r="BZ47" s="934" t="s">
        <v>1362</v>
      </c>
      <c r="CA47" s="917"/>
      <c r="CB47" s="917"/>
      <c r="CC47" s="917"/>
      <c r="CD47" s="917"/>
      <c r="CE47" s="917"/>
      <c r="CF47" s="917"/>
      <c r="CG47" s="917"/>
      <c r="CH47" s="917"/>
      <c r="CI47" s="917"/>
      <c r="CJ47" s="917"/>
      <c r="CK47" s="917"/>
      <c r="CL47" s="917"/>
      <c r="CM47" s="917"/>
      <c r="CN47" s="917"/>
      <c r="CO47" s="917"/>
      <c r="CP47" s="917"/>
      <c r="CQ47" s="917"/>
      <c r="CR47" s="917"/>
      <c r="CS47" s="917"/>
      <c r="CT47" s="917"/>
      <c r="CU47" s="917"/>
      <c r="CV47" s="917"/>
      <c r="CW47" s="917"/>
      <c r="CX47" s="917"/>
      <c r="CY47" s="917"/>
      <c r="CZ47" s="917"/>
      <c r="DA47" s="917"/>
      <c r="DB47" s="917"/>
      <c r="DC47" s="917"/>
      <c r="DD47" s="917"/>
      <c r="DE47" s="917"/>
      <c r="DF47" s="917"/>
      <c r="DG47" s="917"/>
      <c r="DH47" s="917"/>
      <c r="DI47" s="917"/>
      <c r="DJ47" s="917"/>
      <c r="DK47" s="917"/>
      <c r="DL47" s="917"/>
      <c r="DM47" s="917"/>
      <c r="DN47" s="917"/>
      <c r="DO47" s="917"/>
      <c r="DP47" s="917"/>
      <c r="DQ47" s="917"/>
      <c r="DR47" s="917"/>
      <c r="DS47" s="917"/>
      <c r="DT47" s="917"/>
      <c r="DU47" s="917"/>
      <c r="DV47" s="917"/>
      <c r="DW47" s="917"/>
      <c r="DX47" s="917"/>
      <c r="DY47" s="917"/>
      <c r="DZ47" s="917"/>
      <c r="EA47" s="917"/>
      <c r="EB47" s="917"/>
      <c r="EC47" s="917"/>
      <c r="ED47" s="917"/>
      <c r="EE47" s="917"/>
      <c r="EF47" s="917"/>
      <c r="EG47" s="917"/>
      <c r="EH47" s="917"/>
      <c r="EI47" s="917"/>
      <c r="EJ47" s="917"/>
      <c r="EK47" s="917"/>
      <c r="EL47" s="917"/>
      <c r="EM47" s="917"/>
      <c r="EN47" s="917"/>
      <c r="EO47" s="917"/>
    </row>
    <row r="48" spans="2:145" ht="17.25" customHeight="1">
      <c r="B48" s="1006"/>
      <c r="C48" s="1006">
        <f>C37</f>
        <v>0</v>
      </c>
      <c r="D48" s="1007" t="str">
        <f>"进步*4,SCD共-"&amp;D47&amp;" A-"&amp;E47</f>
        <v>进步*4,SCD共--560 A-25</v>
      </c>
      <c r="E48" s="1008"/>
      <c r="F48" s="1008"/>
      <c r="G48" s="838"/>
      <c r="I48" s="836" t="s">
        <v>1363</v>
      </c>
      <c r="J48" s="836" t="s">
        <v>1364</v>
      </c>
      <c r="K48" s="994" t="s">
        <v>1365</v>
      </c>
      <c r="L48" s="836" t="s">
        <v>1134</v>
      </c>
      <c r="M48" s="994" t="s">
        <v>1366</v>
      </c>
      <c r="O48" s="856" t="s">
        <v>1367</v>
      </c>
      <c r="Q48" s="854"/>
      <c r="S48" s="2784"/>
      <c r="T48" s="2784"/>
      <c r="U48" s="2784"/>
      <c r="V48" s="2784"/>
      <c r="X48" s="967" t="s">
        <v>181</v>
      </c>
      <c r="Y48" s="854"/>
      <c r="AA48" s="980"/>
      <c r="AB48" s="980"/>
      <c r="AC48" s="980"/>
      <c r="AE48" s="979">
        <v>1905</v>
      </c>
      <c r="AF48" s="401" t="s">
        <v>1368</v>
      </c>
      <c r="AG48" s="401"/>
      <c r="AH48" s="401"/>
      <c r="AI48" s="401" t="s">
        <v>148</v>
      </c>
      <c r="AJ48" s="401"/>
      <c r="AK48" s="401"/>
      <c r="AL48" s="401" t="s">
        <v>1241</v>
      </c>
      <c r="AM48" s="401" t="s">
        <v>1369</v>
      </c>
      <c r="AN48" s="401" t="s">
        <v>1370</v>
      </c>
      <c r="AO48" s="836" t="s">
        <v>1371</v>
      </c>
      <c r="AP48" s="836" t="s">
        <v>1278</v>
      </c>
      <c r="AQ48" s="401" t="s">
        <v>1372</v>
      </c>
      <c r="AR48" s="401" t="s">
        <v>1373</v>
      </c>
      <c r="AS48" s="836" t="s">
        <v>1374</v>
      </c>
      <c r="AT48" s="979">
        <v>1905</v>
      </c>
      <c r="BA48" s="836" t="s">
        <v>76</v>
      </c>
      <c r="BB48" s="401">
        <f>IF(人物卡!BF17="",1,0)</f>
        <v>1</v>
      </c>
      <c r="BC48" s="1005"/>
      <c r="BD48" s="1005"/>
      <c r="BE48" s="1005"/>
      <c r="BF48" s="1005"/>
      <c r="BG48" s="1001"/>
      <c r="BH48" s="927" t="s">
        <v>1375</v>
      </c>
      <c r="BI48" s="934" t="s">
        <v>1376</v>
      </c>
      <c r="BJ48" s="934" t="s">
        <v>1377</v>
      </c>
      <c r="BK48" s="934" t="s">
        <v>1378</v>
      </c>
      <c r="BL48" s="934" t="s">
        <v>1379</v>
      </c>
      <c r="BM48" s="934" t="s">
        <v>1380</v>
      </c>
      <c r="BN48" s="934" t="s">
        <v>1381</v>
      </c>
      <c r="BO48" s="934" t="s">
        <v>1382</v>
      </c>
      <c r="BP48" s="934" t="s">
        <v>1383</v>
      </c>
      <c r="BQ48" s="934" t="s">
        <v>1384</v>
      </c>
      <c r="BR48" s="934" t="s">
        <v>1385</v>
      </c>
      <c r="BS48" s="934" t="s">
        <v>1386</v>
      </c>
      <c r="BT48" s="934" t="s">
        <v>1387</v>
      </c>
      <c r="BU48" s="934" t="s">
        <v>1388</v>
      </c>
      <c r="BV48" s="934" t="s">
        <v>1389</v>
      </c>
      <c r="BW48" s="934" t="s">
        <v>1390</v>
      </c>
      <c r="BX48" s="934" t="s">
        <v>1391</v>
      </c>
      <c r="BY48" s="934" t="s">
        <v>1392</v>
      </c>
      <c r="BZ48" s="934" t="s">
        <v>1393</v>
      </c>
      <c r="CA48" s="934" t="s">
        <v>1394</v>
      </c>
      <c r="CB48" s="934" t="s">
        <v>1395</v>
      </c>
      <c r="CC48" s="934" t="s">
        <v>1396</v>
      </c>
      <c r="CD48" s="934" t="s">
        <v>1397</v>
      </c>
      <c r="CE48" s="934" t="s">
        <v>1398</v>
      </c>
      <c r="CF48" s="934" t="s">
        <v>1399</v>
      </c>
      <c r="CG48" s="934" t="s">
        <v>1400</v>
      </c>
      <c r="CH48" s="934" t="s">
        <v>1401</v>
      </c>
      <c r="CI48" s="934" t="s">
        <v>1402</v>
      </c>
      <c r="CJ48" s="934" t="s">
        <v>1403</v>
      </c>
      <c r="CK48" s="934" t="s">
        <v>1404</v>
      </c>
      <c r="CL48" s="917"/>
      <c r="CM48" s="917"/>
      <c r="CN48" s="917"/>
      <c r="CO48" s="917"/>
      <c r="CP48" s="917"/>
      <c r="CQ48" s="917"/>
      <c r="CR48" s="917"/>
      <c r="CS48" s="917"/>
      <c r="CT48" s="917"/>
      <c r="CU48" s="917"/>
      <c r="CV48" s="917"/>
      <c r="CW48" s="917"/>
      <c r="CX48" s="917"/>
      <c r="CY48" s="917"/>
      <c r="CZ48" s="917"/>
      <c r="DA48" s="917"/>
      <c r="DB48" s="917"/>
      <c r="DC48" s="917"/>
      <c r="DD48" s="917"/>
      <c r="DE48" s="917"/>
      <c r="DF48" s="917"/>
      <c r="DG48" s="917"/>
      <c r="DH48" s="917"/>
      <c r="DI48" s="917"/>
      <c r="DJ48" s="917"/>
      <c r="DK48" s="917"/>
      <c r="DL48" s="917"/>
      <c r="DM48" s="917"/>
      <c r="DN48" s="917"/>
      <c r="DO48" s="917"/>
      <c r="DP48" s="917"/>
      <c r="DQ48" s="917"/>
      <c r="DR48" s="917"/>
      <c r="DS48" s="917"/>
      <c r="DT48" s="917"/>
      <c r="DU48" s="917"/>
      <c r="DV48" s="917"/>
      <c r="DW48" s="917"/>
      <c r="DX48" s="917"/>
      <c r="DY48" s="917"/>
      <c r="DZ48" s="917"/>
      <c r="EA48" s="917"/>
      <c r="EB48" s="917"/>
      <c r="EC48" s="917"/>
      <c r="ED48" s="917"/>
      <c r="EE48" s="917"/>
      <c r="EF48" s="917"/>
      <c r="EG48" s="917"/>
      <c r="EH48" s="917"/>
      <c r="EI48" s="917"/>
      <c r="EJ48" s="917"/>
      <c r="EK48" s="917"/>
      <c r="EL48" s="917"/>
      <c r="EM48" s="917"/>
      <c r="EN48" s="917"/>
      <c r="EO48" s="917"/>
    </row>
    <row r="49" spans="4:145" ht="17.25" customHeight="1">
      <c r="I49" s="836" t="s">
        <v>1405</v>
      </c>
      <c r="J49" s="994" t="s">
        <v>751</v>
      </c>
      <c r="K49" s="994" t="s">
        <v>751</v>
      </c>
      <c r="L49" s="994" t="s">
        <v>751</v>
      </c>
      <c r="M49" s="994" t="s">
        <v>751</v>
      </c>
      <c r="O49" s="856" t="s">
        <v>1406</v>
      </c>
      <c r="Q49" s="854"/>
      <c r="S49" s="2784"/>
      <c r="T49" s="2784"/>
      <c r="U49" s="2784"/>
      <c r="V49" s="2784"/>
      <c r="X49" s="963" t="s">
        <v>186</v>
      </c>
      <c r="Y49" s="854"/>
      <c r="AE49" s="979">
        <v>1906</v>
      </c>
      <c r="AF49" s="401" t="s">
        <v>1407</v>
      </c>
      <c r="AG49" s="401" t="s">
        <v>1408</v>
      </c>
      <c r="AH49" s="401"/>
      <c r="AI49" s="401" t="s">
        <v>148</v>
      </c>
      <c r="AJ49" s="401"/>
      <c r="AK49" s="401"/>
      <c r="AL49" s="401" t="s">
        <v>1241</v>
      </c>
      <c r="AM49" s="401" t="s">
        <v>1409</v>
      </c>
      <c r="AN49" s="401" t="s">
        <v>1410</v>
      </c>
      <c r="AO49" s="836" t="s">
        <v>1411</v>
      </c>
      <c r="AP49" s="836" t="s">
        <v>1278</v>
      </c>
      <c r="AQ49" s="401" t="s">
        <v>1412</v>
      </c>
      <c r="AR49" s="401" t="s">
        <v>1413</v>
      </c>
      <c r="AS49" s="836" t="s">
        <v>1414</v>
      </c>
      <c r="AT49" s="979">
        <v>1906</v>
      </c>
      <c r="BA49" s="836" t="s">
        <v>80</v>
      </c>
      <c r="BB49" s="401">
        <f>IF(人物卡!BI17="",1,0)</f>
        <v>1</v>
      </c>
      <c r="BC49" s="1005"/>
      <c r="BD49" s="1005"/>
      <c r="BE49" s="1005"/>
      <c r="BF49" s="1005"/>
      <c r="BG49" s="1001"/>
      <c r="BH49" s="927" t="s">
        <v>1415</v>
      </c>
      <c r="BI49" s="934" t="s">
        <v>1416</v>
      </c>
      <c r="BJ49" s="934" t="s">
        <v>1417</v>
      </c>
      <c r="BK49" s="934" t="s">
        <v>1418</v>
      </c>
      <c r="BL49" s="934" t="s">
        <v>1419</v>
      </c>
      <c r="BM49" s="934" t="s">
        <v>1420</v>
      </c>
      <c r="BN49" s="934" t="s">
        <v>1421</v>
      </c>
      <c r="BO49" s="934" t="s">
        <v>1422</v>
      </c>
      <c r="BP49" s="934" t="s">
        <v>1423</v>
      </c>
      <c r="BQ49" s="934" t="s">
        <v>1424</v>
      </c>
      <c r="BR49" s="934" t="s">
        <v>1425</v>
      </c>
      <c r="BS49" s="934" t="s">
        <v>1426</v>
      </c>
      <c r="BT49" s="934" t="s">
        <v>1427</v>
      </c>
      <c r="BU49" s="934" t="s">
        <v>1428</v>
      </c>
      <c r="BV49" s="934" t="s">
        <v>1429</v>
      </c>
      <c r="BW49" s="917"/>
      <c r="BX49" s="917"/>
      <c r="BY49" s="917"/>
      <c r="BZ49" s="917"/>
      <c r="CA49" s="917"/>
      <c r="CB49" s="917"/>
      <c r="CC49" s="917"/>
      <c r="CD49" s="917"/>
      <c r="CE49" s="917"/>
      <c r="CF49" s="917"/>
      <c r="CG49" s="917"/>
      <c r="CH49" s="917"/>
      <c r="CI49" s="917"/>
      <c r="CJ49" s="917"/>
      <c r="CK49" s="917"/>
      <c r="CL49" s="917"/>
      <c r="CM49" s="917"/>
      <c r="CN49" s="917"/>
      <c r="CO49" s="917"/>
      <c r="CP49" s="917"/>
      <c r="CQ49" s="917"/>
      <c r="CR49" s="917"/>
      <c r="CS49" s="917"/>
      <c r="CT49" s="917"/>
      <c r="CU49" s="917"/>
      <c r="CV49" s="917"/>
      <c r="CW49" s="917"/>
      <c r="CX49" s="917"/>
      <c r="CY49" s="917"/>
      <c r="CZ49" s="917"/>
      <c r="DA49" s="917"/>
      <c r="DB49" s="917"/>
      <c r="DC49" s="917"/>
      <c r="DD49" s="917"/>
      <c r="DE49" s="917"/>
      <c r="DF49" s="917"/>
      <c r="DG49" s="917"/>
      <c r="DH49" s="917"/>
      <c r="DI49" s="917"/>
      <c r="DJ49" s="917"/>
      <c r="DK49" s="917"/>
      <c r="DL49" s="917"/>
      <c r="DM49" s="917"/>
      <c r="DN49" s="917"/>
      <c r="DO49" s="917"/>
      <c r="DP49" s="917"/>
      <c r="DQ49" s="917"/>
      <c r="DR49" s="917"/>
      <c r="DS49" s="917"/>
      <c r="DT49" s="917"/>
      <c r="DU49" s="917"/>
      <c r="DV49" s="917"/>
      <c r="DW49" s="917"/>
      <c r="DX49" s="917"/>
      <c r="DY49" s="917"/>
      <c r="DZ49" s="917"/>
      <c r="EA49" s="917"/>
      <c r="EB49" s="917"/>
      <c r="EC49" s="917"/>
      <c r="ED49" s="917"/>
      <c r="EE49" s="917"/>
      <c r="EF49" s="917"/>
      <c r="EG49" s="917"/>
      <c r="EH49" s="917"/>
      <c r="EI49" s="917"/>
      <c r="EJ49" s="917"/>
      <c r="EK49" s="917"/>
      <c r="EL49" s="917"/>
      <c r="EM49" s="917"/>
      <c r="EN49" s="917"/>
      <c r="EO49" s="917"/>
    </row>
    <row r="50" spans="4:145" ht="17.25" customHeight="1">
      <c r="O50" s="856" t="s">
        <v>1430</v>
      </c>
      <c r="Q50" s="854"/>
      <c r="S50" s="2784"/>
      <c r="T50" s="2784"/>
      <c r="U50" s="2784"/>
      <c r="V50" s="2784"/>
      <c r="X50" s="963" t="s">
        <v>181</v>
      </c>
      <c r="Y50" s="854"/>
      <c r="AA50" s="2781" t="str">
        <f>".st"&amp;"力量"&amp;STRA&amp;"str"&amp;STRA&amp;"敏捷"&amp;DEXA&amp;"dex"&amp;DEXA&amp;"意志"&amp;POWA&amp;"pow"&amp;POWA&amp;"体质"&amp;CONA&amp;"con"&amp;CONA&amp;"外貌"&amp;APPA&amp;"app"&amp;APPA&amp;"教育"&amp;EDUA&amp;"edu"&amp;EDUA&amp;"体型"&amp;SIZA&amp;"siz"&amp;SIZA&amp;"智力"&amp;INTA&amp;"int"&amp;INTA&amp;"灵感"&amp;INTA&amp;"san"&amp;SAN&amp;"san值"&amp;SAN&amp;"理智"&amp;SAN&amp;"理智值"&amp;SAN&amp;"幸运"&amp;IF(LuckA="未改运",0,LuckA)&amp;"运气"&amp;IF(LuckA="未改运",0,LuckA)&amp;"mp"&amp;MP&amp;"魔法"&amp;MP&amp;"hp"&amp;hp&amp;"体力"&amp;hp</f>
        <v>.st力量未填写str未填写敏捷未填写dex未填写意志未填写pow未填写体质未填写con未填写外貌未填写app未填写教育未填写edu未填写体型未填写siz未填写智力未填写int未填写灵感未填写san0san值0理智0理智值0幸运0运气0mp0魔法0hp0体力0</v>
      </c>
      <c r="AB50" s="2781"/>
      <c r="AC50" s="2781"/>
      <c r="AE50" s="979">
        <v>1907</v>
      </c>
      <c r="AF50" s="401" t="s">
        <v>148</v>
      </c>
      <c r="AG50" s="401"/>
      <c r="AH50" s="401"/>
      <c r="AI50" s="401" t="s">
        <v>148</v>
      </c>
      <c r="AJ50" s="401"/>
      <c r="AK50" s="401"/>
      <c r="AL50" s="401" t="s">
        <v>1241</v>
      </c>
      <c r="AM50" s="401" t="s">
        <v>1431</v>
      </c>
      <c r="AN50" s="401" t="s">
        <v>1432</v>
      </c>
      <c r="AO50" s="836" t="s">
        <v>1433</v>
      </c>
      <c r="AP50" s="836" t="s">
        <v>1278</v>
      </c>
      <c r="AQ50" s="401" t="s">
        <v>1434</v>
      </c>
      <c r="AR50" s="401" t="s">
        <v>1435</v>
      </c>
      <c r="AS50" s="836" t="s">
        <v>1436</v>
      </c>
      <c r="AT50" s="979">
        <v>1907</v>
      </c>
      <c r="BA50" s="836" t="s">
        <v>81</v>
      </c>
      <c r="BB50" s="401">
        <f>IF(人物卡!BK17="",1,0)</f>
        <v>1</v>
      </c>
      <c r="BC50" s="1005"/>
      <c r="BD50" s="1005"/>
      <c r="BE50" s="1005"/>
      <c r="BF50" s="1005"/>
      <c r="BG50" s="1001"/>
      <c r="BH50" s="927" t="s">
        <v>1437</v>
      </c>
      <c r="BI50" s="934" t="s">
        <v>1438</v>
      </c>
      <c r="BJ50" s="934" t="s">
        <v>1439</v>
      </c>
      <c r="BK50" s="934" t="s">
        <v>1440</v>
      </c>
      <c r="BL50" s="934" t="s">
        <v>1441</v>
      </c>
      <c r="BM50" s="934" t="s">
        <v>1442</v>
      </c>
      <c r="BN50" s="934" t="s">
        <v>1443</v>
      </c>
      <c r="BO50" s="934" t="s">
        <v>1444</v>
      </c>
      <c r="BP50" s="917"/>
      <c r="BQ50" s="917"/>
      <c r="BR50" s="917"/>
      <c r="BS50" s="917"/>
      <c r="BT50" s="917"/>
      <c r="BU50" s="917"/>
      <c r="BV50" s="917"/>
      <c r="BW50" s="917"/>
      <c r="BX50" s="917"/>
      <c r="BY50" s="917"/>
      <c r="BZ50" s="917"/>
      <c r="CA50" s="917"/>
      <c r="CB50" s="917"/>
      <c r="CC50" s="917"/>
      <c r="CD50" s="917"/>
      <c r="CE50" s="917"/>
      <c r="CF50" s="917"/>
      <c r="CG50" s="917"/>
      <c r="CH50" s="917"/>
      <c r="CI50" s="917"/>
      <c r="CJ50" s="917"/>
      <c r="CK50" s="917"/>
      <c r="CL50" s="917"/>
      <c r="CM50" s="917"/>
      <c r="CN50" s="917"/>
      <c r="CO50" s="917"/>
      <c r="CP50" s="917"/>
      <c r="CQ50" s="917"/>
      <c r="CR50" s="917"/>
      <c r="CS50" s="917"/>
      <c r="CT50" s="917"/>
      <c r="CU50" s="917"/>
      <c r="CV50" s="917"/>
      <c r="CW50" s="917"/>
      <c r="CX50" s="917"/>
      <c r="CY50" s="917"/>
      <c r="CZ50" s="917"/>
      <c r="DA50" s="917"/>
      <c r="DB50" s="917"/>
      <c r="DC50" s="917"/>
      <c r="DD50" s="917"/>
      <c r="DE50" s="917"/>
      <c r="DF50" s="917"/>
      <c r="DG50" s="917"/>
      <c r="DH50" s="917"/>
      <c r="DI50" s="917"/>
      <c r="DJ50" s="917"/>
      <c r="DK50" s="917"/>
      <c r="DL50" s="917"/>
      <c r="DM50" s="917"/>
      <c r="DN50" s="917"/>
      <c r="DO50" s="917"/>
      <c r="DP50" s="917"/>
      <c r="DQ50" s="917"/>
      <c r="DR50" s="917"/>
      <c r="DS50" s="917"/>
      <c r="DT50" s="917"/>
      <c r="DU50" s="917"/>
      <c r="DV50" s="917"/>
      <c r="DW50" s="917"/>
      <c r="DX50" s="917"/>
      <c r="DY50" s="917"/>
      <c r="DZ50" s="917"/>
      <c r="EA50" s="917"/>
      <c r="EB50" s="917"/>
      <c r="EC50" s="917"/>
      <c r="ED50" s="917"/>
      <c r="EE50" s="917"/>
      <c r="EF50" s="917"/>
      <c r="EG50" s="917"/>
      <c r="EH50" s="917"/>
      <c r="EI50" s="917"/>
      <c r="EJ50" s="917"/>
      <c r="EK50" s="917"/>
      <c r="EL50" s="917"/>
      <c r="EM50" s="917"/>
      <c r="EN50" s="917"/>
      <c r="EO50" s="917"/>
    </row>
    <row r="51" spans="4:145" ht="17.25" customHeight="1">
      <c r="O51" s="856" t="s">
        <v>1445</v>
      </c>
      <c r="Q51" s="854"/>
      <c r="S51" s="2784"/>
      <c r="T51" s="2784"/>
      <c r="U51" s="2784"/>
      <c r="V51" s="2784"/>
      <c r="X51" s="959" t="s">
        <v>186</v>
      </c>
      <c r="Y51" s="854"/>
      <c r="AA51" s="2781"/>
      <c r="AB51" s="2781"/>
      <c r="AC51" s="2781"/>
      <c r="AE51" s="979">
        <v>1908</v>
      </c>
      <c r="AF51" s="401" t="s">
        <v>1446</v>
      </c>
      <c r="AG51" s="401"/>
      <c r="AH51" s="401"/>
      <c r="AI51" s="401" t="s">
        <v>148</v>
      </c>
      <c r="AJ51" s="401"/>
      <c r="AK51" s="401"/>
      <c r="AL51" s="401" t="s">
        <v>1241</v>
      </c>
      <c r="AM51" s="401" t="s">
        <v>1447</v>
      </c>
      <c r="AN51" s="401" t="s">
        <v>1448</v>
      </c>
      <c r="AO51" s="836" t="s">
        <v>1449</v>
      </c>
      <c r="AP51" s="836" t="s">
        <v>1278</v>
      </c>
      <c r="AQ51" s="401" t="s">
        <v>1450</v>
      </c>
      <c r="AR51" s="401" t="s">
        <v>1451</v>
      </c>
      <c r="AS51" s="836" t="s">
        <v>1452</v>
      </c>
      <c r="AT51" s="979">
        <v>1908</v>
      </c>
      <c r="BA51" s="1009" t="s">
        <v>1120</v>
      </c>
      <c r="BB51" s="401">
        <f>IF(人物卡!BM17="",1,0)</f>
        <v>0</v>
      </c>
      <c r="BC51" s="1010">
        <f>SUM(BB48:BB51)</f>
        <v>3</v>
      </c>
      <c r="BD51" s="1010"/>
      <c r="BE51" s="1010"/>
      <c r="BF51" s="1010"/>
      <c r="BG51" s="1001"/>
      <c r="BH51" s="927" t="s">
        <v>1453</v>
      </c>
      <c r="BI51" s="934" t="s">
        <v>1454</v>
      </c>
      <c r="BJ51" s="934" t="s">
        <v>1455</v>
      </c>
      <c r="BK51" s="934" t="s">
        <v>1456</v>
      </c>
      <c r="BL51" s="934" t="s">
        <v>1457</v>
      </c>
      <c r="BM51" s="934" t="s">
        <v>1458</v>
      </c>
      <c r="BN51" s="934" t="s">
        <v>1459</v>
      </c>
      <c r="BO51" s="934" t="s">
        <v>1460</v>
      </c>
      <c r="BP51" s="917"/>
      <c r="BQ51" s="917"/>
      <c r="BR51" s="917"/>
      <c r="BS51" s="917"/>
      <c r="BT51" s="917"/>
      <c r="BU51" s="917"/>
      <c r="BV51" s="917"/>
      <c r="BW51" s="917"/>
      <c r="BX51" s="917"/>
      <c r="BY51" s="917"/>
      <c r="BZ51" s="917"/>
      <c r="CA51" s="917"/>
      <c r="CB51" s="917"/>
      <c r="CC51" s="917"/>
      <c r="CD51" s="917"/>
      <c r="CE51" s="917"/>
      <c r="CF51" s="917"/>
      <c r="CG51" s="917"/>
      <c r="CH51" s="917"/>
      <c r="CI51" s="917"/>
      <c r="CJ51" s="917"/>
      <c r="CK51" s="917"/>
      <c r="CL51" s="917"/>
      <c r="CM51" s="917"/>
      <c r="CN51" s="917"/>
      <c r="CO51" s="917"/>
      <c r="CP51" s="917"/>
      <c r="CQ51" s="917"/>
      <c r="CR51" s="917"/>
      <c r="CS51" s="917"/>
      <c r="CT51" s="917"/>
      <c r="CU51" s="917"/>
      <c r="CV51" s="917"/>
      <c r="CW51" s="917"/>
      <c r="CX51" s="917"/>
      <c r="CY51" s="917"/>
      <c r="CZ51" s="917"/>
      <c r="DA51" s="917"/>
      <c r="DB51" s="917"/>
      <c r="DC51" s="917"/>
      <c r="DD51" s="917"/>
      <c r="DE51" s="917"/>
      <c r="DF51" s="917"/>
      <c r="DG51" s="917"/>
      <c r="DH51" s="917"/>
      <c r="DI51" s="917"/>
      <c r="DJ51" s="917"/>
      <c r="DK51" s="917"/>
      <c r="DL51" s="917"/>
      <c r="DM51" s="917"/>
      <c r="DN51" s="917"/>
      <c r="DO51" s="917"/>
      <c r="DP51" s="917"/>
      <c r="DQ51" s="917"/>
      <c r="DR51" s="917"/>
      <c r="DS51" s="917"/>
      <c r="DT51" s="917"/>
      <c r="DU51" s="917"/>
      <c r="DV51" s="917"/>
      <c r="DW51" s="917"/>
      <c r="DX51" s="917"/>
      <c r="DY51" s="917"/>
      <c r="DZ51" s="917"/>
      <c r="EA51" s="917"/>
      <c r="EB51" s="917"/>
      <c r="EC51" s="917"/>
      <c r="ED51" s="917"/>
      <c r="EE51" s="917"/>
      <c r="EF51" s="917"/>
      <c r="EG51" s="917"/>
      <c r="EH51" s="917"/>
      <c r="EI51" s="917"/>
      <c r="EJ51" s="917"/>
      <c r="EK51" s="917"/>
      <c r="EL51" s="917"/>
      <c r="EM51" s="917"/>
      <c r="EN51" s="917"/>
      <c r="EO51" s="917"/>
    </row>
    <row r="52" spans="4:145" ht="17.25" customHeight="1">
      <c r="E52" s="2845" t="str">
        <f>IF(人物卡!BL11=0," ","["&amp;LOOKUP(人物卡!BL11,职业列表!A2:A237,职业列表!B2:B237)&amp;"]")</f>
        <v xml:space="preserve"> </v>
      </c>
      <c r="F52" s="2846"/>
      <c r="G52" s="2846"/>
      <c r="H52" s="2847" t="s">
        <v>1461</v>
      </c>
      <c r="I52" s="2848"/>
      <c r="J52" s="2849" t="str">
        <f>IF(人物卡!BL11=0," ","["&amp;LOOKUP(人物卡!BL11,职业列表!A2:C237,职业列表!E2:E237)&amp;"]")</f>
        <v xml:space="preserve"> </v>
      </c>
      <c r="K52" s="2850"/>
      <c r="L52" s="836" t="s">
        <v>1462</v>
      </c>
      <c r="M52" s="836">
        <f>IFERROR(J53-SUM(人物卡!BM25:BN33,人物卡!BM35:BN64,人物卡!CI25:CJ64),0)</f>
        <v>0</v>
      </c>
      <c r="O52" s="856" t="s">
        <v>1463</v>
      </c>
      <c r="Q52" s="854"/>
      <c r="S52" s="2784"/>
      <c r="T52" s="2784"/>
      <c r="U52" s="2784"/>
      <c r="V52" s="2784"/>
      <c r="X52" s="959" t="s">
        <v>192</v>
      </c>
      <c r="Y52" s="854"/>
      <c r="AA52" s="2781"/>
      <c r="AB52" s="2781"/>
      <c r="AC52" s="2781"/>
      <c r="AE52" s="979">
        <v>1909</v>
      </c>
      <c r="AF52" s="401" t="s">
        <v>148</v>
      </c>
      <c r="AG52" s="401"/>
      <c r="AH52" s="401"/>
      <c r="AI52" s="401" t="s">
        <v>148</v>
      </c>
      <c r="AJ52" s="401"/>
      <c r="AK52" s="401"/>
      <c r="AL52" s="401" t="s">
        <v>1464</v>
      </c>
      <c r="AM52" s="401" t="s">
        <v>1465</v>
      </c>
      <c r="AN52" s="401" t="s">
        <v>1466</v>
      </c>
      <c r="AO52" s="836" t="s">
        <v>1467</v>
      </c>
      <c r="AP52" s="836" t="s">
        <v>1468</v>
      </c>
      <c r="AQ52" s="401" t="s">
        <v>1469</v>
      </c>
      <c r="AR52" s="401" t="s">
        <v>1470</v>
      </c>
      <c r="AS52" s="836" t="s">
        <v>1471</v>
      </c>
      <c r="AT52" s="979">
        <v>1909</v>
      </c>
      <c r="BA52" s="1011"/>
      <c r="BB52" s="401"/>
      <c r="BC52" s="1005"/>
      <c r="BD52" s="1012"/>
      <c r="BE52" s="1012"/>
      <c r="BF52" s="1013"/>
      <c r="BG52" s="1001"/>
      <c r="BH52" s="927" t="s">
        <v>1472</v>
      </c>
      <c r="BI52" s="934" t="s">
        <v>1473</v>
      </c>
      <c r="BJ52" s="934" t="s">
        <v>1474</v>
      </c>
      <c r="BK52" s="934" t="s">
        <v>1475</v>
      </c>
      <c r="BL52" s="934" t="s">
        <v>1476</v>
      </c>
      <c r="BM52" s="934" t="s">
        <v>1477</v>
      </c>
      <c r="BN52" s="934" t="s">
        <v>1478</v>
      </c>
      <c r="BO52" s="934" t="s">
        <v>1479</v>
      </c>
      <c r="BP52" s="934" t="s">
        <v>1480</v>
      </c>
      <c r="BQ52" s="917"/>
      <c r="BR52" s="917"/>
      <c r="BS52" s="917"/>
      <c r="BT52" s="917"/>
      <c r="BU52" s="917"/>
      <c r="BV52" s="917"/>
      <c r="BW52" s="917"/>
      <c r="BX52" s="917"/>
      <c r="BY52" s="917"/>
      <c r="BZ52" s="917"/>
      <c r="CA52" s="917"/>
      <c r="CB52" s="917"/>
      <c r="CC52" s="917"/>
      <c r="CD52" s="917"/>
      <c r="CE52" s="917"/>
      <c r="CF52" s="917"/>
      <c r="CG52" s="917"/>
      <c r="CH52" s="917"/>
      <c r="CI52" s="917"/>
      <c r="CJ52" s="917"/>
      <c r="CK52" s="917"/>
      <c r="CL52" s="917"/>
      <c r="CM52" s="917"/>
      <c r="CN52" s="917"/>
      <c r="CO52" s="917"/>
      <c r="CP52" s="917"/>
      <c r="CQ52" s="917"/>
      <c r="CR52" s="917"/>
      <c r="CS52" s="917"/>
      <c r="CT52" s="917"/>
      <c r="CU52" s="917"/>
      <c r="CV52" s="917"/>
      <c r="CW52" s="917"/>
      <c r="CX52" s="917"/>
      <c r="CY52" s="917"/>
      <c r="CZ52" s="917"/>
      <c r="DA52" s="917"/>
      <c r="DB52" s="917"/>
      <c r="DC52" s="917"/>
      <c r="DD52" s="917"/>
      <c r="DE52" s="917"/>
      <c r="DF52" s="917"/>
      <c r="DG52" s="917"/>
      <c r="DH52" s="917"/>
      <c r="DI52" s="917"/>
      <c r="DJ52" s="917"/>
      <c r="DK52" s="917"/>
      <c r="DL52" s="917"/>
      <c r="DM52" s="917"/>
      <c r="DN52" s="917"/>
      <c r="DO52" s="917"/>
      <c r="DP52" s="917"/>
      <c r="DQ52" s="917"/>
      <c r="DR52" s="917"/>
      <c r="DS52" s="917"/>
      <c r="DT52" s="917"/>
      <c r="DU52" s="917"/>
      <c r="DV52" s="917"/>
      <c r="DW52" s="917"/>
      <c r="DX52" s="917"/>
      <c r="DY52" s="917"/>
      <c r="DZ52" s="917"/>
      <c r="EA52" s="917"/>
      <c r="EB52" s="917"/>
      <c r="EC52" s="917"/>
      <c r="ED52" s="917"/>
      <c r="EE52" s="917"/>
      <c r="EF52" s="917"/>
      <c r="EG52" s="917"/>
      <c r="EH52" s="917"/>
      <c r="EI52" s="917"/>
      <c r="EJ52" s="917"/>
      <c r="EK52" s="917"/>
      <c r="EL52" s="917"/>
      <c r="EM52" s="917"/>
      <c r="EN52" s="917"/>
      <c r="EO52" s="917"/>
    </row>
    <row r="53" spans="4:145" ht="17.25" customHeight="1">
      <c r="E53" s="2785" t="str">
        <f>IF(人物卡!BL11=0," ","["&amp;LOOKUP(人物卡!BL11,职业列表!A2:A237,职业列表!B2:B237)&amp;"]的本职技能："&amp;LOOKUP(人物卡!BL11,职业列表!A2:A237,职业列表!G2:G237))</f>
        <v xml:space="preserve"> </v>
      </c>
      <c r="F53" s="2786"/>
      <c r="G53" s="2786"/>
      <c r="H53" s="2786"/>
      <c r="I53" s="2787"/>
      <c r="J53" s="2794" t="str">
        <f>IF(人物卡!BL11=0," ",LOOKUP(人物卡!BL11,职业列表!A2:C237,职业列表!F2:F237))</f>
        <v xml:space="preserve"> </v>
      </c>
      <c r="K53" s="2795"/>
      <c r="O53" s="856" t="s">
        <v>1481</v>
      </c>
      <c r="Q53" s="854"/>
      <c r="S53" s="2784"/>
      <c r="T53" s="2784"/>
      <c r="U53" s="2784"/>
      <c r="V53" s="2784"/>
      <c r="X53" s="959" t="s">
        <v>195</v>
      </c>
      <c r="Y53" s="854"/>
      <c r="AA53" s="2781"/>
      <c r="AB53" s="2781"/>
      <c r="AC53" s="2781"/>
      <c r="AE53" s="979">
        <v>1910</v>
      </c>
      <c r="AF53" s="401" t="s">
        <v>148</v>
      </c>
      <c r="AG53" s="401"/>
      <c r="AH53" s="401"/>
      <c r="AI53" s="401" t="s">
        <v>148</v>
      </c>
      <c r="AJ53" s="401"/>
      <c r="AK53" s="401"/>
      <c r="AL53" s="401" t="s">
        <v>1482</v>
      </c>
      <c r="AM53" s="401" t="s">
        <v>1483</v>
      </c>
      <c r="AN53" s="401" t="s">
        <v>1484</v>
      </c>
      <c r="AO53" s="836" t="s">
        <v>1485</v>
      </c>
      <c r="AP53" s="836" t="s">
        <v>1486</v>
      </c>
      <c r="AQ53" s="401" t="s">
        <v>1487</v>
      </c>
      <c r="AR53" s="401" t="s">
        <v>1488</v>
      </c>
      <c r="AS53" s="836" t="s">
        <v>1489</v>
      </c>
      <c r="AT53" s="979">
        <v>1910</v>
      </c>
      <c r="BA53" s="1011" t="s">
        <v>1490</v>
      </c>
      <c r="BB53" s="2781" t="str">
        <f>IF(BF41&gt;0,"基本信息未填写！",IF(BF44&gt;0,"住地未填写！",IF(BF46&gt;0,"故乡未填写！",IF(BC510&gt;0,"时间未填写！","名片准备完成"))))</f>
        <v>基本信息未填写！</v>
      </c>
      <c r="BC53" s="2781"/>
      <c r="BD53" s="2781"/>
      <c r="BE53" s="1012"/>
      <c r="BF53" s="1013"/>
      <c r="BG53" s="1001"/>
      <c r="BH53" s="927" t="s">
        <v>1491</v>
      </c>
      <c r="BI53" s="934" t="s">
        <v>1492</v>
      </c>
      <c r="BJ53" s="934" t="s">
        <v>1493</v>
      </c>
      <c r="BK53" s="934" t="s">
        <v>1229</v>
      </c>
      <c r="BL53" s="934" t="s">
        <v>1494</v>
      </c>
      <c r="BM53" s="934" t="s">
        <v>1226</v>
      </c>
      <c r="BN53" s="934" t="s">
        <v>1225</v>
      </c>
      <c r="BO53" s="917"/>
      <c r="BP53" s="917"/>
      <c r="BQ53" s="917"/>
      <c r="BR53" s="917"/>
      <c r="BS53" s="917"/>
      <c r="BT53" s="917"/>
      <c r="BU53" s="917"/>
      <c r="BV53" s="917"/>
      <c r="BW53" s="917"/>
      <c r="BX53" s="917"/>
      <c r="BY53" s="917"/>
      <c r="BZ53" s="917"/>
      <c r="CA53" s="917"/>
      <c r="CB53" s="917"/>
      <c r="CC53" s="917"/>
      <c r="CD53" s="917"/>
      <c r="CE53" s="917"/>
      <c r="CF53" s="917"/>
      <c r="CG53" s="917"/>
      <c r="CH53" s="917"/>
      <c r="CI53" s="917"/>
      <c r="CJ53" s="917"/>
      <c r="CK53" s="917"/>
      <c r="CL53" s="917"/>
      <c r="CM53" s="917"/>
      <c r="CN53" s="917"/>
      <c r="CO53" s="917"/>
      <c r="CP53" s="917"/>
      <c r="CQ53" s="917"/>
      <c r="CR53" s="917"/>
      <c r="CS53" s="917"/>
      <c r="CT53" s="917"/>
      <c r="CU53" s="917"/>
      <c r="CV53" s="917"/>
      <c r="CW53" s="917"/>
      <c r="CX53" s="917"/>
      <c r="CY53" s="917"/>
      <c r="CZ53" s="917"/>
      <c r="DA53" s="917"/>
      <c r="DB53" s="917"/>
      <c r="DC53" s="917"/>
      <c r="DD53" s="917"/>
      <c r="DE53" s="917"/>
      <c r="DF53" s="917"/>
      <c r="DG53" s="917"/>
      <c r="DH53" s="917"/>
      <c r="DI53" s="917"/>
      <c r="DJ53" s="917"/>
      <c r="DK53" s="917"/>
      <c r="DL53" s="917"/>
      <c r="DM53" s="917"/>
      <c r="DN53" s="917"/>
      <c r="DO53" s="917"/>
      <c r="DP53" s="917"/>
      <c r="DQ53" s="917"/>
      <c r="DR53" s="917"/>
      <c r="DS53" s="917"/>
      <c r="DT53" s="917"/>
      <c r="DU53" s="917"/>
      <c r="DV53" s="917"/>
      <c r="DW53" s="917"/>
      <c r="DX53" s="917"/>
      <c r="DY53" s="917"/>
      <c r="DZ53" s="917"/>
      <c r="EA53" s="917"/>
      <c r="EB53" s="917"/>
      <c r="EC53" s="917"/>
      <c r="ED53" s="917"/>
      <c r="EE53" s="917"/>
      <c r="EF53" s="917"/>
      <c r="EG53" s="917"/>
      <c r="EH53" s="917"/>
      <c r="EI53" s="917"/>
      <c r="EJ53" s="917"/>
      <c r="EK53" s="917"/>
      <c r="EL53" s="917"/>
      <c r="EM53" s="917"/>
      <c r="EN53" s="917"/>
      <c r="EO53" s="917"/>
    </row>
    <row r="54" spans="4:145" ht="17.25" customHeight="1">
      <c r="E54" s="2788"/>
      <c r="F54" s="2789"/>
      <c r="G54" s="2789"/>
      <c r="H54" s="2789"/>
      <c r="I54" s="2790"/>
      <c r="J54" s="2796"/>
      <c r="K54" s="2797"/>
      <c r="L54" s="836" t="s">
        <v>1495</v>
      </c>
      <c r="M54" s="836">
        <f>MAX(STRA,DEXA,POWA,CONA,APPA,EDUA,SIZA,INTA)*2-SUM(人物卡!BO25:BP33,人物卡!BO35:BP64,人物卡!CK25:CL64)</f>
        <v>0</v>
      </c>
      <c r="O54" s="856" t="s">
        <v>1496</v>
      </c>
      <c r="Q54" s="854"/>
      <c r="S54" s="2784"/>
      <c r="T54" s="2784"/>
      <c r="U54" s="2784"/>
      <c r="V54" s="2784"/>
      <c r="X54" s="959" t="s">
        <v>197</v>
      </c>
      <c r="Y54" s="854"/>
      <c r="AA54" s="2781"/>
      <c r="AB54" s="2781"/>
      <c r="AC54" s="2781"/>
      <c r="AE54" s="979">
        <v>1911</v>
      </c>
      <c r="AF54" s="401" t="s">
        <v>148</v>
      </c>
      <c r="AG54" s="401"/>
      <c r="AH54" s="401"/>
      <c r="AI54" s="401" t="s">
        <v>1497</v>
      </c>
      <c r="AJ54" s="401"/>
      <c r="AK54" s="401"/>
      <c r="AL54" s="401" t="s">
        <v>1498</v>
      </c>
      <c r="AM54" s="401" t="s">
        <v>1499</v>
      </c>
      <c r="AN54" s="401" t="s">
        <v>1500</v>
      </c>
      <c r="AO54" s="836" t="s">
        <v>1501</v>
      </c>
      <c r="AP54" s="401" t="s">
        <v>1502</v>
      </c>
      <c r="AQ54" s="401" t="s">
        <v>1503</v>
      </c>
      <c r="AR54" s="401" t="s">
        <v>1504</v>
      </c>
      <c r="AS54" s="836" t="s">
        <v>1505</v>
      </c>
      <c r="AT54" s="979">
        <v>1911</v>
      </c>
      <c r="BA54" s="1011"/>
      <c r="BB54" s="401"/>
      <c r="BC54" s="1005"/>
      <c r="BD54" s="1005"/>
      <c r="BE54" s="1005"/>
      <c r="BF54" s="1013"/>
      <c r="BG54" s="1001"/>
      <c r="BH54" s="927" t="s">
        <v>1506</v>
      </c>
      <c r="BI54" s="934" t="s">
        <v>1507</v>
      </c>
      <c r="BJ54" s="934" t="s">
        <v>1508</v>
      </c>
      <c r="BK54" s="934" t="s">
        <v>1509</v>
      </c>
      <c r="BL54" s="934" t="s">
        <v>1510</v>
      </c>
      <c r="BM54" s="934" t="s">
        <v>1511</v>
      </c>
      <c r="BN54" s="934" t="s">
        <v>1512</v>
      </c>
      <c r="BO54" s="934" t="s">
        <v>1513</v>
      </c>
      <c r="BP54" s="934" t="s">
        <v>1514</v>
      </c>
      <c r="BQ54" s="934" t="s">
        <v>1515</v>
      </c>
      <c r="BR54" s="934" t="s">
        <v>1516</v>
      </c>
      <c r="BS54" s="917"/>
      <c r="BT54" s="917"/>
      <c r="BU54" s="917"/>
      <c r="BV54" s="917"/>
      <c r="BW54" s="917"/>
      <c r="BX54" s="917"/>
      <c r="BY54" s="917"/>
      <c r="BZ54" s="917"/>
      <c r="CA54" s="917"/>
      <c r="CB54" s="917"/>
      <c r="CC54" s="917"/>
      <c r="CD54" s="917"/>
      <c r="CE54" s="917"/>
      <c r="CF54" s="917"/>
      <c r="CG54" s="917"/>
      <c r="CH54" s="917"/>
      <c r="CI54" s="917"/>
      <c r="CJ54" s="917"/>
      <c r="CK54" s="917"/>
      <c r="CL54" s="917"/>
      <c r="CM54" s="917"/>
      <c r="CN54" s="917"/>
      <c r="CO54" s="917"/>
      <c r="CP54" s="917"/>
      <c r="CQ54" s="917"/>
      <c r="CR54" s="917"/>
      <c r="CS54" s="917"/>
      <c r="CT54" s="917"/>
      <c r="CU54" s="917"/>
      <c r="CV54" s="917"/>
      <c r="CW54" s="917"/>
      <c r="CX54" s="917"/>
      <c r="CY54" s="917"/>
      <c r="CZ54" s="917"/>
      <c r="DA54" s="917"/>
      <c r="DB54" s="917"/>
      <c r="DC54" s="917"/>
      <c r="DD54" s="917"/>
      <c r="DE54" s="917"/>
      <c r="DF54" s="917"/>
      <c r="DG54" s="917"/>
      <c r="DH54" s="917"/>
      <c r="DI54" s="917"/>
      <c r="DJ54" s="917"/>
      <c r="DK54" s="917"/>
      <c r="DL54" s="917"/>
      <c r="DM54" s="917"/>
      <c r="DN54" s="917"/>
      <c r="DO54" s="917"/>
      <c r="DP54" s="917"/>
      <c r="DQ54" s="917"/>
      <c r="DR54" s="917"/>
      <c r="DS54" s="917"/>
      <c r="DT54" s="917"/>
      <c r="DU54" s="917"/>
      <c r="DV54" s="917"/>
      <c r="DW54" s="917"/>
      <c r="DX54" s="917"/>
      <c r="DY54" s="917"/>
      <c r="DZ54" s="917"/>
      <c r="EA54" s="917"/>
      <c r="EB54" s="917"/>
      <c r="EC54" s="917"/>
      <c r="ED54" s="917"/>
      <c r="EE54" s="917"/>
      <c r="EF54" s="917"/>
      <c r="EG54" s="917"/>
      <c r="EH54" s="917"/>
      <c r="EI54" s="917"/>
      <c r="EJ54" s="917"/>
      <c r="EK54" s="917"/>
      <c r="EL54" s="917"/>
      <c r="EM54" s="917"/>
      <c r="EN54" s="917"/>
      <c r="EO54" s="917"/>
    </row>
    <row r="55" spans="4:145" ht="17.25" customHeight="1">
      <c r="E55" s="2788"/>
      <c r="F55" s="2789"/>
      <c r="G55" s="2789"/>
      <c r="H55" s="2789"/>
      <c r="I55" s="2790"/>
      <c r="J55" s="2796"/>
      <c r="K55" s="2797"/>
      <c r="O55" s="856" t="s">
        <v>1517</v>
      </c>
      <c r="Q55" s="854"/>
      <c r="S55" s="2784"/>
      <c r="T55" s="2784"/>
      <c r="U55" s="2784"/>
      <c r="V55" s="2784"/>
      <c r="X55" s="963" t="s">
        <v>199</v>
      </c>
      <c r="Y55" s="854"/>
      <c r="AE55" s="979">
        <v>1912</v>
      </c>
      <c r="AF55" s="401" t="s">
        <v>1518</v>
      </c>
      <c r="AG55" s="401" t="s">
        <v>1519</v>
      </c>
      <c r="AH55" s="401"/>
      <c r="AI55" s="401" t="s">
        <v>1520</v>
      </c>
      <c r="AJ55" s="401" t="s">
        <v>1521</v>
      </c>
      <c r="AK55" s="401"/>
      <c r="AL55" s="401" t="s">
        <v>1522</v>
      </c>
      <c r="AM55" s="401" t="s">
        <v>1523</v>
      </c>
      <c r="AN55" s="401" t="s">
        <v>1524</v>
      </c>
      <c r="AO55" s="836" t="s">
        <v>1525</v>
      </c>
      <c r="AP55" s="836" t="s">
        <v>1486</v>
      </c>
      <c r="AQ55" s="401" t="s">
        <v>1526</v>
      </c>
      <c r="AR55" s="836" t="s">
        <v>1527</v>
      </c>
      <c r="AS55" s="836" t="s">
        <v>1528</v>
      </c>
      <c r="AT55" s="979">
        <v>1912</v>
      </c>
      <c r="AZ55" s="1011"/>
      <c r="BB55" s="401"/>
      <c r="BC55" s="1013"/>
      <c r="BD55" s="1013"/>
      <c r="BE55" s="1013"/>
      <c r="BF55" s="1013"/>
      <c r="BG55" s="1001"/>
      <c r="BH55" s="927" t="s">
        <v>1529</v>
      </c>
      <c r="BI55" s="934" t="s">
        <v>1530</v>
      </c>
      <c r="BJ55" s="934" t="s">
        <v>1531</v>
      </c>
      <c r="BK55" s="934" t="s">
        <v>1532</v>
      </c>
      <c r="BL55" s="934" t="s">
        <v>1533</v>
      </c>
      <c r="BM55" s="934" t="s">
        <v>1534</v>
      </c>
      <c r="BN55" s="934" t="s">
        <v>1535</v>
      </c>
      <c r="BO55" s="934" t="s">
        <v>1536</v>
      </c>
      <c r="BP55" s="934" t="s">
        <v>1537</v>
      </c>
      <c r="BQ55" s="934" t="s">
        <v>1538</v>
      </c>
      <c r="BR55" s="934" t="s">
        <v>1539</v>
      </c>
      <c r="BS55" s="934" t="s">
        <v>1540</v>
      </c>
      <c r="BT55" s="934" t="s">
        <v>1541</v>
      </c>
      <c r="BU55" s="934" t="s">
        <v>1542</v>
      </c>
      <c r="BV55" s="934" t="s">
        <v>1543</v>
      </c>
      <c r="BW55" s="934" t="s">
        <v>1544</v>
      </c>
      <c r="BX55" s="934" t="s">
        <v>1545</v>
      </c>
      <c r="BY55" s="934" t="s">
        <v>1546</v>
      </c>
      <c r="BZ55" s="917"/>
      <c r="CA55" s="917"/>
      <c r="CB55" s="917"/>
      <c r="CC55" s="917"/>
      <c r="CD55" s="917"/>
      <c r="CE55" s="917"/>
      <c r="CF55" s="917"/>
      <c r="CG55" s="917"/>
      <c r="CH55" s="917"/>
      <c r="CI55" s="917"/>
      <c r="CJ55" s="917"/>
      <c r="CK55" s="917"/>
      <c r="CL55" s="917"/>
      <c r="CM55" s="917"/>
      <c r="CN55" s="917"/>
      <c r="CO55" s="917"/>
      <c r="CP55" s="917"/>
      <c r="CQ55" s="917"/>
      <c r="CR55" s="917"/>
      <c r="CS55" s="917"/>
      <c r="CT55" s="917"/>
      <c r="CU55" s="917"/>
      <c r="CV55" s="917"/>
      <c r="CW55" s="917"/>
      <c r="CX55" s="917"/>
      <c r="CY55" s="917"/>
      <c r="CZ55" s="917"/>
      <c r="DA55" s="917"/>
      <c r="DB55" s="917"/>
      <c r="DC55" s="917"/>
      <c r="DD55" s="917"/>
      <c r="DE55" s="917"/>
      <c r="DF55" s="917"/>
      <c r="DG55" s="917"/>
      <c r="DH55" s="917"/>
      <c r="DI55" s="917"/>
      <c r="DJ55" s="917"/>
      <c r="DK55" s="917"/>
      <c r="DL55" s="917"/>
      <c r="DM55" s="917"/>
      <c r="DN55" s="917"/>
      <c r="DO55" s="917"/>
      <c r="DP55" s="917"/>
      <c r="DQ55" s="917"/>
      <c r="DR55" s="917"/>
      <c r="DS55" s="917"/>
      <c r="DT55" s="917"/>
      <c r="DU55" s="917"/>
      <c r="DV55" s="917"/>
      <c r="DW55" s="917"/>
      <c r="DX55" s="917"/>
      <c r="DY55" s="917"/>
      <c r="DZ55" s="917"/>
      <c r="EA55" s="917"/>
      <c r="EB55" s="917"/>
      <c r="EC55" s="917"/>
      <c r="ED55" s="917"/>
      <c r="EE55" s="917"/>
      <c r="EF55" s="917"/>
      <c r="EG55" s="917"/>
      <c r="EH55" s="917"/>
      <c r="EI55" s="917"/>
      <c r="EJ55" s="917"/>
      <c r="EK55" s="917"/>
      <c r="EL55" s="917"/>
      <c r="EM55" s="917"/>
      <c r="EN55" s="917"/>
      <c r="EO55" s="917"/>
    </row>
    <row r="56" spans="4:145" ht="17.25" customHeight="1">
      <c r="E56" s="2788"/>
      <c r="F56" s="2789"/>
      <c r="G56" s="2789"/>
      <c r="H56" s="2789"/>
      <c r="I56" s="2790"/>
      <c r="J56" s="2796"/>
      <c r="K56" s="2797"/>
      <c r="L56" s="836" t="s">
        <v>1547</v>
      </c>
      <c r="M56" s="836">
        <f>IF(人物卡!BG52="",1,0)</f>
        <v>1</v>
      </c>
      <c r="O56" s="856" t="s">
        <v>1548</v>
      </c>
      <c r="Q56" s="854"/>
      <c r="S56" s="2784"/>
      <c r="T56" s="2784"/>
      <c r="U56" s="2784"/>
      <c r="V56" s="2784"/>
      <c r="X56" s="967" t="s">
        <v>201</v>
      </c>
      <c r="Y56" s="854"/>
      <c r="AA56" s="2781" t="str">
        <f>".st"&amp;"力量"&amp;STR&amp;"str"&amp;STR&amp;"敏捷"&amp;DEX&amp;"dex"&amp;DEX&amp;"意志"&amp;POW&amp;"pow"&amp;POW&amp;"体质"&amp;CON&amp;"con"&amp;CON&amp;"外貌"&amp;APP&amp;"app"&amp;APP&amp;"教育"&amp;EDU&amp;"edu"&amp;EDU&amp;"体型"&amp;SIZ&amp;"siz"&amp;SIZ&amp;"智力"&amp;INT&amp;"int"&amp;INT&amp;"灵感"&amp;INT&amp;"san"&amp;SAN&amp;"san值"&amp;SAN&amp;"理智"&amp;SAN&amp;"理智值"&amp;SAN&amp;"幸运"&amp;IF(LuckA="未改运",0,LuckA)&amp;"运气"&amp;IF(LuckA="未改运",0,LuckA)&amp;"mp"&amp;MP&amp;"魔法"&amp;MP&amp;"hp"&amp;hp&amp;"体力"&amp;hp</f>
        <v>.st力量str敏捷dex意志pow体质con外貌app教育edu体型siz智力int灵感san0san值0理智0理智值0幸运0运气0mp0魔法0hp0体力0</v>
      </c>
      <c r="AB56" s="2781"/>
      <c r="AC56" s="2781"/>
      <c r="AE56" s="979">
        <v>1913</v>
      </c>
      <c r="AF56" s="401" t="s">
        <v>1549</v>
      </c>
      <c r="AG56" s="401"/>
      <c r="AH56" s="401"/>
      <c r="AI56" s="401" t="s">
        <v>148</v>
      </c>
      <c r="AJ56" s="401"/>
      <c r="AK56" s="401"/>
      <c r="AL56" s="836" t="s">
        <v>1550</v>
      </c>
      <c r="AM56" s="401" t="s">
        <v>1551</v>
      </c>
      <c r="AN56" s="401" t="s">
        <v>1552</v>
      </c>
      <c r="AO56" s="836" t="s">
        <v>1553</v>
      </c>
      <c r="AP56" s="836" t="s">
        <v>1554</v>
      </c>
      <c r="AQ56" s="401" t="s">
        <v>1526</v>
      </c>
      <c r="AR56" s="836" t="s">
        <v>1555</v>
      </c>
      <c r="AT56" s="979">
        <v>1913</v>
      </c>
      <c r="AZ56" s="1011"/>
      <c r="BB56" s="401"/>
      <c r="BC56" s="1005"/>
      <c r="BD56" s="1005"/>
      <c r="BE56" s="1013"/>
      <c r="BF56" s="1013"/>
      <c r="BG56" s="1001"/>
      <c r="BH56" s="927" t="s">
        <v>1556</v>
      </c>
      <c r="BI56" s="934" t="s">
        <v>1557</v>
      </c>
      <c r="BJ56" s="934" t="s">
        <v>1558</v>
      </c>
      <c r="BK56" s="934" t="s">
        <v>1559</v>
      </c>
      <c r="BL56" s="934" t="s">
        <v>1560</v>
      </c>
      <c r="BM56" s="934" t="s">
        <v>1561</v>
      </c>
      <c r="BN56" s="934" t="s">
        <v>1562</v>
      </c>
      <c r="BO56" s="934" t="s">
        <v>1563</v>
      </c>
      <c r="BP56" s="934" t="s">
        <v>1564</v>
      </c>
      <c r="BQ56" s="934" t="s">
        <v>1565</v>
      </c>
      <c r="BR56" s="934" t="s">
        <v>1566</v>
      </c>
      <c r="BS56" s="934" t="s">
        <v>1567</v>
      </c>
      <c r="BT56" s="934" t="s">
        <v>1568</v>
      </c>
      <c r="BU56" s="934" t="s">
        <v>1569</v>
      </c>
      <c r="BV56" s="934" t="s">
        <v>1570</v>
      </c>
      <c r="BW56" s="934" t="s">
        <v>1571</v>
      </c>
      <c r="BX56" s="934" t="s">
        <v>1572</v>
      </c>
      <c r="BY56" s="934" t="s">
        <v>1573</v>
      </c>
      <c r="BZ56" s="934" t="s">
        <v>1574</v>
      </c>
      <c r="CA56" s="934" t="s">
        <v>1575</v>
      </c>
      <c r="CB56" s="934" t="s">
        <v>1576</v>
      </c>
      <c r="CC56" s="934" t="s">
        <v>1577</v>
      </c>
      <c r="CD56" s="934" t="s">
        <v>1578</v>
      </c>
      <c r="CE56" s="934" t="s">
        <v>1579</v>
      </c>
      <c r="CF56" s="934" t="s">
        <v>1580</v>
      </c>
      <c r="CG56" s="934" t="s">
        <v>1581</v>
      </c>
      <c r="CH56" s="934" t="s">
        <v>1582</v>
      </c>
      <c r="CI56" s="934" t="s">
        <v>1583</v>
      </c>
      <c r="CJ56" s="934" t="s">
        <v>1584</v>
      </c>
      <c r="CK56" s="934" t="s">
        <v>1585</v>
      </c>
      <c r="CL56" s="934" t="s">
        <v>1586</v>
      </c>
      <c r="CM56" s="934" t="s">
        <v>1587</v>
      </c>
      <c r="CN56" s="934" t="s">
        <v>1588</v>
      </c>
      <c r="CO56" s="934" t="s">
        <v>1589</v>
      </c>
      <c r="CP56" s="934" t="s">
        <v>1590</v>
      </c>
      <c r="CQ56" s="934" t="s">
        <v>1591</v>
      </c>
      <c r="CR56" s="934" t="s">
        <v>1592</v>
      </c>
      <c r="CS56" s="934" t="s">
        <v>1593</v>
      </c>
      <c r="CT56" s="934" t="s">
        <v>1594</v>
      </c>
      <c r="CU56" s="934" t="s">
        <v>1595</v>
      </c>
      <c r="CV56" s="934" t="s">
        <v>1596</v>
      </c>
      <c r="CW56" s="934" t="s">
        <v>1597</v>
      </c>
      <c r="CX56" s="934" t="s">
        <v>1598</v>
      </c>
      <c r="CY56" s="934" t="s">
        <v>1599</v>
      </c>
      <c r="CZ56" s="934" t="s">
        <v>1600</v>
      </c>
      <c r="DA56" s="934" t="s">
        <v>1601</v>
      </c>
      <c r="DB56" s="934" t="s">
        <v>1602</v>
      </c>
      <c r="DC56" s="934" t="s">
        <v>1603</v>
      </c>
      <c r="DD56" s="934" t="s">
        <v>1604</v>
      </c>
      <c r="DE56" s="934" t="s">
        <v>1605</v>
      </c>
      <c r="DF56" s="934" t="s">
        <v>1606</v>
      </c>
      <c r="DG56" s="934" t="s">
        <v>1607</v>
      </c>
      <c r="DH56" s="934" t="s">
        <v>1608</v>
      </c>
      <c r="DI56" s="934" t="s">
        <v>1609</v>
      </c>
      <c r="DJ56" s="934" t="s">
        <v>1610</v>
      </c>
      <c r="DK56" s="934" t="s">
        <v>1611</v>
      </c>
      <c r="DL56" s="934" t="s">
        <v>1612</v>
      </c>
      <c r="DM56" s="917"/>
      <c r="DN56" s="917"/>
      <c r="DO56" s="917"/>
      <c r="DP56" s="917"/>
      <c r="DQ56" s="917"/>
      <c r="DR56" s="917"/>
      <c r="DS56" s="917"/>
      <c r="DT56" s="917"/>
      <c r="DU56" s="917"/>
      <c r="DV56" s="917"/>
      <c r="DW56" s="917"/>
      <c r="DX56" s="917"/>
      <c r="DY56" s="917"/>
      <c r="DZ56" s="917"/>
      <c r="EA56" s="917"/>
      <c r="EB56" s="917"/>
      <c r="EC56" s="917"/>
      <c r="ED56" s="917"/>
      <c r="EE56" s="917"/>
      <c r="EF56" s="917"/>
      <c r="EG56" s="917"/>
      <c r="EH56" s="917"/>
      <c r="EI56" s="917"/>
      <c r="EJ56" s="917"/>
      <c r="EK56" s="917"/>
      <c r="EL56" s="917"/>
      <c r="EM56" s="917"/>
      <c r="EN56" s="917"/>
      <c r="EO56" s="917"/>
    </row>
    <row r="57" spans="4:145" ht="17.25" customHeight="1">
      <c r="E57" s="2788"/>
      <c r="F57" s="2789"/>
      <c r="G57" s="2789"/>
      <c r="H57" s="2789"/>
      <c r="I57" s="2790"/>
      <c r="J57" s="2796"/>
      <c r="K57" s="2797"/>
      <c r="O57" s="856" t="s">
        <v>401</v>
      </c>
      <c r="Q57" s="854"/>
      <c r="S57" s="2784"/>
      <c r="T57" s="2784"/>
      <c r="U57" s="2784"/>
      <c r="V57" s="2784"/>
      <c r="X57" s="963" t="s">
        <v>203</v>
      </c>
      <c r="Y57" s="854"/>
      <c r="AA57" s="2781"/>
      <c r="AB57" s="2781"/>
      <c r="AC57" s="2781"/>
      <c r="AE57" s="979">
        <v>1914</v>
      </c>
      <c r="AF57" s="836" t="s">
        <v>1613</v>
      </c>
      <c r="AI57" s="401" t="s">
        <v>148</v>
      </c>
      <c r="AJ57" s="401"/>
      <c r="AK57" s="401"/>
      <c r="AL57" s="836" t="s">
        <v>1550</v>
      </c>
      <c r="AM57" s="401" t="s">
        <v>1614</v>
      </c>
      <c r="AN57" s="401" t="s">
        <v>1615</v>
      </c>
      <c r="AO57" s="401" t="s">
        <v>1616</v>
      </c>
      <c r="AP57" s="836" t="s">
        <v>1617</v>
      </c>
      <c r="AQ57" s="401" t="s">
        <v>1526</v>
      </c>
      <c r="AR57" s="836" t="s">
        <v>1555</v>
      </c>
      <c r="AT57" s="979">
        <v>1914</v>
      </c>
      <c r="AZ57" s="1014"/>
      <c r="BB57" s="401"/>
      <c r="BC57" s="977"/>
      <c r="BD57" s="977"/>
      <c r="BE57" s="1011"/>
      <c r="BF57" s="1011"/>
      <c r="BG57" s="1001"/>
      <c r="BH57" s="927" t="s">
        <v>1618</v>
      </c>
      <c r="BI57" s="934" t="s">
        <v>1619</v>
      </c>
      <c r="BJ57" s="934" t="s">
        <v>1620</v>
      </c>
      <c r="BK57" s="934" t="s">
        <v>1621</v>
      </c>
      <c r="BL57" s="934" t="s">
        <v>1622</v>
      </c>
      <c r="BM57" s="934" t="s">
        <v>1623</v>
      </c>
      <c r="BN57" s="934" t="s">
        <v>1624</v>
      </c>
      <c r="BO57" s="934" t="s">
        <v>1625</v>
      </c>
      <c r="BP57" s="934" t="s">
        <v>1626</v>
      </c>
      <c r="BQ57" s="934" t="s">
        <v>1627</v>
      </c>
      <c r="BR57" s="934" t="s">
        <v>1628</v>
      </c>
      <c r="BS57" s="934" t="s">
        <v>1629</v>
      </c>
      <c r="BT57" s="934" t="s">
        <v>1630</v>
      </c>
      <c r="BU57" s="917"/>
      <c r="BV57" s="917"/>
      <c r="BW57" s="917"/>
      <c r="BX57" s="917"/>
      <c r="BY57" s="917"/>
      <c r="BZ57" s="917"/>
      <c r="CA57" s="917"/>
      <c r="CB57" s="917"/>
      <c r="CC57" s="917"/>
      <c r="CD57" s="917"/>
      <c r="CE57" s="917"/>
      <c r="CF57" s="917"/>
      <c r="CG57" s="917"/>
      <c r="CH57" s="917"/>
      <c r="CI57" s="917"/>
      <c r="CJ57" s="917"/>
      <c r="CK57" s="917"/>
      <c r="CL57" s="917"/>
      <c r="CM57" s="917"/>
      <c r="CN57" s="917"/>
      <c r="CO57" s="917"/>
      <c r="CP57" s="917"/>
      <c r="CQ57" s="917"/>
      <c r="CR57" s="917"/>
      <c r="CS57" s="917"/>
      <c r="CT57" s="917"/>
      <c r="CU57" s="917"/>
      <c r="CV57" s="917"/>
      <c r="CW57" s="917"/>
      <c r="CX57" s="917"/>
      <c r="CY57" s="917"/>
      <c r="CZ57" s="917"/>
      <c r="DA57" s="917"/>
      <c r="DB57" s="917"/>
      <c r="DC57" s="917"/>
      <c r="DD57" s="917"/>
      <c r="DE57" s="917"/>
      <c r="DF57" s="917"/>
      <c r="DG57" s="917"/>
      <c r="DH57" s="917"/>
      <c r="DI57" s="917"/>
      <c r="DJ57" s="917"/>
      <c r="DK57" s="917"/>
      <c r="DL57" s="917"/>
      <c r="DM57" s="917"/>
      <c r="DN57" s="917"/>
      <c r="DO57" s="917"/>
      <c r="DP57" s="917"/>
      <c r="DQ57" s="917"/>
      <c r="DR57" s="917"/>
      <c r="DS57" s="917"/>
      <c r="DT57" s="917"/>
      <c r="DU57" s="917"/>
      <c r="DV57" s="917"/>
      <c r="DW57" s="917"/>
      <c r="DX57" s="917"/>
      <c r="DY57" s="917"/>
      <c r="DZ57" s="917"/>
      <c r="EA57" s="917"/>
      <c r="EB57" s="917"/>
      <c r="EC57" s="917"/>
      <c r="ED57" s="917"/>
      <c r="EE57" s="917"/>
      <c r="EF57" s="917"/>
      <c r="EG57" s="917"/>
      <c r="EH57" s="917"/>
      <c r="EI57" s="917"/>
      <c r="EJ57" s="917"/>
      <c r="EK57" s="917"/>
      <c r="EL57" s="917"/>
      <c r="EM57" s="917"/>
      <c r="EN57" s="917"/>
      <c r="EO57" s="917"/>
    </row>
    <row r="58" spans="4:145" ht="17.25" customHeight="1">
      <c r="E58" s="2791"/>
      <c r="F58" s="2792"/>
      <c r="G58" s="2792"/>
      <c r="H58" s="2792"/>
      <c r="I58" s="2793"/>
      <c r="J58" s="2798"/>
      <c r="K58" s="2799"/>
      <c r="L58" s="836" t="s">
        <v>1631</v>
      </c>
      <c r="M58" s="1542" t="str">
        <f>IF(M56&gt;0,"母语未填写！",IF(M52&gt;0,"职业点未分配！",IF(M54&gt;0,"兴趣点未分配！","技能表填写完毕")))</f>
        <v>母语未填写！</v>
      </c>
      <c r="N58" s="1542"/>
      <c r="O58" s="883" t="s">
        <v>751</v>
      </c>
      <c r="P58" s="884"/>
      <c r="Q58" s="885"/>
      <c r="S58" s="2784"/>
      <c r="T58" s="2784"/>
      <c r="U58" s="2784"/>
      <c r="V58" s="2784"/>
      <c r="X58" s="959" t="s">
        <v>205</v>
      </c>
      <c r="Y58" s="854"/>
      <c r="AA58" s="2781"/>
      <c r="AB58" s="2781"/>
      <c r="AC58" s="2781"/>
      <c r="AE58" s="979">
        <v>1915</v>
      </c>
      <c r="AF58" s="836" t="s">
        <v>1613</v>
      </c>
      <c r="AI58" s="401" t="s">
        <v>1632</v>
      </c>
      <c r="AJ58" s="401"/>
      <c r="AK58" s="401"/>
      <c r="AL58" s="836" t="s">
        <v>1550</v>
      </c>
      <c r="AM58" s="401" t="s">
        <v>1633</v>
      </c>
      <c r="AN58" s="401" t="s">
        <v>1634</v>
      </c>
      <c r="AO58" s="836" t="s">
        <v>1635</v>
      </c>
      <c r="AP58" s="836" t="s">
        <v>1617</v>
      </c>
      <c r="AQ58" s="401" t="s">
        <v>1636</v>
      </c>
      <c r="AR58" s="836" t="s">
        <v>1555</v>
      </c>
      <c r="AS58" s="836" t="s">
        <v>1637</v>
      </c>
      <c r="AT58" s="979">
        <v>1915</v>
      </c>
      <c r="BA58" s="1015"/>
      <c r="BB58" s="401"/>
      <c r="BC58" s="1014"/>
      <c r="BD58" s="1014"/>
      <c r="BE58" s="1014"/>
      <c r="BF58" s="1016"/>
      <c r="BG58" s="1001"/>
      <c r="BH58" s="927" t="s">
        <v>1638</v>
      </c>
      <c r="BI58" s="934" t="s">
        <v>1639</v>
      </c>
      <c r="BJ58" s="934" t="s">
        <v>1640</v>
      </c>
      <c r="BK58" s="934" t="s">
        <v>1641</v>
      </c>
      <c r="BL58" s="934" t="s">
        <v>1642</v>
      </c>
      <c r="BM58" s="934" t="s">
        <v>1643</v>
      </c>
      <c r="BN58" s="934" t="s">
        <v>1644</v>
      </c>
      <c r="BO58" s="934" t="s">
        <v>1645</v>
      </c>
      <c r="BP58" s="934" t="s">
        <v>1646</v>
      </c>
      <c r="BQ58" s="934" t="s">
        <v>1647</v>
      </c>
      <c r="BR58" s="934" t="s">
        <v>1648</v>
      </c>
      <c r="BS58" s="934" t="s">
        <v>1649</v>
      </c>
      <c r="BT58" s="934" t="s">
        <v>1650</v>
      </c>
      <c r="BU58" s="917"/>
      <c r="BV58" s="917"/>
      <c r="BW58" s="917"/>
      <c r="BX58" s="917"/>
      <c r="BY58" s="917"/>
      <c r="BZ58" s="917"/>
      <c r="CA58" s="917"/>
      <c r="CB58" s="917"/>
      <c r="CC58" s="917"/>
      <c r="CD58" s="917"/>
      <c r="CE58" s="917"/>
      <c r="CF58" s="917"/>
      <c r="CG58" s="917"/>
      <c r="CH58" s="917"/>
      <c r="CI58" s="917"/>
      <c r="CJ58" s="917"/>
      <c r="CK58" s="917"/>
      <c r="CL58" s="917"/>
      <c r="CM58" s="917"/>
      <c r="CN58" s="917"/>
      <c r="CO58" s="917"/>
      <c r="CP58" s="917"/>
      <c r="CQ58" s="917"/>
      <c r="CR58" s="917"/>
      <c r="CS58" s="917"/>
      <c r="CT58" s="917"/>
      <c r="CU58" s="917"/>
      <c r="CV58" s="917"/>
      <c r="CW58" s="917"/>
      <c r="CX58" s="917"/>
      <c r="CY58" s="917"/>
      <c r="CZ58" s="917"/>
      <c r="DA58" s="917"/>
      <c r="DB58" s="917"/>
      <c r="DC58" s="917"/>
      <c r="DD58" s="917"/>
      <c r="DE58" s="917"/>
      <c r="DF58" s="917"/>
      <c r="DG58" s="917"/>
      <c r="DH58" s="917"/>
      <c r="DI58" s="917"/>
      <c r="DJ58" s="917"/>
      <c r="DK58" s="917"/>
      <c r="DL58" s="917"/>
      <c r="DM58" s="917"/>
      <c r="DN58" s="917"/>
      <c r="DO58" s="917"/>
      <c r="DP58" s="917"/>
      <c r="DQ58" s="917"/>
      <c r="DR58" s="917"/>
      <c r="DS58" s="917"/>
      <c r="DT58" s="917"/>
      <c r="DU58" s="917"/>
      <c r="DV58" s="917"/>
      <c r="DW58" s="917"/>
      <c r="DX58" s="917"/>
      <c r="DY58" s="917"/>
      <c r="DZ58" s="917"/>
      <c r="EA58" s="917"/>
      <c r="EB58" s="917"/>
      <c r="EC58" s="917"/>
      <c r="ED58" s="917"/>
      <c r="EE58" s="917"/>
      <c r="EF58" s="917"/>
      <c r="EG58" s="917"/>
      <c r="EH58" s="917"/>
      <c r="EI58" s="917"/>
      <c r="EJ58" s="917"/>
      <c r="EK58" s="917"/>
      <c r="EL58" s="917"/>
      <c r="EM58" s="917"/>
      <c r="EN58" s="917"/>
      <c r="EO58" s="917"/>
    </row>
    <row r="59" spans="4:145" ht="17.25" customHeight="1">
      <c r="E59" s="836" t="str">
        <f>IF(人物卡!BL11=0," ",LOOKUP(人物卡!BL11,职业列表!A2:C237,职业列表!E2:E237))</f>
        <v xml:space="preserve"> </v>
      </c>
      <c r="S59" s="2784"/>
      <c r="T59" s="2784"/>
      <c r="U59" s="2784"/>
      <c r="V59" s="2784"/>
      <c r="X59" s="959" t="s">
        <v>208</v>
      </c>
      <c r="Y59" s="854"/>
      <c r="AA59" s="2781"/>
      <c r="AB59" s="2781"/>
      <c r="AC59" s="2781"/>
      <c r="AE59" s="979">
        <v>1916</v>
      </c>
      <c r="AF59" s="401" t="s">
        <v>1613</v>
      </c>
      <c r="AG59" s="401" t="s">
        <v>1651</v>
      </c>
      <c r="AH59" s="401"/>
      <c r="AI59" s="401" t="s">
        <v>1652</v>
      </c>
      <c r="AJ59" s="401"/>
      <c r="AK59" s="401"/>
      <c r="AL59" s="836" t="s">
        <v>1550</v>
      </c>
      <c r="AM59" s="401" t="s">
        <v>1653</v>
      </c>
      <c r="AN59" s="401" t="s">
        <v>1654</v>
      </c>
      <c r="AO59" s="836" t="s">
        <v>1655</v>
      </c>
      <c r="AP59" s="836" t="s">
        <v>1617</v>
      </c>
      <c r="AQ59" s="401" t="s">
        <v>1656</v>
      </c>
      <c r="AR59" s="836" t="s">
        <v>1657</v>
      </c>
      <c r="AS59" s="836" t="s">
        <v>1658</v>
      </c>
      <c r="AT59" s="979">
        <v>1916</v>
      </c>
      <c r="BA59" s="1015"/>
      <c r="BB59" s="401"/>
      <c r="BC59" s="1014"/>
      <c r="BD59" s="1014"/>
      <c r="BE59" s="1014"/>
      <c r="BF59" s="1016"/>
      <c r="BG59" s="1001"/>
      <c r="BH59" s="1017" t="s">
        <v>1659</v>
      </c>
      <c r="BI59" s="934" t="s">
        <v>1660</v>
      </c>
      <c r="BJ59" s="934" t="s">
        <v>1661</v>
      </c>
      <c r="BK59" s="934" t="s">
        <v>1662</v>
      </c>
      <c r="BL59" s="934" t="s">
        <v>1663</v>
      </c>
      <c r="BM59" s="934" t="s">
        <v>1664</v>
      </c>
      <c r="BN59" s="934" t="s">
        <v>1665</v>
      </c>
      <c r="BO59" s="934" t="s">
        <v>1666</v>
      </c>
      <c r="BP59" s="934" t="s">
        <v>1667</v>
      </c>
      <c r="BQ59" s="934" t="s">
        <v>1668</v>
      </c>
      <c r="BR59" s="934" t="s">
        <v>1669</v>
      </c>
      <c r="BS59" s="934" t="s">
        <v>1670</v>
      </c>
      <c r="BT59" s="934" t="s">
        <v>1671</v>
      </c>
      <c r="BU59" s="934" t="s">
        <v>1672</v>
      </c>
      <c r="BV59" s="934" t="s">
        <v>1673</v>
      </c>
      <c r="BW59" s="934" t="s">
        <v>1674</v>
      </c>
      <c r="BX59" s="934" t="s">
        <v>1675</v>
      </c>
      <c r="BY59" s="934" t="s">
        <v>1676</v>
      </c>
      <c r="BZ59" s="934" t="s">
        <v>1677</v>
      </c>
      <c r="CA59" s="934" t="s">
        <v>1678</v>
      </c>
      <c r="CB59" s="934" t="s">
        <v>1679</v>
      </c>
      <c r="CC59" s="934" t="s">
        <v>1680</v>
      </c>
      <c r="CD59" s="934" t="s">
        <v>1681</v>
      </c>
      <c r="CE59" s="934" t="s">
        <v>1682</v>
      </c>
      <c r="CF59" s="934" t="s">
        <v>1683</v>
      </c>
      <c r="CG59" s="934" t="s">
        <v>1684</v>
      </c>
      <c r="CH59" s="934" t="s">
        <v>1685</v>
      </c>
      <c r="CI59" s="934" t="s">
        <v>1686</v>
      </c>
      <c r="CJ59" s="934" t="s">
        <v>1687</v>
      </c>
      <c r="CK59" s="934" t="s">
        <v>1688</v>
      </c>
      <c r="CL59" s="934" t="s">
        <v>1689</v>
      </c>
      <c r="CM59" s="934" t="s">
        <v>1690</v>
      </c>
      <c r="CN59" s="934" t="s">
        <v>1691</v>
      </c>
      <c r="CO59" s="934" t="s">
        <v>1692</v>
      </c>
      <c r="CP59" s="934" t="s">
        <v>1693</v>
      </c>
      <c r="CQ59" s="934" t="s">
        <v>1694</v>
      </c>
      <c r="CR59" s="934" t="s">
        <v>1695</v>
      </c>
      <c r="CS59" s="934" t="s">
        <v>1696</v>
      </c>
      <c r="CT59" s="934" t="s">
        <v>1697</v>
      </c>
      <c r="CU59" s="934" t="s">
        <v>1698</v>
      </c>
      <c r="CV59" s="934" t="s">
        <v>1699</v>
      </c>
      <c r="CW59" s="934" t="s">
        <v>1700</v>
      </c>
      <c r="CX59" s="934" t="s">
        <v>1701</v>
      </c>
      <c r="CY59" s="934" t="s">
        <v>1702</v>
      </c>
      <c r="CZ59" s="934" t="s">
        <v>1703</v>
      </c>
      <c r="DA59" s="934" t="s">
        <v>1704</v>
      </c>
      <c r="DB59" s="934" t="s">
        <v>1705</v>
      </c>
      <c r="DC59" s="934" t="s">
        <v>1706</v>
      </c>
      <c r="DD59" s="917"/>
      <c r="DE59" s="917"/>
      <c r="DF59" s="917"/>
      <c r="DG59" s="917"/>
      <c r="DH59" s="917"/>
      <c r="DI59" s="917"/>
      <c r="DJ59" s="917"/>
      <c r="DK59" s="917"/>
      <c r="DL59" s="917"/>
      <c r="DM59" s="917"/>
      <c r="DN59" s="917"/>
      <c r="DO59" s="917"/>
      <c r="DP59" s="917"/>
      <c r="DQ59" s="917"/>
      <c r="DR59" s="917"/>
      <c r="DS59" s="917"/>
      <c r="DT59" s="917"/>
      <c r="DU59" s="917"/>
      <c r="DV59" s="917"/>
      <c r="DW59" s="917"/>
      <c r="DX59" s="917"/>
      <c r="DY59" s="917"/>
      <c r="DZ59" s="917"/>
      <c r="EA59" s="917"/>
      <c r="EB59" s="917"/>
      <c r="EC59" s="917"/>
      <c r="ED59" s="917"/>
      <c r="EE59" s="917"/>
      <c r="EF59" s="917"/>
      <c r="EG59" s="917"/>
      <c r="EH59" s="917"/>
      <c r="EI59" s="917"/>
      <c r="EJ59" s="917"/>
      <c r="EK59" s="917"/>
      <c r="EL59" s="917"/>
      <c r="EM59" s="917"/>
      <c r="EN59" s="917"/>
      <c r="EO59" s="917"/>
    </row>
    <row r="60" spans="4:145" ht="17.25" customHeight="1">
      <c r="J60" s="836" t="s">
        <v>1707</v>
      </c>
      <c r="S60" s="2784"/>
      <c r="T60" s="2784"/>
      <c r="U60" s="2784"/>
      <c r="V60" s="2784"/>
      <c r="X60" s="959" t="s">
        <v>212</v>
      </c>
      <c r="Y60" s="854"/>
      <c r="AA60" s="980"/>
      <c r="AB60" s="980"/>
      <c r="AC60" s="980"/>
      <c r="AE60" s="979">
        <v>1917</v>
      </c>
      <c r="AF60" s="401" t="s">
        <v>1613</v>
      </c>
      <c r="AG60" s="401" t="s">
        <v>1708</v>
      </c>
      <c r="AH60" s="401"/>
      <c r="AI60" s="401" t="s">
        <v>1709</v>
      </c>
      <c r="AJ60" s="401" t="s">
        <v>1710</v>
      </c>
      <c r="AK60" s="401"/>
      <c r="AL60" s="836" t="s">
        <v>1550</v>
      </c>
      <c r="AM60" s="401" t="s">
        <v>1711</v>
      </c>
      <c r="AN60" s="401" t="s">
        <v>1712</v>
      </c>
      <c r="AO60" s="836" t="s">
        <v>1713</v>
      </c>
      <c r="AP60" s="836" t="s">
        <v>1617</v>
      </c>
      <c r="AQ60" s="401" t="s">
        <v>1714</v>
      </c>
      <c r="AR60" s="836" t="s">
        <v>1715</v>
      </c>
      <c r="AS60" s="836" t="s">
        <v>1716</v>
      </c>
      <c r="AT60" s="979">
        <v>1917</v>
      </c>
      <c r="AV60" s="1015"/>
      <c r="AW60" s="1015"/>
      <c r="AX60" s="1015"/>
      <c r="AY60" s="1015"/>
      <c r="AZ60" s="1015"/>
      <c r="BA60" s="1014"/>
      <c r="BB60" s="401"/>
      <c r="BC60" s="1014"/>
      <c r="BD60" s="1014"/>
      <c r="BE60" s="1016"/>
      <c r="BF60" s="1016"/>
      <c r="BG60" s="1001"/>
      <c r="BH60" s="927" t="s">
        <v>1717</v>
      </c>
      <c r="BI60" s="934" t="s">
        <v>1718</v>
      </c>
      <c r="BJ60" s="934" t="s">
        <v>1719</v>
      </c>
      <c r="BK60" s="934" t="s">
        <v>1720</v>
      </c>
      <c r="BL60" s="934" t="s">
        <v>1721</v>
      </c>
      <c r="BM60" s="934" t="s">
        <v>1722</v>
      </c>
      <c r="BN60" s="934" t="s">
        <v>1723</v>
      </c>
      <c r="BO60" s="934" t="s">
        <v>1724</v>
      </c>
      <c r="BP60" s="934" t="s">
        <v>1725</v>
      </c>
      <c r="BQ60" s="934" t="s">
        <v>1726</v>
      </c>
      <c r="BR60" s="934" t="s">
        <v>1727</v>
      </c>
      <c r="BS60" s="934" t="s">
        <v>1728</v>
      </c>
      <c r="BT60" s="934" t="s">
        <v>1729</v>
      </c>
      <c r="BU60" s="934" t="s">
        <v>1730</v>
      </c>
      <c r="BV60" s="934" t="s">
        <v>1731</v>
      </c>
      <c r="BW60" s="934" t="s">
        <v>1732</v>
      </c>
      <c r="BX60" s="934" t="s">
        <v>1733</v>
      </c>
      <c r="BY60" s="934" t="s">
        <v>1734</v>
      </c>
      <c r="BZ60" s="934" t="s">
        <v>1735</v>
      </c>
      <c r="CA60" s="934" t="s">
        <v>1736</v>
      </c>
      <c r="CB60" s="934" t="s">
        <v>1737</v>
      </c>
      <c r="CC60" s="934" t="s">
        <v>1738</v>
      </c>
      <c r="CD60" s="934" t="s">
        <v>1739</v>
      </c>
      <c r="CE60" s="934" t="s">
        <v>1740</v>
      </c>
      <c r="CF60" s="934" t="s">
        <v>1741</v>
      </c>
      <c r="CG60" s="934" t="s">
        <v>1742</v>
      </c>
      <c r="CH60" s="934" t="s">
        <v>1743</v>
      </c>
      <c r="CI60" s="934" t="s">
        <v>1744</v>
      </c>
      <c r="CJ60" s="934" t="s">
        <v>1745</v>
      </c>
      <c r="CK60" s="934" t="s">
        <v>1746</v>
      </c>
      <c r="CL60" s="934" t="s">
        <v>1747</v>
      </c>
      <c r="CM60" s="934" t="s">
        <v>1748</v>
      </c>
      <c r="CN60" s="917"/>
      <c r="CO60" s="917"/>
      <c r="CP60" s="917"/>
      <c r="CQ60" s="917"/>
      <c r="CR60" s="917"/>
      <c r="CS60" s="917"/>
      <c r="CT60" s="917"/>
      <c r="CU60" s="917"/>
      <c r="CV60" s="917"/>
      <c r="CW60" s="917"/>
      <c r="CX60" s="917"/>
      <c r="CY60" s="917"/>
      <c r="CZ60" s="917"/>
      <c r="DA60" s="917"/>
      <c r="DB60" s="917"/>
      <c r="DC60" s="917"/>
      <c r="DD60" s="917"/>
      <c r="DE60" s="917"/>
      <c r="DF60" s="917"/>
      <c r="DG60" s="917"/>
      <c r="DH60" s="917"/>
      <c r="DI60" s="917"/>
      <c r="DJ60" s="917"/>
      <c r="DK60" s="917"/>
      <c r="DL60" s="917"/>
      <c r="DM60" s="917"/>
      <c r="DN60" s="917"/>
      <c r="DO60" s="917"/>
      <c r="DP60" s="917"/>
      <c r="DQ60" s="917"/>
      <c r="DR60" s="917"/>
      <c r="DS60" s="917"/>
      <c r="DT60" s="917"/>
      <c r="DU60" s="917"/>
      <c r="DV60" s="917"/>
      <c r="DW60" s="917"/>
      <c r="DX60" s="917"/>
      <c r="DY60" s="917"/>
      <c r="DZ60" s="917"/>
      <c r="EA60" s="917"/>
      <c r="EB60" s="917"/>
      <c r="EC60" s="917"/>
      <c r="ED60" s="917"/>
      <c r="EE60" s="917"/>
      <c r="EF60" s="917"/>
      <c r="EG60" s="917"/>
      <c r="EH60" s="917"/>
      <c r="EI60" s="917"/>
      <c r="EJ60" s="917"/>
      <c r="EK60" s="917"/>
      <c r="EL60" s="917"/>
      <c r="EM60" s="917"/>
      <c r="EN60" s="917"/>
      <c r="EO60" s="917"/>
    </row>
    <row r="61" spans="4:145" ht="17.25" customHeight="1">
      <c r="E61" s="395" t="s">
        <v>1749</v>
      </c>
      <c r="S61" s="2784"/>
      <c r="T61" s="2784"/>
      <c r="U61" s="2784"/>
      <c r="V61" s="2784"/>
      <c r="X61" s="959" t="s">
        <v>214</v>
      </c>
      <c r="Y61" s="854"/>
      <c r="AA61" s="980"/>
      <c r="AB61" s="980"/>
      <c r="AC61" s="980"/>
      <c r="AE61" s="979">
        <v>1918</v>
      </c>
      <c r="AF61" s="836" t="s">
        <v>1613</v>
      </c>
      <c r="AI61" s="401" t="s">
        <v>148</v>
      </c>
      <c r="AJ61" s="401"/>
      <c r="AK61" s="401"/>
      <c r="AL61" s="836" t="s">
        <v>1550</v>
      </c>
      <c r="AM61" s="401" t="s">
        <v>1750</v>
      </c>
      <c r="AN61" s="401" t="s">
        <v>1751</v>
      </c>
      <c r="AO61" s="836" t="s">
        <v>1752</v>
      </c>
      <c r="AP61" s="836" t="s">
        <v>1617</v>
      </c>
      <c r="AQ61" s="401" t="s">
        <v>1753</v>
      </c>
      <c r="AR61" s="836" t="s">
        <v>1754</v>
      </c>
      <c r="AS61" s="836" t="s">
        <v>1755</v>
      </c>
      <c r="AT61" s="979">
        <v>1918</v>
      </c>
      <c r="AV61" s="1015"/>
      <c r="AW61" s="1015"/>
      <c r="AX61" s="1015"/>
      <c r="AY61" s="1015"/>
      <c r="AZ61" s="1015"/>
      <c r="BA61" s="1015"/>
      <c r="BB61" s="401"/>
      <c r="BC61" s="1014"/>
      <c r="BD61" s="1014"/>
      <c r="BE61" s="1014"/>
      <c r="BF61" s="1016"/>
      <c r="BG61" s="1001"/>
      <c r="BH61" s="927" t="s">
        <v>1756</v>
      </c>
      <c r="BI61" s="934" t="s">
        <v>1757</v>
      </c>
      <c r="BJ61" s="934" t="s">
        <v>1758</v>
      </c>
      <c r="BK61" s="934" t="s">
        <v>1759</v>
      </c>
      <c r="BL61" s="934" t="s">
        <v>1760</v>
      </c>
      <c r="BM61" s="934" t="s">
        <v>1761</v>
      </c>
      <c r="BN61" s="934" t="s">
        <v>1762</v>
      </c>
      <c r="BO61" s="934" t="s">
        <v>1763</v>
      </c>
      <c r="BP61" s="934" t="s">
        <v>1764</v>
      </c>
      <c r="BQ61" s="934" t="s">
        <v>1765</v>
      </c>
      <c r="BR61" s="934" t="s">
        <v>1766</v>
      </c>
      <c r="BS61" s="934" t="s">
        <v>1767</v>
      </c>
      <c r="BT61" s="934" t="s">
        <v>1768</v>
      </c>
      <c r="BU61" s="934" t="s">
        <v>1769</v>
      </c>
      <c r="BV61" s="934" t="s">
        <v>1770</v>
      </c>
      <c r="BW61" s="934" t="s">
        <v>1771</v>
      </c>
      <c r="BX61" s="934" t="s">
        <v>1772</v>
      </c>
      <c r="BY61" s="917"/>
      <c r="BZ61" s="917"/>
      <c r="CA61" s="917"/>
      <c r="CB61" s="917"/>
      <c r="CC61" s="917"/>
      <c r="CD61" s="917"/>
      <c r="CE61" s="917"/>
      <c r="CF61" s="917"/>
      <c r="CG61" s="917"/>
      <c r="CH61" s="917"/>
      <c r="CI61" s="917"/>
      <c r="CJ61" s="917"/>
      <c r="CK61" s="917"/>
      <c r="CL61" s="917"/>
      <c r="CM61" s="917"/>
      <c r="CN61" s="917"/>
      <c r="CO61" s="917"/>
      <c r="CP61" s="917"/>
      <c r="CQ61" s="917"/>
      <c r="CR61" s="917"/>
      <c r="CS61" s="917"/>
      <c r="CT61" s="917"/>
      <c r="CU61" s="917"/>
      <c r="CV61" s="917"/>
      <c r="CW61" s="917"/>
      <c r="CX61" s="917"/>
      <c r="CY61" s="917"/>
      <c r="CZ61" s="917"/>
      <c r="DA61" s="917"/>
      <c r="DB61" s="917"/>
      <c r="DC61" s="917"/>
      <c r="DD61" s="917"/>
      <c r="DE61" s="917"/>
      <c r="DF61" s="917"/>
      <c r="DG61" s="917"/>
      <c r="DH61" s="917"/>
      <c r="DI61" s="917"/>
      <c r="DJ61" s="917"/>
      <c r="DK61" s="917"/>
      <c r="DL61" s="917"/>
      <c r="DM61" s="917"/>
      <c r="DN61" s="917"/>
      <c r="DO61" s="917"/>
      <c r="DP61" s="917"/>
      <c r="DQ61" s="917"/>
      <c r="DR61" s="917"/>
      <c r="DS61" s="917"/>
      <c r="DT61" s="917"/>
      <c r="DU61" s="917"/>
      <c r="DV61" s="917"/>
      <c r="DW61" s="917"/>
      <c r="DX61" s="917"/>
      <c r="DY61" s="917"/>
      <c r="DZ61" s="917"/>
      <c r="EA61" s="917"/>
      <c r="EB61" s="917"/>
      <c r="EC61" s="917"/>
      <c r="ED61" s="917"/>
      <c r="EE61" s="917"/>
      <c r="EF61" s="917"/>
      <c r="EG61" s="917"/>
      <c r="EH61" s="917"/>
      <c r="EI61" s="917"/>
      <c r="EJ61" s="917"/>
      <c r="EK61" s="917"/>
      <c r="EL61" s="917"/>
      <c r="EM61" s="917"/>
      <c r="EN61" s="917"/>
      <c r="EO61" s="917"/>
    </row>
    <row r="62" spans="4:145" ht="17.25" customHeight="1">
      <c r="D62" s="1018" t="s">
        <v>1773</v>
      </c>
      <c r="E62" s="6" t="s">
        <v>1774</v>
      </c>
      <c r="F62" s="1018" t="s">
        <v>1775</v>
      </c>
      <c r="G62" s="1019" t="s">
        <v>1776</v>
      </c>
      <c r="I62" s="395" t="s">
        <v>1773</v>
      </c>
      <c r="J62" s="395" t="s">
        <v>1777</v>
      </c>
      <c r="K62" s="395" t="s">
        <v>1778</v>
      </c>
      <c r="L62" s="395" t="s">
        <v>1779</v>
      </c>
      <c r="M62" s="395" t="s">
        <v>1780</v>
      </c>
      <c r="X62" s="959" t="s">
        <v>216</v>
      </c>
      <c r="Y62" s="854"/>
      <c r="AA62" s="2781" t="str">
        <f>AA72&amp;AA73&amp;AA74&amp;AA75&amp;AA76&amp;AA77&amp;AA78&amp;AA79&amp;AA80&amp;AA81&amp;AA82&amp;AA83&amp;AA84&amp;AA85&amp;AA86&amp;AA87&amp;AA88&amp;AA89&amp;AA90&amp;AA91&amp;AA92&amp;AA93&amp;AA94&amp;AA95&amp;AA96&amp;AA97&amp;AA98&amp;AA99&amp;AA100&amp;AA101&amp;AA102&amp;AA103&amp;AA104&amp;AA105&amp;AA106&amp;AA107&amp;AA108&amp;AA109&amp;AA110&amp;AA111&amp;AC72&amp;AC73&amp;AC74&amp;AC75&amp;AC76&amp;AC77&amp;AC78&amp;AC79&amp;AC80&amp;AC81&amp;AC82&amp;AC83&amp;AC84&amp;AC85&amp;AC86&amp;AC87&amp;AC88&amp;AC89&amp;AC90&amp;AC91&amp;AC92&amp;AC93&amp;AC94&amp;AC95&amp;AC96&amp;AC97&amp;AC98&amp;AC99&amp;AC100&amp;AC101&amp;AC102&amp;AC103&amp;AC104&amp;AC105&amp;AC106&amp;AC107&amp;AC108&amp;AC109&amp;AC110&amp;AC111</f>
        <v>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AB62" s="2781"/>
      <c r="AC62" s="2781"/>
      <c r="AE62" s="979">
        <v>1919</v>
      </c>
      <c r="AF62" s="401" t="s">
        <v>1781</v>
      </c>
      <c r="AG62" s="401"/>
      <c r="AH62" s="401"/>
      <c r="AI62" s="401" t="s">
        <v>1782</v>
      </c>
      <c r="AJ62" s="401"/>
      <c r="AK62" s="401"/>
      <c r="AL62" s="836" t="s">
        <v>1550</v>
      </c>
      <c r="AM62" s="401" t="s">
        <v>1783</v>
      </c>
      <c r="AN62" s="401" t="s">
        <v>1784</v>
      </c>
      <c r="AO62" s="921" t="s">
        <v>1785</v>
      </c>
      <c r="AP62" s="401" t="s">
        <v>1786</v>
      </c>
      <c r="AQ62" s="401" t="s">
        <v>1787</v>
      </c>
      <c r="AR62" s="836" t="s">
        <v>1788</v>
      </c>
      <c r="AS62" s="921" t="s">
        <v>1789</v>
      </c>
      <c r="AT62" s="979">
        <v>1919</v>
      </c>
      <c r="AV62" s="1015"/>
      <c r="AW62" s="1015"/>
      <c r="AX62" s="1015"/>
      <c r="AY62" s="1015"/>
      <c r="AZ62" s="1015"/>
      <c r="BA62" s="1015"/>
      <c r="BB62" s="401"/>
      <c r="BC62" s="1014"/>
      <c r="BD62" s="1014"/>
      <c r="BE62" s="1014"/>
      <c r="BF62" s="1016"/>
      <c r="BG62" s="1001"/>
      <c r="BH62" s="927" t="s">
        <v>1790</v>
      </c>
      <c r="BI62" s="934" t="s">
        <v>1791</v>
      </c>
      <c r="BJ62" s="934" t="s">
        <v>1792</v>
      </c>
      <c r="BK62" s="934" t="s">
        <v>1793</v>
      </c>
      <c r="BL62" s="934" t="s">
        <v>1794</v>
      </c>
      <c r="BM62" s="934" t="s">
        <v>1795</v>
      </c>
      <c r="BN62" s="934" t="s">
        <v>1796</v>
      </c>
      <c r="BO62" s="934" t="s">
        <v>1797</v>
      </c>
      <c r="BP62" s="934" t="s">
        <v>1798</v>
      </c>
      <c r="BQ62" s="934" t="s">
        <v>1799</v>
      </c>
      <c r="BR62" s="934" t="s">
        <v>1800</v>
      </c>
      <c r="BS62" s="934" t="s">
        <v>1801</v>
      </c>
      <c r="BT62" s="934" t="s">
        <v>1802</v>
      </c>
      <c r="BU62" s="934" t="s">
        <v>1803</v>
      </c>
      <c r="BV62" s="934" t="s">
        <v>1804</v>
      </c>
      <c r="BW62" s="934" t="s">
        <v>1805</v>
      </c>
      <c r="BX62" s="917"/>
      <c r="BY62" s="917"/>
      <c r="BZ62" s="917"/>
      <c r="CA62" s="917"/>
      <c r="CB62" s="917"/>
      <c r="CC62" s="917"/>
      <c r="CD62" s="917"/>
      <c r="CE62" s="917"/>
      <c r="CF62" s="917"/>
      <c r="CG62" s="917"/>
      <c r="CH62" s="917"/>
      <c r="CI62" s="917"/>
      <c r="CJ62" s="917"/>
      <c r="CK62" s="917"/>
      <c r="CL62" s="917"/>
      <c r="CM62" s="917"/>
      <c r="CN62" s="917"/>
      <c r="CO62" s="917"/>
      <c r="CP62" s="917"/>
      <c r="CQ62" s="917"/>
      <c r="CR62" s="917"/>
      <c r="CS62" s="917"/>
      <c r="CT62" s="917"/>
      <c r="CU62" s="917"/>
      <c r="CV62" s="917"/>
      <c r="CW62" s="917"/>
      <c r="CX62" s="917"/>
      <c r="CY62" s="917"/>
      <c r="CZ62" s="917"/>
      <c r="DA62" s="917"/>
      <c r="DB62" s="917"/>
      <c r="DC62" s="917"/>
      <c r="DD62" s="917"/>
      <c r="DE62" s="917"/>
      <c r="DF62" s="917"/>
      <c r="DG62" s="917"/>
      <c r="DH62" s="917"/>
      <c r="DI62" s="917"/>
      <c r="DJ62" s="917"/>
      <c r="DK62" s="917"/>
      <c r="DL62" s="917"/>
      <c r="DM62" s="917"/>
      <c r="DN62" s="917"/>
      <c r="DO62" s="917"/>
      <c r="DP62" s="917"/>
      <c r="DQ62" s="917"/>
      <c r="DR62" s="917"/>
      <c r="DS62" s="917"/>
      <c r="DT62" s="917"/>
      <c r="DU62" s="917"/>
      <c r="DV62" s="917"/>
      <c r="DW62" s="917"/>
      <c r="DX62" s="917"/>
      <c r="DY62" s="917"/>
      <c r="DZ62" s="917"/>
      <c r="EA62" s="917"/>
      <c r="EB62" s="917"/>
      <c r="EC62" s="917"/>
      <c r="ED62" s="917"/>
      <c r="EE62" s="917"/>
      <c r="EF62" s="917"/>
      <c r="EG62" s="917"/>
      <c r="EH62" s="917"/>
      <c r="EI62" s="917"/>
      <c r="EJ62" s="917"/>
      <c r="EK62" s="917"/>
      <c r="EL62" s="917"/>
      <c r="EM62" s="917"/>
      <c r="EN62" s="917"/>
      <c r="EO62" s="917"/>
    </row>
    <row r="63" spans="4:145" ht="17.25" customHeight="1">
      <c r="D63" s="1018" t="s">
        <v>1806</v>
      </c>
      <c r="E63" s="6" t="s">
        <v>1807</v>
      </c>
      <c r="F63" s="1018" t="s">
        <v>1808</v>
      </c>
      <c r="G63" s="1018">
        <v>21.25</v>
      </c>
      <c r="I63" s="6" t="e">
        <f>FIXED(K63/(POWER(L63,2)),2)-4.79</f>
        <v>#VALUE!</v>
      </c>
      <c r="J63" s="6" t="e">
        <f>ABS(STRA/2-25)</f>
        <v>#VALUE!</v>
      </c>
      <c r="K63" s="395" t="e">
        <f>MAX(K64:K66)+J63</f>
        <v>#VALUE!</v>
      </c>
      <c r="L63" s="395" t="str">
        <f>IF(人物卡!BL10="现代",FIXED(L64/100,2)+0.05,FIXED(L64/100,2))</f>
        <v>1.90</v>
      </c>
      <c r="M63" s="395"/>
      <c r="S63" s="2783" t="str">
        <f>".st "&amp;人物卡!BD9&amp;"-"&amp;"力量"&amp;G14&amp;"str"&amp;G14&amp;"敏捷"&amp;J14&amp;"dex"&amp;J14&amp;"意志"&amp;M14&amp;"pow"&amp;M14&amp;"体质"&amp;H14&amp;"con"&amp;H14&amp;"外貌"&amp;K14&amp;"app"&amp;K14&amp;"教育"&amp;N14&amp;"edu"&amp;N14&amp;"体型"&amp;I14&amp;"siz"&amp;I14&amp;"智力"&amp;L14&amp;"灵感"&amp;L14&amp;"int"&amp;L14&amp;"san"&amp;人物卡!BM19&amp;"san值"&amp;人物卡!BM19&amp;"理智"&amp;人物卡!BM19&amp;"理智值"&amp;人物卡!BM19&amp;"幸运"&amp;O14&amp;"运气"&amp;O14&amp;"mp"&amp;人物卡!BV19&amp;"魔法"&amp;人物卡!BV19&amp;"hp"&amp;人物卡!BD19&amp;"体力"&amp;人物卡!BD19&amp;人物卡!BE25&amp;人物卡!BQ25&amp;人物卡!BE26&amp;人物卡!BQ26&amp;人物卡!BE27&amp;人物卡!BQ27&amp;人物卡!BE28&amp;人物卡!BQ28&amp;IF(人物卡!BG29="","",人物卡!BG29&amp;人物卡!BQ29)&amp;IF(人物卡!BG30="","",人物卡!BG30&amp;人物卡!BQ30)&amp;IF(人物卡!BG31="","",人物卡!BG31&amp;人物卡!BQ31)&amp;人物卡!BE32&amp;人物卡!BQ32&amp;"魅惑"&amp;人物卡!BQ32&amp;人物卡!BE33&amp;人物卡!BQ33&amp;"计算机"&amp;人物卡!BQ34&amp;"计算机使用"&amp;人物卡!BQ34&amp;"电脑"&amp;人物卡!BQ34&amp;"信用"&amp;人物卡!BQ35&amp;"信誉"&amp;人物卡!BQ35&amp;"信用评级"&amp;人物卡!BQ35&amp;"克苏鲁"&amp;人物卡!BQ36&amp;"克苏鲁神话"&amp;人物卡!BQ36&amp;"cm"&amp;人物卡!BQ36&amp;人物卡!BE37&amp;人物卡!BQ37&amp;人物卡!BE38&amp;人物卡!BQ38&amp;"汽车"&amp;人物卡!BQ39&amp;"驾驶"&amp;人物卡!BQ39&amp;"汽车驾驶"&amp;人物卡!BQ39&amp;人物卡!BE40&amp;人物卡!BQ40&amp;"电子学"&amp;人物卡!BQ41&amp;人物卡!BE42&amp;人物卡!BQ42&amp;人物卡!BG43&amp;人物卡!BQ43&amp;IF(人物卡!BG44="","",人物卡!BG44&amp;人物卡!BQ44)&amp;IF(人物卡!BG45="","",人物卡!BG45&amp;人物卡!BQ45)&amp;IF(人物卡!BG46="","",人物卡!BG46&amp;人物卡!BQ46)&amp;人物卡!BG47&amp;人物卡!BQ47&amp;IF(W15=1,人物卡!CA48&amp;人物卡!BQ48&amp;"步枪"&amp;人物卡!BQ48&amp;"霰弹枪"&amp;人物卡!BQ48&amp;"步霰"&amp;人物卡!BQ48,IF(人物卡!BG48="","",人物卡!BG48&amp;人物卡!BQ48))&amp;IF(W16=1,人物卡!CA49&amp;人物卡!BQ49&amp;"步枪"&amp;人物卡!BQ49&amp;"霰弹枪"&amp;人物卡!BQ49&amp;"步霰"&amp;人物卡!BQ49,IF(人物卡!BG49="","",人物卡!BG49&amp;人物卡!BQ49))&amp;IF(W17=1,人物卡!CA50&amp;人物卡!BQ50&amp;"步枪"&amp;人物卡!BQ50&amp;"霰弹枪"&amp;人物卡!BQ50&amp;"步霰"&amp;人物卡!BQ50,IF(人物卡!BG50="","",人物卡!BG50&amp;人物卡!BQ50))&amp;人物卡!BE51&amp;人物卡!BQ51&amp;人物卡!BE52&amp;人物卡!BQ52&amp;人物卡!BE53&amp;人物卡!BQ53&amp;人物卡!BE54&amp;人物卡!BQ54&amp;IF(人物卡!BG55="","",人物卡!BG55&amp;人物卡!BQ55)&amp;IF(人物卡!BG56="","",人物卡!BG56&amp;人物卡!BQ56)&amp;IF(人物卡!BG57="","",人物卡!BG57&amp;人物卡!BQ57)&amp;人物卡!BE58&amp;人物卡!BQ58&amp;人物卡!CA25&amp;人物卡!CM25&amp;"图书馆"&amp;人物卡!CM26&amp;"图书馆使用"&amp;人物卡!CM26&amp;人物卡!CA27&amp;人物卡!CM27&amp;"开锁"&amp;人物卡!CM28&amp;"撬锁"&amp;人物卡!CM28&amp;"锁匠"&amp;人物卡!CM28&amp;人物卡!CA29&amp;人物卡!CM29&amp;人物卡!CA30&amp;人物卡!CM30&amp;"博物学"&amp;人物卡!CM31&amp;"自然学"&amp;人物卡!CM31&amp;"领航"&amp;人物卡!CM32&amp;"导航"&amp;人物卡!CM32&amp;人物卡!CA33&amp;人物卡!CM33&amp;"重型操作"&amp;人物卡!CM34&amp;"重型机械"&amp;人物卡!CM34&amp;"操作重型机械"&amp;人物卡!CM34&amp;"重型"&amp;人物卡!CM34&amp;人物卡!CA35&amp;人物卡!CM35&amp;IF(人物卡!CC36="","",人物卡!CC36&amp;人物卡!CM36)&amp;人物卡!CA37&amp;人物卡!CM37&amp;人物卡!CA38&amp;人物卡!CM38&amp;人物卡!CA39&amp;人物卡!CM39&amp;IF(人物卡!CC40="","",人物卡!CC40&amp;人物卡!CM40)&amp;IF(人物卡!CC41="","",人物卡!CC41&amp;人物卡!CM41)&amp;IF(人物卡!CC42="","",人物卡!CC42&amp;人物卡!CM42)&amp;人物卡!CA43&amp;人物卡!CM43&amp;人物卡!CA44&amp;人物卡!CM44&amp;人物卡!CA45&amp;人物卡!CM45&amp;"生存"&amp;人物卡!CM46&amp;人物卡!CA47&amp;人物卡!CM47&amp;人物卡!CA48&amp;人物卡!CM48&amp;人物卡!CA49&amp;人物卡!CM49&amp;人物卡!CA50&amp;人物卡!CM50&amp;人物卡!CA51&amp;人物卡!CM51&amp;人物卡!CA52&amp;人物卡!CM52&amp;人物卡!CA53&amp;人物卡!CM53&amp;人物卡!CA54&amp;人物卡!CM54&amp;人物卡!CA55&amp;人物卡!CM55&amp;IF(人物卡!CC56="","",人物卡!CC56&amp;人物卡!CM56)&amp;IF(W18=1,"",人物卡!CA57&amp;人物卡!CM57)&amp;IF(人物卡!CA58="","",人物卡!CA58&amp;人物卡!CM58)</f>
        <v>.st -力量0str0敏捷0dex0意志0pow0体质0con0外貌0app0教育0edu0体型0siz0智力0灵感0int0san0san值0理智0理智值0幸运0运气0mp0魔法0hp0体力0会计5法律5历史5人类学1神秘学5魅惑5信用评级0计算机0计算机使用0电脑0信用10信誉10信用评级10克苏鲁10克苏鲁神话10cm10电子学 Ω1操作重型机械1汽车1驾驶1汽车驾驶1计算机使用 Ω0电子学1科学②115技艺⑤5母语0外语①1外语②1闪避0锁匠1图书馆5图书馆使用5妙手10开锁20撬锁20锁匠20图书馆使用20聆听20博物学25自然学25领航10导航10导航10重型操作10重型机械10操作重型机械10重型10取悦15恐吓15说服10跳跃20游泳20精神分析1医学1生存30驾驶①1驾驶②1汽车驾驶20骑术5动物驯养5潜水1读唇1催眠1自定义①1炮术1投掷20</v>
      </c>
      <c r="T63" s="2783"/>
      <c r="U63" s="2783"/>
      <c r="V63" s="2783"/>
      <c r="X63" s="959" t="s">
        <v>214</v>
      </c>
      <c r="Y63" s="854"/>
      <c r="AA63" s="2781"/>
      <c r="AB63" s="2781"/>
      <c r="AC63" s="2781"/>
      <c r="AE63" s="979">
        <v>1920</v>
      </c>
      <c r="AF63" s="401" t="s">
        <v>1809</v>
      </c>
      <c r="AG63" s="401" t="s">
        <v>1810</v>
      </c>
      <c r="AH63" s="401"/>
      <c r="AI63" s="401" t="s">
        <v>1811</v>
      </c>
      <c r="AJ63" s="401"/>
      <c r="AK63" s="401"/>
      <c r="AL63" s="401" t="s">
        <v>1812</v>
      </c>
      <c r="AM63" s="401" t="s">
        <v>1813</v>
      </c>
      <c r="AN63" s="401" t="s">
        <v>1814</v>
      </c>
      <c r="AO63" s="836" t="s">
        <v>1815</v>
      </c>
      <c r="AP63" s="836" t="s">
        <v>1816</v>
      </c>
      <c r="AQ63" s="401" t="s">
        <v>1817</v>
      </c>
      <c r="AR63" s="836" t="s">
        <v>1818</v>
      </c>
      <c r="AS63" s="836" t="s">
        <v>1819</v>
      </c>
      <c r="AT63" s="979">
        <v>1920</v>
      </c>
      <c r="AW63" s="1020"/>
      <c r="AY63" s="921"/>
      <c r="BA63" s="921"/>
      <c r="BB63" s="401"/>
      <c r="BC63" s="1014"/>
      <c r="BD63" s="1014"/>
      <c r="BE63" s="1014"/>
      <c r="BF63" s="1016"/>
      <c r="BG63" s="1001"/>
      <c r="BH63" s="927" t="s">
        <v>1820</v>
      </c>
      <c r="BI63" s="934" t="s">
        <v>1821</v>
      </c>
      <c r="BJ63" s="934" t="s">
        <v>1822</v>
      </c>
      <c r="BK63" s="934" t="s">
        <v>1823</v>
      </c>
      <c r="BL63" s="934" t="s">
        <v>1824</v>
      </c>
      <c r="BM63" s="934" t="s">
        <v>1825</v>
      </c>
      <c r="BN63" s="934" t="s">
        <v>1826</v>
      </c>
      <c r="BO63" s="934" t="s">
        <v>1827</v>
      </c>
      <c r="BP63" s="934" t="s">
        <v>1828</v>
      </c>
      <c r="BQ63" s="934" t="s">
        <v>1829</v>
      </c>
      <c r="BR63" s="917"/>
      <c r="BS63" s="917"/>
      <c r="BT63" s="917"/>
      <c r="BU63" s="917"/>
      <c r="BV63" s="917"/>
      <c r="BW63" s="917"/>
      <c r="BX63" s="917"/>
      <c r="BY63" s="917"/>
      <c r="BZ63" s="917"/>
      <c r="CA63" s="917"/>
      <c r="CB63" s="917"/>
      <c r="CC63" s="917"/>
      <c r="CD63" s="917"/>
      <c r="CE63" s="917"/>
      <c r="CF63" s="917"/>
      <c r="CG63" s="917"/>
      <c r="CH63" s="917"/>
      <c r="CI63" s="917"/>
      <c r="CJ63" s="917"/>
      <c r="CK63" s="917"/>
      <c r="CL63" s="917"/>
      <c r="CM63" s="917"/>
      <c r="CN63" s="917"/>
      <c r="CO63" s="917"/>
      <c r="CP63" s="917"/>
      <c r="CQ63" s="917"/>
      <c r="CR63" s="917"/>
      <c r="CS63" s="917"/>
      <c r="CT63" s="917"/>
      <c r="CU63" s="917"/>
      <c r="CV63" s="917"/>
      <c r="CW63" s="917"/>
      <c r="CX63" s="917"/>
      <c r="CY63" s="917"/>
      <c r="CZ63" s="917"/>
      <c r="DA63" s="917"/>
      <c r="DB63" s="917"/>
      <c r="DC63" s="917"/>
      <c r="DD63" s="917"/>
      <c r="DE63" s="917"/>
      <c r="DF63" s="917"/>
      <c r="DG63" s="917"/>
      <c r="DH63" s="917"/>
      <c r="DI63" s="917"/>
      <c r="DJ63" s="917"/>
      <c r="DK63" s="917"/>
      <c r="DL63" s="917"/>
      <c r="DM63" s="917"/>
      <c r="DN63" s="917"/>
      <c r="DO63" s="917"/>
      <c r="DP63" s="917"/>
      <c r="DQ63" s="917"/>
      <c r="DR63" s="917"/>
      <c r="DS63" s="917"/>
      <c r="DT63" s="917"/>
      <c r="DU63" s="917"/>
      <c r="DV63" s="917"/>
      <c r="DW63" s="917"/>
      <c r="DX63" s="917"/>
      <c r="DY63" s="917"/>
      <c r="DZ63" s="917"/>
      <c r="EA63" s="917"/>
      <c r="EB63" s="917"/>
      <c r="EC63" s="917"/>
      <c r="ED63" s="917"/>
      <c r="EE63" s="917"/>
      <c r="EF63" s="917"/>
      <c r="EG63" s="917"/>
      <c r="EH63" s="917"/>
      <c r="EI63" s="917"/>
      <c r="EJ63" s="917"/>
      <c r="EK63" s="917"/>
      <c r="EL63" s="917"/>
      <c r="EM63" s="917"/>
      <c r="EN63" s="917"/>
      <c r="EO63" s="917"/>
    </row>
    <row r="64" spans="4:145" ht="17.25" customHeight="1">
      <c r="D64" s="1018"/>
      <c r="E64" s="6" t="s">
        <v>1830</v>
      </c>
      <c r="F64" s="1018" t="s">
        <v>1831</v>
      </c>
      <c r="G64" s="1019"/>
      <c r="I64" s="6" t="e">
        <f>IF(BMI&lt;13,"极其消瘦",IF(BMI&lt;15.75,"过于消瘦",IF(BMI&lt;18.5,"略微消瘦",IF(BMI&lt;24,"正常",IF(BMI&lt;26.75,"略壮/胖",IF(BMI&lt;29.5,"过壮/胖","极壮/胖"))))))</f>
        <v>#VALUE!</v>
      </c>
      <c r="J64" s="6"/>
      <c r="K64" s="395">
        <f>IF(SIZA&lt;41,SIZA+10,40)</f>
        <v>40</v>
      </c>
      <c r="L64" s="6">
        <f>IF(SIZA&lt;41,110+SIZA,L65)</f>
        <v>190</v>
      </c>
      <c r="M64" s="6" t="s">
        <v>1832</v>
      </c>
      <c r="S64" s="2783"/>
      <c r="T64" s="2783"/>
      <c r="U64" s="2783"/>
      <c r="V64" s="2783"/>
      <c r="X64" s="959" t="s">
        <v>216</v>
      </c>
      <c r="Y64" s="854"/>
      <c r="AA64" s="2781"/>
      <c r="AB64" s="2781"/>
      <c r="AC64" s="2781"/>
      <c r="AE64" s="979">
        <v>1921</v>
      </c>
      <c r="AF64" s="401" t="s">
        <v>1809</v>
      </c>
      <c r="AG64" s="401"/>
      <c r="AH64" s="401"/>
      <c r="AI64" s="401" t="s">
        <v>1833</v>
      </c>
      <c r="AJ64" s="401"/>
      <c r="AK64" s="401"/>
      <c r="AL64" s="401" t="s">
        <v>1812</v>
      </c>
      <c r="AM64" s="401" t="s">
        <v>1834</v>
      </c>
      <c r="AN64" s="401" t="s">
        <v>1835</v>
      </c>
      <c r="AO64" s="921" t="s">
        <v>1836</v>
      </c>
      <c r="AP64" s="836" t="s">
        <v>1837</v>
      </c>
      <c r="AQ64" s="401" t="s">
        <v>1838</v>
      </c>
      <c r="AR64" s="836" t="s">
        <v>1839</v>
      </c>
      <c r="AS64" s="921" t="s">
        <v>1840</v>
      </c>
      <c r="AT64" s="979">
        <v>1921</v>
      </c>
      <c r="AV64" s="1020"/>
      <c r="AW64" s="1020"/>
      <c r="AX64" s="921"/>
      <c r="AY64" s="921"/>
      <c r="AZ64" s="921"/>
      <c r="BA64" s="921"/>
      <c r="BB64" s="401"/>
      <c r="BC64" s="1014"/>
      <c r="BD64" s="1014"/>
      <c r="BE64" s="1014"/>
      <c r="BF64" s="1016"/>
      <c r="BG64" s="1001"/>
      <c r="BH64" s="927" t="s">
        <v>1841</v>
      </c>
      <c r="BI64" s="934" t="s">
        <v>1842</v>
      </c>
      <c r="BJ64" s="934" t="s">
        <v>1843</v>
      </c>
      <c r="BK64" s="934" t="s">
        <v>1844</v>
      </c>
      <c r="BL64" s="934" t="s">
        <v>1845</v>
      </c>
      <c r="BM64" s="934" t="s">
        <v>1846</v>
      </c>
      <c r="BN64" s="934" t="s">
        <v>1847</v>
      </c>
      <c r="BO64" s="934" t="s">
        <v>1848</v>
      </c>
      <c r="BP64" s="934" t="s">
        <v>1849</v>
      </c>
      <c r="BQ64" s="934" t="s">
        <v>1850</v>
      </c>
      <c r="BR64" s="934" t="s">
        <v>1851</v>
      </c>
      <c r="BS64" s="934" t="s">
        <v>1852</v>
      </c>
      <c r="BT64" s="934" t="s">
        <v>1853</v>
      </c>
      <c r="BU64" s="917"/>
      <c r="BV64" s="917"/>
      <c r="BW64" s="917"/>
      <c r="BX64" s="917"/>
      <c r="BY64" s="917"/>
      <c r="BZ64" s="917"/>
      <c r="CA64" s="917"/>
      <c r="CB64" s="917"/>
      <c r="CC64" s="917"/>
      <c r="CD64" s="917"/>
      <c r="CE64" s="917"/>
      <c r="CF64" s="917"/>
      <c r="CG64" s="917"/>
      <c r="CH64" s="917"/>
      <c r="CI64" s="917"/>
      <c r="CJ64" s="917"/>
      <c r="CK64" s="917"/>
      <c r="CL64" s="917"/>
      <c r="CM64" s="917"/>
      <c r="CN64" s="917"/>
      <c r="CO64" s="917"/>
      <c r="CP64" s="917"/>
      <c r="CQ64" s="917"/>
      <c r="CR64" s="917"/>
      <c r="CS64" s="917"/>
      <c r="CT64" s="917"/>
      <c r="CU64" s="917"/>
      <c r="CV64" s="917"/>
      <c r="CW64" s="917"/>
      <c r="CX64" s="917"/>
      <c r="CY64" s="917"/>
      <c r="CZ64" s="917"/>
      <c r="DA64" s="917"/>
      <c r="DB64" s="917"/>
      <c r="DC64" s="917"/>
      <c r="DD64" s="917"/>
      <c r="DE64" s="917"/>
      <c r="DF64" s="917"/>
      <c r="DG64" s="917"/>
      <c r="DH64" s="917"/>
      <c r="DI64" s="917"/>
      <c r="DJ64" s="917"/>
      <c r="DK64" s="917"/>
      <c r="DL64" s="917"/>
      <c r="DM64" s="917"/>
      <c r="DN64" s="917"/>
      <c r="DO64" s="917"/>
      <c r="DP64" s="917"/>
      <c r="DQ64" s="917"/>
      <c r="DR64" s="917"/>
      <c r="DS64" s="917"/>
      <c r="DT64" s="917"/>
      <c r="DU64" s="917"/>
      <c r="DV64" s="917"/>
      <c r="DW64" s="917"/>
      <c r="DX64" s="917"/>
      <c r="DY64" s="917"/>
      <c r="DZ64" s="917"/>
      <c r="EA64" s="917"/>
      <c r="EB64" s="917"/>
      <c r="EC64" s="917"/>
      <c r="ED64" s="917"/>
      <c r="EE64" s="917"/>
      <c r="EF64" s="917"/>
      <c r="EG64" s="917"/>
      <c r="EH64" s="917"/>
      <c r="EI64" s="917"/>
      <c r="EJ64" s="917"/>
      <c r="EK64" s="917"/>
      <c r="EL64" s="917"/>
      <c r="EM64" s="917"/>
      <c r="EN64" s="917"/>
      <c r="EO64" s="917"/>
    </row>
    <row r="65" spans="2:145" ht="17.25" customHeight="1">
      <c r="E65" s="395" t="s">
        <v>1854</v>
      </c>
      <c r="F65"/>
      <c r="G65"/>
      <c r="H65"/>
      <c r="I65" s="6"/>
      <c r="J65" s="6"/>
      <c r="K65" s="395">
        <f>IF(SIZA&lt;81,SIZA*1.5-10,50)</f>
        <v>50</v>
      </c>
      <c r="L65" s="6">
        <f>IF(SIZA&lt;81,120+SIZA/4*3,L66)</f>
        <v>190</v>
      </c>
      <c r="M65" s="6" t="s">
        <v>1855</v>
      </c>
      <c r="S65" s="2783"/>
      <c r="T65" s="2783"/>
      <c r="U65" s="2783"/>
      <c r="V65" s="2783"/>
      <c r="X65" s="959" t="s">
        <v>129</v>
      </c>
      <c r="Y65" s="854"/>
      <c r="AA65" s="2781"/>
      <c r="AB65" s="2781"/>
      <c r="AC65" s="2781"/>
      <c r="AE65" s="979">
        <v>1922</v>
      </c>
      <c r="AF65" s="401" t="s">
        <v>1809</v>
      </c>
      <c r="AG65" s="401"/>
      <c r="AH65" s="401"/>
      <c r="AI65" s="401" t="s">
        <v>148</v>
      </c>
      <c r="AJ65" s="401"/>
      <c r="AK65" s="401"/>
      <c r="AL65" s="401" t="s">
        <v>1812</v>
      </c>
      <c r="AM65" s="401" t="s">
        <v>1856</v>
      </c>
      <c r="AN65" s="401" t="s">
        <v>1857</v>
      </c>
      <c r="AO65" s="921" t="s">
        <v>1858</v>
      </c>
      <c r="AP65" s="401" t="s">
        <v>1859</v>
      </c>
      <c r="AQ65" s="401" t="s">
        <v>1860</v>
      </c>
      <c r="AR65" s="836" t="s">
        <v>1861</v>
      </c>
      <c r="AS65" s="921" t="s">
        <v>1862</v>
      </c>
      <c r="AT65" s="979">
        <v>1922</v>
      </c>
      <c r="AV65" s="1020"/>
      <c r="AW65" s="1020"/>
      <c r="AX65" s="921"/>
      <c r="AY65" s="921"/>
      <c r="AZ65" s="921"/>
      <c r="BA65" s="921"/>
      <c r="BB65" s="401"/>
      <c r="BC65" s="1014"/>
      <c r="BD65" s="1014"/>
      <c r="BE65" s="1014"/>
      <c r="BF65" s="1016"/>
      <c r="BG65" s="1001"/>
      <c r="BH65"/>
      <c r="BI65" s="1021"/>
      <c r="BJ65" s="928"/>
      <c r="BK65" s="1021"/>
      <c r="BL65" s="1021"/>
      <c r="BM65" s="1021"/>
      <c r="BN65" s="917"/>
      <c r="BO65" s="917"/>
      <c r="BP65" s="917"/>
      <c r="BQ65" s="917"/>
      <c r="BR65" s="917"/>
      <c r="BS65" s="917"/>
      <c r="BT65" s="917"/>
      <c r="BU65" s="917"/>
      <c r="BV65" s="917"/>
      <c r="BW65" s="917"/>
      <c r="BX65" s="917"/>
      <c r="BY65" s="917"/>
      <c r="BZ65" s="917"/>
      <c r="CA65" s="917"/>
      <c r="CB65" s="917"/>
      <c r="CC65" s="917"/>
      <c r="CD65" s="917"/>
      <c r="CE65" s="917"/>
      <c r="CF65" s="917"/>
      <c r="CG65" s="917"/>
      <c r="CH65" s="917"/>
      <c r="CI65" s="917"/>
      <c r="CJ65" s="917"/>
      <c r="CK65" s="917"/>
      <c r="CL65" s="917"/>
      <c r="CM65" s="917"/>
      <c r="CN65" s="917"/>
      <c r="CO65" s="917"/>
      <c r="CP65" s="917"/>
      <c r="CQ65" s="917"/>
      <c r="CR65" s="917"/>
      <c r="CS65" s="917"/>
      <c r="CT65" s="917"/>
      <c r="CU65" s="917"/>
      <c r="CV65" s="917"/>
      <c r="CW65" s="917"/>
      <c r="CX65" s="917"/>
      <c r="CY65" s="917"/>
      <c r="CZ65" s="917"/>
      <c r="DA65" s="917"/>
      <c r="DB65" s="917"/>
      <c r="DC65" s="917"/>
      <c r="DD65" s="917"/>
      <c r="DE65" s="917"/>
      <c r="DF65" s="917"/>
      <c r="DG65" s="917"/>
      <c r="DH65" s="917"/>
      <c r="DI65" s="917"/>
      <c r="DJ65" s="917"/>
      <c r="DK65" s="917"/>
      <c r="DL65" s="917"/>
      <c r="DM65" s="917"/>
      <c r="DN65" s="917"/>
      <c r="DO65" s="917"/>
      <c r="DP65" s="917"/>
      <c r="DQ65" s="917"/>
      <c r="DR65" s="917"/>
      <c r="DS65" s="917"/>
      <c r="DT65" s="917"/>
      <c r="DU65" s="917"/>
      <c r="DV65" s="917"/>
      <c r="DW65" s="917"/>
      <c r="DX65" s="917"/>
      <c r="DY65" s="917"/>
      <c r="DZ65" s="917"/>
      <c r="EA65" s="917"/>
      <c r="EB65" s="917"/>
      <c r="EC65" s="917"/>
      <c r="ED65" s="917"/>
      <c r="EE65" s="917"/>
      <c r="EF65" s="917"/>
      <c r="EG65" s="917"/>
      <c r="EH65" s="917"/>
      <c r="EI65" s="917"/>
      <c r="EJ65" s="917"/>
      <c r="EK65" s="917"/>
      <c r="EL65" s="917"/>
      <c r="EM65" s="917"/>
      <c r="EN65" s="917"/>
      <c r="EO65" s="917"/>
    </row>
    <row r="66" spans="2:145" ht="17.25" customHeight="1">
      <c r="B66" s="952"/>
      <c r="C66" s="952"/>
      <c r="D66" s="952"/>
      <c r="F66"/>
      <c r="G66"/>
      <c r="H66"/>
      <c r="I66" s="6"/>
      <c r="J66" s="6"/>
      <c r="K66" s="395">
        <f>IF(SIZA&lt;100,SIZA*2-50,110)</f>
        <v>110</v>
      </c>
      <c r="L66" s="6">
        <f>IF(SIZA&lt;100,140+SIZA/2,190)</f>
        <v>190</v>
      </c>
      <c r="M66" s="6" t="s">
        <v>1863</v>
      </c>
      <c r="S66" s="2783"/>
      <c r="T66" s="2783"/>
      <c r="U66" s="2783"/>
      <c r="V66" s="2783"/>
      <c r="X66" s="959" t="s">
        <v>132</v>
      </c>
      <c r="Y66" s="854"/>
      <c r="AA66" s="980"/>
      <c r="AB66" s="980"/>
      <c r="AC66" s="980"/>
      <c r="AE66" s="979">
        <v>1923</v>
      </c>
      <c r="AF66" s="401" t="s">
        <v>1809</v>
      </c>
      <c r="AG66" s="401"/>
      <c r="AH66" s="401"/>
      <c r="AI66" s="401" t="s">
        <v>148</v>
      </c>
      <c r="AJ66" s="401"/>
      <c r="AK66" s="401"/>
      <c r="AL66" s="401" t="s">
        <v>1812</v>
      </c>
      <c r="AM66" s="401" t="s">
        <v>1864</v>
      </c>
      <c r="AN66" s="401" t="s">
        <v>1865</v>
      </c>
      <c r="AO66" s="921" t="s">
        <v>1866</v>
      </c>
      <c r="AP66" s="836" t="s">
        <v>1867</v>
      </c>
      <c r="AQ66" s="401" t="s">
        <v>1868</v>
      </c>
      <c r="AR66" s="836" t="s">
        <v>1869</v>
      </c>
      <c r="AS66" s="921" t="s">
        <v>1870</v>
      </c>
      <c r="AT66" s="979">
        <v>1923</v>
      </c>
      <c r="AV66" s="1020"/>
      <c r="AW66" s="1020"/>
      <c r="AX66" s="921"/>
      <c r="AY66" s="921"/>
      <c r="AZ66" s="921"/>
      <c r="BA66" s="921"/>
      <c r="BB66" s="401"/>
      <c r="BC66" s="1014"/>
      <c r="BD66" s="1014"/>
      <c r="BE66" s="1014"/>
      <c r="BF66" s="1016"/>
      <c r="BG66" s="1001"/>
      <c r="BH66" s="924" t="s">
        <v>1871</v>
      </c>
      <c r="BI66" s="1021"/>
      <c r="BJ66" s="917"/>
      <c r="BK66" s="1021"/>
      <c r="BL66" s="1021"/>
      <c r="BM66" s="1021"/>
      <c r="BN66" s="917"/>
      <c r="BO66" s="917"/>
      <c r="BP66" s="917"/>
      <c r="BQ66" s="917"/>
      <c r="BR66" s="917"/>
      <c r="BS66" s="917"/>
      <c r="BT66" s="917"/>
      <c r="BU66" s="917"/>
      <c r="BV66" s="917"/>
      <c r="BW66" s="917"/>
      <c r="BX66" s="917"/>
      <c r="BY66" s="917"/>
      <c r="BZ66" s="917"/>
      <c r="CA66" s="917"/>
      <c r="CB66" s="917"/>
      <c r="CC66" s="917"/>
      <c r="CD66" s="917"/>
      <c r="CE66" s="917"/>
      <c r="CF66" s="917"/>
      <c r="CG66" s="917"/>
      <c r="CH66" s="917"/>
      <c r="CI66" s="917"/>
      <c r="CJ66" s="917"/>
      <c r="CK66" s="917"/>
      <c r="CL66" s="917"/>
      <c r="CM66" s="917"/>
      <c r="CN66" s="917"/>
      <c r="CO66" s="917"/>
      <c r="CP66" s="917"/>
      <c r="CQ66" s="917"/>
      <c r="CR66" s="917"/>
      <c r="CS66" s="917"/>
      <c r="CT66" s="917"/>
      <c r="CU66" s="917"/>
      <c r="CV66" s="917"/>
      <c r="CW66" s="917"/>
      <c r="CX66" s="917"/>
      <c r="CY66" s="917"/>
      <c r="CZ66" s="917"/>
      <c r="DA66" s="917"/>
      <c r="DB66" s="917"/>
      <c r="DC66" s="917"/>
      <c r="DD66" s="917"/>
      <c r="DE66" s="917"/>
      <c r="DF66" s="917"/>
      <c r="DG66" s="917"/>
      <c r="DH66" s="917"/>
      <c r="DI66" s="917"/>
      <c r="DJ66" s="917"/>
      <c r="DK66" s="917"/>
      <c r="DL66" s="917"/>
      <c r="DM66" s="917"/>
      <c r="DN66" s="917"/>
      <c r="DO66" s="917"/>
      <c r="DP66" s="917"/>
      <c r="DQ66" s="917"/>
      <c r="DR66" s="917"/>
      <c r="DS66" s="917"/>
      <c r="DT66" s="917"/>
      <c r="DU66" s="917"/>
      <c r="DV66" s="917"/>
      <c r="DW66" s="917"/>
      <c r="DX66" s="917"/>
      <c r="DY66" s="917"/>
      <c r="DZ66" s="917"/>
      <c r="EA66" s="917"/>
      <c r="EB66" s="917"/>
      <c r="EC66" s="917"/>
      <c r="ED66" s="917"/>
      <c r="EE66" s="917"/>
      <c r="EF66" s="917"/>
      <c r="EG66" s="917"/>
      <c r="EH66" s="917"/>
      <c r="EI66" s="917"/>
      <c r="EJ66" s="917"/>
      <c r="EK66" s="917"/>
      <c r="EL66" s="917"/>
      <c r="EM66" s="917"/>
      <c r="EN66" s="917"/>
      <c r="EO66" s="917"/>
    </row>
    <row r="67" spans="2:145" ht="17.25" customHeight="1">
      <c r="D67" s="836" t="s">
        <v>1872</v>
      </c>
      <c r="E67" s="1022">
        <f>人物卡!BN77*1.2</f>
        <v>0.6</v>
      </c>
      <c r="F67" t="s">
        <v>1873</v>
      </c>
      <c r="G67">
        <f>E67-E73</f>
        <v>0.6</v>
      </c>
      <c r="H67"/>
      <c r="I67" t="s">
        <v>62</v>
      </c>
      <c r="J67" t="str">
        <f>人物卡!BL13</f>
        <v>美元</v>
      </c>
      <c r="S67" s="2783"/>
      <c r="T67" s="2783"/>
      <c r="U67" s="2783"/>
      <c r="V67" s="2783"/>
      <c r="X67" s="959" t="s">
        <v>134</v>
      </c>
      <c r="Y67" s="854"/>
      <c r="AA67" s="2781" t="str">
        <f>_xlfn.CONCAT(AA72:AA111,AC72:AC111)</f>
        <v>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AB67" s="2781"/>
      <c r="AC67" s="2781"/>
      <c r="AE67" s="979">
        <v>1924</v>
      </c>
      <c r="AF67" s="401" t="s">
        <v>1809</v>
      </c>
      <c r="AG67" s="401" t="s">
        <v>1237</v>
      </c>
      <c r="AH67" s="401"/>
      <c r="AI67" s="401" t="s">
        <v>1874</v>
      </c>
      <c r="AJ67" s="401"/>
      <c r="AK67" s="401"/>
      <c r="AL67" s="401" t="s">
        <v>1812</v>
      </c>
      <c r="AM67" s="401" t="s">
        <v>1875</v>
      </c>
      <c r="AN67" s="401" t="s">
        <v>1876</v>
      </c>
      <c r="AO67" s="836" t="s">
        <v>1877</v>
      </c>
      <c r="AP67" s="836" t="s">
        <v>1878</v>
      </c>
      <c r="AQ67" s="401" t="s">
        <v>1879</v>
      </c>
      <c r="AR67" s="836" t="s">
        <v>1880</v>
      </c>
      <c r="AS67" s="836" t="s">
        <v>1881</v>
      </c>
      <c r="AT67" s="979">
        <v>1924</v>
      </c>
      <c r="AY67" s="921"/>
      <c r="BA67" s="921"/>
      <c r="BB67" s="401"/>
      <c r="BC67" s="1014"/>
      <c r="BD67" s="1014"/>
      <c r="BE67" s="1014"/>
      <c r="BF67" s="1016"/>
      <c r="BG67" s="1001"/>
      <c r="BH67" s="927" t="s">
        <v>1882</v>
      </c>
      <c r="BI67" s="934" t="s">
        <v>1883</v>
      </c>
      <c r="BJ67" s="934" t="s">
        <v>1884</v>
      </c>
      <c r="BK67" s="934" t="s">
        <v>1885</v>
      </c>
      <c r="BL67" s="934" t="s">
        <v>1886</v>
      </c>
      <c r="BM67" s="934" t="s">
        <v>1887</v>
      </c>
      <c r="BN67" s="934" t="s">
        <v>1888</v>
      </c>
      <c r="BO67" s="934" t="s">
        <v>1889</v>
      </c>
      <c r="BP67" s="934" t="s">
        <v>1890</v>
      </c>
      <c r="BQ67" s="934" t="s">
        <v>1891</v>
      </c>
      <c r="BR67" s="934" t="s">
        <v>1892</v>
      </c>
      <c r="BS67" s="934" t="s">
        <v>1893</v>
      </c>
      <c r="BT67" s="934" t="s">
        <v>1894</v>
      </c>
      <c r="BU67" s="934" t="s">
        <v>1895</v>
      </c>
      <c r="BV67" s="934" t="s">
        <v>1896</v>
      </c>
      <c r="BW67" s="934" t="s">
        <v>1897</v>
      </c>
      <c r="BX67" s="934" t="s">
        <v>1898</v>
      </c>
      <c r="BY67" s="934" t="s">
        <v>1899</v>
      </c>
      <c r="BZ67" s="934" t="s">
        <v>1900</v>
      </c>
      <c r="CA67" s="934" t="s">
        <v>1901</v>
      </c>
      <c r="CB67" s="934" t="s">
        <v>1902</v>
      </c>
      <c r="CC67" s="934" t="s">
        <v>1903</v>
      </c>
      <c r="CD67" s="934" t="s">
        <v>1904</v>
      </c>
      <c r="CE67" s="934" t="s">
        <v>1905</v>
      </c>
      <c r="CF67" s="934" t="s">
        <v>1906</v>
      </c>
      <c r="CG67" s="934" t="s">
        <v>1907</v>
      </c>
      <c r="CH67" s="917"/>
      <c r="CI67" s="917"/>
      <c r="CJ67" s="917"/>
      <c r="CK67" s="917"/>
      <c r="CL67" s="917"/>
      <c r="CM67" s="917"/>
      <c r="CN67" s="917"/>
      <c r="CO67" s="917"/>
      <c r="CP67" s="917"/>
      <c r="CQ67" s="917"/>
      <c r="CR67" s="917"/>
      <c r="CS67" s="917"/>
      <c r="CT67" s="917"/>
      <c r="CU67" s="917"/>
      <c r="CV67" s="917"/>
      <c r="CW67" s="917"/>
      <c r="CX67" s="917"/>
      <c r="CY67" s="917"/>
      <c r="CZ67" s="917"/>
      <c r="DA67" s="917"/>
      <c r="DB67" s="917"/>
      <c r="DC67" s="917"/>
      <c r="DD67" s="917"/>
      <c r="DE67" s="917"/>
      <c r="DF67" s="917"/>
      <c r="DG67" s="917"/>
      <c r="DH67" s="917"/>
      <c r="DI67" s="917"/>
      <c r="DJ67" s="917"/>
      <c r="DK67" s="917"/>
      <c r="DL67" s="917"/>
      <c r="DM67" s="917"/>
      <c r="DN67" s="917"/>
      <c r="DO67" s="917"/>
      <c r="DP67" s="917"/>
      <c r="DQ67" s="917"/>
      <c r="DR67" s="917"/>
      <c r="DS67" s="917"/>
      <c r="DT67" s="917"/>
      <c r="DU67" s="917"/>
      <c r="DV67" s="917"/>
      <c r="DW67" s="917"/>
      <c r="DX67" s="917"/>
      <c r="DY67" s="917"/>
      <c r="DZ67" s="917"/>
      <c r="EA67" s="917"/>
      <c r="EB67" s="917"/>
      <c r="EC67" s="917"/>
      <c r="ED67" s="917"/>
      <c r="EE67" s="917"/>
      <c r="EF67" s="917"/>
      <c r="EG67" s="917"/>
      <c r="EH67" s="917"/>
      <c r="EI67" s="917"/>
      <c r="EJ67" s="917"/>
      <c r="EK67" s="917"/>
      <c r="EL67" s="917"/>
      <c r="EM67" s="917"/>
      <c r="EN67" s="917"/>
      <c r="EO67" s="917"/>
    </row>
    <row r="68" spans="2:145" ht="17.25" customHeight="1">
      <c r="E68"/>
      <c r="F68"/>
      <c r="G68"/>
      <c r="H68"/>
      <c r="I68"/>
      <c r="J68"/>
      <c r="K68" s="2851" t="s">
        <v>1908</v>
      </c>
      <c r="L68" s="2851"/>
      <c r="M68" s="2851"/>
      <c r="N68" s="2851"/>
      <c r="O68" s="836" t="s">
        <v>1909</v>
      </c>
      <c r="S68" s="2783"/>
      <c r="T68" s="2783"/>
      <c r="U68" s="2783"/>
      <c r="V68" s="2783"/>
      <c r="X68" s="959" t="s">
        <v>136</v>
      </c>
      <c r="Y68" s="854"/>
      <c r="AA68" s="2781"/>
      <c r="AB68" s="2781"/>
      <c r="AC68" s="2781"/>
      <c r="AE68" s="979">
        <v>1925</v>
      </c>
      <c r="AF68" s="401" t="s">
        <v>1809</v>
      </c>
      <c r="AG68" s="401"/>
      <c r="AH68" s="401"/>
      <c r="AI68" s="401" t="s">
        <v>1910</v>
      </c>
      <c r="AJ68" s="401"/>
      <c r="AK68" s="401"/>
      <c r="AL68" s="401" t="s">
        <v>1812</v>
      </c>
      <c r="AM68" s="401" t="s">
        <v>1911</v>
      </c>
      <c r="AN68" s="401" t="s">
        <v>1912</v>
      </c>
      <c r="AO68" s="952" t="s">
        <v>1913</v>
      </c>
      <c r="AP68" s="836" t="s">
        <v>1914</v>
      </c>
      <c r="AQ68" s="401" t="s">
        <v>1915</v>
      </c>
      <c r="AR68" s="836" t="s">
        <v>1916</v>
      </c>
      <c r="AS68" s="921" t="s">
        <v>1917</v>
      </c>
      <c r="AT68" s="979">
        <v>1925</v>
      </c>
      <c r="AV68" s="1020"/>
      <c r="AW68" s="1020"/>
      <c r="AX68" s="921"/>
      <c r="AY68" s="921"/>
      <c r="AZ68" s="921"/>
      <c r="BA68" s="921"/>
      <c r="BB68" s="401"/>
      <c r="BC68" s="1014"/>
      <c r="BD68" s="1014"/>
      <c r="BE68" s="1014"/>
      <c r="BF68" s="1016"/>
      <c r="BG68" s="1001"/>
      <c r="BH68" s="927" t="s">
        <v>1918</v>
      </c>
      <c r="BI68" s="934" t="s">
        <v>1919</v>
      </c>
      <c r="BJ68" s="934" t="s">
        <v>1920</v>
      </c>
      <c r="BK68" s="934" t="s">
        <v>1921</v>
      </c>
      <c r="BL68" s="934" t="s">
        <v>1922</v>
      </c>
      <c r="BM68" s="934" t="s">
        <v>1923</v>
      </c>
      <c r="BN68" s="934" t="s">
        <v>1924</v>
      </c>
      <c r="BO68" s="934" t="s">
        <v>1925</v>
      </c>
      <c r="BP68" s="934" t="s">
        <v>1926</v>
      </c>
      <c r="BQ68" s="934" t="s">
        <v>1927</v>
      </c>
      <c r="BR68" s="917"/>
      <c r="BS68" s="917"/>
      <c r="BT68" s="917"/>
      <c r="BU68" s="917"/>
      <c r="BV68" s="917"/>
      <c r="BW68" s="917"/>
      <c r="BX68" s="917"/>
      <c r="BY68" s="917"/>
      <c r="BZ68" s="917"/>
      <c r="CA68" s="917"/>
      <c r="CB68" s="917"/>
      <c r="CC68" s="917"/>
      <c r="CD68" s="917"/>
      <c r="CE68" s="917"/>
      <c r="CF68" s="917"/>
      <c r="CG68" s="917"/>
      <c r="CH68" s="917"/>
      <c r="CI68" s="917"/>
      <c r="CJ68" s="917"/>
      <c r="CK68" s="917"/>
      <c r="CL68" s="917"/>
      <c r="CM68" s="917"/>
      <c r="CN68" s="917"/>
      <c r="CO68" s="917"/>
      <c r="CP68" s="917"/>
      <c r="CQ68" s="917"/>
      <c r="CR68" s="917"/>
      <c r="CS68" s="917"/>
      <c r="CT68" s="917"/>
      <c r="CU68" s="917"/>
      <c r="CV68" s="917"/>
      <c r="CW68" s="917"/>
      <c r="CX68" s="917"/>
      <c r="CY68" s="917"/>
      <c r="CZ68" s="917"/>
      <c r="DA68" s="917"/>
      <c r="DB68" s="917"/>
      <c r="DC68" s="917"/>
      <c r="DD68" s="917"/>
      <c r="DE68" s="917"/>
      <c r="DF68" s="917"/>
      <c r="DG68" s="917"/>
      <c r="DH68" s="917"/>
      <c r="DI68" s="917"/>
      <c r="DJ68" s="917"/>
      <c r="DK68" s="917"/>
      <c r="DL68" s="917"/>
      <c r="DM68" s="917"/>
      <c r="DN68" s="917"/>
      <c r="DO68" s="917"/>
      <c r="DP68" s="917"/>
      <c r="DQ68" s="917"/>
      <c r="DR68" s="917"/>
      <c r="DS68" s="917"/>
      <c r="DT68" s="917"/>
      <c r="DU68" s="917"/>
      <c r="DV68" s="917"/>
      <c r="DW68" s="917"/>
      <c r="DX68" s="917"/>
      <c r="DY68" s="917"/>
      <c r="DZ68" s="917"/>
      <c r="EA68" s="917"/>
      <c r="EB68" s="917"/>
      <c r="EC68" s="917"/>
      <c r="ED68" s="917"/>
      <c r="EE68" s="917"/>
      <c r="EF68" s="917"/>
      <c r="EG68" s="917"/>
      <c r="EH68" s="917"/>
      <c r="EI68" s="917"/>
      <c r="EJ68" s="917"/>
      <c r="EK68" s="917"/>
      <c r="EL68" s="917"/>
      <c r="EM68" s="917"/>
      <c r="EN68" s="917"/>
      <c r="EO68" s="917"/>
    </row>
    <row r="69" spans="2:145" ht="17.25" customHeight="1">
      <c r="D69" s="836" t="s">
        <v>1928</v>
      </c>
      <c r="E69">
        <f>SUM(人物卡!BK99:BL113,人物卡!BS99:BT113)</f>
        <v>0</v>
      </c>
      <c r="F69"/>
      <c r="G69" t="s">
        <v>1929</v>
      </c>
      <c r="H69">
        <f>COUNTA(人物卡!BE99:BJ113,人物卡!BM99:BR113)</f>
        <v>0</v>
      </c>
      <c r="I69"/>
      <c r="J69"/>
      <c r="K69" s="395" t="s">
        <v>1930</v>
      </c>
      <c r="L69" s="395" t="s">
        <v>1931</v>
      </c>
      <c r="M69" s="395" t="s">
        <v>1065</v>
      </c>
      <c r="N69" s="395" t="s">
        <v>1932</v>
      </c>
      <c r="O69" s="836">
        <f>COUNTA(人物卡!BF69:BJ73)</f>
        <v>0</v>
      </c>
      <c r="S69" s="2783"/>
      <c r="T69" s="2783"/>
      <c r="U69" s="2783"/>
      <c r="V69" s="2783"/>
      <c r="X69" s="959" t="s">
        <v>138</v>
      </c>
      <c r="Y69" s="854"/>
      <c r="AA69" s="2781"/>
      <c r="AB69" s="2781"/>
      <c r="AC69" s="2781"/>
      <c r="AE69" s="979">
        <v>1926</v>
      </c>
      <c r="AF69" s="401" t="s">
        <v>1809</v>
      </c>
      <c r="AG69" s="401" t="s">
        <v>1933</v>
      </c>
      <c r="AH69" s="401"/>
      <c r="AI69" s="401" t="s">
        <v>1934</v>
      </c>
      <c r="AJ69" s="401"/>
      <c r="AK69" s="401"/>
      <c r="AL69" s="401" t="s">
        <v>1812</v>
      </c>
      <c r="AM69" s="401" t="s">
        <v>1935</v>
      </c>
      <c r="AN69" s="401" t="s">
        <v>1936</v>
      </c>
      <c r="AO69" s="921" t="s">
        <v>1937</v>
      </c>
      <c r="AP69" s="401" t="s">
        <v>1938</v>
      </c>
      <c r="AQ69" s="401" t="s">
        <v>1939</v>
      </c>
      <c r="AR69" s="836" t="s">
        <v>1940</v>
      </c>
      <c r="AS69" s="921" t="s">
        <v>1941</v>
      </c>
      <c r="AT69" s="979">
        <v>1926</v>
      </c>
      <c r="AV69" s="1020"/>
      <c r="AW69" s="1020"/>
      <c r="AX69" s="921"/>
      <c r="AY69" s="921"/>
      <c r="AZ69" s="921"/>
      <c r="BA69" s="921"/>
      <c r="BB69" s="401"/>
      <c r="BC69" s="1014"/>
      <c r="BD69" s="1014"/>
      <c r="BE69" s="1014"/>
      <c r="BF69" s="1016"/>
      <c r="BG69" s="1001"/>
      <c r="BH69" s="927" t="s">
        <v>1942</v>
      </c>
      <c r="BI69" s="934" t="s">
        <v>1943</v>
      </c>
      <c r="BJ69" s="934" t="s">
        <v>1944</v>
      </c>
      <c r="BK69" s="934" t="s">
        <v>1945</v>
      </c>
      <c r="BL69" s="934" t="s">
        <v>1946</v>
      </c>
      <c r="BM69" s="934" t="s">
        <v>1947</v>
      </c>
      <c r="BN69" s="934" t="s">
        <v>1948</v>
      </c>
      <c r="BO69" s="934" t="s">
        <v>1949</v>
      </c>
      <c r="BP69" s="934" t="s">
        <v>1950</v>
      </c>
      <c r="BQ69" s="917"/>
      <c r="BR69" s="917"/>
      <c r="BS69" s="917"/>
      <c r="BT69" s="917"/>
      <c r="BU69" s="917"/>
      <c r="BV69" s="917"/>
      <c r="BW69" s="917"/>
      <c r="BX69" s="917"/>
      <c r="BY69" s="917"/>
      <c r="BZ69" s="917"/>
      <c r="CA69" s="917"/>
      <c r="CB69" s="917"/>
      <c r="CC69" s="917"/>
      <c r="CD69" s="917"/>
      <c r="CE69" s="917"/>
      <c r="CF69" s="917"/>
      <c r="CG69" s="917"/>
      <c r="CH69" s="917"/>
      <c r="CI69" s="917"/>
      <c r="CJ69" s="917"/>
      <c r="CK69" s="917"/>
      <c r="CL69" s="917"/>
      <c r="CM69" s="917"/>
      <c r="CN69" s="917"/>
      <c r="CO69" s="917"/>
      <c r="CP69" s="917"/>
      <c r="CQ69" s="917"/>
      <c r="CR69" s="917"/>
      <c r="CS69" s="917"/>
      <c r="CT69" s="917"/>
      <c r="CU69" s="917"/>
      <c r="CV69" s="917"/>
      <c r="CW69" s="917"/>
      <c r="CX69" s="917"/>
      <c r="CY69" s="917"/>
      <c r="CZ69" s="917"/>
      <c r="DA69" s="917"/>
      <c r="DB69" s="917"/>
      <c r="DC69" s="917"/>
      <c r="DD69" s="917"/>
      <c r="DE69" s="917"/>
      <c r="DF69" s="917"/>
      <c r="DG69" s="917"/>
      <c r="DH69" s="917"/>
      <c r="DI69" s="917"/>
      <c r="DJ69" s="917"/>
      <c r="DK69" s="917"/>
      <c r="DL69" s="917"/>
      <c r="DM69" s="917"/>
      <c r="DN69" s="917"/>
      <c r="DO69" s="917"/>
      <c r="DP69" s="917"/>
      <c r="DQ69" s="917"/>
      <c r="DR69" s="917"/>
      <c r="DS69" s="917"/>
      <c r="DT69" s="917"/>
      <c r="DU69" s="917"/>
      <c r="DV69" s="917"/>
      <c r="DW69" s="917"/>
      <c r="DX69" s="917"/>
      <c r="DY69" s="917"/>
      <c r="DZ69" s="917"/>
      <c r="EA69" s="917"/>
      <c r="EB69" s="917"/>
      <c r="EC69" s="917"/>
      <c r="ED69" s="917"/>
      <c r="EE69" s="917"/>
      <c r="EF69" s="917"/>
      <c r="EG69" s="917"/>
      <c r="EH69" s="917"/>
      <c r="EI69" s="917"/>
      <c r="EJ69" s="917"/>
      <c r="EK69" s="917"/>
      <c r="EL69" s="917"/>
      <c r="EM69" s="917"/>
      <c r="EN69" s="917"/>
      <c r="EO69" s="917"/>
    </row>
    <row r="70" spans="2:145" ht="17.25" customHeight="1">
      <c r="D70" s="836" t="s">
        <v>1951</v>
      </c>
      <c r="E70">
        <f>SUM(人物卡!BS85:BT89)</f>
        <v>0</v>
      </c>
      <c r="F70"/>
      <c r="G70" t="s">
        <v>1952</v>
      </c>
      <c r="H70">
        <f>COUNTA(人物卡!BA85:BJ89)</f>
        <v>5</v>
      </c>
      <c r="I70"/>
      <c r="J70"/>
      <c r="K70" s="6">
        <v>1</v>
      </c>
      <c r="L70" s="395">
        <f>IF(人物卡!BA85="",0,1)</f>
        <v>0</v>
      </c>
      <c r="M70" s="395">
        <f>IF(L70=0,0,IF(人物卡!BK85="未取名！",1,0))</f>
        <v>0</v>
      </c>
      <c r="N70" s="395">
        <f>IF(L70=0,0,IF(人物卡!BS85="",1,0))</f>
        <v>0</v>
      </c>
      <c r="O70" s="1716" t="str">
        <f>IF(O69=0,"手无寸铁！","拥有"&amp;O69&amp;"种防身手段")</f>
        <v>手无寸铁！</v>
      </c>
      <c r="P70" s="1716"/>
      <c r="Q70" s="1716"/>
      <c r="S70" s="2783"/>
      <c r="T70" s="2783"/>
      <c r="U70" s="2783"/>
      <c r="V70" s="2783"/>
      <c r="X70" s="959" t="s">
        <v>141</v>
      </c>
      <c r="Y70" s="854"/>
      <c r="AA70" s="2781"/>
      <c r="AB70" s="2781"/>
      <c r="AC70" s="2781"/>
      <c r="AE70" s="979">
        <v>1927</v>
      </c>
      <c r="AF70" s="401" t="s">
        <v>1809</v>
      </c>
      <c r="AG70" s="401"/>
      <c r="AH70" s="401"/>
      <c r="AI70" s="401" t="s">
        <v>1953</v>
      </c>
      <c r="AJ70" s="401" t="s">
        <v>1954</v>
      </c>
      <c r="AK70" s="401"/>
      <c r="AL70" s="401" t="s">
        <v>1812</v>
      </c>
      <c r="AM70" s="401" t="s">
        <v>1955</v>
      </c>
      <c r="AN70" s="401" t="s">
        <v>1956</v>
      </c>
      <c r="AO70" s="921" t="s">
        <v>1957</v>
      </c>
      <c r="AP70" s="401" t="s">
        <v>1958</v>
      </c>
      <c r="AQ70" s="401" t="s">
        <v>1959</v>
      </c>
      <c r="AR70" s="836" t="s">
        <v>1960</v>
      </c>
      <c r="AS70" s="921" t="s">
        <v>1961</v>
      </c>
      <c r="AT70" s="979">
        <v>1927</v>
      </c>
      <c r="AV70" s="1020"/>
      <c r="AW70" s="1020"/>
      <c r="AX70" s="921"/>
      <c r="AY70" s="921"/>
      <c r="AZ70" s="921"/>
      <c r="BA70" s="921"/>
      <c r="BB70" s="401"/>
      <c r="BC70" s="1014"/>
      <c r="BD70" s="1014"/>
      <c r="BE70" s="1014"/>
      <c r="BF70" s="1023"/>
      <c r="BG70" s="1001"/>
      <c r="BH70" s="927" t="s">
        <v>1962</v>
      </c>
      <c r="BI70" s="934" t="s">
        <v>1963</v>
      </c>
      <c r="BJ70" s="934" t="s">
        <v>1964</v>
      </c>
      <c r="BK70" s="934" t="s">
        <v>1965</v>
      </c>
      <c r="BL70" s="934" t="s">
        <v>1966</v>
      </c>
      <c r="BM70" s="934" t="s">
        <v>1967</v>
      </c>
      <c r="BN70" s="934" t="s">
        <v>1968</v>
      </c>
      <c r="BO70" s="934" t="s">
        <v>1969</v>
      </c>
      <c r="BP70" s="934" t="s">
        <v>1970</v>
      </c>
      <c r="BQ70" s="934" t="s">
        <v>1971</v>
      </c>
      <c r="BR70" s="934" t="s">
        <v>1972</v>
      </c>
      <c r="BS70" s="934" t="s">
        <v>1973</v>
      </c>
      <c r="BT70" s="934" t="s">
        <v>1974</v>
      </c>
      <c r="BU70" s="934" t="s">
        <v>1975</v>
      </c>
      <c r="BV70" s="917"/>
      <c r="BW70" s="917"/>
      <c r="BX70" s="917"/>
      <c r="BY70" s="917"/>
      <c r="BZ70" s="917"/>
      <c r="CA70" s="917"/>
      <c r="CB70" s="917"/>
      <c r="CC70" s="917"/>
      <c r="CD70" s="917"/>
      <c r="CE70" s="917"/>
      <c r="CF70" s="917"/>
      <c r="CG70" s="917"/>
      <c r="CH70" s="917"/>
      <c r="CI70" s="917"/>
      <c r="CJ70" s="917"/>
      <c r="CK70" s="917"/>
      <c r="CL70" s="917"/>
      <c r="CM70" s="917"/>
      <c r="CN70" s="917"/>
      <c r="CO70" s="917"/>
      <c r="CP70" s="917"/>
      <c r="CQ70" s="917"/>
      <c r="CR70" s="917"/>
      <c r="CS70" s="917"/>
      <c r="CT70" s="917"/>
      <c r="CU70" s="917"/>
      <c r="CV70" s="917"/>
      <c r="CW70" s="917"/>
      <c r="CX70" s="917"/>
      <c r="CY70" s="917"/>
      <c r="CZ70" s="917"/>
      <c r="DA70" s="917"/>
      <c r="DB70" s="917"/>
      <c r="DC70" s="917"/>
      <c r="DD70" s="917"/>
      <c r="DE70" s="917"/>
      <c r="DF70" s="917"/>
      <c r="DG70" s="917"/>
      <c r="DH70" s="917"/>
      <c r="DI70" s="917"/>
      <c r="DJ70" s="917"/>
      <c r="DK70" s="917"/>
      <c r="DL70" s="917"/>
      <c r="DM70" s="917"/>
      <c r="DN70" s="917"/>
      <c r="DO70" s="917"/>
      <c r="DP70" s="917"/>
      <c r="DQ70" s="917"/>
      <c r="DR70" s="917"/>
      <c r="DS70" s="917"/>
      <c r="DT70" s="917"/>
      <c r="DU70" s="917"/>
      <c r="DV70" s="917"/>
      <c r="DW70" s="917"/>
      <c r="DX70" s="917"/>
      <c r="DY70" s="917"/>
      <c r="DZ70" s="917"/>
      <c r="EA70" s="917"/>
      <c r="EB70" s="917"/>
      <c r="EC70" s="917"/>
      <c r="ED70" s="917"/>
      <c r="EE70" s="917"/>
      <c r="EF70" s="917"/>
      <c r="EG70" s="917"/>
      <c r="EH70" s="917"/>
      <c r="EI70" s="917"/>
      <c r="EJ70" s="917"/>
      <c r="EK70" s="917"/>
      <c r="EL70" s="917"/>
      <c r="EM70" s="917"/>
      <c r="EN70" s="917"/>
      <c r="EO70" s="917"/>
    </row>
    <row r="71" spans="2:145" ht="17.25" customHeight="1">
      <c r="D71" s="836" t="s">
        <v>1976</v>
      </c>
      <c r="E71">
        <f>SUM(人物卡!BS91:BT95)</f>
        <v>0</v>
      </c>
      <c r="F71"/>
      <c r="G71" t="s">
        <v>1977</v>
      </c>
      <c r="H71">
        <f>COUNTA(人物卡!BA91:BJ95)</f>
        <v>0</v>
      </c>
      <c r="I71"/>
      <c r="J71"/>
      <c r="K71" s="6">
        <v>2</v>
      </c>
      <c r="L71" s="395">
        <f>IF(人物卡!BA86="",0,1)</f>
        <v>0</v>
      </c>
      <c r="M71" s="395">
        <f>IF(L71=0,0,IF(人物卡!BK86="未取名！",1,0))</f>
        <v>0</v>
      </c>
      <c r="N71" s="395">
        <f>IF(L71=0,0,IF(人物卡!BS86="",1,0))</f>
        <v>0</v>
      </c>
      <c r="S71" s="2783"/>
      <c r="T71" s="2783"/>
      <c r="U71" s="2783"/>
      <c r="V71" s="2783"/>
      <c r="X71" s="959" t="s">
        <v>144</v>
      </c>
      <c r="Y71" s="854"/>
      <c r="AE71" s="979">
        <v>1928</v>
      </c>
      <c r="AF71" s="401" t="s">
        <v>1809</v>
      </c>
      <c r="AG71" s="401" t="s">
        <v>1978</v>
      </c>
      <c r="AH71" s="401"/>
      <c r="AI71" s="401" t="s">
        <v>1979</v>
      </c>
      <c r="AJ71" s="401"/>
      <c r="AK71" s="401"/>
      <c r="AL71" s="401" t="s">
        <v>1812</v>
      </c>
      <c r="AM71" s="401" t="s">
        <v>1980</v>
      </c>
      <c r="AN71" s="401" t="s">
        <v>1981</v>
      </c>
      <c r="AO71" s="401" t="s">
        <v>1982</v>
      </c>
      <c r="AP71" s="836" t="s">
        <v>1983</v>
      </c>
      <c r="AQ71" s="401" t="s">
        <v>1984</v>
      </c>
      <c r="AR71" s="836" t="s">
        <v>1985</v>
      </c>
      <c r="AS71" s="836" t="s">
        <v>1986</v>
      </c>
      <c r="AT71" s="979">
        <v>1928</v>
      </c>
      <c r="AW71" s="1024"/>
      <c r="AY71" s="1024"/>
      <c r="BA71" s="1024"/>
      <c r="BB71" s="401"/>
      <c r="BC71" s="1014"/>
      <c r="BD71" s="1014"/>
      <c r="BE71" s="1014"/>
      <c r="BF71" s="1023"/>
      <c r="BG71" s="1001"/>
      <c r="BH71" s="1017" t="s">
        <v>1987</v>
      </c>
      <c r="BI71" s="934" t="s">
        <v>1988</v>
      </c>
      <c r="BJ71" s="934" t="s">
        <v>1989</v>
      </c>
      <c r="BK71" s="934" t="s">
        <v>1990</v>
      </c>
      <c r="BL71" s="934" t="s">
        <v>1991</v>
      </c>
      <c r="BM71" s="934" t="s">
        <v>1992</v>
      </c>
      <c r="BN71" s="934" t="s">
        <v>1993</v>
      </c>
      <c r="BO71" s="934" t="s">
        <v>1994</v>
      </c>
      <c r="BP71" s="917"/>
      <c r="BQ71" s="917"/>
      <c r="BR71" s="917"/>
      <c r="BS71" s="917"/>
      <c r="BT71" s="917"/>
      <c r="BU71" s="917"/>
      <c r="BV71" s="917"/>
      <c r="BW71" s="917"/>
      <c r="BX71" s="917"/>
      <c r="BY71" s="917"/>
      <c r="BZ71" s="917"/>
      <c r="CA71" s="917"/>
      <c r="CB71" s="917"/>
      <c r="CC71" s="917"/>
      <c r="CD71" s="917"/>
      <c r="CE71" s="917"/>
      <c r="CF71" s="917"/>
      <c r="CG71" s="917"/>
      <c r="CH71" s="917"/>
      <c r="CI71" s="917"/>
      <c r="CJ71" s="917"/>
      <c r="CK71" s="917"/>
      <c r="CL71" s="917"/>
      <c r="CM71" s="917"/>
      <c r="CN71" s="917"/>
      <c r="CO71" s="917"/>
      <c r="CP71" s="917"/>
      <c r="CQ71" s="917"/>
      <c r="CR71" s="917"/>
      <c r="CS71" s="917"/>
      <c r="CT71" s="917"/>
      <c r="CU71" s="917"/>
      <c r="CV71" s="917"/>
      <c r="CW71" s="917"/>
      <c r="CX71" s="917"/>
      <c r="CY71" s="917"/>
      <c r="CZ71" s="917"/>
      <c r="DA71" s="917"/>
      <c r="DB71" s="917"/>
      <c r="DC71" s="917"/>
      <c r="DD71" s="917"/>
      <c r="DE71" s="917"/>
      <c r="DF71" s="917"/>
      <c r="DG71" s="917"/>
      <c r="DH71" s="917"/>
      <c r="DI71" s="917"/>
      <c r="DJ71" s="917"/>
      <c r="DK71" s="917"/>
      <c r="DL71" s="917"/>
      <c r="DM71" s="917"/>
      <c r="DN71" s="917"/>
      <c r="DO71" s="917"/>
      <c r="DP71" s="917"/>
      <c r="DQ71" s="917"/>
      <c r="DR71" s="917"/>
      <c r="DS71" s="917"/>
      <c r="DT71" s="917"/>
      <c r="DU71" s="917"/>
      <c r="DV71" s="917"/>
      <c r="DW71" s="917"/>
      <c r="DX71" s="917"/>
      <c r="DY71" s="917"/>
      <c r="DZ71" s="917"/>
      <c r="EA71" s="917"/>
      <c r="EB71" s="917"/>
      <c r="EC71" s="917"/>
      <c r="ED71" s="917"/>
      <c r="EE71" s="917"/>
      <c r="EF71" s="917"/>
      <c r="EG71" s="917"/>
      <c r="EH71" s="917"/>
      <c r="EI71" s="917"/>
      <c r="EJ71" s="917"/>
      <c r="EK71" s="917"/>
      <c r="EL71" s="917"/>
      <c r="EM71" s="917"/>
      <c r="EN71" s="917"/>
      <c r="EO71" s="917"/>
    </row>
    <row r="72" spans="2:145" ht="17.25" customHeight="1">
      <c r="E72"/>
      <c r="F72"/>
      <c r="G72"/>
      <c r="H72"/>
      <c r="I72"/>
      <c r="J72"/>
      <c r="K72" s="6">
        <v>3</v>
      </c>
      <c r="L72" s="395">
        <f>IF(人物卡!BA87="",0,1)</f>
        <v>0</v>
      </c>
      <c r="M72" s="395">
        <f>IF(L72=0,0,IF(人物卡!BK87="未取名！",1,0))</f>
        <v>0</v>
      </c>
      <c r="N72" s="395">
        <f>IF(L72=0,0,IF(人物卡!BS87="",1,0))</f>
        <v>0</v>
      </c>
      <c r="S72" s="2783"/>
      <c r="T72" s="2783"/>
      <c r="U72" s="2783"/>
      <c r="V72" s="2783"/>
      <c r="X72" s="959" t="s">
        <v>147</v>
      </c>
      <c r="Y72" s="854"/>
      <c r="AA72" s="19" t="str">
        <f>人物卡!BE25&amp;人物卡!BQ25</f>
        <v>会计5</v>
      </c>
      <c r="AC72" s="19" t="str">
        <f>人物卡!CA25&amp;人物卡!CM25</f>
        <v>锁匠1</v>
      </c>
      <c r="AE72" s="979">
        <v>1929</v>
      </c>
      <c r="AF72" s="401" t="s">
        <v>1809</v>
      </c>
      <c r="AG72" s="401" t="s">
        <v>1995</v>
      </c>
      <c r="AH72" s="401"/>
      <c r="AI72" s="401" t="s">
        <v>148</v>
      </c>
      <c r="AJ72" s="401"/>
      <c r="AK72" s="401"/>
      <c r="AL72" s="401" t="s">
        <v>1812</v>
      </c>
      <c r="AM72" s="401" t="s">
        <v>1996</v>
      </c>
      <c r="AN72" s="401" t="s">
        <v>1997</v>
      </c>
      <c r="AO72" s="921" t="s">
        <v>1998</v>
      </c>
      <c r="AP72" s="401" t="s">
        <v>1999</v>
      </c>
      <c r="AQ72" s="401" t="s">
        <v>2000</v>
      </c>
      <c r="AR72" s="836" t="s">
        <v>2001</v>
      </c>
      <c r="AS72" s="921" t="s">
        <v>2002</v>
      </c>
      <c r="AT72" s="979">
        <v>1929</v>
      </c>
      <c r="AV72" s="1024"/>
      <c r="AW72" s="1024"/>
      <c r="AX72" s="1024"/>
      <c r="AY72" s="1024"/>
      <c r="AZ72" s="1024"/>
      <c r="BA72" s="1024"/>
      <c r="BB72" s="401"/>
      <c r="BC72" s="1014"/>
      <c r="BD72" s="1014"/>
      <c r="BE72" s="1014"/>
      <c r="BF72" s="1023"/>
      <c r="BG72" s="1001"/>
      <c r="BH72" s="1025"/>
      <c r="BI72" s="917"/>
      <c r="BJ72" s="917"/>
      <c r="BK72" s="917"/>
      <c r="BL72" s="917"/>
      <c r="BM72" s="917"/>
      <c r="BN72" s="917"/>
      <c r="BO72" s="917"/>
      <c r="BP72" s="917"/>
      <c r="BQ72" s="917"/>
      <c r="BR72" s="917"/>
      <c r="BS72" s="917"/>
      <c r="BT72" s="917"/>
      <c r="BU72" s="917"/>
      <c r="BV72" s="917"/>
      <c r="BW72" s="917"/>
      <c r="BX72" s="917"/>
      <c r="BY72" s="917"/>
      <c r="BZ72" s="917"/>
      <c r="CA72" s="917"/>
      <c r="CB72" s="917"/>
      <c r="CC72" s="917"/>
      <c r="CD72" s="917"/>
      <c r="CE72" s="917"/>
      <c r="CF72" s="917"/>
      <c r="CG72" s="917"/>
      <c r="CH72" s="917"/>
      <c r="CI72" s="917"/>
      <c r="CJ72" s="917"/>
      <c r="CK72" s="917"/>
      <c r="CL72" s="917"/>
      <c r="CM72" s="917"/>
      <c r="CN72" s="917"/>
      <c r="CO72" s="917"/>
      <c r="CP72" s="917"/>
      <c r="CQ72" s="917"/>
      <c r="CR72" s="917"/>
      <c r="CS72" s="917"/>
      <c r="CT72" s="917"/>
      <c r="CU72" s="917"/>
      <c r="CV72" s="917"/>
      <c r="CW72" s="917"/>
      <c r="CX72" s="917"/>
      <c r="CY72" s="917"/>
      <c r="CZ72" s="917"/>
      <c r="DA72" s="917"/>
      <c r="DB72" s="917"/>
      <c r="DC72" s="917"/>
      <c r="DD72" s="917"/>
      <c r="DE72" s="917"/>
      <c r="DF72" s="917"/>
      <c r="DG72" s="917"/>
      <c r="DH72" s="917"/>
      <c r="DI72" s="917"/>
      <c r="DJ72" s="917"/>
      <c r="DK72" s="917"/>
      <c r="DL72" s="917"/>
      <c r="DM72" s="917"/>
      <c r="DN72" s="917"/>
      <c r="DO72" s="917"/>
      <c r="DP72" s="917"/>
      <c r="DQ72" s="917"/>
      <c r="DR72" s="917"/>
      <c r="DS72" s="917"/>
      <c r="DT72" s="917"/>
      <c r="DU72" s="917"/>
      <c r="DV72" s="917"/>
      <c r="DW72" s="917"/>
      <c r="DX72" s="917"/>
      <c r="DY72" s="917"/>
      <c r="DZ72" s="917"/>
      <c r="EA72" s="917"/>
      <c r="EB72" s="917"/>
      <c r="EC72" s="917"/>
      <c r="ED72" s="917"/>
      <c r="EE72" s="917"/>
      <c r="EF72" s="917"/>
      <c r="EG72" s="917"/>
      <c r="EH72" s="917"/>
      <c r="EI72" s="917"/>
      <c r="EJ72" s="917"/>
      <c r="EK72" s="917"/>
      <c r="EL72" s="917"/>
      <c r="EM72" s="917"/>
      <c r="EN72" s="917"/>
      <c r="EO72" s="917"/>
    </row>
    <row r="73" spans="2:145" ht="17.25" customHeight="1">
      <c r="D73" s="836" t="s">
        <v>500</v>
      </c>
      <c r="E73">
        <f>SUM(E69:E71)</f>
        <v>0</v>
      </c>
      <c r="F73"/>
      <c r="G73" t="s">
        <v>464</v>
      </c>
      <c r="H73">
        <f>SUM(H69:H71)</f>
        <v>5</v>
      </c>
      <c r="I73"/>
      <c r="J73"/>
      <c r="K73" s="6">
        <v>4</v>
      </c>
      <c r="L73" s="395">
        <f>IF(人物卡!BA88="",0,1)</f>
        <v>0</v>
      </c>
      <c r="M73" s="395">
        <f>IF(L73=0,0,IF(人物卡!BK88="未取名！",1,0))</f>
        <v>0</v>
      </c>
      <c r="N73" s="395">
        <f>IF(L73=0,0,IF(人物卡!BS88="",1,0))</f>
        <v>0</v>
      </c>
      <c r="S73" s="2783"/>
      <c r="T73" s="2783"/>
      <c r="U73" s="2783"/>
      <c r="V73" s="2783"/>
      <c r="X73" s="959" t="s">
        <v>151</v>
      </c>
      <c r="Y73" s="854"/>
      <c r="AA73" s="19" t="str">
        <f>人物卡!BE26&amp;人物卡!BQ26</f>
        <v>法律5</v>
      </c>
      <c r="AC73" s="19" t="str">
        <f>人物卡!CA26&amp;人物卡!CM26</f>
        <v>乔装5</v>
      </c>
      <c r="AE73" s="979">
        <v>1930</v>
      </c>
      <c r="AF73" s="401" t="s">
        <v>148</v>
      </c>
      <c r="AG73" s="401"/>
      <c r="AH73" s="401"/>
      <c r="AI73" s="401" t="s">
        <v>148</v>
      </c>
      <c r="AJ73" s="401"/>
      <c r="AK73" s="401"/>
      <c r="AL73" s="401" t="s">
        <v>2003</v>
      </c>
      <c r="AM73" s="401" t="s">
        <v>2004</v>
      </c>
      <c r="AN73" s="401" t="s">
        <v>2005</v>
      </c>
      <c r="AO73" s="921" t="s">
        <v>2006</v>
      </c>
      <c r="AP73" s="401" t="s">
        <v>2007</v>
      </c>
      <c r="AQ73" s="401" t="s">
        <v>2008</v>
      </c>
      <c r="AR73" s="836" t="s">
        <v>2009</v>
      </c>
      <c r="AS73" s="921" t="s">
        <v>2010</v>
      </c>
      <c r="AT73" s="979">
        <v>1930</v>
      </c>
      <c r="AV73" s="1024"/>
      <c r="AW73" s="1024"/>
      <c r="AX73" s="1024"/>
      <c r="AY73" s="1024"/>
      <c r="AZ73" s="1024"/>
      <c r="BA73" s="1024"/>
      <c r="BB73" s="401"/>
      <c r="BC73" s="1014"/>
      <c r="BD73" s="1026"/>
      <c r="BE73" s="1014"/>
      <c r="BF73" s="1023"/>
      <c r="BG73" s="1001"/>
      <c r="BH73" s="1027" t="s">
        <v>2011</v>
      </c>
      <c r="BI73" s="917"/>
      <c r="BJ73" s="917"/>
      <c r="BK73" s="917"/>
      <c r="BL73" s="917"/>
      <c r="BM73" s="917"/>
      <c r="BN73" s="917"/>
      <c r="BO73" s="917"/>
      <c r="BP73" s="917"/>
      <c r="BQ73" s="917"/>
      <c r="BR73" s="917"/>
      <c r="BS73" s="917"/>
      <c r="BT73" s="917"/>
      <c r="BU73" s="917"/>
      <c r="BV73" s="917"/>
      <c r="BW73" s="917"/>
      <c r="BX73" s="917"/>
      <c r="BY73" s="917"/>
      <c r="BZ73" s="917"/>
      <c r="CA73" s="917"/>
      <c r="CB73" s="917"/>
      <c r="CC73" s="917"/>
      <c r="CD73" s="917"/>
      <c r="CE73" s="917"/>
      <c r="CF73" s="917"/>
      <c r="CG73" s="917"/>
      <c r="CH73" s="917"/>
      <c r="CI73" s="917"/>
      <c r="CJ73" s="917"/>
      <c r="CK73" s="917"/>
      <c r="CL73" s="917"/>
      <c r="CM73" s="917"/>
      <c r="CN73" s="917"/>
      <c r="CO73" s="917"/>
      <c r="CP73" s="917"/>
      <c r="CQ73" s="917"/>
      <c r="CR73" s="917"/>
      <c r="CS73" s="917"/>
      <c r="CT73" s="917"/>
      <c r="CU73" s="917"/>
      <c r="CV73" s="917"/>
      <c r="CW73" s="917"/>
      <c r="CX73" s="917"/>
      <c r="CY73" s="917"/>
      <c r="CZ73" s="917"/>
      <c r="DA73" s="917"/>
      <c r="DB73" s="917"/>
      <c r="DC73" s="917"/>
      <c r="DD73" s="917"/>
      <c r="DE73" s="917"/>
      <c r="DF73" s="917"/>
      <c r="DG73" s="917"/>
      <c r="DH73" s="917"/>
      <c r="DI73" s="917"/>
      <c r="DJ73" s="917"/>
      <c r="DK73" s="917"/>
      <c r="DL73" s="917"/>
      <c r="DM73" s="917"/>
      <c r="DN73" s="917"/>
      <c r="DO73" s="917"/>
      <c r="DP73" s="917"/>
      <c r="DQ73" s="917"/>
      <c r="DR73" s="917"/>
      <c r="DS73" s="917"/>
      <c r="DT73" s="917"/>
      <c r="DU73" s="917"/>
      <c r="DV73" s="917"/>
      <c r="DW73" s="917"/>
      <c r="DX73" s="917"/>
      <c r="DY73" s="917"/>
      <c r="DZ73" s="917"/>
      <c r="EA73" s="917"/>
      <c r="EB73" s="917"/>
      <c r="EC73" s="917"/>
      <c r="ED73" s="917"/>
      <c r="EE73" s="917"/>
      <c r="EF73" s="917"/>
      <c r="EG73" s="917"/>
      <c r="EH73" s="917"/>
      <c r="EI73" s="917"/>
      <c r="EJ73" s="917"/>
      <c r="EK73" s="917"/>
      <c r="EL73" s="917"/>
      <c r="EM73" s="917"/>
      <c r="EN73" s="917"/>
      <c r="EO73" s="917"/>
    </row>
    <row r="74" spans="2:145" ht="17.25" customHeight="1">
      <c r="E74"/>
      <c r="F74"/>
      <c r="G74"/>
      <c r="H74"/>
      <c r="I74"/>
      <c r="J74"/>
      <c r="K74" s="6">
        <v>5</v>
      </c>
      <c r="L74" s="395">
        <f>IF(人物卡!BA89="",0,1)</f>
        <v>0</v>
      </c>
      <c r="M74" s="395">
        <f>IF(L74=0,0,IF(人物卡!BK89="未取名！",1,0))</f>
        <v>0</v>
      </c>
      <c r="N74" s="395">
        <f>IF(L74=0,0,IF(人物卡!BS89="",1,0))</f>
        <v>0</v>
      </c>
      <c r="S74" s="2783"/>
      <c r="T74" s="2783"/>
      <c r="U74" s="2783"/>
      <c r="V74" s="2783"/>
      <c r="X74" s="967" t="s">
        <v>153</v>
      </c>
      <c r="Y74" s="854"/>
      <c r="AA74" s="19" t="str">
        <f>人物卡!BE27&amp;人物卡!BQ27</f>
        <v>历史5</v>
      </c>
      <c r="AC74" s="19" t="str">
        <f>人物卡!CA27&amp;人物卡!CM27</f>
        <v>妙手10</v>
      </c>
      <c r="AE74" s="979">
        <v>1931</v>
      </c>
      <c r="AF74" s="401" t="s">
        <v>148</v>
      </c>
      <c r="AG74" s="401"/>
      <c r="AH74" s="401"/>
      <c r="AI74" s="827" t="s">
        <v>2012</v>
      </c>
      <c r="AJ74" s="827" t="s">
        <v>2013</v>
      </c>
      <c r="AK74" s="827"/>
      <c r="AL74" s="401" t="s">
        <v>2003</v>
      </c>
      <c r="AM74" s="401" t="s">
        <v>2014</v>
      </c>
      <c r="AN74" s="401" t="s">
        <v>2015</v>
      </c>
      <c r="AO74" s="921" t="s">
        <v>2016</v>
      </c>
      <c r="AP74" s="401" t="s">
        <v>2017</v>
      </c>
      <c r="AQ74" s="401" t="s">
        <v>2018</v>
      </c>
      <c r="AR74" s="836" t="s">
        <v>2019</v>
      </c>
      <c r="AS74" s="921" t="s">
        <v>2020</v>
      </c>
      <c r="AT74" s="979">
        <v>1931</v>
      </c>
      <c r="AV74" s="1024"/>
      <c r="AW74" s="1024"/>
      <c r="AX74" s="1024"/>
      <c r="AY74" s="1024"/>
      <c r="AZ74" s="1024"/>
      <c r="BA74" s="1024"/>
      <c r="BB74" s="401"/>
      <c r="BC74" s="1014"/>
      <c r="BD74" s="1026"/>
      <c r="BE74" s="1014"/>
      <c r="BF74" s="1023"/>
      <c r="BG74" s="1001"/>
      <c r="BH74" s="1027" t="s">
        <v>2021</v>
      </c>
      <c r="BI74" s="917"/>
      <c r="BJ74" s="917"/>
      <c r="BK74" s="917"/>
      <c r="BL74" s="917"/>
      <c r="BM74" s="917"/>
      <c r="BN74" s="917"/>
      <c r="BO74" s="917"/>
      <c r="BP74" s="917"/>
      <c r="BQ74" s="917"/>
      <c r="BR74" s="917"/>
      <c r="BS74" s="917"/>
      <c r="BT74" s="917"/>
      <c r="BU74" s="917"/>
      <c r="BV74" s="917"/>
      <c r="BW74" s="917"/>
      <c r="BX74" s="917"/>
      <c r="BY74" s="917"/>
      <c r="BZ74" s="917"/>
      <c r="CA74" s="917"/>
      <c r="CB74" s="917"/>
      <c r="CC74" s="917"/>
      <c r="CD74" s="917"/>
      <c r="CE74" s="917"/>
      <c r="CF74" s="917"/>
      <c r="CG74" s="917"/>
      <c r="CH74" s="917"/>
      <c r="CI74" s="917"/>
      <c r="CJ74" s="917"/>
      <c r="CK74" s="917"/>
      <c r="CL74" s="917"/>
      <c r="CM74" s="917"/>
      <c r="CN74" s="917"/>
      <c r="CO74" s="917"/>
      <c r="CP74" s="917"/>
      <c r="CQ74" s="917"/>
      <c r="CR74" s="917"/>
      <c r="CS74" s="917"/>
      <c r="CT74" s="917"/>
      <c r="CU74" s="917"/>
      <c r="CV74" s="917"/>
      <c r="CW74" s="917"/>
      <c r="CX74" s="917"/>
      <c r="CY74" s="917"/>
      <c r="CZ74" s="917"/>
      <c r="DA74" s="917"/>
      <c r="DB74" s="917"/>
      <c r="DC74" s="917"/>
      <c r="DD74" s="917"/>
      <c r="DE74" s="917"/>
      <c r="DF74" s="917"/>
      <c r="DG74" s="917"/>
      <c r="DH74" s="917"/>
      <c r="DI74" s="917"/>
      <c r="DJ74" s="917"/>
      <c r="DK74" s="917"/>
      <c r="DL74" s="917"/>
      <c r="DM74" s="917"/>
      <c r="DN74" s="917"/>
      <c r="DO74" s="917"/>
      <c r="DP74" s="917"/>
      <c r="DQ74" s="917"/>
      <c r="DR74" s="917"/>
      <c r="DS74" s="917"/>
      <c r="DT74" s="917"/>
      <c r="DU74" s="917"/>
      <c r="DV74" s="917"/>
      <c r="DW74" s="917"/>
      <c r="DX74" s="917"/>
      <c r="DY74" s="917"/>
      <c r="DZ74" s="917"/>
      <c r="EA74" s="917"/>
      <c r="EB74" s="917"/>
      <c r="EC74" s="917"/>
      <c r="ED74" s="917"/>
      <c r="EE74" s="917"/>
      <c r="EF74" s="917"/>
      <c r="EG74" s="917"/>
      <c r="EH74" s="917"/>
      <c r="EI74" s="917"/>
      <c r="EJ74" s="917"/>
      <c r="EK74" s="917"/>
      <c r="EL74" s="917"/>
      <c r="EM74" s="917"/>
      <c r="EN74" s="917"/>
      <c r="EO74" s="917"/>
    </row>
    <row r="75" spans="2:145" ht="17.25" customHeight="1">
      <c r="D75" s="1542" t="str">
        <f>IF(G67&gt;0,"本次任务携带"&amp;G67&amp;J67,"零钱不足！请合理分配！")</f>
        <v>本次任务携带0.6美元</v>
      </c>
      <c r="E75" s="1542"/>
      <c r="F75" s="1542"/>
      <c r="G75" s="1542"/>
      <c r="H75" s="1542"/>
      <c r="I75"/>
      <c r="K75"/>
      <c r="L75" s="836" t="s">
        <v>2022</v>
      </c>
      <c r="M75" s="395" t="s">
        <v>1065</v>
      </c>
      <c r="N75" s="395" t="s">
        <v>463</v>
      </c>
      <c r="O75" s="952"/>
      <c r="P75" s="952"/>
      <c r="S75" s="401"/>
      <c r="T75" s="401"/>
      <c r="U75" s="401"/>
      <c r="V75" s="401"/>
      <c r="X75" s="967" t="s">
        <v>155</v>
      </c>
      <c r="Y75" s="854"/>
      <c r="AA75" s="19" t="str">
        <f>人物卡!BE28&amp;人物卡!BQ28</f>
        <v>人类学1</v>
      </c>
      <c r="AC75" s="19" t="str">
        <f>人物卡!CA28&amp;人物卡!CM28</f>
        <v>潜行20</v>
      </c>
      <c r="AE75" s="979">
        <v>1932</v>
      </c>
      <c r="AF75" s="1028" t="s">
        <v>2023</v>
      </c>
      <c r="AG75" s="401" t="s">
        <v>2024</v>
      </c>
      <c r="AH75" s="1028"/>
      <c r="AI75" s="401" t="s">
        <v>2025</v>
      </c>
      <c r="AK75" s="401"/>
      <c r="AL75" s="401" t="s">
        <v>2003</v>
      </c>
      <c r="AM75" s="401" t="s">
        <v>2026</v>
      </c>
      <c r="AN75" s="401" t="s">
        <v>2027</v>
      </c>
      <c r="AO75" s="921" t="s">
        <v>2028</v>
      </c>
      <c r="AP75" s="401" t="s">
        <v>2029</v>
      </c>
      <c r="AQ75" s="401" t="s">
        <v>2030</v>
      </c>
      <c r="AR75" s="836" t="s">
        <v>2031</v>
      </c>
      <c r="AS75" s="921" t="s">
        <v>2032</v>
      </c>
      <c r="AT75" s="979">
        <v>1932</v>
      </c>
      <c r="AV75" s="1024"/>
      <c r="AW75" s="1024"/>
      <c r="AX75" s="1024"/>
      <c r="AY75" s="1024"/>
      <c r="AZ75" s="1024"/>
      <c r="BA75" s="1024"/>
      <c r="BB75" s="401"/>
      <c r="BC75" s="1014"/>
      <c r="BD75" s="1026"/>
      <c r="BE75" s="1014"/>
      <c r="BF75" s="1023"/>
      <c r="BG75" s="1001"/>
      <c r="BH75" s="927" t="s">
        <v>2033</v>
      </c>
      <c r="BI75" s="934" t="s">
        <v>2034</v>
      </c>
      <c r="BJ75" s="934" t="s">
        <v>2035</v>
      </c>
      <c r="BK75" s="934" t="s">
        <v>2036</v>
      </c>
      <c r="BL75" s="934" t="s">
        <v>2037</v>
      </c>
      <c r="BM75" s="934" t="s">
        <v>2038</v>
      </c>
      <c r="BN75" s="934" t="s">
        <v>2039</v>
      </c>
      <c r="BO75" s="934" t="s">
        <v>2040</v>
      </c>
      <c r="BP75" s="934" t="s">
        <v>2041</v>
      </c>
      <c r="BQ75" s="934" t="s">
        <v>2042</v>
      </c>
      <c r="BR75" s="934" t="s">
        <v>2043</v>
      </c>
      <c r="BS75" s="934" t="s">
        <v>2044</v>
      </c>
      <c r="BT75" s="917"/>
      <c r="BU75" s="917"/>
      <c r="BV75" s="917"/>
      <c r="BW75" s="917"/>
      <c r="BX75" s="917"/>
      <c r="BY75" s="917"/>
      <c r="BZ75" s="917"/>
      <c r="CA75" s="917"/>
      <c r="CB75" s="917"/>
      <c r="CC75" s="917"/>
      <c r="CD75" s="917"/>
      <c r="CE75" s="917"/>
      <c r="CF75" s="917"/>
      <c r="CG75" s="917"/>
      <c r="CH75" s="917"/>
      <c r="CI75" s="917"/>
      <c r="CJ75" s="917"/>
      <c r="CK75" s="917"/>
      <c r="CL75" s="917"/>
      <c r="CM75" s="917"/>
      <c r="CN75" s="917"/>
      <c r="CO75" s="917"/>
      <c r="CP75" s="917"/>
      <c r="CQ75" s="917"/>
      <c r="CR75" s="917"/>
      <c r="CS75" s="917"/>
      <c r="CT75" s="917"/>
      <c r="CU75" s="917"/>
      <c r="CV75" s="917"/>
      <c r="CW75" s="917"/>
      <c r="CX75" s="917"/>
      <c r="CY75" s="917"/>
      <c r="CZ75" s="917"/>
      <c r="DA75" s="917"/>
      <c r="DB75" s="917"/>
      <c r="DC75" s="917"/>
      <c r="DD75" s="917"/>
      <c r="DE75" s="917"/>
      <c r="DF75" s="917"/>
      <c r="DG75" s="917"/>
      <c r="DH75" s="917"/>
      <c r="DI75" s="917"/>
      <c r="DJ75" s="917"/>
      <c r="DK75" s="917"/>
      <c r="DL75" s="917"/>
      <c r="DM75" s="917"/>
      <c r="DN75" s="917"/>
      <c r="DO75" s="917"/>
      <c r="DP75" s="917"/>
      <c r="DQ75" s="917"/>
      <c r="DR75" s="917"/>
      <c r="DS75" s="917"/>
      <c r="DT75" s="917"/>
      <c r="DU75" s="917"/>
      <c r="DV75" s="917"/>
      <c r="DW75" s="917"/>
      <c r="DX75" s="917"/>
      <c r="DY75" s="917"/>
      <c r="DZ75" s="917"/>
      <c r="EA75" s="917"/>
      <c r="EB75" s="917"/>
      <c r="EC75" s="917"/>
      <c r="ED75" s="917"/>
      <c r="EE75" s="917"/>
      <c r="EF75" s="917"/>
      <c r="EG75" s="917"/>
      <c r="EH75" s="917"/>
      <c r="EI75" s="917"/>
      <c r="EJ75" s="917"/>
      <c r="EK75" s="917"/>
      <c r="EL75" s="917"/>
      <c r="EM75" s="917"/>
      <c r="EN75" s="917"/>
      <c r="EO75" s="917"/>
    </row>
    <row r="76" spans="2:145" ht="17.25" customHeight="1">
      <c r="D76" s="1542" t="str">
        <f>IF(G67&gt;0,"已使用"&amp;E73&amp;J67,"支付量过大！担负不起！")</f>
        <v>已使用0美元</v>
      </c>
      <c r="E76" s="1542"/>
      <c r="F76" s="1542"/>
      <c r="G76" s="1542"/>
      <c r="H76" s="1542"/>
      <c r="I76"/>
      <c r="J76" t="s">
        <v>2045</v>
      </c>
      <c r="K76"/>
      <c r="L76" s="836">
        <f>SUM(L70:L74)</f>
        <v>0</v>
      </c>
      <c r="M76" s="395">
        <f>SUM(M70:M74)</f>
        <v>0</v>
      </c>
      <c r="N76" s="1029">
        <f>SUM(N70:N74)</f>
        <v>0</v>
      </c>
      <c r="O76" s="952"/>
      <c r="P76" s="952"/>
      <c r="S76" s="2783" t="str">
        <f>".st "&amp;人物卡!BD9&amp;"-"&amp;"力量"&amp;G14&amp;"敏捷"&amp;J14&amp;"意志"&amp;M14&amp;"体质"&amp;H14&amp;"外貌"&amp;K14&amp;"教育"&amp;N14&amp;"体型"&amp;I14&amp;"智力"&amp;L14&amp;"灵感"&amp;L14&amp;"理智"&amp;人物卡!BM19&amp;"幸运"&amp;O14&amp;"魔法"&amp;人物卡!BV19&amp;"hp"&amp;人物卡!BD19&amp;"体力"&amp;人物卡!BD19&amp;人物卡!BE25&amp;人物卡!BQ25&amp;人物卡!BE26&amp;人物卡!BQ26&amp;人物卡!BE27&amp;人物卡!BQ27&amp;人物卡!BE28&amp;人物卡!BQ28&amp;IF(人物卡!BG29="","",人物卡!BG29&amp;人物卡!BQ29)&amp;IF(人物卡!BG30="","",人物卡!BG30&amp;人物卡!BQ30)&amp;IF(人物卡!BG31="","",人物卡!BG31&amp;人物卡!BQ31)&amp;人物卡!BE32&amp;人物卡!BQ32&amp;人物卡!BE33&amp;人物卡!BQ33&amp;"计算机"&amp;人物卡!BQ34&amp;"信用"&amp;人物卡!BQ35&amp;"克苏鲁"&amp;人物卡!BQ36&amp;人物卡!BE37&amp;人物卡!BQ37&amp;人物卡!BE38&amp;人物卡!BQ38&amp;"汽车"&amp;人物卡!BQ39&amp;"驾驶"&amp;人物卡!BQ39&amp;"汽车驾驶"&amp;人物卡!BQ39&amp;人物卡!BE40&amp;人物卡!BQ40&amp;"电子学"&amp;人物卡!BQ41&amp;人物卡!BE42&amp;人物卡!BQ42&amp;人物卡!BG43&amp;人物卡!BQ43&amp;IF(人物卡!BG44="","",人物卡!BG44&amp;人物卡!BQ44)&amp;IF(人物卡!BG45="","",人物卡!BG45&amp;人物卡!BQ45)&amp;IF(人物卡!BG46="","",人物卡!BG46&amp;人物卡!BQ46)&amp;人物卡!BG47&amp;人物卡!BQ47&amp;IF(W15=1,人物卡!CA48&amp;人物卡!BQ48&amp;"步枪"&amp;人物卡!BQ48&amp;"霰弹枪"&amp;人物卡!BQ48&amp;"步霰"&amp;人物卡!BQ48,IF(人物卡!BG48="","",人物卡!BG48&amp;人物卡!BQ48))&amp;IF(W16=1,人物卡!CA49&amp;人物卡!BQ49&amp;"步枪"&amp;人物卡!BQ49&amp;"霰弹枪"&amp;人物卡!BQ49&amp;"步霰"&amp;人物卡!BQ49,IF(人物卡!BG49="","",人物卡!BG49&amp;人物卡!BQ49))&amp;IF(W17=1,人物卡!CA50&amp;人物卡!BQ50&amp;"步枪"&amp;人物卡!BQ50&amp;"霰弹枪"&amp;人物卡!BQ50&amp;"步霰"&amp;人物卡!BQ50,IF(人物卡!BG50="","",人物卡!BG50&amp;人物卡!BQ50))&amp;人物卡!BE51&amp;人物卡!BQ51&amp;人物卡!BE52&amp;人物卡!BQ52&amp;人物卡!BE53&amp;人物卡!BQ53&amp;人物卡!BE54&amp;人物卡!BQ54&amp;IF(人物卡!BG55="","",人物卡!BG55&amp;人物卡!BQ55)&amp;IF(人物卡!BG56="","",人物卡!BG56&amp;人物卡!BQ56)&amp;IF(人物卡!BG57="","",人物卡!BG57&amp;人物卡!BQ57)&amp;人物卡!BE58&amp;人物卡!BQ58&amp;人物卡!CA25&amp;人物卡!CM25&amp;"图书馆"&amp;人物卡!CM26&amp;人物卡!CA27&amp;人物卡!CM27&amp;"开锁"&amp;人物卡!CM28&amp;"锁匠"&amp;人物卡!CM28&amp;人物卡!CA29&amp;人物卡!CM29&amp;人物卡!CA30&amp;人物卡!CM30&amp;"博物学"&amp;人物卡!CM31&amp;"导航"&amp;人物卡!CM32&amp;人物卡!CA33&amp;人物卡!CM33&amp;"操作重型机械"&amp;人物卡!CM34&amp;"重型"&amp;人物卡!CM34&amp;人物卡!CA35&amp;人物卡!CM35&amp;IF(人物卡!CC36="","",人物卡!CC36&amp;人物卡!CM36)&amp;人物卡!CA37&amp;人物卡!CM37&amp;人物卡!CA38&amp;人物卡!CM38&amp;人物卡!CA39&amp;人物卡!CM39&amp;IF(人物卡!CC40="","",人物卡!CC40&amp;人物卡!CM40)&amp;IF(人物卡!CC41="","",人物卡!CC41&amp;人物卡!CM41)&amp;IF(人物卡!CC42="","",人物卡!CC42&amp;人物卡!CM42)&amp;人物卡!CA43&amp;人物卡!CM43&amp;人物卡!CA44&amp;人物卡!CM44&amp;人物卡!CA45&amp;人物卡!CM45&amp;"生存"&amp;人物卡!CM46&amp;人物卡!CA47&amp;人物卡!CM47&amp;人物卡!CA48&amp;人物卡!CM48&amp;人物卡!CA49&amp;人物卡!CM49&amp;人物卡!CA50&amp;人物卡!CM50&amp;人物卡!CA51&amp;人物卡!CM51&amp;人物卡!CA52&amp;人物卡!CM52&amp;人物卡!CA53&amp;人物卡!CM53&amp;人物卡!CA54&amp;人物卡!CM54&amp;人物卡!CA55&amp;人物卡!CM55&amp;IF(人物卡!CC56="","",人物卡!CC56&amp;人物卡!CM56)&amp;IF(W18=1,"",人物卡!CA57&amp;人物卡!CM57)&amp;IF(人物卡!CA58="","",人物卡!CA58&amp;人物卡!CM58)</f>
        <v>.st -力量0敏捷0意志0体质0外貌0教育0体型0智力0灵感0理智0幸运0魔法0hp0体力0会计5法律5历史5人类学1神秘学5信用评级0计算机0信用10克苏鲁10电子学 Ω1操作重型机械1汽车1驾驶1汽车驾驶1计算机使用 Ω0电子学1科学②115技艺⑤5母语0外语①1外语②1闪避0锁匠1图书馆5妙手10开锁20锁匠20图书馆使用20聆听20博物学25导航10导航10操作重型机械10重型10取悦15恐吓15说服10跳跃20游泳20精神分析1医学1生存30驾驶①1驾驶②1汽车驾驶20骑术5动物驯养5潜水1读唇1催眠1自定义①1炮术1投掷20</v>
      </c>
      <c r="T76" s="2783"/>
      <c r="U76" s="2783"/>
      <c r="V76" s="2783"/>
      <c r="X76" s="959" t="s">
        <v>157</v>
      </c>
      <c r="Y76" s="854"/>
      <c r="AA76" s="19" t="str">
        <f>人物卡!BE29&amp;人物卡!BQ29</f>
        <v>估价5</v>
      </c>
      <c r="AC76" s="19" t="str">
        <f>人物卡!CA29&amp;人物卡!CM29</f>
        <v>图书馆使用20</v>
      </c>
      <c r="AE76" s="979">
        <v>1933</v>
      </c>
      <c r="AF76" s="1028" t="s">
        <v>2046</v>
      </c>
      <c r="AG76" s="1028"/>
      <c r="AH76" s="1028"/>
      <c r="AI76" s="401" t="s">
        <v>2047</v>
      </c>
      <c r="AJ76" s="401"/>
      <c r="AK76" s="401"/>
      <c r="AL76" s="401" t="s">
        <v>2003</v>
      </c>
      <c r="AM76" s="401" t="s">
        <v>2048</v>
      </c>
      <c r="AN76" s="401" t="s">
        <v>2049</v>
      </c>
      <c r="AO76" s="921" t="s">
        <v>2050</v>
      </c>
      <c r="AP76" s="401" t="s">
        <v>2051</v>
      </c>
      <c r="AQ76" s="401" t="s">
        <v>2052</v>
      </c>
      <c r="AR76" s="836" t="s">
        <v>2053</v>
      </c>
      <c r="AS76" s="921" t="s">
        <v>2054</v>
      </c>
      <c r="AT76" s="979">
        <v>1933</v>
      </c>
      <c r="AV76" s="1024"/>
      <c r="AW76" s="1024"/>
      <c r="AX76" s="1024"/>
      <c r="AY76" s="1024"/>
      <c r="AZ76" s="1024"/>
      <c r="BA76" s="1024"/>
      <c r="BB76" s="401"/>
      <c r="BC76" s="1014"/>
      <c r="BD76" s="1026"/>
      <c r="BE76" s="1014"/>
      <c r="BF76" s="1023"/>
      <c r="BG76" s="1001"/>
      <c r="BH76" s="927" t="s">
        <v>2055</v>
      </c>
      <c r="BI76" s="934" t="s">
        <v>2056</v>
      </c>
      <c r="BJ76" s="934" t="s">
        <v>2057</v>
      </c>
      <c r="BK76" s="934" t="s">
        <v>2058</v>
      </c>
      <c r="BL76" s="934" t="s">
        <v>2059</v>
      </c>
      <c r="BM76" s="934" t="s">
        <v>2060</v>
      </c>
      <c r="BN76" s="934" t="s">
        <v>2061</v>
      </c>
      <c r="BO76" s="934" t="s">
        <v>2062</v>
      </c>
      <c r="BP76" s="934" t="s">
        <v>2063</v>
      </c>
      <c r="BQ76" s="934" t="s">
        <v>2064</v>
      </c>
      <c r="BR76" s="934" t="s">
        <v>2065</v>
      </c>
      <c r="BS76" s="934" t="s">
        <v>2066</v>
      </c>
      <c r="BT76" s="934" t="s">
        <v>2067</v>
      </c>
      <c r="BU76" s="934" t="s">
        <v>2068</v>
      </c>
      <c r="BV76" s="934" t="s">
        <v>2069</v>
      </c>
      <c r="BW76" s="934" t="s">
        <v>2037</v>
      </c>
      <c r="BX76" s="934" t="s">
        <v>2070</v>
      </c>
      <c r="BY76" s="934" t="s">
        <v>2071</v>
      </c>
      <c r="BZ76" s="934" t="s">
        <v>2072</v>
      </c>
      <c r="CA76" s="934" t="s">
        <v>2073</v>
      </c>
      <c r="CB76" s="934" t="s">
        <v>2074</v>
      </c>
      <c r="CC76" s="934" t="s">
        <v>2075</v>
      </c>
      <c r="CD76" s="934" t="s">
        <v>2076</v>
      </c>
      <c r="CE76" s="934" t="s">
        <v>2077</v>
      </c>
      <c r="CF76" s="934" t="s">
        <v>2078</v>
      </c>
      <c r="CG76" s="934" t="s">
        <v>2079</v>
      </c>
      <c r="CH76" s="934" t="s">
        <v>2080</v>
      </c>
      <c r="CI76" s="934" t="s">
        <v>2081</v>
      </c>
      <c r="CJ76" s="917"/>
      <c r="CK76" s="917"/>
      <c r="CL76" s="917"/>
      <c r="CM76" s="917"/>
      <c r="CN76" s="917"/>
      <c r="CO76" s="917"/>
      <c r="CP76" s="917"/>
      <c r="CQ76" s="917"/>
      <c r="CR76" s="917"/>
      <c r="CS76" s="917"/>
      <c r="CT76" s="917"/>
      <c r="CU76" s="917"/>
      <c r="CV76" s="917"/>
      <c r="CW76" s="917"/>
      <c r="CX76" s="917"/>
      <c r="CY76" s="917"/>
      <c r="CZ76" s="917"/>
      <c r="DA76" s="917"/>
      <c r="DB76" s="917"/>
      <c r="DC76" s="917"/>
      <c r="DD76" s="917"/>
      <c r="DE76" s="917"/>
      <c r="DF76" s="917"/>
      <c r="DG76" s="917"/>
      <c r="DH76" s="917"/>
      <c r="DI76" s="917"/>
      <c r="DJ76" s="917"/>
      <c r="DK76" s="917"/>
      <c r="DL76" s="917"/>
      <c r="DM76" s="917"/>
      <c r="DN76" s="917"/>
      <c r="DO76" s="917"/>
      <c r="DP76" s="917"/>
      <c r="DQ76" s="917"/>
      <c r="DR76" s="917"/>
      <c r="DS76" s="917"/>
      <c r="DT76" s="917"/>
      <c r="DU76" s="917"/>
      <c r="DV76" s="917"/>
      <c r="DW76" s="917"/>
      <c r="DX76" s="917"/>
      <c r="DY76" s="917"/>
      <c r="DZ76" s="917"/>
      <c r="EA76" s="917"/>
      <c r="EB76" s="917"/>
      <c r="EC76" s="917"/>
      <c r="ED76" s="917"/>
      <c r="EE76" s="917"/>
      <c r="EF76" s="917"/>
      <c r="EG76" s="917"/>
      <c r="EH76" s="917"/>
      <c r="EI76" s="917"/>
      <c r="EJ76" s="917"/>
      <c r="EK76" s="917"/>
      <c r="EL76" s="917"/>
      <c r="EM76" s="917"/>
      <c r="EN76" s="917"/>
      <c r="EO76" s="917"/>
    </row>
    <row r="77" spans="2:145" ht="17.25" customHeight="1">
      <c r="M77" s="952"/>
      <c r="N77" s="952"/>
      <c r="O77" s="952"/>
      <c r="P77" s="952"/>
      <c r="S77" s="2783"/>
      <c r="T77" s="2783"/>
      <c r="U77" s="2783"/>
      <c r="V77" s="2783"/>
      <c r="X77" s="959" t="s">
        <v>160</v>
      </c>
      <c r="Y77" s="854"/>
      <c r="AA77" s="19" t="str">
        <f>人物卡!BE30&amp;人物卡!BQ30</f>
        <v>考古学1</v>
      </c>
      <c r="AC77" s="19" t="str">
        <f>人物卡!CA30&amp;人物卡!CM30</f>
        <v>聆听20</v>
      </c>
      <c r="AE77" s="979">
        <v>1934</v>
      </c>
      <c r="AF77" s="401" t="s">
        <v>148</v>
      </c>
      <c r="AG77" s="401"/>
      <c r="AH77" s="401"/>
      <c r="AI77" s="827" t="s">
        <v>2082</v>
      </c>
      <c r="AJ77" s="827"/>
      <c r="AK77" s="827"/>
      <c r="AL77" s="401" t="s">
        <v>2003</v>
      </c>
      <c r="AM77" s="401" t="s">
        <v>2083</v>
      </c>
      <c r="AN77" s="401" t="s">
        <v>2084</v>
      </c>
      <c r="AO77" s="921" t="s">
        <v>2085</v>
      </c>
      <c r="AP77" s="836" t="s">
        <v>2086</v>
      </c>
      <c r="AQ77" s="401" t="s">
        <v>2087</v>
      </c>
      <c r="AR77" s="836" t="s">
        <v>2088</v>
      </c>
      <c r="AS77" s="921" t="s">
        <v>2089</v>
      </c>
      <c r="AT77" s="979">
        <v>1934</v>
      </c>
      <c r="AV77" s="1024"/>
      <c r="AW77" s="1024"/>
      <c r="AX77" s="1024"/>
      <c r="AY77" s="1024"/>
      <c r="AZ77" s="1024"/>
      <c r="BA77" s="1024"/>
      <c r="BB77" s="401"/>
      <c r="BC77" s="1014"/>
      <c r="BD77" s="1026"/>
      <c r="BE77" s="1014"/>
      <c r="BF77" s="1023"/>
      <c r="BG77" s="1001"/>
      <c r="BH77" s="927" t="s">
        <v>2090</v>
      </c>
      <c r="BI77" s="934" t="s">
        <v>2091</v>
      </c>
      <c r="BJ77" s="934" t="s">
        <v>2092</v>
      </c>
      <c r="BK77" s="934" t="s">
        <v>2093</v>
      </c>
      <c r="BL77" s="934" t="s">
        <v>2094</v>
      </c>
      <c r="BM77" s="934" t="s">
        <v>2095</v>
      </c>
      <c r="BN77" s="934" t="s">
        <v>2096</v>
      </c>
      <c r="BO77" s="934" t="s">
        <v>2097</v>
      </c>
      <c r="BP77" s="934" t="s">
        <v>2098</v>
      </c>
      <c r="BQ77" s="934" t="s">
        <v>2099</v>
      </c>
      <c r="BR77" s="934" t="s">
        <v>2100</v>
      </c>
      <c r="BS77" s="934" t="s">
        <v>2101</v>
      </c>
      <c r="BT77" s="934" t="s">
        <v>2102</v>
      </c>
      <c r="BU77" s="934" t="s">
        <v>2103</v>
      </c>
      <c r="BV77" s="934" t="s">
        <v>2104</v>
      </c>
      <c r="BW77" s="934" t="s">
        <v>2105</v>
      </c>
      <c r="BX77" s="934" t="s">
        <v>2106</v>
      </c>
      <c r="BY77" s="934" t="s">
        <v>2107</v>
      </c>
      <c r="BZ77" s="934" t="s">
        <v>2108</v>
      </c>
      <c r="CA77" s="934" t="s">
        <v>2109</v>
      </c>
      <c r="CB77" s="934" t="s">
        <v>2110</v>
      </c>
      <c r="CC77" s="934" t="s">
        <v>2111</v>
      </c>
      <c r="CD77" s="917"/>
      <c r="CE77" s="917"/>
      <c r="CF77" s="917"/>
      <c r="CG77" s="917"/>
      <c r="CH77" s="917"/>
      <c r="CI77" s="917"/>
      <c r="CJ77" s="917"/>
      <c r="CK77" s="917"/>
      <c r="CL77" s="917"/>
      <c r="CM77" s="917"/>
      <c r="CN77" s="917"/>
      <c r="CO77" s="917"/>
      <c r="CP77" s="917"/>
      <c r="CQ77" s="917"/>
      <c r="CR77" s="917"/>
      <c r="CS77" s="917"/>
      <c r="CT77" s="917"/>
      <c r="CU77" s="917"/>
      <c r="CV77" s="917"/>
      <c r="CW77" s="917"/>
      <c r="CX77" s="917"/>
      <c r="CY77" s="917"/>
      <c r="CZ77" s="917"/>
      <c r="DA77" s="917"/>
      <c r="DB77" s="917"/>
      <c r="DC77" s="917"/>
      <c r="DD77" s="917"/>
      <c r="DE77" s="917"/>
      <c r="DF77" s="917"/>
      <c r="DG77" s="917"/>
      <c r="DH77" s="917"/>
      <c r="DI77" s="917"/>
      <c r="DJ77" s="917"/>
      <c r="DK77" s="917"/>
      <c r="DL77" s="917"/>
      <c r="DM77" s="917"/>
      <c r="DN77" s="917"/>
      <c r="DO77" s="917"/>
      <c r="DP77" s="917"/>
      <c r="DQ77" s="917"/>
      <c r="DR77" s="917"/>
      <c r="DS77" s="917"/>
      <c r="DT77" s="917"/>
      <c r="DU77" s="917"/>
      <c r="DV77" s="917"/>
      <c r="DW77" s="917"/>
      <c r="DX77" s="917"/>
      <c r="DY77" s="917"/>
      <c r="DZ77" s="917"/>
      <c r="EA77" s="917"/>
      <c r="EB77" s="917"/>
      <c r="EC77" s="917"/>
      <c r="ED77" s="917"/>
      <c r="EE77" s="917"/>
      <c r="EF77" s="917"/>
      <c r="EG77" s="917"/>
      <c r="EH77" s="917"/>
      <c r="EI77" s="917"/>
      <c r="EJ77" s="917"/>
      <c r="EK77" s="917"/>
      <c r="EL77" s="917"/>
      <c r="EM77" s="917"/>
      <c r="EN77" s="917"/>
      <c r="EO77" s="917"/>
    </row>
    <row r="78" spans="2:145" ht="17.25" customHeight="1">
      <c r="D78" s="1542" t="s">
        <v>255</v>
      </c>
      <c r="E78" s="1542"/>
      <c r="F78" s="1542"/>
      <c r="G78" s="1542"/>
      <c r="H78" s="1542"/>
      <c r="K78" s="1716" t="str">
        <f>IF(L76=0,"未携带武器！",IF(M76&gt;0,"武器未命名！",IF(N76&gt;0,"价值未填写！","武器已就位！")))</f>
        <v>未携带武器！</v>
      </c>
      <c r="L78" s="1716"/>
      <c r="M78" s="1716"/>
      <c r="N78" s="952"/>
      <c r="O78" s="952"/>
      <c r="P78" s="952"/>
      <c r="S78" s="2783"/>
      <c r="T78" s="2783"/>
      <c r="U78" s="2783"/>
      <c r="V78" s="2783"/>
      <c r="X78" s="959" t="s">
        <v>162</v>
      </c>
      <c r="Y78" s="854"/>
      <c r="AA78" s="19" t="str">
        <f>人物卡!BE31&amp;人物卡!BQ31</f>
        <v>博物学10</v>
      </c>
      <c r="AC78" s="19" t="str">
        <f>人物卡!CA31&amp;人物卡!CM31</f>
        <v>侦查25</v>
      </c>
      <c r="AE78" s="979">
        <v>1935</v>
      </c>
      <c r="AF78" s="401" t="s">
        <v>148</v>
      </c>
      <c r="AG78" s="401"/>
      <c r="AH78" s="401"/>
      <c r="AI78" s="827" t="s">
        <v>2112</v>
      </c>
      <c r="AJ78" s="827" t="s">
        <v>2113</v>
      </c>
      <c r="AK78" s="827"/>
      <c r="AL78" s="401" t="s">
        <v>2003</v>
      </c>
      <c r="AM78" s="401" t="s">
        <v>2114</v>
      </c>
      <c r="AN78" s="401" t="s">
        <v>2115</v>
      </c>
      <c r="AO78" s="836" t="s">
        <v>2116</v>
      </c>
      <c r="AP78" s="836" t="s">
        <v>2086</v>
      </c>
      <c r="AQ78" s="401" t="s">
        <v>2117</v>
      </c>
      <c r="AR78" s="836" t="s">
        <v>2118</v>
      </c>
      <c r="AS78" s="836" t="s">
        <v>2119</v>
      </c>
      <c r="AT78" s="979">
        <v>1935</v>
      </c>
      <c r="AV78" s="1014"/>
      <c r="AW78" s="1014"/>
      <c r="AX78" s="1030"/>
      <c r="AY78" s="1030"/>
      <c r="AZ78" s="1030"/>
      <c r="BA78" s="1030"/>
      <c r="BB78" s="401"/>
      <c r="BC78" s="1014"/>
      <c r="BD78" s="1026"/>
      <c r="BE78" s="1014"/>
      <c r="BF78" s="1023"/>
      <c r="BG78" s="1001"/>
      <c r="BH78" s="927" t="s">
        <v>2120</v>
      </c>
      <c r="BI78" s="934" t="s">
        <v>2121</v>
      </c>
      <c r="BJ78" s="934" t="s">
        <v>2122</v>
      </c>
      <c r="BK78" s="934" t="s">
        <v>2123</v>
      </c>
      <c r="BL78" s="934" t="s">
        <v>2124</v>
      </c>
      <c r="BM78" s="934" t="s">
        <v>2125</v>
      </c>
      <c r="BN78" s="934" t="s">
        <v>2126</v>
      </c>
      <c r="BO78" s="917"/>
      <c r="BP78" s="917"/>
      <c r="BQ78" s="917"/>
      <c r="BR78" s="917"/>
      <c r="BS78" s="917"/>
      <c r="BT78" s="917"/>
      <c r="BU78" s="917"/>
      <c r="BV78" s="917"/>
      <c r="BW78" s="917"/>
      <c r="BX78" s="917"/>
      <c r="BY78" s="917"/>
      <c r="BZ78" s="917"/>
      <c r="CA78" s="917"/>
      <c r="CB78" s="917"/>
      <c r="CC78" s="917"/>
      <c r="CD78" s="917"/>
      <c r="CE78" s="917"/>
      <c r="CF78" s="917"/>
      <c r="CG78" s="917"/>
      <c r="CH78" s="917"/>
      <c r="CI78" s="917"/>
      <c r="CJ78" s="917"/>
      <c r="CK78" s="917"/>
      <c r="CL78" s="917"/>
      <c r="CM78" s="917"/>
      <c r="CN78" s="917"/>
      <c r="CO78" s="917"/>
      <c r="CP78" s="917"/>
      <c r="CQ78" s="917"/>
      <c r="CR78" s="917"/>
      <c r="CS78" s="917"/>
      <c r="CT78" s="917"/>
      <c r="CU78" s="917"/>
      <c r="CV78" s="917"/>
      <c r="CW78" s="917"/>
      <c r="CX78" s="917"/>
      <c r="CY78" s="917"/>
      <c r="CZ78" s="917"/>
      <c r="DA78" s="917"/>
      <c r="DB78" s="917"/>
      <c r="DC78" s="917"/>
      <c r="DD78" s="917"/>
      <c r="DE78" s="917"/>
      <c r="DF78" s="917"/>
      <c r="DG78" s="917"/>
      <c r="DH78" s="917"/>
      <c r="DI78" s="917"/>
      <c r="DJ78" s="917"/>
      <c r="DK78" s="917"/>
      <c r="DL78" s="917"/>
      <c r="DM78" s="917"/>
      <c r="DN78" s="917"/>
      <c r="DO78" s="917"/>
      <c r="DP78" s="917"/>
      <c r="DQ78" s="917"/>
      <c r="DR78" s="917"/>
      <c r="DS78" s="917"/>
      <c r="DT78" s="917"/>
      <c r="DU78" s="917"/>
      <c r="DV78" s="917"/>
      <c r="DW78" s="917"/>
      <c r="DX78" s="917"/>
      <c r="DY78" s="917"/>
      <c r="DZ78" s="917"/>
      <c r="EA78" s="917"/>
      <c r="EB78" s="917"/>
      <c r="EC78" s="917"/>
      <c r="ED78" s="917"/>
      <c r="EE78" s="917"/>
      <c r="EF78" s="917"/>
      <c r="EG78" s="917"/>
      <c r="EH78" s="917"/>
      <c r="EI78" s="917"/>
      <c r="EJ78" s="917"/>
      <c r="EK78" s="917"/>
      <c r="EL78" s="917"/>
      <c r="EM78" s="917"/>
      <c r="EN78" s="917"/>
      <c r="EO78" s="917"/>
    </row>
    <row r="79" spans="2:145" ht="17.25" customHeight="1">
      <c r="D79" s="1542" t="s">
        <v>2127</v>
      </c>
      <c r="E79" s="1542"/>
      <c r="F79" s="1542"/>
      <c r="G79" s="1542"/>
      <c r="H79" s="1542" t="s">
        <v>2128</v>
      </c>
      <c r="I79" s="1542"/>
      <c r="M79" s="952"/>
      <c r="N79" s="952"/>
      <c r="O79" s="952"/>
      <c r="P79" s="952"/>
      <c r="S79" s="2783"/>
      <c r="T79" s="2783"/>
      <c r="U79" s="2783"/>
      <c r="V79" s="2783"/>
      <c r="X79" s="959" t="s">
        <v>164</v>
      </c>
      <c r="Y79" s="854"/>
      <c r="AA79" s="19" t="str">
        <f>人物卡!BE32&amp;人物卡!BQ32</f>
        <v>神秘学5</v>
      </c>
      <c r="AC79" s="19" t="str">
        <f>人物卡!CA32&amp;人物卡!CM32</f>
        <v>追踪10</v>
      </c>
      <c r="AE79" s="979">
        <v>1936</v>
      </c>
      <c r="AF79" s="1031" t="s">
        <v>2129</v>
      </c>
      <c r="AG79" s="1031"/>
      <c r="AH79" s="1031"/>
      <c r="AI79" s="827" t="s">
        <v>2130</v>
      </c>
      <c r="AJ79" s="827" t="s">
        <v>2131</v>
      </c>
      <c r="AK79" s="827"/>
      <c r="AL79" s="401" t="s">
        <v>2003</v>
      </c>
      <c r="AM79" s="401" t="s">
        <v>2132</v>
      </c>
      <c r="AN79" s="401" t="s">
        <v>2133</v>
      </c>
      <c r="AO79" s="921" t="s">
        <v>2134</v>
      </c>
      <c r="AP79" s="836" t="s">
        <v>2086</v>
      </c>
      <c r="AQ79" s="401" t="s">
        <v>2135</v>
      </c>
      <c r="AR79" s="836" t="s">
        <v>2136</v>
      </c>
      <c r="AS79" s="921" t="s">
        <v>2137</v>
      </c>
      <c r="AT79" s="979">
        <v>1936</v>
      </c>
      <c r="AV79" s="1014"/>
      <c r="AW79" s="1014"/>
      <c r="AX79" s="1030"/>
      <c r="AY79" s="1030"/>
      <c r="AZ79" s="1030"/>
      <c r="BA79" s="1030"/>
      <c r="BB79" s="401"/>
      <c r="BC79" s="1014"/>
      <c r="BD79" s="1026"/>
      <c r="BE79" s="1014"/>
      <c r="BF79" s="1023"/>
      <c r="BG79" s="1001"/>
      <c r="BH79" s="927" t="s">
        <v>2138</v>
      </c>
      <c r="BI79" s="934" t="s">
        <v>2139</v>
      </c>
      <c r="BJ79" s="934" t="s">
        <v>2140</v>
      </c>
      <c r="BK79" s="934" t="s">
        <v>2141</v>
      </c>
      <c r="BL79" s="934" t="s">
        <v>2142</v>
      </c>
      <c r="BM79" s="934" t="s">
        <v>2143</v>
      </c>
      <c r="BN79" s="934" t="s">
        <v>2144</v>
      </c>
      <c r="BO79" s="934" t="s">
        <v>2145</v>
      </c>
      <c r="BP79" s="934" t="s">
        <v>2146</v>
      </c>
      <c r="BQ79" s="955"/>
      <c r="BR79" s="955"/>
      <c r="BS79" s="955"/>
      <c r="BT79" s="955"/>
      <c r="BU79" s="955"/>
      <c r="BV79" s="955"/>
      <c r="BW79" s="955"/>
      <c r="BX79" s="955"/>
      <c r="BY79" s="955"/>
      <c r="BZ79" s="955"/>
      <c r="CA79" s="955"/>
      <c r="CB79" s="955"/>
      <c r="CC79" s="955"/>
      <c r="CD79" s="917"/>
      <c r="CE79" s="917"/>
      <c r="CF79" s="917"/>
      <c r="CG79" s="917"/>
      <c r="CH79" s="917"/>
      <c r="CI79" s="917"/>
      <c r="CJ79" s="917"/>
      <c r="CK79" s="917"/>
      <c r="CL79" s="917"/>
      <c r="CM79" s="917"/>
      <c r="CN79" s="917"/>
      <c r="CO79" s="917"/>
      <c r="CP79" s="917"/>
      <c r="CQ79" s="917"/>
      <c r="CR79" s="917"/>
      <c r="CS79" s="917"/>
      <c r="CT79" s="917"/>
      <c r="CU79" s="917"/>
      <c r="CV79" s="917"/>
      <c r="CW79" s="917"/>
      <c r="CX79" s="917"/>
      <c r="CY79" s="917"/>
      <c r="CZ79" s="917"/>
      <c r="DA79" s="917"/>
      <c r="DB79" s="917"/>
      <c r="DC79" s="917"/>
      <c r="DD79" s="917"/>
      <c r="DE79" s="917"/>
      <c r="DF79" s="917"/>
      <c r="DG79" s="917"/>
      <c r="DH79" s="917"/>
      <c r="DI79" s="917"/>
      <c r="DJ79" s="917"/>
      <c r="DK79" s="917"/>
      <c r="DL79" s="917"/>
      <c r="DM79" s="917"/>
      <c r="DN79" s="917"/>
      <c r="DO79" s="917"/>
      <c r="DP79" s="917"/>
      <c r="DQ79" s="917"/>
      <c r="DR79" s="917"/>
      <c r="DS79" s="917"/>
      <c r="DT79" s="917"/>
      <c r="DU79" s="917"/>
      <c r="DV79" s="917"/>
      <c r="DW79" s="917"/>
      <c r="DX79" s="917"/>
      <c r="DY79" s="917"/>
      <c r="DZ79" s="917"/>
      <c r="EA79" s="917"/>
      <c r="EB79" s="917"/>
      <c r="EC79" s="917"/>
      <c r="ED79" s="917"/>
      <c r="EE79" s="917"/>
      <c r="EF79" s="917"/>
      <c r="EG79" s="917"/>
      <c r="EH79" s="917"/>
      <c r="EI79" s="917"/>
      <c r="EJ79" s="917"/>
      <c r="EK79" s="917"/>
      <c r="EL79" s="917"/>
      <c r="EM79" s="917"/>
      <c r="EN79" s="917"/>
      <c r="EO79" s="917"/>
    </row>
    <row r="80" spans="2:145" ht="17.25" customHeight="1">
      <c r="D80" s="836">
        <f>COUNTA(人物卡!BE117:BJ128,人物卡!BM117:BR128)</f>
        <v>0</v>
      </c>
      <c r="E80" s="836">
        <v>1</v>
      </c>
      <c r="F80" s="836">
        <f>IF(人物卡!BE117="",0,1)</f>
        <v>0</v>
      </c>
      <c r="G80" s="1032">
        <f>IF(人物卡!BM117="",0,1)</f>
        <v>0</v>
      </c>
      <c r="H80" s="1032">
        <f>IF(F80=0,0,IF(人物卡!BK117="",1,0))</f>
        <v>0</v>
      </c>
      <c r="I80" s="994">
        <f>IF(G80=0,0,IF(人物卡!BS117="",1,0))</f>
        <v>0</v>
      </c>
      <c r="K80" s="1716" t="s">
        <v>2147</v>
      </c>
      <c r="L80" s="1716"/>
      <c r="M80" s="1716"/>
      <c r="N80" s="1716"/>
      <c r="O80" s="1716"/>
      <c r="P80" s="1716"/>
      <c r="Q80" s="1716"/>
      <c r="S80" s="2783"/>
      <c r="T80" s="2783"/>
      <c r="U80" s="2783"/>
      <c r="V80" s="2783"/>
      <c r="X80" s="959" t="s">
        <v>166</v>
      </c>
      <c r="Y80" s="854"/>
      <c r="AA80" s="19" t="str">
        <f>人物卡!BE33&amp;人物卡!BQ33</f>
        <v>信用评级0</v>
      </c>
      <c r="AC80" s="19" t="str">
        <f>人物卡!CA33&amp;人物卡!CM33</f>
        <v>导航10</v>
      </c>
      <c r="AE80" s="979">
        <v>1937</v>
      </c>
      <c r="AF80" s="401" t="s">
        <v>148</v>
      </c>
      <c r="AG80" s="401"/>
      <c r="AH80" s="401"/>
      <c r="AI80" s="827" t="s">
        <v>2148</v>
      </c>
      <c r="AJ80" s="827" t="s">
        <v>2149</v>
      </c>
      <c r="AK80" s="827" t="s">
        <v>2150</v>
      </c>
      <c r="AL80" s="401" t="s">
        <v>2003</v>
      </c>
      <c r="AM80" s="401" t="s">
        <v>2151</v>
      </c>
      <c r="AN80" s="401" t="s">
        <v>2152</v>
      </c>
      <c r="AO80" s="921" t="s">
        <v>2153</v>
      </c>
      <c r="AP80" s="836" t="s">
        <v>2086</v>
      </c>
      <c r="AQ80" s="401" t="s">
        <v>2154</v>
      </c>
      <c r="AR80" s="836" t="s">
        <v>2155</v>
      </c>
      <c r="AS80" s="921" t="s">
        <v>2156</v>
      </c>
      <c r="AT80" s="979">
        <v>1937</v>
      </c>
      <c r="AV80" s="1014"/>
      <c r="AW80" s="1014"/>
      <c r="AX80" s="1030"/>
      <c r="AY80" s="1030"/>
      <c r="AZ80" s="1030"/>
      <c r="BA80" s="1030"/>
      <c r="BB80" s="401"/>
      <c r="BC80" s="1014"/>
      <c r="BD80" s="1026"/>
      <c r="BE80" s="1014"/>
      <c r="BF80" s="1023"/>
      <c r="BG80" s="1001"/>
      <c r="BH80" s="1017" t="s">
        <v>2145</v>
      </c>
      <c r="BI80" s="934" t="s">
        <v>2157</v>
      </c>
      <c r="BJ80" s="934" t="s">
        <v>2158</v>
      </c>
      <c r="BK80" s="934" t="s">
        <v>2159</v>
      </c>
      <c r="BL80" s="934" t="s">
        <v>2160</v>
      </c>
      <c r="BM80" s="934" t="s">
        <v>2161</v>
      </c>
      <c r="BN80" s="934" t="s">
        <v>2162</v>
      </c>
      <c r="BO80" s="917"/>
      <c r="BP80" s="917"/>
      <c r="BQ80" s="917"/>
      <c r="BR80" s="917"/>
      <c r="BS80" s="917"/>
      <c r="BT80" s="917"/>
      <c r="BU80" s="917"/>
      <c r="BV80" s="917"/>
      <c r="BW80" s="917"/>
      <c r="BX80" s="917"/>
      <c r="BY80" s="917"/>
      <c r="BZ80" s="917"/>
      <c r="CA80" s="917"/>
      <c r="CB80" s="917"/>
      <c r="CC80" s="917"/>
      <c r="CD80" s="917"/>
      <c r="CE80" s="917"/>
      <c r="CF80" s="917"/>
      <c r="CG80" s="917"/>
      <c r="CH80" s="917"/>
      <c r="CI80" s="917"/>
      <c r="CJ80" s="917"/>
      <c r="CK80" s="917"/>
      <c r="CL80" s="917"/>
      <c r="CM80" s="917"/>
      <c r="CN80" s="917"/>
      <c r="CO80" s="917"/>
      <c r="CP80" s="917"/>
      <c r="CQ80" s="917"/>
      <c r="CR80" s="917"/>
      <c r="CS80" s="917"/>
      <c r="CT80" s="917"/>
      <c r="CU80" s="917"/>
      <c r="CV80" s="917"/>
      <c r="CW80" s="917"/>
      <c r="CX80" s="917"/>
      <c r="CY80" s="917"/>
      <c r="CZ80" s="917"/>
      <c r="DA80" s="917"/>
      <c r="DB80" s="917"/>
      <c r="DC80" s="917"/>
      <c r="DD80" s="917"/>
      <c r="DE80" s="917"/>
      <c r="DF80" s="917"/>
      <c r="DG80" s="917"/>
      <c r="DH80" s="917"/>
      <c r="DI80" s="917"/>
      <c r="DJ80" s="917"/>
      <c r="DK80" s="917"/>
      <c r="DL80" s="917"/>
      <c r="DM80" s="917"/>
      <c r="DN80" s="917"/>
      <c r="DO80" s="917"/>
      <c r="DP80" s="917"/>
      <c r="DQ80" s="917"/>
      <c r="DR80" s="917"/>
      <c r="DS80" s="917"/>
      <c r="DT80" s="917"/>
      <c r="DU80" s="917"/>
      <c r="DV80" s="917"/>
      <c r="DW80" s="917"/>
      <c r="DX80" s="917"/>
      <c r="DY80" s="917"/>
      <c r="DZ80" s="917"/>
      <c r="EA80" s="917"/>
      <c r="EB80" s="917"/>
      <c r="EC80" s="917"/>
      <c r="ED80" s="917"/>
      <c r="EE80" s="917"/>
      <c r="EF80" s="917"/>
      <c r="EG80" s="917"/>
      <c r="EH80" s="917"/>
      <c r="EI80" s="917"/>
      <c r="EJ80" s="917"/>
      <c r="EK80" s="917"/>
      <c r="EL80" s="917"/>
      <c r="EM80" s="917"/>
      <c r="EN80" s="917"/>
      <c r="EO80" s="917"/>
    </row>
    <row r="81" spans="2:145" ht="17.25" customHeight="1">
      <c r="E81" s="836">
        <v>2</v>
      </c>
      <c r="F81" s="836">
        <f>IF(人物卡!BE118="",0,1)</f>
        <v>0</v>
      </c>
      <c r="G81" s="1032">
        <f>IF(人物卡!BM118="",0,1)</f>
        <v>0</v>
      </c>
      <c r="H81" s="994">
        <f>IF(F81=0,0,IF(人物卡!BK118="",1,0))</f>
        <v>0</v>
      </c>
      <c r="I81" s="994">
        <f>IF(G81=0,0,IF(人物卡!BS118="",1,0))</f>
        <v>0</v>
      </c>
      <c r="S81" s="2783"/>
      <c r="T81" s="2783"/>
      <c r="U81" s="2783"/>
      <c r="V81" s="2783"/>
      <c r="X81" s="959" t="s">
        <v>2163</v>
      </c>
      <c r="Y81" s="854"/>
      <c r="AA81" s="19" t="str">
        <f>人物卡!BE34&amp;人物卡!BQ34</f>
        <v>克苏鲁神话0</v>
      </c>
      <c r="AC81" s="19" t="str">
        <f>人物卡!CA34&amp;人物卡!CM34</f>
        <v>心理学10</v>
      </c>
      <c r="AE81" s="979">
        <v>1938</v>
      </c>
      <c r="AF81" s="401" t="s">
        <v>148</v>
      </c>
      <c r="AG81" s="401"/>
      <c r="AH81" s="401"/>
      <c r="AI81" s="827" t="s">
        <v>2164</v>
      </c>
      <c r="AJ81" s="827" t="s">
        <v>2165</v>
      </c>
      <c r="AK81" s="827"/>
      <c r="AL81" s="401" t="s">
        <v>2003</v>
      </c>
      <c r="AM81" s="401" t="s">
        <v>2166</v>
      </c>
      <c r="AN81" s="401" t="s">
        <v>2167</v>
      </c>
      <c r="AO81" s="921" t="s">
        <v>2168</v>
      </c>
      <c r="AP81" s="836" t="s">
        <v>2086</v>
      </c>
      <c r="AQ81" s="401" t="s">
        <v>2169</v>
      </c>
      <c r="AR81" s="836" t="s">
        <v>2170</v>
      </c>
      <c r="AS81" s="921" t="s">
        <v>2171</v>
      </c>
      <c r="AT81" s="979">
        <v>1938</v>
      </c>
      <c r="AV81" s="1014"/>
      <c r="AW81" s="1014"/>
      <c r="AX81" s="1030"/>
      <c r="AY81" s="1030"/>
      <c r="AZ81" s="1030"/>
      <c r="BA81" s="1030"/>
      <c r="BB81" s="401"/>
      <c r="BC81" s="1014"/>
      <c r="BD81" s="1026"/>
      <c r="BE81" s="1014"/>
      <c r="BF81" s="1023"/>
      <c r="BG81" s="1001"/>
      <c r="BI81" s="1033"/>
      <c r="BJ81" s="1033"/>
      <c r="BK81" s="1033"/>
      <c r="BL81" s="1033"/>
      <c r="BM81" s="1033"/>
      <c r="BN81" s="917"/>
      <c r="BO81" s="917"/>
      <c r="BP81" s="917"/>
      <c r="BQ81" s="917"/>
      <c r="BR81" s="917"/>
      <c r="BS81" s="917"/>
      <c r="BT81" s="917"/>
      <c r="BU81" s="917"/>
      <c r="BV81" s="917"/>
      <c r="BW81" s="917"/>
      <c r="BX81" s="917"/>
      <c r="BY81" s="917"/>
      <c r="BZ81" s="917"/>
      <c r="CA81" s="917"/>
      <c r="CB81" s="917"/>
      <c r="CC81" s="917"/>
      <c r="CD81" s="917"/>
      <c r="CE81" s="917"/>
      <c r="CF81" s="917"/>
      <c r="CG81" s="917"/>
      <c r="CH81" s="917"/>
      <c r="CI81" s="917"/>
      <c r="CJ81" s="917"/>
      <c r="CK81" s="917"/>
      <c r="CL81" s="917"/>
      <c r="CM81" s="917"/>
      <c r="CN81" s="917"/>
      <c r="CO81" s="917"/>
      <c r="CP81" s="917"/>
      <c r="CQ81" s="917"/>
      <c r="CR81" s="917"/>
      <c r="CS81" s="917"/>
      <c r="CT81" s="917"/>
      <c r="CU81" s="917"/>
      <c r="CV81" s="917"/>
      <c r="CW81" s="917"/>
      <c r="CX81" s="917"/>
      <c r="CY81" s="917"/>
      <c r="CZ81" s="917"/>
      <c r="DA81" s="917"/>
      <c r="DB81" s="917"/>
      <c r="DC81" s="917"/>
      <c r="DD81" s="917"/>
      <c r="DE81" s="917"/>
      <c r="DF81" s="917"/>
      <c r="DG81" s="917"/>
      <c r="DH81" s="917"/>
      <c r="DI81" s="917"/>
      <c r="DJ81" s="917"/>
      <c r="DK81" s="917"/>
      <c r="DL81" s="917"/>
      <c r="DM81" s="917"/>
      <c r="DN81" s="917"/>
      <c r="DO81" s="917"/>
      <c r="DP81" s="917"/>
      <c r="DQ81" s="917"/>
      <c r="DR81" s="917"/>
      <c r="DS81" s="917"/>
      <c r="DT81" s="917"/>
      <c r="DU81" s="917"/>
      <c r="DV81" s="917"/>
      <c r="DW81" s="917"/>
      <c r="DX81" s="917"/>
      <c r="DY81" s="917"/>
      <c r="DZ81" s="917"/>
      <c r="EA81" s="917"/>
      <c r="EB81" s="917"/>
      <c r="EC81" s="917"/>
      <c r="ED81" s="917"/>
      <c r="EE81" s="917"/>
      <c r="EF81" s="917"/>
      <c r="EG81" s="917"/>
      <c r="EH81" s="917"/>
      <c r="EI81" s="917"/>
      <c r="EJ81" s="917"/>
      <c r="EK81" s="917"/>
      <c r="EL81" s="917"/>
      <c r="EM81" s="917"/>
      <c r="EN81" s="917"/>
      <c r="EO81" s="917"/>
    </row>
    <row r="82" spans="2:145" ht="17.25" customHeight="1">
      <c r="C82" s="989"/>
      <c r="E82" s="836">
        <v>3</v>
      </c>
      <c r="F82" s="836">
        <f>IF(人物卡!BE119="",0,1)</f>
        <v>0</v>
      </c>
      <c r="G82" s="1032">
        <f>IF(人物卡!BM119="",0,1)</f>
        <v>0</v>
      </c>
      <c r="H82" s="994">
        <f>IF(F82=0,0,IF(人物卡!BK119="",1,0))</f>
        <v>0</v>
      </c>
      <c r="I82" s="994">
        <f>IF(G82=0,0,IF(人物卡!BS119="",1,0))</f>
        <v>0</v>
      </c>
      <c r="K82" s="1542" t="s">
        <v>1931</v>
      </c>
      <c r="L82" s="1542"/>
      <c r="M82" s="836" t="s">
        <v>2172</v>
      </c>
      <c r="N82" s="792" t="s">
        <v>2173</v>
      </c>
      <c r="O82" s="792" t="s">
        <v>2128</v>
      </c>
      <c r="S82" s="2783"/>
      <c r="T82" s="2783"/>
      <c r="U82" s="2783"/>
      <c r="V82" s="2783"/>
      <c r="X82" s="959" t="s">
        <v>2163</v>
      </c>
      <c r="Y82" s="854"/>
      <c r="AA82" s="19" t="str">
        <f>人物卡!BE35&amp;人物卡!BQ35</f>
        <v>机械维修10</v>
      </c>
      <c r="AC82" s="19" t="str">
        <f>人物卡!CA35&amp;人物卡!CM35</f>
        <v>取悦15</v>
      </c>
      <c r="AE82" s="979">
        <v>1939</v>
      </c>
      <c r="AF82" s="827" t="s">
        <v>2174</v>
      </c>
      <c r="AG82" s="827"/>
      <c r="AH82" s="827"/>
      <c r="AI82" s="401" t="s">
        <v>148</v>
      </c>
      <c r="AJ82" s="401"/>
      <c r="AK82" s="401"/>
      <c r="AL82" s="401" t="s">
        <v>2003</v>
      </c>
      <c r="AM82" s="401" t="s">
        <v>2175</v>
      </c>
      <c r="AN82" s="401" t="s">
        <v>2176</v>
      </c>
      <c r="AO82" s="921" t="s">
        <v>2177</v>
      </c>
      <c r="AP82" s="836" t="s">
        <v>2086</v>
      </c>
      <c r="AQ82" s="401" t="s">
        <v>2178</v>
      </c>
      <c r="AR82" s="836" t="s">
        <v>2179</v>
      </c>
      <c r="AS82" s="921" t="s">
        <v>2180</v>
      </c>
      <c r="AT82" s="979">
        <v>1939</v>
      </c>
      <c r="AV82" s="1014"/>
      <c r="AW82" s="1014"/>
      <c r="AX82" s="1030"/>
      <c r="AY82" s="1030"/>
      <c r="AZ82" s="1030"/>
      <c r="BA82" s="1030"/>
      <c r="BB82" s="401"/>
      <c r="BC82" s="1014"/>
      <c r="BD82" s="1026"/>
      <c r="BE82" s="1014"/>
      <c r="BF82" s="1023"/>
      <c r="BG82" s="1001"/>
      <c r="BH82" s="1027" t="s">
        <v>2181</v>
      </c>
      <c r="BI82" s="917"/>
      <c r="BJ82" s="917"/>
      <c r="BK82" s="917"/>
      <c r="BL82" s="917"/>
      <c r="BM82" s="917"/>
      <c r="BN82" s="917"/>
      <c r="BO82" s="917"/>
      <c r="BP82" s="917"/>
      <c r="BQ82" s="917"/>
      <c r="BR82" s="917"/>
      <c r="BS82" s="917"/>
      <c r="BT82" s="917"/>
      <c r="BU82" s="917"/>
      <c r="BV82" s="917"/>
      <c r="BW82" s="917"/>
      <c r="BX82" s="917"/>
      <c r="BY82" s="917"/>
      <c r="BZ82" s="917"/>
      <c r="CA82" s="917"/>
      <c r="CB82" s="917"/>
      <c r="CC82" s="917"/>
      <c r="CD82" s="917"/>
      <c r="CE82" s="917"/>
      <c r="CF82" s="917"/>
      <c r="CG82" s="917"/>
      <c r="CH82" s="917"/>
      <c r="CI82" s="917"/>
      <c r="CJ82" s="917"/>
      <c r="CK82" s="917"/>
      <c r="CL82" s="917"/>
      <c r="CM82" s="917"/>
      <c r="CN82" s="917"/>
      <c r="CO82" s="917"/>
      <c r="CP82" s="917"/>
      <c r="CQ82" s="917"/>
      <c r="CR82" s="917"/>
      <c r="CS82" s="917"/>
      <c r="CT82" s="917"/>
      <c r="CU82" s="917"/>
      <c r="CV82" s="917"/>
      <c r="CW82" s="917"/>
      <c r="CX82" s="917"/>
      <c r="CY82" s="917"/>
      <c r="CZ82" s="917"/>
      <c r="DA82" s="917"/>
      <c r="DB82" s="917"/>
      <c r="DC82" s="917"/>
      <c r="DD82" s="917"/>
      <c r="DE82" s="917"/>
      <c r="DF82" s="917"/>
      <c r="DG82" s="917"/>
      <c r="DH82" s="917"/>
      <c r="DI82" s="917"/>
      <c r="DJ82" s="917"/>
      <c r="DK82" s="917"/>
      <c r="DL82" s="917"/>
      <c r="DM82" s="917"/>
      <c r="DN82" s="917"/>
      <c r="DO82" s="917"/>
      <c r="DP82" s="917"/>
      <c r="DQ82" s="917"/>
      <c r="DR82" s="917"/>
      <c r="DS82" s="917"/>
      <c r="DT82" s="917"/>
      <c r="DU82" s="917"/>
      <c r="DV82" s="917"/>
      <c r="DW82" s="917"/>
      <c r="DX82" s="917"/>
      <c r="DY82" s="917"/>
      <c r="DZ82" s="917"/>
      <c r="EA82" s="917"/>
      <c r="EB82" s="917"/>
      <c r="EC82" s="917"/>
      <c r="ED82" s="917"/>
      <c r="EE82" s="917"/>
      <c r="EF82" s="917"/>
      <c r="EG82" s="917"/>
      <c r="EH82" s="917"/>
      <c r="EI82" s="917"/>
      <c r="EJ82" s="917"/>
      <c r="EK82" s="917"/>
      <c r="EL82" s="917"/>
      <c r="EM82" s="917"/>
      <c r="EN82" s="917"/>
      <c r="EO82" s="917"/>
    </row>
    <row r="83" spans="2:145" ht="17.25" customHeight="1">
      <c r="C83" s="989"/>
      <c r="E83" s="994">
        <v>4</v>
      </c>
      <c r="F83" s="836">
        <f>IF(人物卡!BE120="",0,1)</f>
        <v>0</v>
      </c>
      <c r="G83" s="1032">
        <f>IF(人物卡!BM120="",0,1)</f>
        <v>0</v>
      </c>
      <c r="H83" s="994">
        <f>IF(F83=0,0,IF(人物卡!BK120="",1,0))</f>
        <v>0</v>
      </c>
      <c r="I83" s="994">
        <f>IF(G83=0,0,IF(人物卡!BS120="",1,0))</f>
        <v>0</v>
      </c>
      <c r="K83" s="836">
        <v>1</v>
      </c>
      <c r="L83" s="836">
        <f>IF(人物卡!BA91="",0,1)</f>
        <v>0</v>
      </c>
      <c r="M83" s="836">
        <f>IF(L83=0,0,IF(人物卡!BK91="",1,0))</f>
        <v>0</v>
      </c>
      <c r="N83" s="836">
        <f>IF(L83=0,0,IF(人物卡!BP91="",1,0))</f>
        <v>0</v>
      </c>
      <c r="O83" s="401">
        <f>IF(L83=0,0,IF(人物卡!BS91="",1,0))</f>
        <v>0</v>
      </c>
      <c r="P83" s="952"/>
      <c r="S83" s="2783"/>
      <c r="T83" s="2783"/>
      <c r="U83" s="2783"/>
      <c r="V83" s="2783"/>
      <c r="X83" s="959" t="s">
        <v>172</v>
      </c>
      <c r="Y83" s="854"/>
      <c r="AA83" s="19" t="str">
        <f>人物卡!BE36&amp;人物卡!BQ36</f>
        <v>电气维修10</v>
      </c>
      <c r="AC83" s="19" t="str">
        <f>人物卡!CA36&amp;人物卡!CM36</f>
        <v>话术5</v>
      </c>
      <c r="AE83" s="979">
        <v>1940</v>
      </c>
      <c r="AF83" s="827" t="s">
        <v>2174</v>
      </c>
      <c r="AG83" s="827" t="s">
        <v>1651</v>
      </c>
      <c r="AH83" s="827"/>
      <c r="AI83" s="401" t="s">
        <v>2182</v>
      </c>
      <c r="AJ83" s="401"/>
      <c r="AK83" s="401"/>
      <c r="AL83" s="401" t="s">
        <v>2183</v>
      </c>
      <c r="AM83" s="401" t="s">
        <v>2184</v>
      </c>
      <c r="AN83" s="401" t="s">
        <v>2185</v>
      </c>
      <c r="AO83" s="921" t="s">
        <v>2186</v>
      </c>
      <c r="AP83" s="401" t="s">
        <v>2187</v>
      </c>
      <c r="AQ83" s="401" t="s">
        <v>2188</v>
      </c>
      <c r="AR83" s="836" t="s">
        <v>2189</v>
      </c>
      <c r="AS83" s="921" t="s">
        <v>2190</v>
      </c>
      <c r="AT83" s="979">
        <v>1940</v>
      </c>
      <c r="AV83" s="1014"/>
      <c r="AW83" s="1014"/>
      <c r="AX83" s="1030"/>
      <c r="AY83" s="1030"/>
      <c r="AZ83" s="1030"/>
      <c r="BA83" s="1030"/>
      <c r="BB83" s="401"/>
      <c r="BC83" s="1014"/>
      <c r="BD83" s="1026"/>
      <c r="BE83" s="1014"/>
      <c r="BF83" s="1023"/>
      <c r="BG83" s="1001"/>
      <c r="BH83" s="927" t="s">
        <v>2191</v>
      </c>
      <c r="BI83" s="934" t="s">
        <v>2192</v>
      </c>
      <c r="BJ83" s="934" t="s">
        <v>2193</v>
      </c>
      <c r="BK83" s="934" t="s">
        <v>2194</v>
      </c>
      <c r="BL83" s="934" t="s">
        <v>2195</v>
      </c>
      <c r="BM83" s="934" t="s">
        <v>2196</v>
      </c>
      <c r="BN83" s="934" t="s">
        <v>2197</v>
      </c>
      <c r="BO83" s="934" t="s">
        <v>2198</v>
      </c>
      <c r="BP83" s="934" t="s">
        <v>2199</v>
      </c>
      <c r="BQ83" s="934" t="s">
        <v>2200</v>
      </c>
      <c r="BR83" s="934" t="s">
        <v>2201</v>
      </c>
      <c r="BS83" s="934" t="s">
        <v>2202</v>
      </c>
      <c r="BT83" s="934" t="s">
        <v>2203</v>
      </c>
      <c r="BU83" s="934" t="s">
        <v>2204</v>
      </c>
      <c r="BV83" s="934" t="s">
        <v>2205</v>
      </c>
      <c r="BW83" s="934"/>
      <c r="BX83" s="917"/>
      <c r="BY83" s="917"/>
      <c r="BZ83" s="917"/>
      <c r="CA83" s="917"/>
      <c r="CB83" s="917"/>
      <c r="CC83" s="917"/>
      <c r="CD83" s="917"/>
      <c r="CE83" s="917"/>
      <c r="CF83" s="917"/>
      <c r="CG83" s="917"/>
      <c r="CH83" s="917"/>
      <c r="CI83" s="917"/>
      <c r="CJ83" s="917"/>
      <c r="CK83" s="917"/>
      <c r="CL83" s="917"/>
      <c r="CM83" s="917"/>
      <c r="CN83" s="917"/>
      <c r="CO83" s="917"/>
      <c r="CP83" s="917"/>
      <c r="CQ83" s="917"/>
      <c r="CR83" s="917"/>
      <c r="CS83" s="917"/>
      <c r="CT83" s="917"/>
      <c r="CU83" s="917"/>
      <c r="CV83" s="917"/>
      <c r="CW83" s="917"/>
      <c r="CX83" s="917"/>
      <c r="CY83" s="917"/>
      <c r="CZ83" s="917"/>
      <c r="DA83" s="917"/>
      <c r="DB83" s="917"/>
      <c r="DC83" s="917"/>
      <c r="DD83" s="917"/>
      <c r="DE83" s="917"/>
      <c r="DF83" s="917"/>
      <c r="DG83" s="917"/>
      <c r="DH83" s="917"/>
      <c r="DI83" s="917"/>
      <c r="DJ83" s="917"/>
      <c r="DK83" s="917"/>
      <c r="DL83" s="917"/>
      <c r="DM83" s="917"/>
      <c r="DN83" s="917"/>
      <c r="DO83" s="917"/>
      <c r="DP83" s="917"/>
      <c r="DQ83" s="917"/>
      <c r="DR83" s="917"/>
      <c r="DS83" s="917"/>
      <c r="DT83" s="917"/>
      <c r="DU83" s="917"/>
      <c r="DV83" s="917"/>
      <c r="DW83" s="917"/>
      <c r="DX83" s="917"/>
      <c r="DY83" s="917"/>
      <c r="DZ83" s="917"/>
      <c r="EA83" s="917"/>
      <c r="EB83" s="917"/>
      <c r="EC83" s="917"/>
      <c r="ED83" s="917"/>
      <c r="EE83" s="917"/>
      <c r="EF83" s="917"/>
      <c r="EG83" s="917"/>
      <c r="EH83" s="917"/>
      <c r="EI83" s="917"/>
      <c r="EJ83" s="917"/>
      <c r="EK83" s="917"/>
      <c r="EL83" s="917"/>
      <c r="EM83" s="917"/>
      <c r="EN83" s="917"/>
      <c r="EO83" s="917"/>
    </row>
    <row r="84" spans="2:145" ht="17.25" customHeight="1">
      <c r="B84" s="989"/>
      <c r="C84" s="994"/>
      <c r="E84" s="836">
        <v>5</v>
      </c>
      <c r="F84" s="836">
        <f>IF(人物卡!BE121="",0,1)</f>
        <v>0</v>
      </c>
      <c r="G84" s="1032">
        <f>IF(人物卡!BM121="",0,1)</f>
        <v>0</v>
      </c>
      <c r="H84" s="994">
        <f>IF(F84=0,0,IF(人物卡!BK121="",1,0))</f>
        <v>0</v>
      </c>
      <c r="I84" s="994">
        <f>IF(G84=0,0,IF(人物卡!BS121="",1,0))</f>
        <v>0</v>
      </c>
      <c r="K84" s="836">
        <v>2</v>
      </c>
      <c r="L84" s="836">
        <f>IF(人物卡!BA92="",0,1)</f>
        <v>0</v>
      </c>
      <c r="M84" s="836">
        <f>IF(L84=0,0,IF(人物卡!BK92="",1,0))</f>
        <v>0</v>
      </c>
      <c r="N84" s="836">
        <f>IF(L84=0,0,IF(人物卡!BP92="",1,0))</f>
        <v>0</v>
      </c>
      <c r="O84" s="952">
        <f>IF(L84=0,0,IF(人物卡!BS92="",1,0))</f>
        <v>0</v>
      </c>
      <c r="P84" s="952"/>
      <c r="S84" s="2783"/>
      <c r="T84" s="2783"/>
      <c r="U84" s="2783"/>
      <c r="V84" s="2783"/>
      <c r="X84" s="967" t="s">
        <v>174</v>
      </c>
      <c r="Y84" s="854"/>
      <c r="AA84" s="19" t="str">
        <f>"电子学"&amp;人物卡!BQ37</f>
        <v>电子学1</v>
      </c>
      <c r="AC84" s="19" t="str">
        <f>人物卡!CA37&amp;人物卡!CM37</f>
        <v>恐吓15</v>
      </c>
      <c r="AE84" s="979">
        <v>1941</v>
      </c>
      <c r="AF84" s="827" t="s">
        <v>2174</v>
      </c>
      <c r="AG84" s="827"/>
      <c r="AH84" s="827"/>
      <c r="AI84" s="401" t="s">
        <v>2206</v>
      </c>
      <c r="AJ84" s="401"/>
      <c r="AK84" s="401"/>
      <c r="AL84" s="401" t="s">
        <v>2183</v>
      </c>
      <c r="AM84" s="401" t="s">
        <v>2207</v>
      </c>
      <c r="AN84" s="401" t="s">
        <v>2208</v>
      </c>
      <c r="AO84" s="921" t="s">
        <v>2209</v>
      </c>
      <c r="AP84" s="836" t="s">
        <v>2086</v>
      </c>
      <c r="AQ84" s="401" t="s">
        <v>2210</v>
      </c>
      <c r="AR84" s="836" t="s">
        <v>2211</v>
      </c>
      <c r="AS84" s="921" t="s">
        <v>2212</v>
      </c>
      <c r="AT84" s="979">
        <v>1941</v>
      </c>
      <c r="AV84" s="1014"/>
      <c r="AW84" s="1014"/>
      <c r="AX84" s="1030"/>
      <c r="AY84" s="1030"/>
      <c r="AZ84" s="1030"/>
      <c r="BA84" s="1030"/>
      <c r="BB84" s="401"/>
      <c r="BC84" s="1014"/>
      <c r="BD84" s="1014"/>
      <c r="BE84" s="1014"/>
      <c r="BF84" s="1023"/>
      <c r="BG84" s="1001"/>
      <c r="BH84" s="1017" t="s">
        <v>2213</v>
      </c>
      <c r="BI84" s="934" t="s">
        <v>2214</v>
      </c>
      <c r="BJ84" s="934" t="s">
        <v>2215</v>
      </c>
      <c r="BK84" s="934" t="s">
        <v>2216</v>
      </c>
      <c r="BL84" s="934" t="s">
        <v>2217</v>
      </c>
      <c r="BM84" s="934" t="s">
        <v>2218</v>
      </c>
      <c r="BN84" s="934" t="s">
        <v>2219</v>
      </c>
      <c r="BO84" s="934" t="s">
        <v>2220</v>
      </c>
      <c r="BP84" s="934" t="s">
        <v>2221</v>
      </c>
      <c r="BQ84" s="934" t="s">
        <v>2222</v>
      </c>
      <c r="BR84" s="934" t="s">
        <v>2223</v>
      </c>
      <c r="BS84" s="934"/>
      <c r="BT84" s="917"/>
      <c r="BU84" s="917"/>
      <c r="BV84" s="917"/>
      <c r="BW84" s="917"/>
      <c r="BX84" s="917"/>
      <c r="BY84" s="917"/>
      <c r="BZ84" s="917"/>
      <c r="CA84" s="917"/>
      <c r="CB84" s="917"/>
      <c r="CC84" s="917"/>
      <c r="CD84" s="917"/>
      <c r="CE84" s="917"/>
      <c r="CF84" s="917"/>
      <c r="CG84" s="917"/>
      <c r="CH84" s="917"/>
      <c r="CI84" s="917"/>
      <c r="CJ84" s="917"/>
      <c r="CK84" s="917"/>
      <c r="CL84" s="917"/>
      <c r="CM84" s="917"/>
      <c r="CN84" s="917"/>
      <c r="CO84" s="917"/>
      <c r="CP84" s="917"/>
      <c r="CQ84" s="917"/>
      <c r="CR84" s="917"/>
      <c r="CS84" s="917"/>
      <c r="CT84" s="917"/>
      <c r="CU84" s="917"/>
      <c r="CV84" s="917"/>
      <c r="CW84" s="917"/>
      <c r="CX84" s="917"/>
      <c r="CY84" s="917"/>
      <c r="CZ84" s="917"/>
      <c r="DA84" s="917"/>
      <c r="DB84" s="917"/>
      <c r="DC84" s="917"/>
      <c r="DD84" s="917"/>
      <c r="DE84" s="917"/>
      <c r="DF84" s="917"/>
      <c r="DG84" s="917"/>
      <c r="DH84" s="917"/>
      <c r="DI84" s="917"/>
      <c r="DJ84" s="917"/>
      <c r="DK84" s="917"/>
      <c r="DL84" s="917"/>
      <c r="DM84" s="917"/>
      <c r="DN84" s="917"/>
      <c r="DO84" s="917"/>
      <c r="DP84" s="917"/>
      <c r="DQ84" s="917"/>
      <c r="DR84" s="917"/>
      <c r="DS84" s="917"/>
      <c r="DT84" s="917"/>
      <c r="DU84" s="917"/>
      <c r="DV84" s="917"/>
      <c r="DW84" s="917"/>
      <c r="DX84" s="917"/>
      <c r="DY84" s="917"/>
      <c r="DZ84" s="917"/>
      <c r="EA84" s="917"/>
      <c r="EB84" s="917"/>
      <c r="EC84" s="917"/>
      <c r="ED84" s="917"/>
      <c r="EE84" s="917"/>
      <c r="EF84" s="917"/>
      <c r="EG84" s="917"/>
      <c r="EH84" s="917"/>
      <c r="EI84" s="917"/>
      <c r="EJ84" s="917"/>
      <c r="EK84" s="917"/>
      <c r="EL84" s="917"/>
      <c r="EM84" s="917"/>
      <c r="EN84" s="917"/>
      <c r="EO84" s="917"/>
    </row>
    <row r="85" spans="2:145" ht="17.25" customHeight="1">
      <c r="C85" s="989"/>
      <c r="E85" s="989">
        <v>6</v>
      </c>
      <c r="F85" s="836">
        <f>IF(人物卡!BE122="",0,1)</f>
        <v>0</v>
      </c>
      <c r="G85" s="1032">
        <f>IF(人物卡!BM122="",0,1)</f>
        <v>0</v>
      </c>
      <c r="H85" s="994">
        <f>IF(F85=0,0,IF(人物卡!BK122="",1,0))</f>
        <v>0</v>
      </c>
      <c r="I85" s="994">
        <f>IF(G85=0,0,IF(人物卡!BS122="",1,0))</f>
        <v>0</v>
      </c>
      <c r="K85" s="836">
        <v>3</v>
      </c>
      <c r="L85" s="836">
        <f>IF(人物卡!BA93="",0,1)</f>
        <v>0</v>
      </c>
      <c r="M85" s="836">
        <f>IF(L85=0,0,IF(人物卡!BK93="",1,0))</f>
        <v>0</v>
      </c>
      <c r="N85" s="836">
        <f>IF(L85=0,0,IF(人物卡!BP93="",1,0))</f>
        <v>0</v>
      </c>
      <c r="O85" s="952">
        <f>IF(L85=0,0,IF(人物卡!BS93="",1,0))</f>
        <v>0</v>
      </c>
      <c r="P85" s="952"/>
      <c r="S85" s="2783"/>
      <c r="T85" s="2783"/>
      <c r="U85" s="2783"/>
      <c r="V85" s="2783"/>
      <c r="X85" s="967" t="s">
        <v>176</v>
      </c>
      <c r="Y85" s="854"/>
      <c r="AA85" s="19" t="str">
        <f>人物卡!BE38&amp;人物卡!BQ38</f>
        <v>操作重型机械1</v>
      </c>
      <c r="AC85" s="19" t="str">
        <f>人物卡!CA38&amp;人物卡!CM38</f>
        <v>说服10</v>
      </c>
      <c r="AE85" s="979">
        <v>1942</v>
      </c>
      <c r="AF85" s="827" t="s">
        <v>2174</v>
      </c>
      <c r="AG85" s="827"/>
      <c r="AH85" s="827"/>
      <c r="AI85" s="401" t="s">
        <v>148</v>
      </c>
      <c r="AJ85" s="401"/>
      <c r="AK85" s="401"/>
      <c r="AL85" s="401" t="s">
        <v>2183</v>
      </c>
      <c r="AM85" s="401" t="s">
        <v>2224</v>
      </c>
      <c r="AN85" s="401" t="s">
        <v>2225</v>
      </c>
      <c r="AO85" s="921" t="s">
        <v>2226</v>
      </c>
      <c r="AP85" s="836" t="s">
        <v>2086</v>
      </c>
      <c r="AQ85" s="401" t="s">
        <v>2227</v>
      </c>
      <c r="AR85" s="836" t="s">
        <v>2228</v>
      </c>
      <c r="AS85" s="921" t="s">
        <v>2229</v>
      </c>
      <c r="AT85" s="979">
        <v>1942</v>
      </c>
      <c r="AV85" s="1014"/>
      <c r="AW85" s="1014"/>
      <c r="AX85" s="1030"/>
      <c r="AY85" s="1030"/>
      <c r="AZ85" s="1030"/>
      <c r="BA85" s="1030"/>
      <c r="BB85" s="401"/>
      <c r="BC85" s="1014"/>
      <c r="BD85" s="1014"/>
      <c r="BE85" s="1014"/>
      <c r="BF85" s="1023"/>
      <c r="BG85" s="1001"/>
      <c r="BH85" s="927" t="s">
        <v>2230</v>
      </c>
      <c r="BI85" s="934" t="s">
        <v>2231</v>
      </c>
      <c r="BJ85" s="934" t="s">
        <v>2232</v>
      </c>
      <c r="BK85" s="934" t="s">
        <v>2233</v>
      </c>
      <c r="BL85" s="934" t="s">
        <v>2234</v>
      </c>
      <c r="BM85" s="934" t="s">
        <v>2235</v>
      </c>
      <c r="BN85" s="934" t="s">
        <v>2236</v>
      </c>
      <c r="BO85" s="934" t="s">
        <v>2237</v>
      </c>
      <c r="BP85" s="934" t="s">
        <v>2238</v>
      </c>
      <c r="BQ85" s="934" t="s">
        <v>2239</v>
      </c>
      <c r="BR85" s="934" t="s">
        <v>2240</v>
      </c>
      <c r="BS85" s="934" t="s">
        <v>2241</v>
      </c>
      <c r="BT85" s="934" t="s">
        <v>2242</v>
      </c>
      <c r="BU85" s="934" t="s">
        <v>2243</v>
      </c>
      <c r="BV85" s="917"/>
      <c r="BW85" s="917"/>
      <c r="BX85" s="917"/>
      <c r="BY85" s="917"/>
      <c r="BZ85" s="917"/>
      <c r="CA85" s="917"/>
      <c r="CB85" s="917"/>
      <c r="CC85" s="917"/>
      <c r="CD85" s="917"/>
      <c r="CE85" s="917"/>
      <c r="CF85" s="917"/>
      <c r="CG85" s="917"/>
      <c r="CH85" s="917"/>
      <c r="CI85" s="917"/>
      <c r="CJ85" s="917"/>
      <c r="CK85" s="917"/>
      <c r="CL85" s="917"/>
      <c r="CM85" s="917"/>
      <c r="CN85" s="917"/>
      <c r="CO85" s="917"/>
      <c r="CP85" s="917"/>
      <c r="CQ85" s="917"/>
      <c r="CR85" s="917"/>
      <c r="CS85" s="917"/>
      <c r="CT85" s="917"/>
      <c r="CU85" s="917"/>
      <c r="CV85" s="917"/>
      <c r="CW85" s="917"/>
      <c r="CX85" s="917"/>
      <c r="CY85" s="917"/>
      <c r="CZ85" s="917"/>
      <c r="DA85" s="917"/>
      <c r="DB85" s="917"/>
      <c r="DC85" s="917"/>
      <c r="DD85" s="917"/>
      <c r="DE85" s="917"/>
      <c r="DF85" s="917"/>
      <c r="DG85" s="917"/>
      <c r="DH85" s="917"/>
      <c r="DI85" s="917"/>
      <c r="DJ85" s="917"/>
      <c r="DK85" s="917"/>
      <c r="DL85" s="917"/>
      <c r="DM85" s="917"/>
      <c r="DN85" s="917"/>
      <c r="DO85" s="917"/>
      <c r="DP85" s="917"/>
      <c r="DQ85" s="917"/>
      <c r="DR85" s="917"/>
      <c r="DS85" s="917"/>
      <c r="DT85" s="917"/>
      <c r="DU85" s="917"/>
      <c r="DV85" s="917"/>
      <c r="DW85" s="917"/>
      <c r="DX85" s="917"/>
      <c r="DY85" s="917"/>
      <c r="DZ85" s="917"/>
      <c r="EA85" s="917"/>
      <c r="EB85" s="917"/>
      <c r="EC85" s="917"/>
      <c r="ED85" s="917"/>
      <c r="EE85" s="917"/>
      <c r="EF85" s="917"/>
      <c r="EG85" s="917"/>
      <c r="EH85" s="917"/>
      <c r="EI85" s="917"/>
      <c r="EJ85" s="917"/>
      <c r="EK85" s="917"/>
      <c r="EL85" s="917"/>
      <c r="EM85" s="917"/>
      <c r="EN85" s="917"/>
      <c r="EO85" s="917"/>
    </row>
    <row r="86" spans="2:145" ht="17.25" customHeight="1">
      <c r="B86" s="994"/>
      <c r="C86" s="989"/>
      <c r="E86" s="836">
        <v>7</v>
      </c>
      <c r="F86" s="836">
        <f>IF(人物卡!BE123="",0,1)</f>
        <v>0</v>
      </c>
      <c r="G86" s="1032">
        <f>IF(人物卡!BM123="",0,1)</f>
        <v>0</v>
      </c>
      <c r="H86" s="994">
        <f>IF(F86=0,0,IF(人物卡!BK123="",1,0))</f>
        <v>0</v>
      </c>
      <c r="I86" s="994">
        <f>IF(G86=0,0,IF(人物卡!BS123="",1,0))</f>
        <v>0</v>
      </c>
      <c r="K86" s="836">
        <v>4</v>
      </c>
      <c r="L86" s="836">
        <f>IF(人物卡!BA94="",0,1)</f>
        <v>0</v>
      </c>
      <c r="M86" s="836">
        <f>IF(L86=0,0,IF(人物卡!BK94="",1,0))</f>
        <v>0</v>
      </c>
      <c r="N86" s="836">
        <f>IF(L86=0,0,IF(人物卡!BP94="",1,0))</f>
        <v>0</v>
      </c>
      <c r="O86" s="952">
        <f>IF(L86=0,0,IF(人物卡!BS94="",1,0))</f>
        <v>0</v>
      </c>
      <c r="P86" s="952"/>
      <c r="S86" s="2783"/>
      <c r="T86" s="2783"/>
      <c r="U86" s="2783"/>
      <c r="V86" s="2783"/>
      <c r="X86" s="967" t="s">
        <v>178</v>
      </c>
      <c r="Y86" s="854"/>
      <c r="AA86" s="19" t="str">
        <f>人物卡!BE39&amp;人物卡!BQ39</f>
        <v>爆破1</v>
      </c>
      <c r="AC86" s="19" t="str">
        <f>人物卡!CA39&amp;人物卡!CM39</f>
        <v>跳跃20</v>
      </c>
      <c r="AE86" s="979">
        <v>1943</v>
      </c>
      <c r="AF86" s="827" t="s">
        <v>2174</v>
      </c>
      <c r="AG86" s="827"/>
      <c r="AH86" s="827"/>
      <c r="AI86" s="401" t="s">
        <v>148</v>
      </c>
      <c r="AJ86" s="401"/>
      <c r="AK86" s="401"/>
      <c r="AL86" s="401" t="s">
        <v>2183</v>
      </c>
      <c r="AM86" s="401" t="s">
        <v>2244</v>
      </c>
      <c r="AN86" s="401" t="s">
        <v>2245</v>
      </c>
      <c r="AO86" s="921" t="s">
        <v>2246</v>
      </c>
      <c r="AP86" s="401" t="s">
        <v>2247</v>
      </c>
      <c r="AQ86" s="401" t="s">
        <v>2248</v>
      </c>
      <c r="AR86" s="836" t="s">
        <v>2249</v>
      </c>
      <c r="AS86" s="921" t="s">
        <v>2250</v>
      </c>
      <c r="AT86" s="979">
        <v>1943</v>
      </c>
      <c r="AV86" s="1014"/>
      <c r="AW86" s="1014"/>
      <c r="AX86" s="1030"/>
      <c r="AY86" s="1030"/>
      <c r="AZ86" s="1030"/>
      <c r="BA86" s="1030"/>
      <c r="BB86" s="401"/>
      <c r="BC86" s="1014"/>
      <c r="BD86" s="1014"/>
      <c r="BE86" s="1014"/>
      <c r="BF86" s="1023"/>
      <c r="BG86" s="1001"/>
      <c r="BH86" s="927" t="s">
        <v>2251</v>
      </c>
      <c r="BI86" s="934" t="s">
        <v>2252</v>
      </c>
      <c r="BJ86" s="934" t="s">
        <v>2253</v>
      </c>
      <c r="BK86" s="934" t="s">
        <v>2254</v>
      </c>
      <c r="BL86" s="934" t="s">
        <v>2255</v>
      </c>
      <c r="BM86" s="934" t="s">
        <v>2256</v>
      </c>
      <c r="BN86" s="934" t="s">
        <v>2257</v>
      </c>
      <c r="BO86" s="934" t="s">
        <v>2258</v>
      </c>
      <c r="BP86" s="917"/>
      <c r="BQ86" s="917"/>
      <c r="BR86" s="917"/>
      <c r="BS86" s="917"/>
      <c r="BT86" s="917"/>
      <c r="BU86" s="917"/>
      <c r="BV86" s="917"/>
      <c r="BW86" s="917"/>
      <c r="BX86" s="917"/>
      <c r="BY86" s="917"/>
      <c r="BZ86" s="917"/>
      <c r="CA86" s="917"/>
      <c r="CB86" s="917"/>
      <c r="CC86" s="917"/>
      <c r="CD86" s="917"/>
      <c r="CE86" s="917"/>
      <c r="CF86" s="917"/>
      <c r="CG86" s="917"/>
      <c r="CH86" s="917"/>
      <c r="CI86" s="917"/>
      <c r="CJ86" s="917"/>
      <c r="CK86" s="917"/>
      <c r="CL86" s="917"/>
      <c r="CM86" s="917"/>
      <c r="CN86" s="917"/>
      <c r="CO86" s="917"/>
      <c r="CP86" s="917"/>
      <c r="CQ86" s="917"/>
      <c r="CR86" s="917"/>
      <c r="CS86" s="917"/>
      <c r="CT86" s="917"/>
      <c r="CU86" s="917"/>
      <c r="CV86" s="917"/>
      <c r="CW86" s="917"/>
      <c r="CX86" s="917"/>
      <c r="CY86" s="917"/>
      <c r="CZ86" s="917"/>
      <c r="DA86" s="917"/>
      <c r="DB86" s="917"/>
      <c r="DC86" s="917"/>
      <c r="DD86" s="917"/>
      <c r="DE86" s="917"/>
      <c r="DF86" s="917"/>
      <c r="DG86" s="917"/>
      <c r="DH86" s="917"/>
      <c r="DI86" s="917"/>
      <c r="DJ86" s="917"/>
      <c r="DK86" s="917"/>
      <c r="DL86" s="917"/>
      <c r="DM86" s="917"/>
      <c r="DN86" s="917"/>
      <c r="DO86" s="917"/>
      <c r="DP86" s="917"/>
      <c r="DQ86" s="917"/>
      <c r="DR86" s="917"/>
      <c r="DS86" s="917"/>
      <c r="DT86" s="917"/>
      <c r="DU86" s="917"/>
      <c r="DV86" s="917"/>
      <c r="DW86" s="917"/>
      <c r="DX86" s="917"/>
      <c r="DY86" s="917"/>
      <c r="DZ86" s="917"/>
      <c r="EA86" s="917"/>
      <c r="EB86" s="917"/>
      <c r="EC86" s="917"/>
      <c r="ED86" s="917"/>
      <c r="EE86" s="917"/>
      <c r="EF86" s="917"/>
      <c r="EG86" s="917"/>
      <c r="EH86" s="917"/>
      <c r="EI86" s="917"/>
      <c r="EJ86" s="917"/>
      <c r="EK86" s="917"/>
      <c r="EL86" s="917"/>
      <c r="EM86" s="917"/>
      <c r="EN86" s="917"/>
      <c r="EO86" s="917"/>
    </row>
    <row r="87" spans="2:145" ht="17.25" customHeight="1">
      <c r="B87" s="988"/>
      <c r="C87" s="989"/>
      <c r="E87" s="994">
        <v>8</v>
      </c>
      <c r="F87" s="836">
        <f>IF(人物卡!BE124="",0,1)</f>
        <v>0</v>
      </c>
      <c r="G87" s="1032">
        <f>IF(人物卡!BM124="",0,1)</f>
        <v>0</v>
      </c>
      <c r="H87" s="994">
        <f>IF(F87=0,0,IF(人物卡!BK124="",1,0))</f>
        <v>0</v>
      </c>
      <c r="I87" s="994">
        <f>IF(G87=0,0,IF(人物卡!BS124="",1,0))</f>
        <v>0</v>
      </c>
      <c r="K87" s="836">
        <v>5</v>
      </c>
      <c r="L87" s="836">
        <f>IF(人物卡!BA95="",0,1)</f>
        <v>0</v>
      </c>
      <c r="M87" s="836">
        <f>IF(L87=0,0,IF(人物卡!BK95="",1,0))</f>
        <v>0</v>
      </c>
      <c r="N87" s="836">
        <f>IF(L87=0,0,IF(人物卡!BP95="",1,0))</f>
        <v>0</v>
      </c>
      <c r="O87" s="952">
        <f>IF(L87=0,0,IF(人物卡!BS95="",1,0))</f>
        <v>0</v>
      </c>
      <c r="P87" s="952"/>
      <c r="S87" s="2783"/>
      <c r="T87" s="2783"/>
      <c r="U87" s="2783"/>
      <c r="V87" s="2783"/>
      <c r="X87" s="967" t="s">
        <v>2259</v>
      </c>
      <c r="Y87" s="854"/>
      <c r="AA87" s="19" t="str">
        <f>"计算机使用"&amp;人物卡!BQ40</f>
        <v>计算机使用0</v>
      </c>
      <c r="AC87" s="19" t="str">
        <f>人物卡!CA40&amp;人物卡!CM40</f>
        <v>攀爬20</v>
      </c>
      <c r="AD87" s="978"/>
      <c r="AE87" s="979">
        <v>1944</v>
      </c>
      <c r="AF87" s="827" t="s">
        <v>2260</v>
      </c>
      <c r="AG87" s="827" t="s">
        <v>1651</v>
      </c>
      <c r="AH87" s="827"/>
      <c r="AI87" s="401" t="s">
        <v>148</v>
      </c>
      <c r="AJ87" s="401"/>
      <c r="AK87" s="401"/>
      <c r="AL87" s="401" t="s">
        <v>2183</v>
      </c>
      <c r="AM87" s="401" t="s">
        <v>2261</v>
      </c>
      <c r="AN87" s="401" t="s">
        <v>2262</v>
      </c>
      <c r="AO87" s="921" t="s">
        <v>2263</v>
      </c>
      <c r="AP87" s="836" t="s">
        <v>2086</v>
      </c>
      <c r="AQ87" s="401" t="s">
        <v>2264</v>
      </c>
      <c r="AR87" s="836" t="s">
        <v>2265</v>
      </c>
      <c r="AS87" s="921" t="s">
        <v>2266</v>
      </c>
      <c r="AT87" s="979">
        <v>1944</v>
      </c>
      <c r="AV87" s="1024"/>
      <c r="AW87" s="1024"/>
      <c r="AX87" s="1014"/>
      <c r="AY87" s="1014"/>
      <c r="AZ87" s="1024"/>
      <c r="BA87" s="1024"/>
      <c r="BB87" s="401"/>
      <c r="BC87" s="1014"/>
      <c r="BD87" s="1014"/>
      <c r="BE87" s="1014"/>
      <c r="BF87" s="1023"/>
      <c r="BG87" s="1001"/>
      <c r="BH87" s="927" t="s">
        <v>2267</v>
      </c>
      <c r="BI87" s="934" t="s">
        <v>2268</v>
      </c>
      <c r="BJ87" s="934" t="s">
        <v>2269</v>
      </c>
      <c r="BK87" s="934" t="s">
        <v>2270</v>
      </c>
      <c r="BL87" s="934" t="s">
        <v>2271</v>
      </c>
      <c r="BM87" s="934" t="s">
        <v>2272</v>
      </c>
      <c r="BN87" s="934" t="s">
        <v>2273</v>
      </c>
      <c r="BO87" s="934" t="s">
        <v>2274</v>
      </c>
      <c r="BP87" s="934" t="s">
        <v>2275</v>
      </c>
      <c r="BQ87" s="934" t="s">
        <v>2276</v>
      </c>
      <c r="BR87" s="934" t="s">
        <v>2277</v>
      </c>
      <c r="BS87" s="934" t="s">
        <v>2278</v>
      </c>
      <c r="BT87" s="934" t="s">
        <v>2279</v>
      </c>
      <c r="BU87" s="934" t="s">
        <v>2280</v>
      </c>
      <c r="BV87" s="934" t="s">
        <v>2281</v>
      </c>
      <c r="BW87" s="934" t="s">
        <v>2282</v>
      </c>
      <c r="BX87" s="934" t="s">
        <v>2283</v>
      </c>
      <c r="BY87" s="934" t="s">
        <v>2284</v>
      </c>
      <c r="BZ87" s="934" t="s">
        <v>2285</v>
      </c>
      <c r="CA87" s="934" t="s">
        <v>2286</v>
      </c>
      <c r="CB87" s="934" t="s">
        <v>2287</v>
      </c>
      <c r="CC87" s="934" t="s">
        <v>2288</v>
      </c>
      <c r="CD87" s="934" t="s">
        <v>2289</v>
      </c>
      <c r="CE87" s="934" t="s">
        <v>2290</v>
      </c>
      <c r="CF87" s="934" t="s">
        <v>2291</v>
      </c>
      <c r="CG87" s="934" t="s">
        <v>2292</v>
      </c>
      <c r="CH87" s="934" t="s">
        <v>2293</v>
      </c>
      <c r="CI87" s="934" t="s">
        <v>2294</v>
      </c>
      <c r="CJ87" s="934" t="s">
        <v>2295</v>
      </c>
      <c r="CK87" s="934" t="s">
        <v>2296</v>
      </c>
      <c r="CL87" s="934" t="s">
        <v>2297</v>
      </c>
      <c r="CM87" s="934" t="s">
        <v>2298</v>
      </c>
      <c r="CN87" s="934" t="s">
        <v>2299</v>
      </c>
      <c r="CO87" s="934" t="s">
        <v>2300</v>
      </c>
      <c r="CP87" s="934" t="s">
        <v>2301</v>
      </c>
      <c r="CQ87" s="934" t="s">
        <v>2302</v>
      </c>
      <c r="CR87" s="934" t="s">
        <v>2303</v>
      </c>
      <c r="CS87" s="934" t="s">
        <v>2304</v>
      </c>
      <c r="CT87" s="934" t="s">
        <v>2305</v>
      </c>
      <c r="CU87" s="934" t="s">
        <v>2306</v>
      </c>
      <c r="CV87" s="934" t="s">
        <v>2307</v>
      </c>
      <c r="CW87" s="934" t="s">
        <v>2308</v>
      </c>
      <c r="CX87" s="934" t="s">
        <v>2309</v>
      </c>
      <c r="CY87" s="934" t="s">
        <v>2310</v>
      </c>
      <c r="CZ87" s="934" t="s">
        <v>2311</v>
      </c>
      <c r="DA87" s="934" t="s">
        <v>2312</v>
      </c>
      <c r="DB87" s="934" t="s">
        <v>2313</v>
      </c>
      <c r="DC87" s="934" t="s">
        <v>2314</v>
      </c>
      <c r="DD87" s="934" t="s">
        <v>2315</v>
      </c>
      <c r="DE87" s="934" t="s">
        <v>2316</v>
      </c>
      <c r="DF87" s="934" t="s">
        <v>2317</v>
      </c>
      <c r="DG87" s="934" t="s">
        <v>2318</v>
      </c>
      <c r="DH87" s="934" t="s">
        <v>2319</v>
      </c>
      <c r="DI87" s="934" t="s">
        <v>2320</v>
      </c>
      <c r="DJ87" s="934" t="s">
        <v>2321</v>
      </c>
      <c r="DK87" s="934" t="s">
        <v>2322</v>
      </c>
      <c r="DL87" s="934" t="s">
        <v>2323</v>
      </c>
      <c r="DM87" s="934" t="s">
        <v>2324</v>
      </c>
      <c r="DN87" s="934" t="s">
        <v>2325</v>
      </c>
      <c r="DO87" s="934" t="s">
        <v>2326</v>
      </c>
      <c r="DP87" s="955"/>
      <c r="DQ87" s="955"/>
      <c r="DR87" s="955"/>
      <c r="DS87" s="955"/>
      <c r="DT87" s="955"/>
      <c r="DU87" s="955"/>
      <c r="DV87" s="955"/>
      <c r="DW87" s="955"/>
      <c r="DX87" s="955"/>
      <c r="DY87" s="955"/>
      <c r="DZ87" s="955"/>
      <c r="EA87" s="955"/>
      <c r="EB87" s="955"/>
      <c r="EC87" s="955"/>
      <c r="ED87" s="955"/>
      <c r="EE87" s="955"/>
      <c r="EF87" s="955"/>
      <c r="EG87" s="955"/>
      <c r="EH87" s="955"/>
      <c r="EI87" s="955"/>
      <c r="EJ87" s="955"/>
      <c r="EK87" s="955"/>
      <c r="EL87" s="955"/>
      <c r="EM87" s="955"/>
      <c r="EN87" s="955"/>
      <c r="EO87" s="955"/>
    </row>
    <row r="88" spans="2:145" ht="17.25" customHeight="1">
      <c r="B88" s="989"/>
      <c r="C88" s="989"/>
      <c r="E88" s="836">
        <v>9</v>
      </c>
      <c r="F88" s="836">
        <f>IF(人物卡!BE125="",0,1)</f>
        <v>0</v>
      </c>
      <c r="G88" s="1032">
        <f>IF(人物卡!BM125="",0,1)</f>
        <v>0</v>
      </c>
      <c r="H88" s="994">
        <f>IF(F88=0,0,IF(人物卡!BK125="",1,0))</f>
        <v>0</v>
      </c>
      <c r="I88" s="994">
        <f>IF(G88=0,0,IF(人物卡!BS125="",1,0))</f>
        <v>0</v>
      </c>
      <c r="K88" s="836" t="s">
        <v>1631</v>
      </c>
      <c r="L88" s="836">
        <f>SUM(L83:L87)</f>
        <v>0</v>
      </c>
      <c r="M88" s="836">
        <f>SUM(M83:M87)</f>
        <v>0</v>
      </c>
      <c r="N88" s="836">
        <f>SUM(N83:N87)</f>
        <v>0</v>
      </c>
      <c r="O88" s="836">
        <f>SUM(O83:O87)</f>
        <v>0</v>
      </c>
      <c r="P88" s="952"/>
      <c r="S88" s="401"/>
      <c r="T88" s="401"/>
      <c r="U88" s="401"/>
      <c r="V88" s="401"/>
      <c r="X88" s="967" t="s">
        <v>2259</v>
      </c>
      <c r="Y88" s="854"/>
      <c r="AA88" s="19" t="str">
        <f>IF(人物卡!BG41=0,"",人物卡!BG41&amp;人物卡!BQ41)</f>
        <v/>
      </c>
      <c r="AC88" s="19" t="str">
        <f>IF(人物卡!CC41=0,"",人物卡!CC41&amp;人物卡!CM41)</f>
        <v/>
      </c>
      <c r="AD88" s="978"/>
      <c r="AE88" s="979">
        <v>1945</v>
      </c>
      <c r="AF88" s="827" t="s">
        <v>2174</v>
      </c>
      <c r="AG88" s="827"/>
      <c r="AH88" s="827"/>
      <c r="AI88" s="952" t="s">
        <v>2327</v>
      </c>
      <c r="AJ88" s="952" t="s">
        <v>2328</v>
      </c>
      <c r="AK88" s="952" t="s">
        <v>2329</v>
      </c>
      <c r="AL88" s="401" t="s">
        <v>2183</v>
      </c>
      <c r="AM88" s="401" t="s">
        <v>2330</v>
      </c>
      <c r="AN88" s="401" t="s">
        <v>2331</v>
      </c>
      <c r="AO88" s="921" t="s">
        <v>2332</v>
      </c>
      <c r="AP88" s="836" t="s">
        <v>2333</v>
      </c>
      <c r="AQ88" s="401" t="s">
        <v>2334</v>
      </c>
      <c r="AR88" s="836" t="s">
        <v>2335</v>
      </c>
      <c r="AS88" s="952" t="s">
        <v>2336</v>
      </c>
      <c r="AT88" s="979">
        <v>1945</v>
      </c>
      <c r="AV88" s="1024"/>
      <c r="AW88" s="1024"/>
      <c r="AX88" s="1014"/>
      <c r="AY88" s="1014"/>
      <c r="AZ88" s="1024"/>
      <c r="BA88" s="1024"/>
      <c r="BB88" s="401"/>
      <c r="BC88" s="1014"/>
      <c r="BD88" s="1014"/>
      <c r="BE88" s="1014"/>
      <c r="BF88" s="1023"/>
      <c r="BG88" s="1001"/>
      <c r="BH88" s="927" t="s">
        <v>2337</v>
      </c>
      <c r="BI88" s="934" t="s">
        <v>2338</v>
      </c>
      <c r="BJ88" s="934" t="s">
        <v>2339</v>
      </c>
      <c r="BK88" s="934" t="s">
        <v>2340</v>
      </c>
      <c r="BL88" s="934" t="s">
        <v>2341</v>
      </c>
      <c r="BM88" s="934" t="s">
        <v>2342</v>
      </c>
      <c r="BN88" s="934" t="s">
        <v>2343</v>
      </c>
      <c r="BO88" s="934" t="s">
        <v>2344</v>
      </c>
      <c r="BP88" s="934" t="s">
        <v>2345</v>
      </c>
      <c r="BQ88" s="934" t="s">
        <v>2346</v>
      </c>
      <c r="BR88" s="934" t="s">
        <v>2347</v>
      </c>
      <c r="BS88" s="934" t="s">
        <v>2348</v>
      </c>
      <c r="BT88" s="934" t="s">
        <v>2349</v>
      </c>
      <c r="BU88" s="934" t="s">
        <v>2350</v>
      </c>
      <c r="BV88" s="934" t="s">
        <v>2351</v>
      </c>
      <c r="BW88" s="934" t="s">
        <v>2352</v>
      </c>
      <c r="BX88" s="934" t="s">
        <v>2353</v>
      </c>
      <c r="BY88" s="934" t="s">
        <v>2354</v>
      </c>
      <c r="BZ88" s="934" t="s">
        <v>2355</v>
      </c>
      <c r="CA88" s="934" t="s">
        <v>2356</v>
      </c>
      <c r="CB88" s="934" t="s">
        <v>2357</v>
      </c>
      <c r="CC88" s="934" t="s">
        <v>2358</v>
      </c>
      <c r="CD88" s="934" t="s">
        <v>2359</v>
      </c>
      <c r="CE88" s="934" t="s">
        <v>2360</v>
      </c>
      <c r="CF88" s="934" t="s">
        <v>2361</v>
      </c>
      <c r="CG88" s="917"/>
      <c r="CH88" s="917"/>
      <c r="CI88" s="917"/>
      <c r="CJ88" s="917"/>
      <c r="CK88" s="917"/>
      <c r="CL88" s="917"/>
      <c r="CM88" s="917"/>
      <c r="CN88" s="917"/>
      <c r="CO88" s="917"/>
      <c r="CP88" s="917"/>
      <c r="CQ88" s="917"/>
      <c r="CR88" s="917"/>
      <c r="CS88" s="917"/>
      <c r="CT88" s="917"/>
      <c r="CU88" s="917"/>
      <c r="CV88" s="917"/>
      <c r="CW88" s="917"/>
      <c r="CX88" s="917"/>
      <c r="CY88" s="917"/>
      <c r="CZ88" s="917"/>
      <c r="DA88" s="917"/>
      <c r="DB88" s="917"/>
      <c r="DC88" s="917"/>
      <c r="DD88" s="917"/>
      <c r="DE88" s="917"/>
      <c r="DF88" s="917"/>
      <c r="DG88" s="917"/>
      <c r="DH88" s="917"/>
      <c r="DI88" s="917"/>
      <c r="DJ88" s="917"/>
      <c r="DK88" s="917"/>
      <c r="DL88" s="917"/>
      <c r="DM88" s="917"/>
      <c r="DN88" s="917"/>
      <c r="DO88" s="917"/>
      <c r="DP88" s="917"/>
      <c r="DQ88" s="917"/>
      <c r="DR88" s="917"/>
      <c r="DS88" s="917"/>
      <c r="DT88" s="917"/>
      <c r="DU88" s="917"/>
      <c r="DV88" s="917"/>
      <c r="DW88" s="917"/>
      <c r="DX88" s="917"/>
      <c r="DY88" s="917"/>
      <c r="DZ88" s="917"/>
      <c r="EA88" s="917"/>
      <c r="EB88" s="917"/>
      <c r="EC88" s="917"/>
      <c r="ED88" s="917"/>
      <c r="EE88" s="917"/>
      <c r="EF88" s="917"/>
      <c r="EG88" s="917"/>
      <c r="EH88" s="917"/>
      <c r="EI88" s="917"/>
      <c r="EJ88" s="917"/>
      <c r="EK88" s="917"/>
      <c r="EL88" s="917"/>
      <c r="EM88" s="917"/>
      <c r="EN88" s="917"/>
      <c r="EO88" s="917"/>
    </row>
    <row r="89" spans="2:145" ht="17.25" customHeight="1">
      <c r="B89" s="989"/>
      <c r="C89" s="989"/>
      <c r="E89" s="989">
        <v>10</v>
      </c>
      <c r="F89" s="836">
        <f>IF(人物卡!BE126="",0,1)</f>
        <v>0</v>
      </c>
      <c r="G89" s="1032">
        <f>IF(人物卡!BM126="",0,1)</f>
        <v>0</v>
      </c>
      <c r="H89" s="994">
        <f>IF(F89=0,0,IF(人物卡!BK126="",1,0))</f>
        <v>0</v>
      </c>
      <c r="I89" s="994">
        <f>IF(G89=0,0,IF(人物卡!BS126="",1,0))</f>
        <v>0</v>
      </c>
      <c r="K89" s="1542" t="str">
        <f>IF(P90=0,"没携带弹药？或许是不需要",IF(M88&gt;0,"未填写弹药数量！",IF(N88&gt;0,"未填写储存方式！",IF(O88&gt;0,"未填写弹药价值！","携带了"&amp;P90&amp;"种弹药"))))</f>
        <v>没携带弹药？或许是不需要</v>
      </c>
      <c r="L89" s="1542"/>
      <c r="M89" s="1542"/>
      <c r="N89" s="1542"/>
      <c r="O89" s="1542"/>
      <c r="P89" s="952" t="s">
        <v>2172</v>
      </c>
      <c r="S89" s="401"/>
      <c r="T89" s="401"/>
      <c r="U89" s="401"/>
      <c r="V89" s="401"/>
      <c r="X89" s="967" t="s">
        <v>187</v>
      </c>
      <c r="Y89" s="854"/>
      <c r="AA89" s="19" t="str">
        <f>IF(人物卡!BG42=0,"",人物卡!BG42&amp;人物卡!BQ42)</f>
        <v/>
      </c>
      <c r="AC89" s="19" t="str">
        <f>IF(人物卡!CC42=0,"",人物卡!CC42&amp;人物卡!CM42)</f>
        <v/>
      </c>
      <c r="AD89" s="978"/>
      <c r="AE89" s="979">
        <v>1946</v>
      </c>
      <c r="AF89" s="401" t="s">
        <v>148</v>
      </c>
      <c r="AG89" s="401"/>
      <c r="AH89" s="401"/>
      <c r="AI89" s="401" t="s">
        <v>2362</v>
      </c>
      <c r="AJ89" s="401"/>
      <c r="AK89" s="401"/>
      <c r="AL89" s="401" t="s">
        <v>2183</v>
      </c>
      <c r="AM89" s="401" t="s">
        <v>2363</v>
      </c>
      <c r="AN89" s="401" t="s">
        <v>2364</v>
      </c>
      <c r="AO89" s="836" t="s">
        <v>2365</v>
      </c>
      <c r="AP89" s="836" t="s">
        <v>2366</v>
      </c>
      <c r="AQ89" s="401" t="s">
        <v>2367</v>
      </c>
      <c r="AR89" s="836" t="s">
        <v>2368</v>
      </c>
      <c r="AS89" s="836" t="s">
        <v>2369</v>
      </c>
      <c r="AT89" s="979">
        <v>1946</v>
      </c>
      <c r="BB89" s="401"/>
      <c r="BE89" s="1014"/>
      <c r="BF89" s="1023"/>
      <c r="BG89" s="1001"/>
      <c r="BH89" s="927" t="s">
        <v>2370</v>
      </c>
      <c r="BI89" s="934" t="s">
        <v>2371</v>
      </c>
      <c r="BJ89" s="934" t="s">
        <v>2372</v>
      </c>
      <c r="BK89" s="934" t="s">
        <v>2373</v>
      </c>
      <c r="BL89" s="934" t="s">
        <v>2374</v>
      </c>
      <c r="BM89" s="934" t="s">
        <v>2375</v>
      </c>
      <c r="BN89" s="934" t="s">
        <v>2376</v>
      </c>
      <c r="BO89" s="934" t="s">
        <v>2377</v>
      </c>
      <c r="BP89" s="934" t="s">
        <v>2378</v>
      </c>
      <c r="BQ89" s="934" t="s">
        <v>2379</v>
      </c>
      <c r="BR89" s="934" t="s">
        <v>2380</v>
      </c>
      <c r="BS89" s="934" t="s">
        <v>2381</v>
      </c>
      <c r="BT89" s="934" t="s">
        <v>2382</v>
      </c>
      <c r="BU89" s="934" t="s">
        <v>2383</v>
      </c>
      <c r="BV89" s="934" t="s">
        <v>2384</v>
      </c>
      <c r="BW89" s="934" t="s">
        <v>2385</v>
      </c>
      <c r="BX89" s="934" t="s">
        <v>2386</v>
      </c>
      <c r="BY89" s="934"/>
      <c r="BZ89" s="934"/>
      <c r="CA89" s="917"/>
      <c r="CB89" s="917"/>
      <c r="CC89" s="917"/>
      <c r="CD89" s="917"/>
      <c r="CE89" s="917"/>
      <c r="CF89" s="917"/>
      <c r="CG89" s="917"/>
      <c r="CH89" s="917"/>
      <c r="CI89" s="917"/>
      <c r="CJ89" s="917"/>
      <c r="CK89" s="917"/>
      <c r="CL89" s="917"/>
      <c r="CM89" s="917"/>
      <c r="CN89" s="917"/>
      <c r="CO89" s="917"/>
      <c r="CP89" s="917"/>
      <c r="CQ89" s="917"/>
      <c r="CR89" s="917"/>
      <c r="CS89" s="917"/>
      <c r="CT89" s="917"/>
      <c r="CU89" s="917"/>
      <c r="CV89" s="917"/>
      <c r="CW89" s="917"/>
      <c r="CX89" s="917"/>
      <c r="CY89" s="917"/>
      <c r="CZ89" s="917"/>
      <c r="DA89" s="917"/>
      <c r="DB89" s="917"/>
      <c r="DC89" s="917"/>
      <c r="DD89" s="917"/>
      <c r="DE89" s="917"/>
      <c r="DF89" s="917"/>
      <c r="DG89" s="917"/>
      <c r="DH89" s="917"/>
      <c r="DI89" s="917"/>
      <c r="DJ89" s="917"/>
      <c r="DK89" s="917"/>
      <c r="DL89" s="917"/>
      <c r="DM89" s="917"/>
      <c r="DN89" s="917"/>
      <c r="DO89" s="917"/>
      <c r="DP89" s="917"/>
      <c r="DQ89" s="917"/>
      <c r="DR89" s="917"/>
      <c r="DS89" s="917"/>
      <c r="DT89" s="917"/>
      <c r="DU89" s="917"/>
      <c r="DV89" s="917"/>
      <c r="DW89" s="917"/>
      <c r="DX89" s="917"/>
      <c r="DY89" s="917"/>
      <c r="DZ89" s="917"/>
      <c r="EA89" s="917"/>
      <c r="EB89" s="917"/>
      <c r="EC89" s="917"/>
      <c r="ED89" s="917"/>
      <c r="EE89" s="917"/>
      <c r="EF89" s="917"/>
      <c r="EG89" s="917"/>
      <c r="EH89" s="917"/>
      <c r="EI89" s="917"/>
      <c r="EJ89" s="917"/>
      <c r="EK89" s="917"/>
      <c r="EL89" s="917"/>
      <c r="EM89" s="917"/>
      <c r="EN89" s="917"/>
      <c r="EO89" s="917"/>
    </row>
    <row r="90" spans="2:145" ht="17.25" customHeight="1">
      <c r="B90" s="989"/>
      <c r="C90" s="989"/>
      <c r="D90" s="989"/>
      <c r="E90" s="836">
        <v>11</v>
      </c>
      <c r="F90" s="836">
        <f>IF(人物卡!BE127="",0,1)</f>
        <v>0</v>
      </c>
      <c r="G90" s="1032">
        <f>IF(人物卡!BM127="",0,1)</f>
        <v>0</v>
      </c>
      <c r="H90" s="994">
        <f>IF(F90=0,0,IF(人物卡!BK127="",1,0))</f>
        <v>0</v>
      </c>
      <c r="I90" s="994">
        <f>IF(G90=0,0,IF(人物卡!BS127="",1,0))</f>
        <v>0</v>
      </c>
      <c r="M90" s="952"/>
      <c r="N90" s="952"/>
      <c r="O90" s="952"/>
      <c r="P90" s="401">
        <f>COUNTA(人物卡!BA91:BJ95)</f>
        <v>0</v>
      </c>
      <c r="S90" s="401"/>
      <c r="T90" s="401"/>
      <c r="U90" s="401"/>
      <c r="V90" s="401"/>
      <c r="X90" s="967" t="s">
        <v>189</v>
      </c>
      <c r="Y90" s="854"/>
      <c r="AA90" s="19" t="str">
        <f>IF(人物卡!BG43=0,"",人物卡!BG43&amp;人物卡!BQ43)</f>
        <v/>
      </c>
      <c r="AC90" s="19" t="str">
        <f>人物卡!CA43&amp;人物卡!CM43</f>
        <v>游泳20</v>
      </c>
      <c r="AD90" s="978"/>
      <c r="AE90" s="979">
        <v>1947</v>
      </c>
      <c r="AF90" s="952" t="s">
        <v>2387</v>
      </c>
      <c r="AG90" s="952"/>
      <c r="AH90" s="952"/>
      <c r="AI90" s="401" t="s">
        <v>148</v>
      </c>
      <c r="AJ90" s="401"/>
      <c r="AK90" s="401"/>
      <c r="AL90" s="401" t="s">
        <v>2183</v>
      </c>
      <c r="AM90" s="401" t="s">
        <v>2388</v>
      </c>
      <c r="AN90" s="401" t="s">
        <v>2389</v>
      </c>
      <c r="AO90" s="836" t="s">
        <v>2390</v>
      </c>
      <c r="AP90" s="836" t="s">
        <v>2366</v>
      </c>
      <c r="AQ90" s="401" t="s">
        <v>2391</v>
      </c>
      <c r="AR90" s="836" t="s">
        <v>2392</v>
      </c>
      <c r="AS90" s="836" t="s">
        <v>2393</v>
      </c>
      <c r="AT90" s="979">
        <v>1947</v>
      </c>
      <c r="BB90" s="401"/>
      <c r="BE90" s="1014"/>
      <c r="BF90" s="1023"/>
      <c r="BG90" s="1001"/>
      <c r="BI90" s="917"/>
      <c r="BJ90" s="917"/>
      <c r="BK90" s="917"/>
      <c r="BL90" s="917"/>
      <c r="BM90" s="917"/>
      <c r="BN90" s="917"/>
      <c r="BO90" s="917"/>
      <c r="BP90" s="917"/>
      <c r="BQ90" s="917"/>
      <c r="BR90" s="917"/>
      <c r="BS90" s="917"/>
      <c r="BT90" s="917"/>
      <c r="BU90" s="917"/>
      <c r="BV90" s="917"/>
      <c r="BW90" s="917"/>
      <c r="BX90" s="917"/>
      <c r="BY90" s="917"/>
      <c r="BZ90" s="917"/>
      <c r="CA90" s="917"/>
      <c r="CB90" s="917"/>
      <c r="CC90" s="917"/>
      <c r="CD90" s="917"/>
      <c r="CE90" s="917"/>
      <c r="CF90" s="917"/>
      <c r="CG90" s="917"/>
      <c r="CH90" s="917"/>
      <c r="CI90" s="917"/>
      <c r="CJ90" s="917"/>
      <c r="CK90" s="917"/>
      <c r="CL90" s="917"/>
      <c r="CM90" s="917"/>
      <c r="CN90" s="917"/>
      <c r="CO90" s="917"/>
      <c r="CP90" s="917"/>
      <c r="CQ90" s="917"/>
      <c r="CR90" s="917"/>
      <c r="CS90" s="917"/>
      <c r="CT90" s="917"/>
      <c r="CU90" s="917"/>
      <c r="CV90" s="917"/>
      <c r="CW90" s="917"/>
      <c r="CX90" s="917"/>
      <c r="CY90" s="917"/>
      <c r="CZ90" s="917"/>
      <c r="DA90" s="917"/>
      <c r="DB90" s="917"/>
      <c r="DC90" s="917"/>
      <c r="DD90" s="917"/>
      <c r="DE90" s="917"/>
      <c r="DF90" s="917"/>
      <c r="DG90" s="917"/>
      <c r="DH90" s="917"/>
      <c r="DI90" s="917"/>
      <c r="DJ90" s="917"/>
      <c r="DK90" s="917"/>
      <c r="DL90" s="917"/>
      <c r="DM90" s="917"/>
      <c r="DN90" s="917"/>
      <c r="DO90" s="917"/>
      <c r="DP90" s="917"/>
      <c r="DQ90" s="917"/>
      <c r="DR90" s="917"/>
      <c r="DS90" s="917"/>
      <c r="DT90" s="917"/>
      <c r="DU90" s="917"/>
      <c r="DV90" s="917"/>
      <c r="DW90" s="917"/>
      <c r="DX90" s="917"/>
      <c r="DY90" s="917"/>
      <c r="DZ90" s="917"/>
      <c r="EA90" s="917"/>
      <c r="EB90" s="917"/>
      <c r="EC90" s="917"/>
      <c r="ED90" s="917"/>
      <c r="EE90" s="917"/>
      <c r="EF90" s="917"/>
      <c r="EG90" s="917"/>
      <c r="EH90" s="917"/>
      <c r="EI90" s="917"/>
      <c r="EJ90" s="917"/>
      <c r="EK90" s="917"/>
      <c r="EL90" s="917"/>
      <c r="EM90" s="917"/>
      <c r="EN90" s="917"/>
      <c r="EO90" s="917"/>
    </row>
    <row r="91" spans="2:145" ht="17.25" customHeight="1">
      <c r="E91" s="989">
        <v>12</v>
      </c>
      <c r="F91" s="836">
        <f>IF(人物卡!BE128="",0,1)</f>
        <v>0</v>
      </c>
      <c r="G91" s="1032">
        <f>IF(人物卡!BM128="",0,1)</f>
        <v>0</v>
      </c>
      <c r="H91" s="994">
        <f>IF(F91=0,0,IF(人物卡!BK128="",1,0))</f>
        <v>0</v>
      </c>
      <c r="I91" s="994">
        <f>IF(G91=0,0,IF(人物卡!BS128="",1,0))</f>
        <v>0</v>
      </c>
      <c r="M91" s="952"/>
      <c r="N91" s="952"/>
      <c r="O91" s="952"/>
      <c r="P91" s="952"/>
      <c r="S91" s="401"/>
      <c r="T91" s="401"/>
      <c r="U91" s="401"/>
      <c r="V91" s="401"/>
      <c r="X91" s="856" t="s">
        <v>191</v>
      </c>
      <c r="Y91" s="854"/>
      <c r="AA91" s="19" t="str">
        <f>IF(人物卡!BG44=0,"",人物卡!BG44&amp;人物卡!BQ44)</f>
        <v/>
      </c>
      <c r="AC91" s="19" t="str">
        <f>人物卡!CA44&amp;人物卡!CM44</f>
        <v>精神分析1</v>
      </c>
      <c r="AD91" s="978"/>
      <c r="AE91" s="979">
        <v>1948</v>
      </c>
      <c r="AF91" s="952" t="s">
        <v>2394</v>
      </c>
      <c r="AG91" s="952" t="s">
        <v>1446</v>
      </c>
      <c r="AH91" s="952"/>
      <c r="AI91" s="401" t="s">
        <v>2395</v>
      </c>
      <c r="AJ91" s="401"/>
      <c r="AK91" s="401"/>
      <c r="AL91" s="401" t="s">
        <v>2183</v>
      </c>
      <c r="AM91" s="401" t="s">
        <v>2396</v>
      </c>
      <c r="AN91" s="401" t="s">
        <v>2397</v>
      </c>
      <c r="AO91" s="836" t="s">
        <v>2398</v>
      </c>
      <c r="AP91" s="836" t="s">
        <v>2366</v>
      </c>
      <c r="AQ91" s="401" t="s">
        <v>2399</v>
      </c>
      <c r="AR91" s="836" t="s">
        <v>2400</v>
      </c>
      <c r="AS91" s="836" t="s">
        <v>2401</v>
      </c>
      <c r="AT91" s="979">
        <v>1948</v>
      </c>
      <c r="BB91" s="401"/>
      <c r="BE91" s="1014"/>
      <c r="BF91" s="1023"/>
      <c r="BG91" s="1001"/>
      <c r="BH91" s="1027" t="s">
        <v>2402</v>
      </c>
      <c r="BI91" s="945"/>
      <c r="BJ91" s="1033"/>
      <c r="BK91" s="1033"/>
      <c r="BL91" s="1033"/>
      <c r="BM91" s="1033"/>
      <c r="BN91" s="917"/>
      <c r="BO91" s="917"/>
      <c r="BP91" s="917"/>
      <c r="BQ91" s="917"/>
      <c r="BR91" s="917"/>
      <c r="BS91" s="917"/>
      <c r="BT91" s="917"/>
      <c r="BU91" s="917"/>
      <c r="BV91" s="917"/>
      <c r="BW91" s="917"/>
      <c r="BX91" s="917"/>
      <c r="BY91" s="917"/>
      <c r="BZ91" s="917"/>
      <c r="CA91" s="917"/>
      <c r="CB91" s="917"/>
      <c r="CC91" s="917"/>
      <c r="CD91" s="917"/>
      <c r="CE91" s="917"/>
      <c r="CF91" s="917"/>
      <c r="CG91" s="917"/>
      <c r="CH91" s="917"/>
      <c r="CI91" s="917"/>
      <c r="CJ91" s="917"/>
      <c r="CK91" s="917"/>
      <c r="CL91" s="917"/>
      <c r="CM91" s="917"/>
      <c r="CN91" s="917"/>
      <c r="CO91" s="917"/>
      <c r="CP91" s="917"/>
      <c r="CQ91" s="917"/>
      <c r="CR91" s="917"/>
      <c r="CS91" s="917"/>
      <c r="CT91" s="917"/>
      <c r="CU91" s="917"/>
      <c r="CV91" s="917"/>
      <c r="CW91" s="917"/>
      <c r="CX91" s="917"/>
      <c r="CY91" s="917"/>
      <c r="CZ91" s="917"/>
      <c r="DA91" s="917"/>
      <c r="DB91" s="917"/>
      <c r="DC91" s="917"/>
      <c r="DD91" s="917"/>
      <c r="DE91" s="917"/>
      <c r="DF91" s="917"/>
      <c r="DG91" s="917"/>
      <c r="DH91" s="917"/>
      <c r="DI91" s="917"/>
      <c r="DJ91" s="917"/>
      <c r="DK91" s="917"/>
      <c r="DL91" s="917"/>
      <c r="DM91" s="917"/>
      <c r="DN91" s="917"/>
      <c r="DO91" s="917"/>
      <c r="DP91" s="917"/>
      <c r="DQ91" s="917"/>
      <c r="DR91" s="917"/>
      <c r="DS91" s="917"/>
      <c r="DT91" s="917"/>
      <c r="DU91" s="917"/>
      <c r="DV91" s="917"/>
      <c r="DW91" s="917"/>
      <c r="DX91" s="917"/>
      <c r="DY91" s="917"/>
      <c r="DZ91" s="917"/>
      <c r="EA91" s="917"/>
      <c r="EB91" s="917"/>
      <c r="EC91" s="917"/>
      <c r="ED91" s="917"/>
      <c r="EE91" s="917"/>
      <c r="EF91" s="917"/>
      <c r="EG91" s="917"/>
      <c r="EH91" s="917"/>
      <c r="EI91" s="917"/>
      <c r="EJ91" s="917"/>
      <c r="EK91" s="917"/>
      <c r="EL91" s="917"/>
      <c r="EM91" s="917"/>
      <c r="EN91" s="917"/>
      <c r="EO91" s="917"/>
    </row>
    <row r="92" spans="2:145" ht="17.25" customHeight="1">
      <c r="H92" s="921">
        <f>SUM(H80:I91)</f>
        <v>0</v>
      </c>
      <c r="J92" s="1542" t="str">
        <f>IF(D80=0,"衣不蔽体！",IF(H92&gt;0,"价值未填写！","身上有穿东西！"))</f>
        <v>衣不蔽体！</v>
      </c>
      <c r="K92" s="1542"/>
      <c r="M92" s="2844" t="s">
        <v>2403</v>
      </c>
      <c r="N92" s="2844"/>
      <c r="O92" s="2844"/>
      <c r="P92" s="2844"/>
      <c r="Q92" s="2844"/>
      <c r="X92" s="883" t="s">
        <v>193</v>
      </c>
      <c r="Y92" s="885"/>
      <c r="AA92" s="19" t="str">
        <f>IF(人物卡!BG45=0,"",人物卡!BG45&amp;人物卡!BQ45)</f>
        <v/>
      </c>
      <c r="AC92" s="19" t="str">
        <f>人物卡!CA45&amp;人物卡!CM45</f>
        <v>医学1</v>
      </c>
      <c r="AE92" s="979">
        <v>1949</v>
      </c>
      <c r="AF92" s="401" t="s">
        <v>2404</v>
      </c>
      <c r="AG92" s="401"/>
      <c r="AH92" s="401"/>
      <c r="AI92" s="401" t="s">
        <v>2405</v>
      </c>
      <c r="AJ92" s="401"/>
      <c r="AK92" s="401"/>
      <c r="AL92" s="401" t="s">
        <v>2183</v>
      </c>
      <c r="AM92" s="401" t="s">
        <v>2406</v>
      </c>
      <c r="AN92" s="401" t="s">
        <v>2407</v>
      </c>
      <c r="AO92" s="836" t="s">
        <v>2408</v>
      </c>
      <c r="AP92" s="836" t="s">
        <v>2366</v>
      </c>
      <c r="AQ92" s="401" t="s">
        <v>2409</v>
      </c>
      <c r="AR92" s="836" t="s">
        <v>2410</v>
      </c>
      <c r="AS92" s="836" t="s">
        <v>2411</v>
      </c>
      <c r="AT92" s="979">
        <v>1949</v>
      </c>
      <c r="BB92" s="401"/>
      <c r="BE92" s="1014"/>
      <c r="BF92" s="1023"/>
      <c r="BG92" s="1001"/>
      <c r="BH92" s="1017" t="s">
        <v>2412</v>
      </c>
      <c r="BI92" s="945" t="s">
        <v>2413</v>
      </c>
      <c r="BJ92" s="945" t="s">
        <v>2414</v>
      </c>
      <c r="BK92" s="945" t="s">
        <v>2415</v>
      </c>
      <c r="BL92" s="945" t="s">
        <v>2416</v>
      </c>
      <c r="BM92" s="1033"/>
      <c r="BN92" s="917"/>
      <c r="BO92" s="917"/>
      <c r="BP92" s="917"/>
      <c r="BQ92" s="917"/>
      <c r="BR92" s="917"/>
      <c r="BS92" s="917"/>
      <c r="BT92" s="917"/>
      <c r="BU92" s="917"/>
      <c r="BV92" s="917"/>
      <c r="BW92" s="917"/>
      <c r="BX92" s="917"/>
      <c r="BY92" s="917"/>
      <c r="BZ92" s="917"/>
      <c r="CA92" s="917"/>
      <c r="CB92" s="917"/>
      <c r="CC92" s="917"/>
      <c r="CD92" s="917"/>
      <c r="CE92" s="917"/>
      <c r="CF92" s="917"/>
      <c r="CG92" s="917"/>
      <c r="CH92" s="917"/>
      <c r="CI92" s="917"/>
      <c r="CJ92" s="917"/>
      <c r="CK92" s="917"/>
      <c r="CL92" s="917"/>
      <c r="CM92" s="917"/>
      <c r="CN92" s="917"/>
      <c r="CO92" s="917"/>
      <c r="CP92" s="917"/>
      <c r="CQ92" s="917"/>
      <c r="CR92" s="917"/>
      <c r="CS92" s="917"/>
      <c r="CT92" s="917"/>
      <c r="CU92" s="917"/>
      <c r="CV92" s="917"/>
      <c r="CW92" s="917"/>
      <c r="CX92" s="917"/>
      <c r="CY92" s="917"/>
      <c r="CZ92" s="917"/>
      <c r="DA92" s="917"/>
      <c r="DB92" s="917"/>
      <c r="DC92" s="917"/>
      <c r="DD92" s="917"/>
      <c r="DE92" s="917"/>
      <c r="DF92" s="917"/>
      <c r="DG92" s="917"/>
      <c r="DH92" s="917"/>
      <c r="DI92" s="917"/>
      <c r="DJ92" s="917"/>
      <c r="DK92" s="917"/>
      <c r="DL92" s="917"/>
      <c r="DM92" s="917"/>
      <c r="DN92" s="917"/>
      <c r="DO92" s="917"/>
      <c r="DP92" s="917"/>
      <c r="DQ92" s="917"/>
      <c r="DR92" s="917"/>
      <c r="DS92" s="917"/>
      <c r="DT92" s="917"/>
      <c r="DU92" s="917"/>
      <c r="DV92" s="917"/>
      <c r="DW92" s="917"/>
      <c r="DX92" s="917"/>
      <c r="DY92" s="917"/>
      <c r="DZ92" s="917"/>
      <c r="EA92" s="917"/>
      <c r="EB92" s="917"/>
      <c r="EC92" s="917"/>
      <c r="ED92" s="917"/>
      <c r="EE92" s="917"/>
      <c r="EF92" s="917"/>
      <c r="EG92" s="917"/>
      <c r="EH92" s="917"/>
      <c r="EI92" s="917"/>
      <c r="EJ92" s="917"/>
      <c r="EK92" s="917"/>
      <c r="EL92" s="917"/>
      <c r="EM92" s="917"/>
      <c r="EN92" s="917"/>
      <c r="EO92" s="917"/>
    </row>
    <row r="93" spans="2:145" ht="17.25" customHeight="1">
      <c r="B93" s="1034"/>
      <c r="C93" s="1035">
        <v>2</v>
      </c>
      <c r="D93" s="1035">
        <v>3</v>
      </c>
      <c r="E93" s="850">
        <v>4</v>
      </c>
      <c r="F93" s="850">
        <v>5</v>
      </c>
      <c r="G93" s="1035">
        <v>6</v>
      </c>
      <c r="H93" s="1035">
        <v>7</v>
      </c>
      <c r="I93" s="850">
        <v>8</v>
      </c>
      <c r="J93" s="850">
        <v>9</v>
      </c>
      <c r="K93" s="849">
        <v>10</v>
      </c>
      <c r="M93" s="952" t="s">
        <v>253</v>
      </c>
      <c r="N93" s="952">
        <f>IF(人物卡!CC76="",1,0)</f>
        <v>1</v>
      </c>
      <c r="O93" s="401">
        <f>SUM(N93:N94)</f>
        <v>2</v>
      </c>
      <c r="P93" s="952"/>
      <c r="X93" s="1036" t="s">
        <v>196</v>
      </c>
      <c r="Y93" s="1036"/>
      <c r="AA93" s="19" t="str">
        <f>IF(人物卡!BG46=0,"",人物卡!BG46&amp;人物卡!BQ46)</f>
        <v/>
      </c>
      <c r="AC93" s="19" t="str">
        <f>人物卡!CA46&amp;人物卡!CM46</f>
        <v>急救30</v>
      </c>
      <c r="AE93" s="979">
        <v>1950</v>
      </c>
      <c r="AF93" s="401" t="s">
        <v>2417</v>
      </c>
      <c r="AG93" s="401"/>
      <c r="AH93" s="401"/>
      <c r="AI93" s="401" t="s">
        <v>2418</v>
      </c>
      <c r="AJ93" s="401" t="s">
        <v>2419</v>
      </c>
      <c r="AK93" s="401"/>
      <c r="AL93" s="401" t="s">
        <v>2420</v>
      </c>
      <c r="AM93" s="401" t="s">
        <v>1011</v>
      </c>
      <c r="AN93" s="401" t="s">
        <v>2421</v>
      </c>
      <c r="AO93" s="836" t="s">
        <v>2422</v>
      </c>
      <c r="AP93" s="836" t="s">
        <v>2366</v>
      </c>
      <c r="AQ93" s="401" t="s">
        <v>2423</v>
      </c>
      <c r="AR93" s="836" t="s">
        <v>2424</v>
      </c>
      <c r="AS93" s="836" t="s">
        <v>2425</v>
      </c>
      <c r="AT93" s="979">
        <v>1950</v>
      </c>
      <c r="BB93" s="401"/>
      <c r="BE93" s="1014"/>
      <c r="BF93" s="1023"/>
      <c r="BG93" s="1001"/>
      <c r="BH93" s="927" t="s">
        <v>2426</v>
      </c>
      <c r="BI93" s="934" t="s">
        <v>2427</v>
      </c>
      <c r="BJ93" s="934" t="s">
        <v>2428</v>
      </c>
      <c r="BK93" s="934" t="s">
        <v>2429</v>
      </c>
      <c r="BL93" s="934" t="s">
        <v>2430</v>
      </c>
      <c r="BM93" s="934" t="s">
        <v>2431</v>
      </c>
      <c r="BN93" s="934" t="s">
        <v>2432</v>
      </c>
      <c r="BO93" s="934" t="s">
        <v>2433</v>
      </c>
      <c r="BP93" s="934" t="s">
        <v>2434</v>
      </c>
      <c r="BQ93" s="934" t="s">
        <v>2435</v>
      </c>
      <c r="BR93" s="934" t="s">
        <v>2436</v>
      </c>
      <c r="BS93" s="934" t="s">
        <v>2437</v>
      </c>
      <c r="BT93" s="934" t="s">
        <v>2438</v>
      </c>
      <c r="BU93" s="934" t="s">
        <v>2439</v>
      </c>
      <c r="BV93" s="934" t="s">
        <v>2440</v>
      </c>
      <c r="BW93" s="934" t="s">
        <v>2441</v>
      </c>
      <c r="BX93" s="934" t="s">
        <v>2442</v>
      </c>
      <c r="BY93" s="934" t="s">
        <v>2443</v>
      </c>
      <c r="BZ93" s="934" t="s">
        <v>2444</v>
      </c>
      <c r="CA93" s="934" t="s">
        <v>2445</v>
      </c>
      <c r="CB93" s="934" t="s">
        <v>2446</v>
      </c>
      <c r="CC93" s="934" t="s">
        <v>2447</v>
      </c>
      <c r="CD93" s="934" t="s">
        <v>2448</v>
      </c>
      <c r="CE93" s="934" t="s">
        <v>2449</v>
      </c>
      <c r="CF93" s="934" t="s">
        <v>2450</v>
      </c>
      <c r="CG93" s="934" t="s">
        <v>2451</v>
      </c>
      <c r="CH93" s="934" t="s">
        <v>2452</v>
      </c>
      <c r="CI93" s="917"/>
      <c r="CJ93" s="917"/>
      <c r="CK93" s="917"/>
      <c r="CL93" s="917"/>
      <c r="CM93" s="917"/>
      <c r="CN93" s="917"/>
      <c r="CO93" s="917"/>
      <c r="CP93" s="917"/>
      <c r="CQ93" s="917"/>
      <c r="CR93" s="917"/>
      <c r="CS93" s="917"/>
      <c r="CT93" s="917"/>
      <c r="CU93" s="917"/>
      <c r="CV93" s="917"/>
      <c r="CW93" s="917"/>
      <c r="CX93" s="917"/>
      <c r="CY93" s="917"/>
      <c r="CZ93" s="917"/>
      <c r="DA93" s="917"/>
      <c r="DB93" s="917"/>
      <c r="DC93" s="917"/>
      <c r="DD93" s="917"/>
      <c r="DE93" s="917"/>
      <c r="DF93" s="917"/>
      <c r="DG93" s="917"/>
      <c r="DH93" s="917"/>
      <c r="DI93" s="917"/>
      <c r="DJ93" s="917"/>
      <c r="DK93" s="917"/>
      <c r="DL93" s="917"/>
      <c r="DM93" s="917"/>
      <c r="DN93" s="917"/>
      <c r="DO93" s="917"/>
      <c r="DP93" s="917"/>
      <c r="DQ93" s="917"/>
      <c r="DR93" s="917"/>
      <c r="DS93" s="917"/>
      <c r="DT93" s="917"/>
      <c r="DU93" s="917"/>
      <c r="DV93" s="917"/>
      <c r="DW93" s="917"/>
      <c r="DX93" s="917"/>
      <c r="DY93" s="917"/>
      <c r="DZ93" s="917"/>
      <c r="EA93" s="917"/>
      <c r="EB93" s="917"/>
      <c r="EC93" s="917"/>
      <c r="ED93" s="917"/>
      <c r="EE93" s="917"/>
      <c r="EF93" s="917"/>
      <c r="EG93" s="917"/>
      <c r="EH93" s="917"/>
      <c r="EI93" s="917"/>
      <c r="EJ93" s="917"/>
      <c r="EK93" s="917"/>
      <c r="EL93" s="917"/>
      <c r="EM93" s="917"/>
      <c r="EN93" s="917"/>
      <c r="EO93" s="917"/>
    </row>
    <row r="94" spans="2:145" ht="17.25" customHeight="1">
      <c r="B94" s="958" t="s">
        <v>122</v>
      </c>
      <c r="C94" s="921" t="s">
        <v>304</v>
      </c>
      <c r="D94" s="921" t="s">
        <v>2453</v>
      </c>
      <c r="E94" s="921" t="s">
        <v>2454</v>
      </c>
      <c r="F94" s="921" t="s">
        <v>2455</v>
      </c>
      <c r="G94" s="921" t="s">
        <v>2456</v>
      </c>
      <c r="H94" s="921" t="s">
        <v>2457</v>
      </c>
      <c r="I94" s="921" t="s">
        <v>2458</v>
      </c>
      <c r="J94" s="921" t="s">
        <v>2459</v>
      </c>
      <c r="K94" s="854" t="s">
        <v>2460</v>
      </c>
      <c r="L94" s="2780"/>
      <c r="M94" s="952"/>
      <c r="N94" s="952">
        <f>IF(人物卡!CC77="",1,0)</f>
        <v>1</v>
      </c>
      <c r="O94" s="952"/>
      <c r="P94" s="952"/>
      <c r="X94" s="836" t="s">
        <v>198</v>
      </c>
      <c r="AA94" s="19" t="str">
        <f>IF(人物卡!BG47=0,"",人物卡!BG47&amp;人物卡!BQ47)</f>
        <v/>
      </c>
      <c r="AC94" s="19" t="str">
        <f>IF(人物卡!CC47=0,"",人物卡!CC47&amp;人物卡!CM47)</f>
        <v/>
      </c>
      <c r="AE94" s="979">
        <v>1951</v>
      </c>
      <c r="AF94" s="401" t="s">
        <v>2417</v>
      </c>
      <c r="AG94" s="401"/>
      <c r="AH94" s="401"/>
      <c r="AI94" s="401" t="s">
        <v>2461</v>
      </c>
      <c r="AJ94" s="401" t="s">
        <v>2462</v>
      </c>
      <c r="AK94" s="401"/>
      <c r="AL94" s="401" t="s">
        <v>2420</v>
      </c>
      <c r="AM94" s="401" t="s">
        <v>1022</v>
      </c>
      <c r="AN94" s="401" t="s">
        <v>2463</v>
      </c>
      <c r="AO94" s="836" t="s">
        <v>2464</v>
      </c>
      <c r="AP94" s="836" t="s">
        <v>2366</v>
      </c>
      <c r="AQ94" s="401" t="s">
        <v>2465</v>
      </c>
      <c r="AR94" s="836" t="s">
        <v>2466</v>
      </c>
      <c r="AS94" s="836" t="s">
        <v>2467</v>
      </c>
      <c r="AT94" s="979">
        <v>1951</v>
      </c>
      <c r="BB94" s="401"/>
      <c r="BE94" s="1014"/>
      <c r="BF94" s="1023"/>
      <c r="BG94" s="1001"/>
      <c r="BH94" s="927" t="s">
        <v>2468</v>
      </c>
      <c r="BI94" s="934" t="s">
        <v>2469</v>
      </c>
      <c r="BJ94" s="934" t="s">
        <v>2470</v>
      </c>
      <c r="BK94" s="934" t="s">
        <v>2471</v>
      </c>
      <c r="BL94" s="934" t="s">
        <v>2472</v>
      </c>
      <c r="BM94" s="934" t="s">
        <v>2473</v>
      </c>
      <c r="BN94" s="934" t="s">
        <v>2474</v>
      </c>
      <c r="BO94" s="934" t="s">
        <v>2475</v>
      </c>
      <c r="BP94" s="934" t="s">
        <v>2476</v>
      </c>
      <c r="BQ94" s="934" t="s">
        <v>2477</v>
      </c>
      <c r="BR94" s="934" t="s">
        <v>2478</v>
      </c>
      <c r="BS94" s="934" t="s">
        <v>2479</v>
      </c>
      <c r="BT94" s="934" t="s">
        <v>2480</v>
      </c>
      <c r="BU94" s="917"/>
      <c r="BV94" s="917"/>
      <c r="BW94" s="917"/>
      <c r="BX94" s="917"/>
      <c r="BY94" s="917"/>
      <c r="BZ94" s="917"/>
      <c r="CA94" s="917"/>
      <c r="CB94" s="917"/>
      <c r="CC94" s="917"/>
      <c r="CD94" s="917"/>
      <c r="CE94" s="917"/>
      <c r="CF94" s="917"/>
      <c r="CG94" s="917"/>
      <c r="CH94" s="917"/>
      <c r="CI94" s="917"/>
      <c r="CJ94" s="917"/>
      <c r="CK94" s="917"/>
      <c r="CL94" s="917"/>
      <c r="CM94" s="917"/>
      <c r="CN94" s="917"/>
      <c r="CO94" s="917"/>
      <c r="CP94" s="917"/>
      <c r="CQ94" s="917"/>
      <c r="CR94" s="917"/>
      <c r="CS94" s="917"/>
      <c r="CT94" s="917"/>
      <c r="CU94" s="917"/>
      <c r="CV94" s="917"/>
      <c r="CW94" s="917"/>
      <c r="CX94" s="917"/>
      <c r="CY94" s="917"/>
      <c r="CZ94" s="917"/>
      <c r="DA94" s="917"/>
      <c r="DB94" s="917"/>
      <c r="DC94" s="917"/>
      <c r="DD94" s="917"/>
      <c r="DE94" s="917"/>
      <c r="DF94" s="917"/>
      <c r="DG94" s="917"/>
      <c r="DH94" s="917"/>
      <c r="DI94" s="917"/>
      <c r="DJ94" s="917"/>
      <c r="DK94" s="917"/>
      <c r="DL94" s="917"/>
      <c r="DM94" s="917"/>
      <c r="DN94" s="917"/>
      <c r="DO94" s="917"/>
      <c r="DP94" s="917"/>
      <c r="DQ94" s="917"/>
      <c r="DR94" s="917"/>
      <c r="DS94" s="917"/>
      <c r="DT94" s="917"/>
      <c r="DU94" s="917"/>
      <c r="DV94" s="917"/>
      <c r="DW94" s="917"/>
      <c r="DX94" s="917"/>
      <c r="DY94" s="917"/>
      <c r="DZ94" s="917"/>
      <c r="EA94" s="917"/>
      <c r="EB94" s="917"/>
      <c r="EC94" s="917"/>
      <c r="ED94" s="917"/>
      <c r="EE94" s="917"/>
      <c r="EF94" s="917"/>
      <c r="EG94" s="917"/>
      <c r="EH94" s="917"/>
      <c r="EI94" s="917"/>
      <c r="EJ94" s="917"/>
      <c r="EK94" s="917"/>
      <c r="EL94" s="917"/>
      <c r="EM94" s="917"/>
      <c r="EN94" s="917"/>
      <c r="EO94" s="917"/>
    </row>
    <row r="95" spans="2:145" ht="17.25" customHeight="1">
      <c r="B95" s="958" t="s">
        <v>128</v>
      </c>
      <c r="C95" s="867" t="s">
        <v>2481</v>
      </c>
      <c r="D95" s="836" t="s">
        <v>148</v>
      </c>
      <c r="E95" s="836" t="s">
        <v>2482</v>
      </c>
      <c r="F95" s="836" t="s">
        <v>2483</v>
      </c>
      <c r="G95" s="836" t="s">
        <v>2484</v>
      </c>
      <c r="H95" s="836" t="s">
        <v>2485</v>
      </c>
      <c r="I95" s="836" t="s">
        <v>2486</v>
      </c>
      <c r="J95" s="836" t="s">
        <v>2487</v>
      </c>
      <c r="K95" s="854" t="s">
        <v>2488</v>
      </c>
      <c r="L95" s="2780"/>
      <c r="M95" s="952" t="s">
        <v>256</v>
      </c>
      <c r="N95" s="952">
        <f>IF(人物卡!CC78="",1,0)</f>
        <v>1</v>
      </c>
      <c r="O95" s="401">
        <f>SUM(N95:N96)</f>
        <v>2</v>
      </c>
      <c r="P95" s="952"/>
      <c r="X95" s="836" t="s">
        <v>200</v>
      </c>
      <c r="AA95" s="19" t="str">
        <f>IF(人物卡!BG48=0,"",人物卡!BG48&amp;人物卡!BQ48)</f>
        <v/>
      </c>
      <c r="AC95" s="19" t="str">
        <f>IF(人物卡!CC48=0,"",人物卡!CC48&amp;人物卡!CM48)</f>
        <v/>
      </c>
      <c r="AE95" s="979">
        <v>1952</v>
      </c>
      <c r="AF95" s="401" t="s">
        <v>2417</v>
      </c>
      <c r="AG95" s="401" t="s">
        <v>2489</v>
      </c>
      <c r="AH95" s="401"/>
      <c r="AI95" s="401" t="s">
        <v>148</v>
      </c>
      <c r="AJ95" s="401"/>
      <c r="AK95" s="401"/>
      <c r="AL95" s="401" t="s">
        <v>2420</v>
      </c>
      <c r="AM95" s="401" t="s">
        <v>1031</v>
      </c>
      <c r="AN95" s="401" t="s">
        <v>2490</v>
      </c>
      <c r="AO95" s="836" t="s">
        <v>2491</v>
      </c>
      <c r="AP95" s="401" t="s">
        <v>2492</v>
      </c>
      <c r="AQ95" s="401" t="s">
        <v>2493</v>
      </c>
      <c r="AR95" s="836" t="s">
        <v>2494</v>
      </c>
      <c r="AS95" s="836" t="s">
        <v>2495</v>
      </c>
      <c r="AT95" s="979">
        <v>1952</v>
      </c>
      <c r="BB95" s="928"/>
      <c r="BF95" s="1016"/>
      <c r="BG95" s="1001"/>
      <c r="BH95" s="927" t="s">
        <v>2496</v>
      </c>
      <c r="BI95" s="934" t="s">
        <v>2497</v>
      </c>
      <c r="BJ95" s="934" t="s">
        <v>2498</v>
      </c>
      <c r="BK95" s="934" t="s">
        <v>2499</v>
      </c>
      <c r="BL95" s="934" t="s">
        <v>2473</v>
      </c>
      <c r="BM95" s="934" t="s">
        <v>2500</v>
      </c>
      <c r="BN95" s="934" t="s">
        <v>2501</v>
      </c>
      <c r="BO95" s="934" t="s">
        <v>2502</v>
      </c>
      <c r="BP95" s="934" t="s">
        <v>2503</v>
      </c>
      <c r="BQ95" s="917"/>
      <c r="BR95" s="917"/>
      <c r="BS95" s="917"/>
      <c r="BT95" s="917"/>
      <c r="BU95" s="917"/>
      <c r="BV95" s="917"/>
      <c r="BW95" s="917"/>
      <c r="BX95" s="917"/>
      <c r="BY95" s="917"/>
      <c r="BZ95" s="917"/>
      <c r="CA95" s="917"/>
      <c r="CB95" s="917"/>
      <c r="CC95" s="917"/>
      <c r="CD95" s="917"/>
      <c r="CE95" s="917"/>
      <c r="CF95" s="917"/>
      <c r="CG95" s="917"/>
      <c r="CH95" s="917"/>
      <c r="CI95" s="917"/>
      <c r="CJ95" s="917"/>
      <c r="CK95" s="917"/>
      <c r="CL95" s="917"/>
      <c r="CM95" s="917"/>
      <c r="CN95" s="917"/>
      <c r="CO95" s="917"/>
      <c r="CP95" s="917"/>
      <c r="CQ95" s="917"/>
      <c r="CR95" s="917"/>
      <c r="CS95" s="917"/>
      <c r="CT95" s="917"/>
      <c r="CU95" s="917"/>
      <c r="CV95" s="917"/>
      <c r="CW95" s="917"/>
      <c r="CX95" s="917"/>
      <c r="CY95" s="917"/>
      <c r="CZ95" s="917"/>
      <c r="DA95" s="917"/>
      <c r="DB95" s="917"/>
      <c r="DC95" s="917"/>
      <c r="DD95" s="917"/>
      <c r="DE95" s="917"/>
      <c r="DF95" s="917"/>
      <c r="DG95" s="917"/>
      <c r="DH95" s="917"/>
      <c r="DI95" s="917"/>
      <c r="DJ95" s="917"/>
      <c r="DK95" s="917"/>
      <c r="DL95" s="917"/>
      <c r="DM95" s="917"/>
      <c r="DN95" s="917"/>
      <c r="DO95" s="917"/>
      <c r="DP95" s="917"/>
      <c r="DQ95" s="917"/>
      <c r="DR95" s="917"/>
      <c r="DS95" s="917"/>
      <c r="DT95" s="917"/>
      <c r="DU95" s="917"/>
      <c r="DV95" s="917"/>
      <c r="DW95" s="917"/>
      <c r="DX95" s="917"/>
      <c r="DY95" s="917"/>
      <c r="DZ95" s="917"/>
      <c r="EA95" s="917"/>
      <c r="EB95" s="917"/>
      <c r="EC95" s="917"/>
      <c r="ED95" s="917"/>
      <c r="EE95" s="917"/>
      <c r="EF95" s="917"/>
      <c r="EG95" s="917"/>
      <c r="EH95" s="917"/>
      <c r="EI95" s="917"/>
      <c r="EJ95" s="917"/>
      <c r="EK95" s="917"/>
      <c r="EL95" s="917"/>
      <c r="EM95" s="917"/>
      <c r="EN95" s="917"/>
      <c r="EO95" s="917"/>
    </row>
    <row r="96" spans="2:145" ht="17.25" customHeight="1">
      <c r="B96" s="958" t="s">
        <v>135</v>
      </c>
      <c r="C96" s="867" t="s">
        <v>2504</v>
      </c>
      <c r="D96" s="836" t="s">
        <v>148</v>
      </c>
      <c r="E96" s="836" t="s">
        <v>148</v>
      </c>
      <c r="F96" s="836" t="s">
        <v>2505</v>
      </c>
      <c r="G96" s="836" t="s">
        <v>2506</v>
      </c>
      <c r="H96" s="836" t="s">
        <v>2507</v>
      </c>
      <c r="I96" s="836" t="s">
        <v>2508</v>
      </c>
      <c r="J96" s="836" t="s">
        <v>2509</v>
      </c>
      <c r="K96" s="854" t="s">
        <v>2510</v>
      </c>
      <c r="L96" s="2780"/>
      <c r="M96" s="952"/>
      <c r="N96" s="952">
        <f>IF(人物卡!CC79="",1,0)</f>
        <v>1</v>
      </c>
      <c r="O96" s="952"/>
      <c r="P96" s="952"/>
      <c r="X96" s="836" t="s">
        <v>202</v>
      </c>
      <c r="AA96" s="19" t="str">
        <f>IF(人物卡!BG49=0,"",人物卡!BG49&amp;人物卡!BQ49)</f>
        <v/>
      </c>
      <c r="AC96" s="19" t="str">
        <f>人物卡!CA49&amp;人物卡!CM49</f>
        <v>汽车驾驶20</v>
      </c>
      <c r="AE96" s="979">
        <v>1953</v>
      </c>
      <c r="AF96" s="401" t="s">
        <v>148</v>
      </c>
      <c r="AG96" s="401"/>
      <c r="AH96" s="401"/>
      <c r="AI96" s="401" t="s">
        <v>2511</v>
      </c>
      <c r="AJ96" s="401"/>
      <c r="AK96" s="401"/>
      <c r="AL96" s="401" t="s">
        <v>2420</v>
      </c>
      <c r="AM96" s="401" t="s">
        <v>1042</v>
      </c>
      <c r="AN96" s="401" t="s">
        <v>2512</v>
      </c>
      <c r="AO96" s="836" t="s">
        <v>2513</v>
      </c>
      <c r="AP96" s="836" t="s">
        <v>2514</v>
      </c>
      <c r="AQ96" s="401" t="s">
        <v>2515</v>
      </c>
      <c r="AR96" s="836" t="s">
        <v>2516</v>
      </c>
      <c r="AS96" s="836" t="s">
        <v>2517</v>
      </c>
      <c r="AT96" s="979">
        <v>1953</v>
      </c>
      <c r="BB96" s="928"/>
      <c r="BF96" s="1016"/>
      <c r="BG96" s="1001"/>
      <c r="BH96" s="927" t="s">
        <v>2518</v>
      </c>
      <c r="BI96" s="934" t="s">
        <v>2519</v>
      </c>
      <c r="BJ96" s="934" t="s">
        <v>2520</v>
      </c>
      <c r="BK96" s="934" t="s">
        <v>2521</v>
      </c>
      <c r="BL96" s="934" t="s">
        <v>2522</v>
      </c>
      <c r="BM96" s="1021"/>
      <c r="BN96" s="917"/>
      <c r="BO96" s="917"/>
      <c r="BP96" s="917"/>
      <c r="BQ96" s="917"/>
      <c r="BR96" s="917"/>
      <c r="BS96" s="917"/>
      <c r="BT96" s="917"/>
      <c r="BU96" s="917"/>
      <c r="BV96" s="917"/>
      <c r="BW96" s="917"/>
      <c r="BX96" s="917"/>
      <c r="BY96" s="917"/>
      <c r="BZ96" s="917"/>
      <c r="CA96" s="917"/>
      <c r="CB96" s="917"/>
      <c r="CC96" s="917"/>
      <c r="CD96" s="917"/>
      <c r="CE96" s="917"/>
      <c r="CF96" s="917"/>
      <c r="CG96" s="917"/>
      <c r="CH96" s="917"/>
      <c r="CI96" s="917"/>
      <c r="CJ96" s="917"/>
      <c r="CK96" s="917"/>
      <c r="CL96" s="917"/>
      <c r="CM96" s="917"/>
      <c r="CN96" s="917"/>
      <c r="CO96" s="917"/>
      <c r="CP96" s="917"/>
      <c r="CQ96" s="917"/>
      <c r="CR96" s="917"/>
      <c r="CS96" s="917"/>
      <c r="CT96" s="917"/>
      <c r="CU96" s="917"/>
      <c r="CV96" s="917"/>
      <c r="CW96" s="917"/>
      <c r="CX96" s="917"/>
      <c r="CY96" s="917"/>
      <c r="CZ96" s="917"/>
      <c r="DA96" s="917"/>
      <c r="DB96" s="917"/>
      <c r="DC96" s="917"/>
      <c r="DD96" s="917"/>
      <c r="DE96" s="917"/>
      <c r="DF96" s="917"/>
      <c r="DG96" s="917"/>
      <c r="DH96" s="917"/>
      <c r="DI96" s="917"/>
      <c r="DJ96" s="917"/>
      <c r="DK96" s="917"/>
      <c r="DL96" s="917"/>
      <c r="DM96" s="917"/>
      <c r="DN96" s="917"/>
      <c r="DO96" s="917"/>
      <c r="DP96" s="917"/>
      <c r="DQ96" s="917"/>
      <c r="DR96" s="917"/>
      <c r="DS96" s="917"/>
      <c r="DT96" s="917"/>
      <c r="DU96" s="917"/>
      <c r="DV96" s="917"/>
      <c r="DW96" s="917"/>
      <c r="DX96" s="917"/>
      <c r="DY96" s="917"/>
      <c r="DZ96" s="917"/>
      <c r="EA96" s="917"/>
      <c r="EB96" s="917"/>
      <c r="EC96" s="917"/>
      <c r="ED96" s="917"/>
      <c r="EE96" s="917"/>
      <c r="EF96" s="917"/>
      <c r="EG96" s="917"/>
      <c r="EH96" s="917"/>
      <c r="EI96" s="917"/>
      <c r="EJ96" s="917"/>
      <c r="EK96" s="917"/>
      <c r="EL96" s="917"/>
      <c r="EM96" s="917"/>
      <c r="EN96" s="917"/>
      <c r="EO96" s="917"/>
    </row>
    <row r="97" spans="1:145" ht="17.25" customHeight="1">
      <c r="B97" s="958" t="s">
        <v>137</v>
      </c>
      <c r="C97" s="867" t="s">
        <v>2481</v>
      </c>
      <c r="D97" s="836" t="s">
        <v>148</v>
      </c>
      <c r="E97" s="836" t="s">
        <v>148</v>
      </c>
      <c r="F97" s="836" t="s">
        <v>2523</v>
      </c>
      <c r="G97" s="836" t="s">
        <v>2524</v>
      </c>
      <c r="H97" s="1011" t="s">
        <v>2525</v>
      </c>
      <c r="I97" s="836" t="s">
        <v>2526</v>
      </c>
      <c r="J97" s="977" t="s">
        <v>2527</v>
      </c>
      <c r="K97" s="1037" t="s">
        <v>2528</v>
      </c>
      <c r="L97" s="2780"/>
      <c r="M97" s="952" t="s">
        <v>259</v>
      </c>
      <c r="N97" s="952">
        <f>IF(人物卡!CC80="",1,0)</f>
        <v>1</v>
      </c>
      <c r="O97" s="952">
        <f t="shared" ref="O97:O103" si="4">SUM(N97:N98)</f>
        <v>2</v>
      </c>
      <c r="P97" s="952"/>
      <c r="X97" s="836" t="s">
        <v>204</v>
      </c>
      <c r="AA97" s="19" t="str">
        <f>IF(人物卡!BG50=0,"",人物卡!BG50&amp;人物卡!BQ50)</f>
        <v/>
      </c>
      <c r="AC97" s="19" t="str">
        <f>人物卡!CA50&amp;人物卡!CM50</f>
        <v>骑术5</v>
      </c>
      <c r="AE97" s="979">
        <v>1954</v>
      </c>
      <c r="AF97" s="401" t="s">
        <v>148</v>
      </c>
      <c r="AG97" s="401"/>
      <c r="AH97" s="401"/>
      <c r="AI97" s="401" t="s">
        <v>148</v>
      </c>
      <c r="AJ97" s="401"/>
      <c r="AK97" s="401"/>
      <c r="AL97" s="401" t="s">
        <v>2420</v>
      </c>
      <c r="AM97" s="401" t="s">
        <v>1059</v>
      </c>
      <c r="AN97" s="401" t="s">
        <v>2529</v>
      </c>
      <c r="AO97" s="836" t="s">
        <v>2530</v>
      </c>
      <c r="AP97" s="836" t="s">
        <v>2531</v>
      </c>
      <c r="AQ97" s="401" t="s">
        <v>2532</v>
      </c>
      <c r="AR97" s="836" t="s">
        <v>2533</v>
      </c>
      <c r="AS97" s="836" t="s">
        <v>2534</v>
      </c>
      <c r="AT97" s="979">
        <v>1954</v>
      </c>
      <c r="BB97" s="928"/>
      <c r="BF97" s="1016"/>
      <c r="BG97" s="1001"/>
      <c r="BH97" s="927" t="s">
        <v>2535</v>
      </c>
      <c r="BI97" s="934" t="s">
        <v>2536</v>
      </c>
      <c r="BJ97" s="934" t="s">
        <v>2537</v>
      </c>
      <c r="BK97" s="934" t="s">
        <v>2538</v>
      </c>
      <c r="BL97" s="934" t="s">
        <v>2539</v>
      </c>
      <c r="BM97" s="934" t="s">
        <v>2540</v>
      </c>
      <c r="BN97" s="934" t="s">
        <v>2541</v>
      </c>
      <c r="BO97" s="934" t="s">
        <v>2542</v>
      </c>
      <c r="BP97" s="934" t="s">
        <v>2543</v>
      </c>
      <c r="BQ97" s="934" t="s">
        <v>2544</v>
      </c>
      <c r="BR97" s="934" t="s">
        <v>2545</v>
      </c>
      <c r="BS97" s="934" t="s">
        <v>2546</v>
      </c>
      <c r="BT97" s="934" t="s">
        <v>2547</v>
      </c>
      <c r="BU97" s="934" t="s">
        <v>2548</v>
      </c>
      <c r="BV97" s="934" t="s">
        <v>2549</v>
      </c>
      <c r="BW97" s="934" t="s">
        <v>2550</v>
      </c>
      <c r="BX97" s="934" t="s">
        <v>2551</v>
      </c>
      <c r="BY97" s="934" t="s">
        <v>2552</v>
      </c>
      <c r="BZ97" s="934" t="s">
        <v>2553</v>
      </c>
      <c r="CA97" s="934" t="s">
        <v>2554</v>
      </c>
      <c r="CB97" s="934" t="s">
        <v>2555</v>
      </c>
      <c r="CC97" s="934" t="s">
        <v>2556</v>
      </c>
      <c r="CD97" s="934" t="s">
        <v>2557</v>
      </c>
      <c r="CE97" s="934" t="s">
        <v>2558</v>
      </c>
      <c r="CF97" s="934" t="s">
        <v>2559</v>
      </c>
      <c r="CG97" s="934" t="s">
        <v>2560</v>
      </c>
      <c r="CH97" s="934" t="s">
        <v>2561</v>
      </c>
      <c r="CI97" s="934" t="s">
        <v>2562</v>
      </c>
      <c r="CJ97" s="934" t="s">
        <v>2563</v>
      </c>
      <c r="CK97" s="934" t="s">
        <v>2564</v>
      </c>
      <c r="CL97" s="934" t="s">
        <v>2565</v>
      </c>
      <c r="CM97" s="934" t="s">
        <v>2566</v>
      </c>
      <c r="CN97" s="934" t="s">
        <v>2567</v>
      </c>
      <c r="CO97" s="934" t="s">
        <v>2568</v>
      </c>
      <c r="CP97" s="934" t="s">
        <v>2569</v>
      </c>
      <c r="CQ97" s="934" t="s">
        <v>2570</v>
      </c>
      <c r="CR97" s="934" t="s">
        <v>2571</v>
      </c>
      <c r="CS97" s="934" t="s">
        <v>2572</v>
      </c>
      <c r="CT97" s="934" t="s">
        <v>2573</v>
      </c>
      <c r="CU97" s="934" t="s">
        <v>2574</v>
      </c>
      <c r="CV97" s="934" t="s">
        <v>2575</v>
      </c>
      <c r="CW97" s="934" t="s">
        <v>2576</v>
      </c>
      <c r="CX97" s="934" t="s">
        <v>2577</v>
      </c>
      <c r="CY97" s="934" t="s">
        <v>2578</v>
      </c>
      <c r="CZ97" s="934" t="s">
        <v>2579</v>
      </c>
      <c r="DA97" s="934" t="s">
        <v>2580</v>
      </c>
      <c r="DB97" s="934" t="s">
        <v>2581</v>
      </c>
      <c r="DC97" s="934" t="s">
        <v>2582</v>
      </c>
      <c r="DD97" s="934" t="s">
        <v>2583</v>
      </c>
      <c r="DE97" s="934" t="s">
        <v>2584</v>
      </c>
      <c r="DF97" s="934" t="s">
        <v>2585</v>
      </c>
      <c r="DG97" s="934" t="s">
        <v>2586</v>
      </c>
      <c r="DH97" s="934" t="s">
        <v>2587</v>
      </c>
      <c r="DI97" s="934" t="s">
        <v>2588</v>
      </c>
      <c r="DJ97" s="934" t="s">
        <v>2589</v>
      </c>
      <c r="DK97" s="934" t="s">
        <v>2590</v>
      </c>
      <c r="DL97" s="934" t="s">
        <v>2591</v>
      </c>
      <c r="DM97" s="934" t="s">
        <v>2592</v>
      </c>
      <c r="DN97" s="934" t="s">
        <v>2593</v>
      </c>
      <c r="DO97" s="934" t="s">
        <v>2594</v>
      </c>
      <c r="DP97" s="934" t="s">
        <v>2595</v>
      </c>
      <c r="DQ97" s="934" t="s">
        <v>2596</v>
      </c>
      <c r="DR97" s="934" t="s">
        <v>2597</v>
      </c>
      <c r="DS97" s="934" t="s">
        <v>2598</v>
      </c>
      <c r="DT97" s="934" t="s">
        <v>2599</v>
      </c>
      <c r="DU97" s="934" t="s">
        <v>2600</v>
      </c>
      <c r="DV97" s="934" t="s">
        <v>2601</v>
      </c>
      <c r="DW97" s="917"/>
      <c r="DX97" s="917"/>
      <c r="DY97" s="917"/>
      <c r="DZ97" s="917"/>
      <c r="EA97" s="917"/>
      <c r="EB97" s="917"/>
      <c r="EC97" s="917"/>
      <c r="ED97" s="917"/>
      <c r="EE97" s="917"/>
      <c r="EF97" s="917"/>
      <c r="EG97" s="917"/>
      <c r="EH97" s="917"/>
      <c r="EI97" s="917"/>
      <c r="EJ97" s="917"/>
      <c r="EK97" s="917"/>
      <c r="EL97" s="917"/>
      <c r="EM97" s="917"/>
      <c r="EN97" s="917"/>
      <c r="EO97" s="917"/>
    </row>
    <row r="98" spans="1:145" ht="17.25" customHeight="1">
      <c r="B98" s="958" t="s">
        <v>140</v>
      </c>
      <c r="C98" s="867" t="s">
        <v>2504</v>
      </c>
      <c r="D98" s="836" t="s">
        <v>148</v>
      </c>
      <c r="E98" s="836" t="s">
        <v>148</v>
      </c>
      <c r="F98" s="836" t="s">
        <v>2602</v>
      </c>
      <c r="G98" s="1011" t="s">
        <v>2603</v>
      </c>
      <c r="H98" s="977" t="s">
        <v>2604</v>
      </c>
      <c r="I98" s="1014" t="s">
        <v>2605</v>
      </c>
      <c r="J98" s="1014" t="s">
        <v>2606</v>
      </c>
      <c r="K98" s="854" t="s">
        <v>2607</v>
      </c>
      <c r="L98" s="2780"/>
      <c r="M98" s="952"/>
      <c r="N98" s="952">
        <f>IF(人物卡!CC81="",1,0)</f>
        <v>1</v>
      </c>
      <c r="O98" s="952"/>
      <c r="P98" s="952"/>
      <c r="S98" s="401"/>
      <c r="T98" s="401"/>
      <c r="U98" s="401"/>
      <c r="V98" s="401"/>
      <c r="X98" s="836" t="s">
        <v>206</v>
      </c>
      <c r="AA98" s="19" t="str">
        <f>IF(人物卡!BG51=0,"",人物卡!BG51&amp;人物卡!BQ51)</f>
        <v/>
      </c>
      <c r="AC98" s="19" t="str">
        <f>人物卡!CA51&amp;人物卡!CM51</f>
        <v>动物驯养5</v>
      </c>
      <c r="AE98" s="979">
        <v>1955</v>
      </c>
      <c r="AF98" s="401" t="s">
        <v>2608</v>
      </c>
      <c r="AG98" s="401"/>
      <c r="AH98" s="401"/>
      <c r="AI98" s="401" t="s">
        <v>2609</v>
      </c>
      <c r="AJ98" s="401"/>
      <c r="AK98" s="401"/>
      <c r="AL98" s="401" t="s">
        <v>2420</v>
      </c>
      <c r="AM98" s="401" t="s">
        <v>1113</v>
      </c>
      <c r="AN98" s="401" t="s">
        <v>2610</v>
      </c>
      <c r="AO98" s="836" t="s">
        <v>2611</v>
      </c>
      <c r="AP98" s="836" t="s">
        <v>2531</v>
      </c>
      <c r="AQ98" s="401" t="s">
        <v>2612</v>
      </c>
      <c r="AR98" s="836" t="s">
        <v>2613</v>
      </c>
      <c r="AS98" s="836" t="s">
        <v>2614</v>
      </c>
      <c r="AT98" s="979">
        <v>1955</v>
      </c>
      <c r="BB98" s="928"/>
      <c r="BF98" s="1016"/>
      <c r="BG98" s="1001"/>
      <c r="BH98" s="927" t="s">
        <v>2615</v>
      </c>
      <c r="BI98" s="1021" t="s">
        <v>2616</v>
      </c>
      <c r="BJ98" s="1021"/>
      <c r="BK98" s="1021"/>
      <c r="BL98" s="1021"/>
      <c r="BM98" s="1021"/>
      <c r="BN98" s="917"/>
      <c r="BO98" s="917"/>
      <c r="BP98" s="917"/>
      <c r="BQ98" s="917"/>
      <c r="BR98" s="917"/>
      <c r="BS98" s="917"/>
      <c r="BT98" s="917"/>
      <c r="BU98" s="917"/>
      <c r="BV98" s="917"/>
      <c r="BW98" s="917"/>
      <c r="BX98" s="917"/>
      <c r="BY98" s="917"/>
      <c r="BZ98" s="917"/>
      <c r="CA98" s="917"/>
      <c r="CB98" s="917"/>
      <c r="CC98" s="917"/>
      <c r="CD98" s="917"/>
      <c r="CE98" s="917"/>
      <c r="CF98" s="917"/>
      <c r="CG98" s="917"/>
      <c r="CH98" s="917"/>
      <c r="CI98" s="917"/>
      <c r="CJ98" s="917"/>
      <c r="CK98" s="917"/>
      <c r="CL98" s="917"/>
      <c r="CM98" s="917"/>
      <c r="CN98" s="917"/>
      <c r="CO98" s="917"/>
      <c r="CP98" s="917"/>
      <c r="CQ98" s="917"/>
      <c r="CR98" s="917"/>
      <c r="CS98" s="917"/>
      <c r="CT98" s="917"/>
      <c r="CU98" s="917"/>
      <c r="CV98" s="917"/>
      <c r="CW98" s="917"/>
      <c r="CX98" s="917"/>
      <c r="CY98" s="917"/>
      <c r="CZ98" s="917"/>
      <c r="DA98" s="917"/>
      <c r="DB98" s="917"/>
      <c r="DC98" s="917"/>
      <c r="DD98" s="917"/>
      <c r="DE98" s="917"/>
      <c r="DF98" s="917"/>
      <c r="DG98" s="917"/>
      <c r="DH98" s="917"/>
      <c r="DI98" s="917"/>
      <c r="DJ98" s="917"/>
      <c r="DK98" s="917"/>
      <c r="DL98" s="917"/>
      <c r="DM98" s="917"/>
      <c r="DN98" s="917"/>
      <c r="DO98" s="917"/>
      <c r="DP98" s="917"/>
      <c r="DQ98" s="917"/>
      <c r="DR98" s="917"/>
      <c r="DS98" s="917"/>
      <c r="DT98" s="917"/>
      <c r="DU98" s="917"/>
      <c r="DV98" s="917"/>
      <c r="DW98" s="917"/>
      <c r="DX98" s="917"/>
      <c r="DY98" s="917"/>
      <c r="DZ98" s="917"/>
      <c r="EA98" s="917"/>
      <c r="EB98" s="917"/>
      <c r="EC98" s="917"/>
      <c r="ED98" s="917"/>
      <c r="EE98" s="917"/>
      <c r="EF98" s="917"/>
      <c r="EG98" s="917"/>
      <c r="EH98" s="917"/>
      <c r="EI98" s="917"/>
      <c r="EJ98" s="917"/>
      <c r="EK98" s="917"/>
      <c r="EL98" s="917"/>
      <c r="EM98" s="917"/>
      <c r="EN98" s="917"/>
      <c r="EO98" s="917"/>
    </row>
    <row r="99" spans="1:145" ht="17.25" customHeight="1">
      <c r="B99" s="856" t="s">
        <v>2617</v>
      </c>
      <c r="C99" s="867" t="s">
        <v>751</v>
      </c>
      <c r="D99" s="836" t="s">
        <v>751</v>
      </c>
      <c r="E99" s="836" t="s">
        <v>751</v>
      </c>
      <c r="F99" s="836" t="s">
        <v>751</v>
      </c>
      <c r="G99" s="836" t="s">
        <v>751</v>
      </c>
      <c r="H99" s="836" t="s">
        <v>751</v>
      </c>
      <c r="I99" s="836" t="s">
        <v>751</v>
      </c>
      <c r="J99" s="836" t="s">
        <v>751</v>
      </c>
      <c r="K99" s="854" t="s">
        <v>751</v>
      </c>
      <c r="L99" s="2780"/>
      <c r="M99" s="952" t="s">
        <v>262</v>
      </c>
      <c r="N99" s="952">
        <f>IF(人物卡!CC82="",1,0)</f>
        <v>1</v>
      </c>
      <c r="O99" s="952">
        <f t="shared" si="4"/>
        <v>2</v>
      </c>
      <c r="P99" s="952"/>
      <c r="S99" s="401"/>
      <c r="T99" s="401"/>
      <c r="U99" s="401"/>
      <c r="V99" s="401"/>
      <c r="X99" s="836" t="s">
        <v>210</v>
      </c>
      <c r="AA99" s="19" t="str">
        <f>IF(人物卡!BG52=0,"母语"&amp;人物卡!BQ52,人物卡!BG52&amp;人物卡!BQ52)</f>
        <v>母语0</v>
      </c>
      <c r="AC99" s="19" t="str">
        <f>人物卡!CA52&amp;人物卡!CM52</f>
        <v>潜水1</v>
      </c>
      <c r="AE99" s="979">
        <v>1956</v>
      </c>
      <c r="AF99" s="401" t="s">
        <v>2618</v>
      </c>
      <c r="AG99" s="401"/>
      <c r="AH99" s="401"/>
      <c r="AI99" s="401" t="s">
        <v>2619</v>
      </c>
      <c r="AJ99" s="401"/>
      <c r="AK99" s="401"/>
      <c r="AL99" s="401" t="s">
        <v>2420</v>
      </c>
      <c r="AM99" s="401" t="s">
        <v>1139</v>
      </c>
      <c r="AN99" s="401" t="s">
        <v>2620</v>
      </c>
      <c r="AO99" s="836" t="s">
        <v>2621</v>
      </c>
      <c r="AP99" s="836" t="s">
        <v>2531</v>
      </c>
      <c r="AQ99" s="401" t="s">
        <v>2622</v>
      </c>
      <c r="AR99" s="836" t="s">
        <v>2623</v>
      </c>
      <c r="AS99" s="836" t="s">
        <v>2624</v>
      </c>
      <c r="AT99" s="979">
        <v>1956</v>
      </c>
      <c r="BB99" s="928"/>
      <c r="BF99" s="1016"/>
      <c r="BG99" s="1001"/>
      <c r="BH99" s="927" t="s">
        <v>2625</v>
      </c>
      <c r="BI99" s="917" t="s">
        <v>2626</v>
      </c>
      <c r="BJ99" s="917"/>
      <c r="BK99" s="917"/>
      <c r="BL99" s="917"/>
      <c r="BM99" s="917"/>
      <c r="BN99" s="917"/>
      <c r="BO99" s="917"/>
      <c r="BP99" s="917"/>
      <c r="BQ99" s="917"/>
      <c r="BR99" s="917"/>
      <c r="BS99" s="917"/>
      <c r="BT99" s="917"/>
      <c r="BU99" s="917"/>
      <c r="BV99" s="917"/>
      <c r="BW99" s="917"/>
      <c r="BX99" s="917"/>
      <c r="BY99" s="917"/>
      <c r="BZ99" s="917"/>
      <c r="CA99" s="917"/>
      <c r="CB99" s="917"/>
      <c r="CC99" s="917"/>
      <c r="CD99" s="917"/>
      <c r="CE99" s="917"/>
      <c r="CF99" s="917"/>
      <c r="CG99" s="917"/>
      <c r="CH99" s="917"/>
      <c r="CI99" s="917"/>
      <c r="CJ99" s="917"/>
      <c r="CK99" s="917"/>
      <c r="CL99" s="917"/>
      <c r="CM99" s="917"/>
      <c r="CN99" s="917"/>
      <c r="CO99" s="917"/>
      <c r="CP99" s="917"/>
      <c r="CQ99" s="917"/>
      <c r="CR99" s="917"/>
      <c r="CS99" s="917"/>
      <c r="CT99" s="917"/>
      <c r="CU99" s="917"/>
      <c r="CV99" s="917"/>
      <c r="CW99" s="917"/>
      <c r="CX99" s="917"/>
      <c r="CY99" s="917"/>
      <c r="CZ99" s="917"/>
      <c r="DA99" s="917"/>
      <c r="DB99" s="917"/>
      <c r="DC99" s="917"/>
      <c r="DD99" s="917"/>
      <c r="DE99" s="917"/>
      <c r="DF99" s="917"/>
      <c r="DG99" s="917"/>
      <c r="DH99" s="917"/>
      <c r="DI99" s="917"/>
      <c r="DJ99" s="917"/>
      <c r="DK99" s="917"/>
      <c r="DL99" s="917"/>
      <c r="DM99" s="917"/>
      <c r="DN99" s="917"/>
      <c r="DO99" s="917"/>
      <c r="DP99" s="917"/>
      <c r="DQ99" s="917"/>
      <c r="DR99" s="917"/>
      <c r="DS99" s="917"/>
      <c r="DT99" s="917"/>
      <c r="DU99" s="917"/>
      <c r="DV99" s="917"/>
      <c r="DW99" s="917"/>
      <c r="DX99" s="917"/>
      <c r="DY99" s="917"/>
      <c r="DZ99" s="917"/>
      <c r="EA99" s="917"/>
      <c r="EB99" s="917"/>
      <c r="EC99" s="917"/>
      <c r="ED99" s="917"/>
      <c r="EE99" s="917"/>
      <c r="EF99" s="917"/>
      <c r="EG99" s="917"/>
      <c r="EH99" s="917"/>
      <c r="EI99" s="917"/>
      <c r="EJ99" s="917"/>
      <c r="EK99" s="917"/>
      <c r="EL99" s="917"/>
      <c r="EM99" s="917"/>
      <c r="EN99" s="917"/>
      <c r="EO99" s="917"/>
    </row>
    <row r="100" spans="1:145" ht="17.25" customHeight="1">
      <c r="B100" s="958" t="s">
        <v>2627</v>
      </c>
      <c r="C100" s="867" t="s">
        <v>148</v>
      </c>
      <c r="D100" s="836" t="s">
        <v>2628</v>
      </c>
      <c r="E100" s="836" t="s">
        <v>148</v>
      </c>
      <c r="F100" s="836" t="s">
        <v>2629</v>
      </c>
      <c r="G100" s="1020" t="s">
        <v>2630</v>
      </c>
      <c r="H100" s="921" t="s">
        <v>2631</v>
      </c>
      <c r="I100" s="1038" t="s">
        <v>2632</v>
      </c>
      <c r="J100" s="836" t="s">
        <v>2633</v>
      </c>
      <c r="K100" s="854" t="s">
        <v>2634</v>
      </c>
      <c r="L100" s="2780"/>
      <c r="M100" s="952"/>
      <c r="N100" s="952">
        <f>IF(人物卡!CC83="",1,0)</f>
        <v>1</v>
      </c>
      <c r="O100" s="952"/>
      <c r="P100" s="952"/>
      <c r="S100" s="401"/>
      <c r="T100" s="401"/>
      <c r="U100" s="401"/>
      <c r="V100" s="401"/>
      <c r="X100" s="836" t="s">
        <v>213</v>
      </c>
      <c r="AA100" s="19" t="str">
        <f>IF(人物卡!BG53=0,"",人物卡!BG53&amp;人物卡!BQ53)</f>
        <v/>
      </c>
      <c r="AC100" s="19" t="str">
        <f>人物卡!CA53&amp;人物卡!CM53</f>
        <v>读唇1</v>
      </c>
      <c r="AE100" s="979">
        <v>1957</v>
      </c>
      <c r="AF100" s="401" t="s">
        <v>2635</v>
      </c>
      <c r="AG100" s="401" t="s">
        <v>2636</v>
      </c>
      <c r="AH100" s="401"/>
      <c r="AI100" s="401" t="s">
        <v>148</v>
      </c>
      <c r="AJ100" s="401"/>
      <c r="AK100" s="401"/>
      <c r="AL100" s="401" t="s">
        <v>2420</v>
      </c>
      <c r="AM100" s="401" t="s">
        <v>1163</v>
      </c>
      <c r="AN100" s="401" t="s">
        <v>2637</v>
      </c>
      <c r="AO100" s="836" t="s">
        <v>2638</v>
      </c>
      <c r="AP100" s="836" t="s">
        <v>2531</v>
      </c>
      <c r="AQ100" s="401" t="s">
        <v>2639</v>
      </c>
      <c r="AR100" s="836" t="s">
        <v>2640</v>
      </c>
      <c r="AS100" s="836" t="s">
        <v>2641</v>
      </c>
      <c r="AT100" s="979">
        <v>1957</v>
      </c>
      <c r="BB100" s="928"/>
      <c r="BF100" s="1039"/>
      <c r="BG100" s="1001"/>
      <c r="BI100" s="917"/>
      <c r="BJ100" s="917"/>
      <c r="BK100" s="917"/>
      <c r="BL100" s="917"/>
      <c r="BM100" s="1021"/>
      <c r="BN100" s="917"/>
      <c r="BO100" s="917"/>
      <c r="BP100" s="917"/>
      <c r="BQ100" s="917"/>
      <c r="BR100" s="917"/>
      <c r="BS100" s="917"/>
      <c r="BT100" s="917"/>
      <c r="BU100" s="917"/>
      <c r="BV100" s="917"/>
      <c r="BW100" s="917"/>
      <c r="BX100" s="917"/>
      <c r="BY100" s="917"/>
      <c r="BZ100" s="917"/>
      <c r="CA100" s="917"/>
      <c r="CB100" s="917"/>
      <c r="CC100" s="917"/>
      <c r="CD100" s="917"/>
      <c r="CE100" s="917"/>
      <c r="CF100" s="917"/>
      <c r="CG100" s="917"/>
      <c r="CH100" s="917"/>
      <c r="CI100" s="917"/>
      <c r="CJ100" s="917"/>
      <c r="CK100" s="917"/>
      <c r="CL100" s="917"/>
      <c r="CM100" s="917"/>
      <c r="CN100" s="917"/>
      <c r="CO100" s="917"/>
      <c r="CP100" s="917"/>
      <c r="CQ100" s="917"/>
      <c r="CR100" s="917"/>
      <c r="CS100" s="917"/>
      <c r="CT100" s="917"/>
      <c r="CU100" s="917"/>
      <c r="CV100" s="917"/>
      <c r="CW100" s="917"/>
      <c r="CX100" s="917"/>
      <c r="CY100" s="917"/>
      <c r="CZ100" s="917"/>
      <c r="DA100" s="917"/>
      <c r="DB100" s="917"/>
      <c r="DC100" s="917"/>
      <c r="DD100" s="917"/>
      <c r="DE100" s="917"/>
      <c r="DF100" s="917"/>
      <c r="DG100" s="917"/>
      <c r="DH100" s="917"/>
      <c r="DI100" s="917"/>
      <c r="DJ100" s="917"/>
      <c r="DK100" s="917"/>
      <c r="DL100" s="917"/>
      <c r="DM100" s="917"/>
      <c r="DN100" s="917"/>
      <c r="DO100" s="917"/>
      <c r="DP100" s="917"/>
      <c r="DQ100" s="917"/>
      <c r="DR100" s="917"/>
      <c r="DS100" s="917"/>
      <c r="DT100" s="917"/>
      <c r="DU100" s="917"/>
      <c r="DV100" s="917"/>
      <c r="DW100" s="917"/>
      <c r="DX100" s="917"/>
      <c r="DY100" s="917"/>
      <c r="DZ100" s="917"/>
      <c r="EA100" s="917"/>
      <c r="EB100" s="917"/>
      <c r="EC100" s="917"/>
      <c r="ED100" s="917"/>
      <c r="EE100" s="917"/>
      <c r="EF100" s="917"/>
      <c r="EG100" s="917"/>
      <c r="EH100" s="917"/>
      <c r="EI100" s="917"/>
      <c r="EJ100" s="917"/>
      <c r="EK100" s="917"/>
      <c r="EL100" s="917"/>
      <c r="EM100" s="917"/>
      <c r="EN100" s="917"/>
      <c r="EO100" s="917"/>
    </row>
    <row r="101" spans="1:145" ht="17.25" customHeight="1">
      <c r="A101" s="1040" t="s">
        <v>2642</v>
      </c>
      <c r="B101" s="1040" t="s">
        <v>2642</v>
      </c>
      <c r="C101" s="867" t="s">
        <v>2481</v>
      </c>
      <c r="D101" s="921" t="s">
        <v>2643</v>
      </c>
      <c r="E101" s="836" t="s">
        <v>148</v>
      </c>
      <c r="F101" s="836" t="s">
        <v>2644</v>
      </c>
      <c r="G101" s="1020" t="s">
        <v>2630</v>
      </c>
      <c r="H101" s="921" t="s">
        <v>2631</v>
      </c>
      <c r="I101" s="1038" t="s">
        <v>2632</v>
      </c>
      <c r="J101" s="836" t="s">
        <v>2633</v>
      </c>
      <c r="K101" s="854" t="s">
        <v>2634</v>
      </c>
      <c r="L101" s="2780"/>
      <c r="M101" s="836" t="s">
        <v>265</v>
      </c>
      <c r="N101" s="952">
        <f>IF(人物卡!CC84="",1,0)</f>
        <v>1</v>
      </c>
      <c r="O101" s="952">
        <f t="shared" si="4"/>
        <v>2</v>
      </c>
      <c r="S101" s="401"/>
      <c r="T101" s="401"/>
      <c r="U101" s="401"/>
      <c r="V101" s="401"/>
      <c r="X101" s="836" t="s">
        <v>215</v>
      </c>
      <c r="AA101" s="19" t="str">
        <f>IF(人物卡!BG54=0,"",人物卡!BG54&amp;人物卡!BQ54)</f>
        <v/>
      </c>
      <c r="AC101" s="19" t="str">
        <f>人物卡!CA54&amp;人物卡!CM54</f>
        <v>催眠1</v>
      </c>
      <c r="AE101" s="979">
        <v>1958</v>
      </c>
      <c r="AF101" s="401" t="s">
        <v>148</v>
      </c>
      <c r="AG101" s="401"/>
      <c r="AH101" s="401"/>
      <c r="AI101" s="401" t="s">
        <v>2645</v>
      </c>
      <c r="AJ101" s="401"/>
      <c r="AK101" s="401"/>
      <c r="AL101" s="401" t="s">
        <v>2420</v>
      </c>
      <c r="AM101" s="401" t="s">
        <v>1186</v>
      </c>
      <c r="AN101" s="401" t="s">
        <v>2646</v>
      </c>
      <c r="AO101" s="836" t="s">
        <v>2647</v>
      </c>
      <c r="AP101" s="401" t="s">
        <v>2531</v>
      </c>
      <c r="AQ101" s="401" t="s">
        <v>2648</v>
      </c>
      <c r="AR101" s="836" t="s">
        <v>2649</v>
      </c>
      <c r="AS101" s="836" t="s">
        <v>2650</v>
      </c>
      <c r="AT101" s="979">
        <v>1958</v>
      </c>
      <c r="BB101" s="928"/>
      <c r="BF101" s="1039"/>
      <c r="BG101" s="1001"/>
      <c r="BH101" s="1027" t="s">
        <v>2651</v>
      </c>
      <c r="BI101" s="1021"/>
      <c r="BJ101" s="1021"/>
      <c r="BK101" s="1021"/>
      <c r="BL101" s="1021"/>
      <c r="BM101" s="1021"/>
      <c r="BN101" s="917"/>
      <c r="BO101" s="917"/>
      <c r="BP101" s="917"/>
      <c r="BQ101" s="917"/>
      <c r="BR101" s="917"/>
      <c r="BS101" s="917"/>
      <c r="BT101" s="917"/>
      <c r="BU101" s="917"/>
      <c r="BV101" s="917"/>
      <c r="BW101" s="917"/>
      <c r="BX101" s="917"/>
      <c r="BY101" s="917"/>
      <c r="BZ101" s="917"/>
      <c r="CA101" s="917"/>
      <c r="CB101" s="917"/>
      <c r="CC101" s="917"/>
      <c r="CD101" s="917"/>
      <c r="CE101" s="917"/>
      <c r="CF101" s="917"/>
      <c r="CG101" s="917"/>
      <c r="CH101" s="917"/>
      <c r="CI101" s="917"/>
      <c r="CJ101" s="917"/>
      <c r="CK101" s="917"/>
      <c r="CL101" s="917"/>
      <c r="CM101" s="917"/>
      <c r="CN101" s="917"/>
      <c r="CO101" s="917"/>
      <c r="CP101" s="917"/>
      <c r="CQ101" s="917"/>
      <c r="CR101" s="917"/>
      <c r="CS101" s="917"/>
      <c r="CT101" s="917"/>
      <c r="CU101" s="917"/>
      <c r="CV101" s="917"/>
      <c r="CW101" s="917"/>
      <c r="CX101" s="917"/>
      <c r="CY101" s="917"/>
      <c r="CZ101" s="917"/>
      <c r="DA101" s="917"/>
      <c r="DB101" s="917"/>
      <c r="DC101" s="917"/>
      <c r="DD101" s="917"/>
      <c r="DE101" s="917"/>
      <c r="DF101" s="917"/>
      <c r="DG101" s="917"/>
      <c r="DH101" s="917"/>
      <c r="DI101" s="917"/>
      <c r="DJ101" s="917"/>
      <c r="DK101" s="917"/>
      <c r="DL101" s="917"/>
      <c r="DM101" s="917"/>
      <c r="DN101" s="917"/>
      <c r="DO101" s="917"/>
      <c r="DP101" s="917"/>
      <c r="DQ101" s="917"/>
      <c r="DR101" s="917"/>
      <c r="DS101" s="917"/>
      <c r="DT101" s="917"/>
      <c r="DU101" s="917"/>
      <c r="DV101" s="917"/>
      <c r="DW101" s="917"/>
      <c r="DX101" s="917"/>
      <c r="DY101" s="917"/>
      <c r="DZ101" s="917"/>
      <c r="EA101" s="917"/>
      <c r="EB101" s="917"/>
      <c r="EC101" s="917"/>
      <c r="ED101" s="917"/>
      <c r="EE101" s="917"/>
      <c r="EF101" s="917"/>
      <c r="EG101" s="917"/>
      <c r="EH101" s="917"/>
      <c r="EI101" s="917"/>
      <c r="EJ101" s="917"/>
      <c r="EK101" s="917"/>
      <c r="EL101" s="917"/>
      <c r="EM101" s="917"/>
      <c r="EN101" s="917"/>
      <c r="EO101" s="917"/>
    </row>
    <row r="102" spans="1:145" ht="17.25" customHeight="1">
      <c r="A102" s="1040" t="s">
        <v>2652</v>
      </c>
      <c r="B102" s="1040" t="s">
        <v>2652</v>
      </c>
      <c r="C102" s="867" t="s">
        <v>2481</v>
      </c>
      <c r="D102" s="921" t="s">
        <v>2643</v>
      </c>
      <c r="E102" s="836" t="s">
        <v>148</v>
      </c>
      <c r="F102" s="836" t="s">
        <v>2653</v>
      </c>
      <c r="G102" s="1020" t="s">
        <v>2630</v>
      </c>
      <c r="H102" s="921" t="s">
        <v>2631</v>
      </c>
      <c r="I102" s="1038" t="s">
        <v>2632</v>
      </c>
      <c r="J102" s="836" t="s">
        <v>2633</v>
      </c>
      <c r="K102" s="854" t="s">
        <v>2634</v>
      </c>
      <c r="L102" s="2780"/>
      <c r="M102" s="1015"/>
      <c r="N102" s="952">
        <f>IF(人物卡!CC85="",1,0)</f>
        <v>1</v>
      </c>
      <c r="O102" s="952"/>
      <c r="X102" s="836" t="s">
        <v>217</v>
      </c>
      <c r="AA102" s="19" t="str">
        <f>IF(人物卡!BG55=0,"",人物卡!BG55&amp;人物卡!BQ55)</f>
        <v/>
      </c>
      <c r="AC102" s="19" t="str">
        <f>IF(人物卡!CD55=0,"",人物卡!CD55&amp;人物卡!CM55)</f>
        <v/>
      </c>
      <c r="AE102" s="979">
        <v>1959</v>
      </c>
      <c r="AF102" s="401" t="s">
        <v>148</v>
      </c>
      <c r="AG102" s="401"/>
      <c r="AH102" s="401"/>
      <c r="AI102" s="401" t="s">
        <v>2654</v>
      </c>
      <c r="AJ102" s="401" t="s">
        <v>2655</v>
      </c>
      <c r="AK102" s="401"/>
      <c r="AL102" s="401" t="s">
        <v>2420</v>
      </c>
      <c r="AM102" s="401" t="s">
        <v>1217</v>
      </c>
      <c r="AN102" s="401" t="s">
        <v>2656</v>
      </c>
      <c r="AO102" s="836" t="s">
        <v>2657</v>
      </c>
      <c r="AP102" s="836" t="s">
        <v>2531</v>
      </c>
      <c r="AQ102" s="401" t="s">
        <v>2658</v>
      </c>
      <c r="AR102" s="836" t="s">
        <v>2659</v>
      </c>
      <c r="AS102" s="836" t="s">
        <v>2660</v>
      </c>
      <c r="AT102" s="979">
        <v>1959</v>
      </c>
      <c r="BB102" s="928"/>
      <c r="BF102" s="1039"/>
      <c r="BG102" s="1001"/>
      <c r="BH102" s="927" t="s">
        <v>2661</v>
      </c>
      <c r="BI102" s="934" t="s">
        <v>2662</v>
      </c>
      <c r="BJ102" s="934" t="s">
        <v>2663</v>
      </c>
      <c r="BK102" s="934" t="s">
        <v>2664</v>
      </c>
      <c r="BL102" s="934" t="s">
        <v>2665</v>
      </c>
      <c r="BM102" s="934" t="s">
        <v>2666</v>
      </c>
      <c r="BN102" s="934" t="s">
        <v>2667</v>
      </c>
      <c r="BO102" s="934" t="s">
        <v>2668</v>
      </c>
      <c r="BP102" s="934" t="s">
        <v>2669</v>
      </c>
      <c r="BQ102" s="934" t="s">
        <v>2670</v>
      </c>
      <c r="BR102" s="934" t="s">
        <v>2671</v>
      </c>
      <c r="BS102" s="934" t="s">
        <v>2672</v>
      </c>
      <c r="BT102" s="934" t="s">
        <v>2673</v>
      </c>
      <c r="BU102" s="934" t="s">
        <v>2674</v>
      </c>
      <c r="BV102" s="934" t="s">
        <v>2675</v>
      </c>
      <c r="BW102" s="934" t="s">
        <v>2676</v>
      </c>
      <c r="BX102" s="934" t="s">
        <v>2677</v>
      </c>
      <c r="BY102" s="934" t="s">
        <v>2678</v>
      </c>
      <c r="BZ102" s="934" t="s">
        <v>2679</v>
      </c>
      <c r="CA102" s="934" t="s">
        <v>2680</v>
      </c>
      <c r="CB102" s="934" t="s">
        <v>2681</v>
      </c>
      <c r="CC102" s="934" t="s">
        <v>2682</v>
      </c>
      <c r="CD102" s="934" t="s">
        <v>2683</v>
      </c>
      <c r="CE102" s="934" t="s">
        <v>2684</v>
      </c>
      <c r="CF102" s="934" t="s">
        <v>2685</v>
      </c>
      <c r="CG102" s="934" t="s">
        <v>2686</v>
      </c>
      <c r="CH102" s="934" t="s">
        <v>2687</v>
      </c>
      <c r="CI102" s="934" t="s">
        <v>2688</v>
      </c>
      <c r="CJ102" s="934" t="s">
        <v>2689</v>
      </c>
      <c r="CK102" s="934" t="s">
        <v>2690</v>
      </c>
      <c r="CL102" s="934" t="s">
        <v>2691</v>
      </c>
      <c r="CM102" s="934" t="s">
        <v>2692</v>
      </c>
      <c r="CN102" s="934" t="s">
        <v>2693</v>
      </c>
      <c r="CO102" s="934" t="s">
        <v>2694</v>
      </c>
      <c r="CP102" s="934" t="s">
        <v>2695</v>
      </c>
      <c r="CQ102" s="934" t="s">
        <v>2696</v>
      </c>
      <c r="CR102" s="934" t="s">
        <v>2697</v>
      </c>
      <c r="CS102" s="934" t="s">
        <v>2698</v>
      </c>
      <c r="CT102" s="934" t="s">
        <v>2699</v>
      </c>
      <c r="CU102" s="934" t="s">
        <v>2700</v>
      </c>
      <c r="CV102" s="934" t="s">
        <v>2701</v>
      </c>
      <c r="CW102" s="934" t="s">
        <v>2702</v>
      </c>
      <c r="CX102" s="934" t="s">
        <v>2703</v>
      </c>
      <c r="CY102" s="934" t="s">
        <v>2704</v>
      </c>
      <c r="CZ102" s="934" t="s">
        <v>2705</v>
      </c>
      <c r="DA102" s="934" t="s">
        <v>2706</v>
      </c>
      <c r="DB102" s="934" t="s">
        <v>2707</v>
      </c>
      <c r="DC102" s="934" t="s">
        <v>2708</v>
      </c>
      <c r="DD102" s="934" t="s">
        <v>2709</v>
      </c>
      <c r="DE102" s="934" t="s">
        <v>2710</v>
      </c>
      <c r="DF102" s="934" t="s">
        <v>2711</v>
      </c>
      <c r="DG102" s="934" t="s">
        <v>2712</v>
      </c>
      <c r="DH102" s="934" t="s">
        <v>2713</v>
      </c>
      <c r="DI102" s="934" t="s">
        <v>2714</v>
      </c>
      <c r="DJ102" s="934" t="s">
        <v>2715</v>
      </c>
      <c r="DK102" s="934" t="s">
        <v>2716</v>
      </c>
      <c r="DL102" s="934" t="s">
        <v>2717</v>
      </c>
      <c r="DM102" s="934" t="s">
        <v>2718</v>
      </c>
      <c r="DN102" s="934" t="s">
        <v>2719</v>
      </c>
      <c r="DO102" s="934" t="s">
        <v>2720</v>
      </c>
      <c r="DP102" s="934" t="s">
        <v>2721</v>
      </c>
      <c r="DQ102" s="934" t="s">
        <v>2722</v>
      </c>
      <c r="DR102" s="934" t="s">
        <v>2723</v>
      </c>
      <c r="DS102" s="934" t="s">
        <v>2724</v>
      </c>
      <c r="DT102" s="934" t="s">
        <v>2725</v>
      </c>
      <c r="DU102" s="934" t="s">
        <v>2726</v>
      </c>
      <c r="DV102" s="934" t="s">
        <v>2727</v>
      </c>
      <c r="DW102" s="934" t="s">
        <v>2728</v>
      </c>
      <c r="DX102" s="934" t="s">
        <v>2729</v>
      </c>
      <c r="DY102" s="934" t="s">
        <v>2730</v>
      </c>
      <c r="DZ102" s="917"/>
      <c r="EA102" s="917"/>
      <c r="EB102" s="917"/>
      <c r="EC102" s="917"/>
      <c r="ED102" s="917"/>
      <c r="EE102" s="917"/>
      <c r="EF102" s="917"/>
      <c r="EG102" s="917"/>
      <c r="EH102" s="917"/>
      <c r="EI102" s="917"/>
      <c r="EJ102" s="917"/>
      <c r="EK102" s="917"/>
      <c r="EL102" s="917"/>
      <c r="EM102" s="917"/>
      <c r="EN102" s="917"/>
      <c r="EO102" s="917"/>
    </row>
    <row r="103" spans="1:145" ht="17.25" customHeight="1">
      <c r="A103" s="856" t="s">
        <v>2731</v>
      </c>
      <c r="B103" s="856" t="s">
        <v>2731</v>
      </c>
      <c r="C103" s="867" t="s">
        <v>2481</v>
      </c>
      <c r="D103" s="921" t="s">
        <v>2643</v>
      </c>
      <c r="E103" s="836" t="s">
        <v>148</v>
      </c>
      <c r="F103" s="836" t="s">
        <v>2732</v>
      </c>
      <c r="G103" s="1020" t="s">
        <v>2630</v>
      </c>
      <c r="H103" s="921" t="s">
        <v>2631</v>
      </c>
      <c r="I103" s="1038" t="s">
        <v>2632</v>
      </c>
      <c r="J103" s="836" t="s">
        <v>2633</v>
      </c>
      <c r="K103" s="854" t="s">
        <v>2634</v>
      </c>
      <c r="L103" s="2780"/>
      <c r="M103" s="836" t="s">
        <v>267</v>
      </c>
      <c r="N103" s="952">
        <f>IF(人物卡!CC86="",1,0)</f>
        <v>1</v>
      </c>
      <c r="O103" s="952">
        <f t="shared" si="4"/>
        <v>2</v>
      </c>
      <c r="X103" s="836" t="s">
        <v>215</v>
      </c>
      <c r="AA103" s="19" t="str">
        <f>IF(人物卡!BG56=0,"",人物卡!BG56&amp;人物卡!BQ56)</f>
        <v/>
      </c>
      <c r="AB103" s="978"/>
      <c r="AC103" s="19" t="str">
        <f>IF(人物卡!CD56=0,"",人物卡!CD56&amp;人物卡!CM56)</f>
        <v/>
      </c>
      <c r="AE103" s="979">
        <v>1960</v>
      </c>
      <c r="AF103" s="401" t="s">
        <v>2733</v>
      </c>
      <c r="AG103" s="401"/>
      <c r="AH103" s="401"/>
      <c r="AI103" s="401" t="s">
        <v>148</v>
      </c>
      <c r="AJ103" s="401"/>
      <c r="AK103" s="401"/>
      <c r="AL103" s="401" t="s">
        <v>2734</v>
      </c>
      <c r="AM103" s="401" t="s">
        <v>1242</v>
      </c>
      <c r="AN103" s="401" t="s">
        <v>2735</v>
      </c>
      <c r="AO103" s="836" t="s">
        <v>2736</v>
      </c>
      <c r="AP103" s="836" t="s">
        <v>2531</v>
      </c>
      <c r="AQ103" s="401" t="s">
        <v>2737</v>
      </c>
      <c r="AR103" s="836" t="s">
        <v>2738</v>
      </c>
      <c r="AS103" s="836" t="s">
        <v>2739</v>
      </c>
      <c r="AT103" s="979">
        <v>1960</v>
      </c>
      <c r="BB103" s="928"/>
      <c r="BF103" s="1039"/>
      <c r="BG103" s="1001"/>
      <c r="BH103" s="1017" t="s">
        <v>2740</v>
      </c>
      <c r="BI103" s="934" t="s">
        <v>2741</v>
      </c>
      <c r="BJ103" s="1021"/>
      <c r="BK103" s="1021"/>
      <c r="BL103" s="1021"/>
      <c r="BM103" s="1021"/>
      <c r="BN103" s="917"/>
      <c r="BO103" s="917"/>
      <c r="BP103" s="917"/>
      <c r="BQ103" s="917"/>
      <c r="BR103" s="917"/>
      <c r="BS103" s="917"/>
      <c r="BT103" s="917"/>
      <c r="BU103" s="917"/>
      <c r="BV103" s="917"/>
      <c r="BW103" s="917"/>
      <c r="BX103" s="917"/>
      <c r="BY103" s="917"/>
      <c r="BZ103" s="917"/>
      <c r="CA103" s="917"/>
      <c r="CB103" s="917"/>
      <c r="CC103" s="917"/>
      <c r="CD103" s="917"/>
      <c r="CE103" s="917"/>
      <c r="CF103" s="917"/>
      <c r="CG103" s="917"/>
      <c r="CH103" s="917"/>
      <c r="CI103" s="917"/>
      <c r="CJ103" s="917"/>
      <c r="CK103" s="917"/>
      <c r="CL103" s="917"/>
      <c r="CM103" s="917"/>
      <c r="CN103" s="917"/>
      <c r="CO103" s="917"/>
      <c r="CP103" s="917"/>
      <c r="CQ103" s="917"/>
      <c r="CR103" s="917"/>
      <c r="CS103" s="917"/>
      <c r="CT103" s="917"/>
      <c r="CU103" s="917"/>
      <c r="CV103" s="917"/>
      <c r="CW103" s="917"/>
      <c r="CX103" s="917"/>
      <c r="CY103" s="917"/>
      <c r="CZ103" s="917"/>
      <c r="DA103" s="917"/>
      <c r="DB103" s="917"/>
      <c r="DC103" s="917"/>
      <c r="DD103" s="917"/>
      <c r="DE103" s="917"/>
      <c r="DF103" s="917"/>
      <c r="DG103" s="917"/>
      <c r="DH103" s="917"/>
      <c r="DI103" s="917"/>
      <c r="DJ103" s="917"/>
      <c r="DK103" s="917"/>
      <c r="DL103" s="917"/>
      <c r="DM103" s="917"/>
      <c r="DN103" s="917"/>
      <c r="DO103" s="917"/>
      <c r="DP103" s="917"/>
      <c r="DQ103" s="917"/>
      <c r="DR103" s="917"/>
      <c r="DS103" s="917"/>
      <c r="DT103" s="917"/>
      <c r="DU103" s="917"/>
      <c r="DV103" s="917"/>
      <c r="DW103" s="917"/>
      <c r="DX103" s="917"/>
      <c r="DY103" s="917"/>
      <c r="DZ103" s="917"/>
      <c r="EA103" s="917"/>
      <c r="EB103" s="917"/>
      <c r="EC103" s="917"/>
      <c r="ED103" s="917"/>
      <c r="EE103" s="917"/>
      <c r="EF103" s="917"/>
      <c r="EG103" s="917"/>
      <c r="EH103" s="917"/>
      <c r="EI103" s="917"/>
      <c r="EJ103" s="917"/>
      <c r="EK103" s="917"/>
      <c r="EL103" s="917"/>
      <c r="EM103" s="917"/>
      <c r="EN103" s="917"/>
      <c r="EO103" s="917"/>
    </row>
    <row r="104" spans="1:145" ht="17.25" customHeight="1">
      <c r="A104" s="856" t="s">
        <v>2742</v>
      </c>
      <c r="B104" s="856" t="s">
        <v>2742</v>
      </c>
      <c r="C104" s="867" t="s">
        <v>2481</v>
      </c>
      <c r="D104" s="921" t="s">
        <v>2643</v>
      </c>
      <c r="E104" s="836" t="s">
        <v>148</v>
      </c>
      <c r="F104" s="836" t="s">
        <v>2743</v>
      </c>
      <c r="G104" s="1020" t="s">
        <v>2630</v>
      </c>
      <c r="H104" s="921" t="s">
        <v>2631</v>
      </c>
      <c r="I104" s="1038" t="s">
        <v>2632</v>
      </c>
      <c r="J104" s="836" t="s">
        <v>2633</v>
      </c>
      <c r="K104" s="854" t="s">
        <v>2634</v>
      </c>
      <c r="L104" s="2780"/>
      <c r="N104" s="952">
        <f>IF(人物卡!CC87="",1,0)</f>
        <v>1</v>
      </c>
      <c r="O104" s="952"/>
      <c r="X104" s="836" t="s">
        <v>217</v>
      </c>
      <c r="AA104" s="19" t="str">
        <f>IF(人物卡!BG57=0,"",人物卡!BG57&amp;人物卡!BQ57)</f>
        <v/>
      </c>
      <c r="AB104" s="978"/>
      <c r="AC104" s="19" t="str">
        <f>人物卡!CA57&amp;人物卡!CM57</f>
        <v>炮术1</v>
      </c>
      <c r="AE104" s="979">
        <v>1961</v>
      </c>
      <c r="AF104" s="401" t="s">
        <v>2744</v>
      </c>
      <c r="AG104" s="401"/>
      <c r="AH104" s="401"/>
      <c r="AI104" s="401" t="s">
        <v>148</v>
      </c>
      <c r="AJ104" s="401"/>
      <c r="AK104" s="401"/>
      <c r="AL104" s="401" t="s">
        <v>2734</v>
      </c>
      <c r="AM104" s="401" t="s">
        <v>1259</v>
      </c>
      <c r="AN104" s="401" t="s">
        <v>2745</v>
      </c>
      <c r="AO104" s="836" t="s">
        <v>2746</v>
      </c>
      <c r="AP104" s="836" t="s">
        <v>2747</v>
      </c>
      <c r="AQ104" s="401" t="s">
        <v>2748</v>
      </c>
      <c r="AR104" s="836" t="s">
        <v>2749</v>
      </c>
      <c r="AS104" s="836" t="s">
        <v>2750</v>
      </c>
      <c r="AT104" s="979">
        <v>1961</v>
      </c>
      <c r="BB104" s="928"/>
      <c r="BF104" s="1039"/>
      <c r="BG104" s="1001"/>
      <c r="BH104" s="927" t="s">
        <v>2751</v>
      </c>
      <c r="BI104" s="1021" t="s">
        <v>2752</v>
      </c>
      <c r="BJ104" s="1021"/>
      <c r="BK104" s="1021"/>
      <c r="BL104" s="1021"/>
      <c r="BM104" s="1021"/>
      <c r="BN104" s="917"/>
      <c r="BO104" s="917"/>
      <c r="BP104" s="917"/>
      <c r="BQ104" s="917"/>
      <c r="BR104" s="917"/>
      <c r="BS104" s="917"/>
      <c r="BT104" s="917"/>
      <c r="BU104" s="917"/>
      <c r="BV104" s="917"/>
      <c r="BW104" s="917"/>
      <c r="BX104" s="917"/>
      <c r="BY104" s="917"/>
      <c r="BZ104" s="917"/>
      <c r="CA104" s="917"/>
      <c r="CB104" s="917"/>
      <c r="CC104" s="917"/>
      <c r="CD104" s="917"/>
      <c r="CE104" s="917"/>
      <c r="CF104" s="917"/>
      <c r="CG104" s="917"/>
      <c r="CH104" s="917"/>
      <c r="CI104" s="917"/>
      <c r="CJ104" s="917"/>
      <c r="CK104" s="917"/>
      <c r="CL104" s="917"/>
      <c r="CM104" s="917"/>
      <c r="CN104" s="917"/>
      <c r="CO104" s="917"/>
      <c r="CP104" s="917"/>
      <c r="CQ104" s="917"/>
      <c r="CR104" s="917"/>
      <c r="CS104" s="917"/>
      <c r="CT104" s="917"/>
      <c r="CU104" s="917"/>
      <c r="CV104" s="917"/>
      <c r="CW104" s="917"/>
      <c r="CX104" s="917"/>
      <c r="CY104" s="917"/>
      <c r="CZ104" s="917"/>
      <c r="DA104" s="917"/>
      <c r="DB104" s="917"/>
      <c r="DC104" s="917"/>
      <c r="DD104" s="917"/>
      <c r="DE104" s="917"/>
      <c r="DF104" s="917"/>
      <c r="DG104" s="917"/>
      <c r="DH104" s="917"/>
      <c r="DI104" s="917"/>
      <c r="DJ104" s="917"/>
      <c r="DK104" s="917"/>
      <c r="DL104" s="917"/>
      <c r="DM104" s="917"/>
      <c r="DN104" s="917"/>
      <c r="DO104" s="917"/>
      <c r="DP104" s="917"/>
      <c r="DQ104" s="917"/>
      <c r="DR104" s="917"/>
      <c r="DS104" s="917"/>
      <c r="DT104" s="917"/>
      <c r="DU104" s="917"/>
      <c r="DV104" s="917"/>
      <c r="DW104" s="917"/>
      <c r="DX104" s="917"/>
      <c r="DY104" s="917"/>
      <c r="DZ104" s="917"/>
      <c r="EA104" s="917"/>
      <c r="EB104" s="917"/>
      <c r="EC104" s="917"/>
      <c r="ED104" s="917"/>
      <c r="EE104" s="917"/>
      <c r="EF104" s="917"/>
      <c r="EG104" s="917"/>
      <c r="EH104" s="917"/>
      <c r="EI104" s="917"/>
      <c r="EJ104" s="917"/>
      <c r="EK104" s="917"/>
      <c r="EL104" s="917"/>
      <c r="EM104" s="917"/>
      <c r="EN104" s="917"/>
      <c r="EO104" s="917"/>
    </row>
    <row r="105" spans="1:145" ht="17.25" customHeight="1">
      <c r="A105" s="856" t="s">
        <v>2753</v>
      </c>
      <c r="B105" s="856" t="s">
        <v>2753</v>
      </c>
      <c r="C105" s="867" t="s">
        <v>2481</v>
      </c>
      <c r="D105" s="921" t="s">
        <v>2643</v>
      </c>
      <c r="E105" s="836" t="s">
        <v>148</v>
      </c>
      <c r="F105" s="401" t="s">
        <v>2754</v>
      </c>
      <c r="G105" s="1020" t="s">
        <v>2630</v>
      </c>
      <c r="H105" s="921" t="s">
        <v>2631</v>
      </c>
      <c r="I105" s="1038" t="s">
        <v>2632</v>
      </c>
      <c r="J105" s="836" t="s">
        <v>2633</v>
      </c>
      <c r="K105" s="854" t="s">
        <v>2634</v>
      </c>
      <c r="L105" s="2780"/>
      <c r="M105" s="836" t="s">
        <v>2755</v>
      </c>
      <c r="N105" s="836">
        <f>IF(人物卡!BV92="",1,0)</f>
        <v>0</v>
      </c>
      <c r="AA105" s="19" t="str">
        <f>人物卡!BE58&amp;人物卡!BQ58</f>
        <v>闪避0</v>
      </c>
      <c r="AB105" s="978"/>
      <c r="AC105" s="19" t="str">
        <f>人物卡!CA58&amp;人物卡!CM58</f>
        <v>投掷20</v>
      </c>
      <c r="AE105" s="979">
        <v>1962</v>
      </c>
      <c r="AF105" s="401" t="s">
        <v>148</v>
      </c>
      <c r="AG105" s="401"/>
      <c r="AH105" s="401"/>
      <c r="AI105" s="401" t="s">
        <v>2756</v>
      </c>
      <c r="AJ105" s="401"/>
      <c r="AK105" s="401"/>
      <c r="AL105" s="401" t="s">
        <v>2734</v>
      </c>
      <c r="AM105" s="401" t="s">
        <v>1275</v>
      </c>
      <c r="AN105" s="401" t="s">
        <v>2757</v>
      </c>
      <c r="AO105" s="836" t="s">
        <v>2758</v>
      </c>
      <c r="AP105" s="836" t="s">
        <v>2759</v>
      </c>
      <c r="AQ105" s="401" t="s">
        <v>2760</v>
      </c>
      <c r="AR105" s="836" t="s">
        <v>2761</v>
      </c>
      <c r="AS105" s="836" t="s">
        <v>2762</v>
      </c>
      <c r="AT105" s="979">
        <v>1962</v>
      </c>
      <c r="BB105" s="928"/>
      <c r="BF105" s="1039"/>
      <c r="BG105" s="1001"/>
      <c r="BH105" s="927" t="s">
        <v>2763</v>
      </c>
      <c r="BI105" s="934" t="s">
        <v>2764</v>
      </c>
      <c r="BJ105" s="934" t="s">
        <v>2765</v>
      </c>
      <c r="BK105" s="934" t="s">
        <v>2766</v>
      </c>
      <c r="BL105" s="1021"/>
      <c r="BM105" s="1021"/>
      <c r="BN105" s="917"/>
      <c r="BO105" s="917"/>
      <c r="BP105" s="917"/>
      <c r="BQ105" s="917"/>
      <c r="BR105" s="917"/>
      <c r="BS105" s="917"/>
      <c r="BT105" s="917"/>
      <c r="BU105" s="917"/>
      <c r="BV105" s="917"/>
      <c r="BW105" s="917"/>
      <c r="BX105" s="917"/>
      <c r="BY105" s="917"/>
      <c r="BZ105" s="917"/>
      <c r="CA105" s="917"/>
      <c r="CB105" s="917"/>
      <c r="CC105" s="917"/>
      <c r="CD105" s="917"/>
      <c r="CE105" s="917"/>
      <c r="CF105" s="917"/>
      <c r="CG105" s="917"/>
      <c r="CH105" s="917"/>
      <c r="CI105" s="917"/>
      <c r="CJ105" s="917"/>
      <c r="CK105" s="917"/>
      <c r="CL105" s="917"/>
      <c r="CM105" s="917"/>
      <c r="CN105" s="917"/>
      <c r="CO105" s="917"/>
      <c r="CP105" s="917"/>
      <c r="CQ105" s="917"/>
      <c r="CR105" s="917"/>
      <c r="CS105" s="917"/>
      <c r="CT105" s="917"/>
      <c r="CU105" s="917"/>
      <c r="CV105" s="917"/>
      <c r="CW105" s="917"/>
      <c r="CX105" s="917"/>
      <c r="CY105" s="917"/>
      <c r="CZ105" s="917"/>
      <c r="DA105" s="917"/>
      <c r="DB105" s="917"/>
      <c r="DC105" s="917"/>
      <c r="DD105" s="917"/>
      <c r="DE105" s="917"/>
      <c r="DF105" s="917"/>
      <c r="DG105" s="917"/>
      <c r="DH105" s="917"/>
      <c r="DI105" s="917"/>
      <c r="DJ105" s="917"/>
      <c r="DK105" s="917"/>
      <c r="DL105" s="917"/>
      <c r="DM105" s="917"/>
      <c r="DN105" s="917"/>
      <c r="DO105" s="917"/>
      <c r="DP105" s="917"/>
      <c r="DQ105" s="917"/>
      <c r="DR105" s="917"/>
      <c r="DS105" s="917"/>
      <c r="DT105" s="917"/>
      <c r="DU105" s="917"/>
      <c r="DV105" s="917"/>
      <c r="DW105" s="917"/>
      <c r="DX105" s="917"/>
      <c r="DY105" s="917"/>
      <c r="DZ105" s="917"/>
      <c r="EA105" s="917"/>
      <c r="EB105" s="917"/>
      <c r="EC105" s="917"/>
      <c r="ED105" s="917"/>
      <c r="EE105" s="917"/>
      <c r="EF105" s="917"/>
      <c r="EG105" s="917"/>
      <c r="EH105" s="917"/>
      <c r="EI105" s="917"/>
      <c r="EJ105" s="917"/>
      <c r="EK105" s="917"/>
      <c r="EL105" s="917"/>
      <c r="EM105" s="917"/>
      <c r="EN105" s="917"/>
      <c r="EO105" s="917"/>
    </row>
    <row r="106" spans="1:145" ht="17.25" customHeight="1">
      <c r="A106" s="856" t="s">
        <v>2767</v>
      </c>
      <c r="B106" s="856" t="s">
        <v>2767</v>
      </c>
      <c r="C106" s="867" t="s">
        <v>2481</v>
      </c>
      <c r="D106" s="921" t="s">
        <v>2643</v>
      </c>
      <c r="E106" s="836" t="s">
        <v>148</v>
      </c>
      <c r="F106" s="836" t="s">
        <v>2768</v>
      </c>
      <c r="G106" s="1020" t="s">
        <v>2630</v>
      </c>
      <c r="H106" s="921" t="s">
        <v>2631</v>
      </c>
      <c r="I106" s="1038" t="s">
        <v>2632</v>
      </c>
      <c r="J106" s="836" t="s">
        <v>2633</v>
      </c>
      <c r="K106" s="854" t="s">
        <v>2634</v>
      </c>
      <c r="L106" s="2780"/>
      <c r="M106" s="836" t="s">
        <v>1490</v>
      </c>
      <c r="N106" s="1542" t="str">
        <f>IF(O93&gt;0,"形象未填写！",IF(O95&gt;0,"信念未填写！",IF(O97&gt;0,"重要之人未填写！",IF(O99&gt;0,"意义非凡之地未填写！",IF(O101&gt;0,"宝贵之物未填写！",IF(O103&gt;0,"特质未填写！",IF(N105&gt;0,"背景故事未填写！","背景准备完毕")))))))</f>
        <v>形象未填写！</v>
      </c>
      <c r="O106" s="1542"/>
      <c r="P106" s="1542"/>
      <c r="Q106" s="1542"/>
      <c r="AA106" s="19" t="str">
        <f>IF(人物卡!BG59=0,"",人物卡!BG59&amp;人物卡!BQ59)</f>
        <v>斗殴25</v>
      </c>
      <c r="AB106" s="978"/>
      <c r="AC106" s="19" t="str">
        <f>人物卡!CC59&amp;人物卡!CM59</f>
        <v>手枪20</v>
      </c>
      <c r="AE106" s="979">
        <v>1963</v>
      </c>
      <c r="AF106" s="401" t="s">
        <v>148</v>
      </c>
      <c r="AG106" s="401"/>
      <c r="AH106" s="401"/>
      <c r="AI106" s="401" t="s">
        <v>148</v>
      </c>
      <c r="AJ106" s="401"/>
      <c r="AK106" s="401"/>
      <c r="AL106" s="401" t="s">
        <v>2734</v>
      </c>
      <c r="AM106" s="401" t="s">
        <v>1292</v>
      </c>
      <c r="AN106" s="401" t="s">
        <v>2769</v>
      </c>
      <c r="AO106" s="836" t="s">
        <v>2770</v>
      </c>
      <c r="AP106" s="836" t="s">
        <v>2771</v>
      </c>
      <c r="AQ106" s="401" t="s">
        <v>2760</v>
      </c>
      <c r="AR106" s="836" t="s">
        <v>2761</v>
      </c>
      <c r="AT106" s="979">
        <v>1963</v>
      </c>
      <c r="BB106" s="928"/>
      <c r="BF106" s="1039"/>
      <c r="BG106" s="1001"/>
      <c r="BH106" s="927" t="s">
        <v>2772</v>
      </c>
      <c r="BI106" s="934" t="s">
        <v>2773</v>
      </c>
      <c r="BJ106" s="934" t="s">
        <v>2774</v>
      </c>
      <c r="BK106" s="934" t="s">
        <v>2775</v>
      </c>
      <c r="BL106" s="934" t="s">
        <v>2776</v>
      </c>
      <c r="BM106" s="934" t="s">
        <v>2777</v>
      </c>
      <c r="BN106" s="934" t="s">
        <v>2778</v>
      </c>
      <c r="BO106" s="934" t="s">
        <v>2779</v>
      </c>
      <c r="BP106" s="934" t="s">
        <v>2780</v>
      </c>
      <c r="BQ106" s="934" t="s">
        <v>2781</v>
      </c>
      <c r="BR106" s="934" t="s">
        <v>2782</v>
      </c>
      <c r="BS106" s="934" t="s">
        <v>2783</v>
      </c>
      <c r="BT106" s="934" t="s">
        <v>2784</v>
      </c>
      <c r="BU106" s="934" t="s">
        <v>2785</v>
      </c>
      <c r="BV106" s="934" t="s">
        <v>2786</v>
      </c>
      <c r="BW106" s="934" t="s">
        <v>2787</v>
      </c>
      <c r="BX106" s="934" t="s">
        <v>2788</v>
      </c>
      <c r="BY106" s="934" t="s">
        <v>2789</v>
      </c>
      <c r="BZ106" s="917"/>
      <c r="CA106" s="917"/>
      <c r="CB106" s="917"/>
      <c r="CC106" s="917"/>
      <c r="CD106" s="917"/>
      <c r="CE106" s="917"/>
      <c r="CF106" s="917"/>
      <c r="CG106" s="917"/>
      <c r="CH106" s="917"/>
      <c r="CI106" s="917"/>
      <c r="CJ106" s="917"/>
      <c r="CK106" s="917"/>
      <c r="CL106" s="917"/>
      <c r="CM106" s="917"/>
      <c r="CN106" s="917"/>
      <c r="CO106" s="917"/>
      <c r="CP106" s="917"/>
      <c r="CQ106" s="917"/>
      <c r="CR106" s="917"/>
      <c r="CS106" s="917"/>
      <c r="CT106" s="917"/>
      <c r="CU106" s="917"/>
      <c r="CV106" s="917"/>
      <c r="CW106" s="917"/>
      <c r="CX106" s="917"/>
      <c r="CY106" s="917"/>
      <c r="CZ106" s="917"/>
      <c r="DA106" s="917"/>
      <c r="DB106" s="917"/>
      <c r="DC106" s="917"/>
      <c r="DD106" s="917"/>
      <c r="DE106" s="917"/>
      <c r="DF106" s="917"/>
      <c r="DG106" s="917"/>
      <c r="DH106" s="917"/>
      <c r="DI106" s="917"/>
      <c r="DJ106" s="917"/>
      <c r="DK106" s="917"/>
      <c r="DL106" s="917"/>
      <c r="DM106" s="917"/>
      <c r="DN106" s="917"/>
      <c r="DO106" s="917"/>
      <c r="DP106" s="917"/>
      <c r="DQ106" s="917"/>
      <c r="DR106" s="917"/>
      <c r="DS106" s="917"/>
      <c r="DT106" s="917"/>
      <c r="DU106" s="917"/>
      <c r="DV106" s="917"/>
      <c r="DW106" s="917"/>
      <c r="DX106" s="917"/>
      <c r="DY106" s="917"/>
      <c r="DZ106" s="917"/>
      <c r="EA106" s="917"/>
      <c r="EB106" s="917"/>
      <c r="EC106" s="917"/>
      <c r="ED106" s="917"/>
      <c r="EE106" s="917"/>
      <c r="EF106" s="917"/>
      <c r="EG106" s="917"/>
      <c r="EH106" s="917"/>
      <c r="EI106" s="917"/>
      <c r="EJ106" s="917"/>
      <c r="EK106" s="917"/>
      <c r="EL106" s="917"/>
      <c r="EM106" s="917"/>
      <c r="EN106" s="917"/>
      <c r="EO106" s="917"/>
    </row>
    <row r="107" spans="1:145" ht="17.25" customHeight="1">
      <c r="A107" s="856" t="s">
        <v>2790</v>
      </c>
      <c r="B107" s="856" t="s">
        <v>2790</v>
      </c>
      <c r="C107" s="867" t="s">
        <v>2481</v>
      </c>
      <c r="D107" s="921" t="s">
        <v>2643</v>
      </c>
      <c r="E107" s="836" t="s">
        <v>148</v>
      </c>
      <c r="F107" s="836" t="s">
        <v>2791</v>
      </c>
      <c r="G107" s="1020" t="s">
        <v>2630</v>
      </c>
      <c r="H107" s="921" t="s">
        <v>2631</v>
      </c>
      <c r="I107" s="1038" t="s">
        <v>2632</v>
      </c>
      <c r="J107" s="836" t="s">
        <v>2633</v>
      </c>
      <c r="K107" s="854" t="s">
        <v>2634</v>
      </c>
      <c r="L107" s="2780"/>
      <c r="AA107" s="19" t="str">
        <f>IF(人物卡!BG60=0,"",人物卡!BG60&amp;人物卡!BQ60)</f>
        <v/>
      </c>
      <c r="AB107" s="978"/>
      <c r="AC107" s="19" t="str">
        <f>IF(人物卡!CC60=0,"",人物卡!CC60&amp;人物卡!CM60)</f>
        <v/>
      </c>
      <c r="AE107" s="979">
        <v>1964</v>
      </c>
      <c r="AF107" s="401" t="s">
        <v>2792</v>
      </c>
      <c r="AG107" s="401"/>
      <c r="AH107" s="401"/>
      <c r="AI107" s="401" t="s">
        <v>2793</v>
      </c>
      <c r="AJ107" s="401"/>
      <c r="AK107" s="401"/>
      <c r="AL107" s="401" t="s">
        <v>2734</v>
      </c>
      <c r="AM107" s="401" t="s">
        <v>1338</v>
      </c>
      <c r="AN107" s="401" t="s">
        <v>2794</v>
      </c>
      <c r="AO107" s="836" t="s">
        <v>2795</v>
      </c>
      <c r="AP107" s="836" t="s">
        <v>2796</v>
      </c>
      <c r="AQ107" s="401" t="s">
        <v>2797</v>
      </c>
      <c r="AR107" s="836" t="s">
        <v>2798</v>
      </c>
      <c r="AS107" s="836" t="s">
        <v>2799</v>
      </c>
      <c r="AT107" s="979">
        <v>1964</v>
      </c>
      <c r="BB107" s="1001"/>
      <c r="BC107" s="1039"/>
      <c r="BG107" s="1001"/>
      <c r="BH107" s="927" t="s">
        <v>2800</v>
      </c>
      <c r="BI107" s="934" t="s">
        <v>2801</v>
      </c>
      <c r="BJ107" s="934" t="s">
        <v>2802</v>
      </c>
      <c r="BK107" s="934" t="s">
        <v>2803</v>
      </c>
      <c r="BL107" s="934" t="s">
        <v>2804</v>
      </c>
      <c r="BM107" s="934" t="s">
        <v>2805</v>
      </c>
      <c r="BN107" s="934" t="s">
        <v>2806</v>
      </c>
      <c r="BO107" s="934" t="s">
        <v>2807</v>
      </c>
      <c r="BP107" s="934" t="s">
        <v>2808</v>
      </c>
      <c r="BQ107" s="934" t="s">
        <v>2809</v>
      </c>
      <c r="BR107" s="934" t="s">
        <v>2810</v>
      </c>
      <c r="BS107" s="934" t="s">
        <v>2811</v>
      </c>
      <c r="BT107" s="934" t="s">
        <v>2812</v>
      </c>
      <c r="BU107" s="934" t="s">
        <v>2813</v>
      </c>
      <c r="BV107" s="934" t="s">
        <v>2814</v>
      </c>
      <c r="BW107" s="934" t="s">
        <v>2815</v>
      </c>
      <c r="BX107" s="917"/>
      <c r="BY107" s="917"/>
      <c r="BZ107" s="917"/>
      <c r="CA107" s="917"/>
      <c r="CB107" s="917"/>
      <c r="CC107" s="917"/>
      <c r="CD107" s="917"/>
      <c r="CE107" s="917"/>
      <c r="CF107" s="917"/>
      <c r="CG107" s="917"/>
      <c r="CH107" s="917"/>
      <c r="CI107" s="917"/>
      <c r="CJ107" s="917"/>
      <c r="CK107" s="917"/>
      <c r="CL107" s="917"/>
      <c r="CM107" s="917"/>
      <c r="CN107" s="917"/>
      <c r="CO107" s="917"/>
      <c r="CP107" s="917"/>
      <c r="CQ107" s="917"/>
      <c r="CR107" s="917"/>
      <c r="CS107" s="917"/>
      <c r="CT107" s="917"/>
      <c r="CU107" s="917"/>
      <c r="CV107" s="917"/>
      <c r="CW107" s="917"/>
      <c r="CX107" s="917"/>
      <c r="CY107" s="917"/>
      <c r="CZ107" s="917"/>
      <c r="DA107" s="917"/>
      <c r="DB107" s="917"/>
      <c r="DC107" s="917"/>
      <c r="DD107" s="917"/>
      <c r="DE107" s="917"/>
      <c r="DF107" s="917"/>
      <c r="DG107" s="917"/>
      <c r="DH107" s="917"/>
      <c r="DI107" s="917"/>
      <c r="DJ107" s="917"/>
      <c r="DK107" s="917"/>
      <c r="DL107" s="917"/>
      <c r="DM107" s="917"/>
      <c r="DN107" s="917"/>
      <c r="DO107" s="917"/>
      <c r="DP107" s="917"/>
      <c r="DQ107" s="917"/>
      <c r="DR107" s="917"/>
      <c r="DS107" s="917"/>
      <c r="DT107" s="917"/>
      <c r="DU107" s="917"/>
      <c r="DV107" s="917"/>
      <c r="DW107" s="917"/>
      <c r="DX107" s="917"/>
      <c r="DY107" s="917"/>
      <c r="DZ107" s="917"/>
      <c r="EA107" s="917"/>
      <c r="EB107" s="917"/>
      <c r="EC107" s="917"/>
      <c r="ED107" s="917"/>
      <c r="EE107" s="917"/>
      <c r="EF107" s="917"/>
      <c r="EG107" s="917"/>
      <c r="EH107" s="917"/>
      <c r="EI107" s="917"/>
      <c r="EJ107" s="917"/>
      <c r="EK107" s="917"/>
      <c r="EL107" s="917"/>
      <c r="EM107" s="917"/>
      <c r="EN107" s="917"/>
      <c r="EO107" s="917"/>
    </row>
    <row r="108" spans="1:145" ht="17.25" customHeight="1">
      <c r="A108" s="856" t="s">
        <v>2816</v>
      </c>
      <c r="B108" s="856" t="s">
        <v>2816</v>
      </c>
      <c r="C108" s="867" t="s">
        <v>2481</v>
      </c>
      <c r="D108" s="921" t="s">
        <v>2643</v>
      </c>
      <c r="E108" s="836" t="s">
        <v>148</v>
      </c>
      <c r="F108" s="836" t="s">
        <v>2817</v>
      </c>
      <c r="G108" s="1020" t="s">
        <v>2630</v>
      </c>
      <c r="H108" s="921" t="s">
        <v>2631</v>
      </c>
      <c r="I108" s="1038" t="s">
        <v>2632</v>
      </c>
      <c r="J108" s="836" t="s">
        <v>2633</v>
      </c>
      <c r="K108" s="854" t="s">
        <v>2634</v>
      </c>
      <c r="L108" s="2780"/>
      <c r="AA108" s="19" t="str">
        <f>IF(人物卡!BG61=0,"",人物卡!BG61&amp;人物卡!BQ61)</f>
        <v/>
      </c>
      <c r="AB108" s="978"/>
      <c r="AC108" s="19" t="str">
        <f>IF(人物卡!CC61=0,"",人物卡!CC61&amp;人物卡!CM61)</f>
        <v/>
      </c>
      <c r="AE108" s="979">
        <v>1965</v>
      </c>
      <c r="AF108" s="401" t="s">
        <v>148</v>
      </c>
      <c r="AG108" s="401"/>
      <c r="AH108" s="401"/>
      <c r="AI108" s="401" t="s">
        <v>148</v>
      </c>
      <c r="AJ108" s="401" t="s">
        <v>2818</v>
      </c>
      <c r="AK108" s="401"/>
      <c r="AL108" s="401" t="s">
        <v>2734</v>
      </c>
      <c r="AM108" s="401" t="s">
        <v>1369</v>
      </c>
      <c r="AN108" s="401" t="s">
        <v>2819</v>
      </c>
      <c r="AO108" s="836" t="s">
        <v>2820</v>
      </c>
      <c r="AP108" s="836" t="s">
        <v>2796</v>
      </c>
      <c r="AQ108" s="401" t="s">
        <v>2821</v>
      </c>
      <c r="AR108" s="836" t="s">
        <v>2822</v>
      </c>
      <c r="AS108" s="836" t="s">
        <v>2823</v>
      </c>
      <c r="AT108" s="979">
        <v>1965</v>
      </c>
      <c r="BB108" s="1001"/>
      <c r="BC108" s="1039"/>
      <c r="BG108" s="1001"/>
      <c r="BH108" s="927" t="s">
        <v>2824</v>
      </c>
      <c r="BI108" s="934" t="s">
        <v>2825</v>
      </c>
      <c r="BJ108" s="934" t="s">
        <v>2826</v>
      </c>
      <c r="BK108" s="934" t="s">
        <v>2827</v>
      </c>
      <c r="BL108" s="934" t="s">
        <v>2828</v>
      </c>
      <c r="BM108" s="934" t="s">
        <v>2829</v>
      </c>
      <c r="BN108" s="934" t="s">
        <v>2830</v>
      </c>
      <c r="BO108" s="934" t="s">
        <v>2831</v>
      </c>
      <c r="BP108" s="934" t="s">
        <v>2832</v>
      </c>
      <c r="BQ108" s="934" t="s">
        <v>2833</v>
      </c>
      <c r="BR108" s="934" t="s">
        <v>2834</v>
      </c>
      <c r="BS108" s="934" t="s">
        <v>2835</v>
      </c>
      <c r="BT108" s="934" t="s">
        <v>2836</v>
      </c>
      <c r="BU108" s="934" t="s">
        <v>2837</v>
      </c>
      <c r="BV108" s="917"/>
      <c r="BW108" s="917"/>
      <c r="BX108" s="917"/>
      <c r="BY108" s="917"/>
      <c r="BZ108" s="917"/>
      <c r="CA108" s="917"/>
      <c r="CB108" s="917"/>
      <c r="CC108" s="917"/>
      <c r="CD108" s="917"/>
      <c r="CE108" s="917"/>
      <c r="CF108" s="917"/>
      <c r="CG108" s="917"/>
      <c r="CH108" s="917"/>
      <c r="CI108" s="917"/>
      <c r="CJ108" s="917"/>
      <c r="CK108" s="917"/>
      <c r="CL108" s="917"/>
      <c r="CM108" s="917"/>
      <c r="CN108" s="917"/>
      <c r="CO108" s="917"/>
      <c r="CP108" s="917"/>
      <c r="CQ108" s="917"/>
      <c r="CR108" s="917"/>
      <c r="CS108" s="917"/>
      <c r="CT108" s="917"/>
      <c r="CU108" s="917"/>
      <c r="CV108" s="917"/>
      <c r="CW108" s="917"/>
      <c r="CX108" s="917"/>
      <c r="CY108" s="917"/>
      <c r="CZ108" s="917"/>
      <c r="DA108" s="917"/>
      <c r="DB108" s="917"/>
      <c r="DC108" s="917"/>
      <c r="DD108" s="917"/>
      <c r="DE108" s="917"/>
      <c r="DF108" s="917"/>
      <c r="DG108" s="917"/>
      <c r="DH108" s="917"/>
      <c r="DI108" s="917"/>
      <c r="DJ108" s="917"/>
      <c r="DK108" s="917"/>
      <c r="DL108" s="917"/>
      <c r="DM108" s="917"/>
      <c r="DN108" s="917"/>
      <c r="DO108" s="917"/>
      <c r="DP108" s="917"/>
      <c r="DQ108" s="917"/>
      <c r="DR108" s="917"/>
      <c r="DS108" s="917"/>
      <c r="DT108" s="917"/>
      <c r="DU108" s="917"/>
      <c r="DV108" s="917"/>
      <c r="DW108" s="917"/>
      <c r="DX108" s="917"/>
      <c r="DY108" s="917"/>
      <c r="DZ108" s="917"/>
      <c r="EA108" s="917"/>
      <c r="EB108" s="917"/>
      <c r="EC108" s="917"/>
      <c r="ED108" s="917"/>
      <c r="EE108" s="917"/>
      <c r="EF108" s="917"/>
      <c r="EG108" s="917"/>
      <c r="EH108" s="917"/>
      <c r="EI108" s="917"/>
      <c r="EJ108" s="917"/>
      <c r="EK108" s="917"/>
      <c r="EL108" s="917"/>
      <c r="EM108" s="917"/>
      <c r="EN108" s="917"/>
      <c r="EO108" s="917"/>
    </row>
    <row r="109" spans="1:145" ht="17.25" customHeight="1">
      <c r="A109" s="856" t="s">
        <v>2838</v>
      </c>
      <c r="B109" s="856" t="s">
        <v>2838</v>
      </c>
      <c r="C109" s="867" t="s">
        <v>2481</v>
      </c>
      <c r="D109" s="921" t="s">
        <v>2643</v>
      </c>
      <c r="E109" s="836" t="s">
        <v>148</v>
      </c>
      <c r="F109" s="836" t="s">
        <v>2839</v>
      </c>
      <c r="G109" s="1020" t="s">
        <v>2630</v>
      </c>
      <c r="H109" s="921" t="s">
        <v>2631</v>
      </c>
      <c r="I109" s="1038" t="s">
        <v>2632</v>
      </c>
      <c r="J109" s="836" t="s">
        <v>2633</v>
      </c>
      <c r="K109" s="854" t="s">
        <v>2634</v>
      </c>
      <c r="L109" s="2780"/>
      <c r="AA109" s="19" t="str">
        <f>IF(人物卡!BG62=0,"",人物卡!BG62&amp;人物卡!BQ62)</f>
        <v/>
      </c>
      <c r="AB109" s="978"/>
      <c r="AC109" s="19" t="str">
        <f>IF(人物卡!CC62=0,"",人物卡!CC62&amp;人物卡!CM62)</f>
        <v/>
      </c>
      <c r="AE109" s="979">
        <v>1966</v>
      </c>
      <c r="AF109" s="401" t="s">
        <v>148</v>
      </c>
      <c r="AG109" s="401"/>
      <c r="AH109" s="401"/>
      <c r="AI109" s="401" t="s">
        <v>2840</v>
      </c>
      <c r="AJ109" s="401" t="s">
        <v>2841</v>
      </c>
      <c r="AK109" s="401"/>
      <c r="AL109" s="401" t="s">
        <v>2734</v>
      </c>
      <c r="AM109" s="401" t="s">
        <v>1409</v>
      </c>
      <c r="AN109" s="401" t="s">
        <v>2842</v>
      </c>
      <c r="AO109" s="836" t="s">
        <v>2843</v>
      </c>
      <c r="AP109" s="836" t="s">
        <v>2796</v>
      </c>
      <c r="AQ109" s="401" t="s">
        <v>2844</v>
      </c>
      <c r="AR109" s="836" t="s">
        <v>2845</v>
      </c>
      <c r="AS109" s="836" t="s">
        <v>2846</v>
      </c>
      <c r="AT109" s="979">
        <v>1966</v>
      </c>
      <c r="BB109" s="1001"/>
      <c r="BC109" s="1016"/>
      <c r="BG109" s="1001"/>
      <c r="BH109" s="927" t="s">
        <v>2847</v>
      </c>
      <c r="BI109" s="934" t="s">
        <v>2848</v>
      </c>
      <c r="BJ109" s="934" t="s">
        <v>2849</v>
      </c>
      <c r="BK109" s="934" t="s">
        <v>2850</v>
      </c>
      <c r="BL109" s="934" t="s">
        <v>2851</v>
      </c>
      <c r="BM109" s="934" t="s">
        <v>2852</v>
      </c>
      <c r="BN109" s="934" t="s">
        <v>2853</v>
      </c>
      <c r="BO109" s="934" t="s">
        <v>2854</v>
      </c>
      <c r="BP109" s="934" t="s">
        <v>2855</v>
      </c>
      <c r="BQ109" s="934" t="s">
        <v>2856</v>
      </c>
      <c r="BR109" s="934" t="s">
        <v>2857</v>
      </c>
      <c r="BS109" s="934" t="s">
        <v>2858</v>
      </c>
      <c r="BT109" s="934" t="s">
        <v>2859</v>
      </c>
      <c r="BU109" s="934" t="s">
        <v>2860</v>
      </c>
      <c r="BV109" s="934" t="s">
        <v>2861</v>
      </c>
      <c r="BW109" s="917"/>
      <c r="BX109" s="917"/>
      <c r="BY109" s="917"/>
      <c r="BZ109" s="917"/>
      <c r="CA109" s="917"/>
      <c r="CB109" s="917"/>
      <c r="CC109" s="917"/>
      <c r="CD109" s="917"/>
      <c r="CE109" s="917"/>
      <c r="CF109" s="917"/>
      <c r="CG109" s="917"/>
      <c r="CH109" s="917"/>
      <c r="CI109" s="917"/>
      <c r="CJ109" s="917"/>
      <c r="CK109" s="917"/>
      <c r="CL109" s="917"/>
      <c r="CM109" s="917"/>
      <c r="CN109" s="917"/>
      <c r="CO109" s="917"/>
      <c r="CP109" s="917"/>
      <c r="CQ109" s="917"/>
      <c r="CR109" s="917"/>
      <c r="CS109" s="917"/>
      <c r="CT109" s="917"/>
      <c r="CU109" s="917"/>
      <c r="CV109" s="917"/>
      <c r="CW109" s="917"/>
      <c r="CX109" s="917"/>
      <c r="CY109" s="917"/>
      <c r="CZ109" s="917"/>
      <c r="DA109" s="917"/>
      <c r="DB109" s="917"/>
      <c r="DC109" s="917"/>
      <c r="DD109" s="917"/>
      <c r="DE109" s="917"/>
      <c r="DF109" s="917"/>
      <c r="DG109" s="917"/>
      <c r="DH109" s="917"/>
      <c r="DI109" s="917"/>
      <c r="DJ109" s="917"/>
      <c r="DK109" s="917"/>
      <c r="DL109" s="917"/>
      <c r="DM109" s="917"/>
      <c r="DN109" s="917"/>
      <c r="DO109" s="917"/>
      <c r="DP109" s="917"/>
      <c r="DQ109" s="917"/>
      <c r="DR109" s="917"/>
      <c r="DS109" s="917"/>
      <c r="DT109" s="917"/>
      <c r="DU109" s="917"/>
      <c r="DV109" s="917"/>
      <c r="DW109" s="917"/>
      <c r="DX109" s="917"/>
      <c r="DY109" s="917"/>
      <c r="DZ109" s="917"/>
      <c r="EA109" s="917"/>
      <c r="EB109" s="917"/>
      <c r="EC109" s="917"/>
      <c r="ED109" s="917"/>
      <c r="EE109" s="917"/>
      <c r="EF109" s="917"/>
      <c r="EG109" s="917"/>
      <c r="EH109" s="917"/>
      <c r="EI109" s="917"/>
      <c r="EJ109" s="917"/>
      <c r="EK109" s="917"/>
      <c r="EL109" s="917"/>
      <c r="EM109" s="917"/>
      <c r="EN109" s="917"/>
      <c r="EO109" s="917"/>
    </row>
    <row r="110" spans="1:145" ht="17.25" customHeight="1">
      <c r="A110" s="856" t="s">
        <v>2862</v>
      </c>
      <c r="B110" s="856" t="s">
        <v>2862</v>
      </c>
      <c r="C110" s="867" t="s">
        <v>2481</v>
      </c>
      <c r="D110" s="921" t="s">
        <v>2643</v>
      </c>
      <c r="E110" s="836" t="s">
        <v>148</v>
      </c>
      <c r="F110" s="836" t="s">
        <v>2863</v>
      </c>
      <c r="G110" s="1020" t="s">
        <v>2630</v>
      </c>
      <c r="H110" s="921" t="s">
        <v>2631</v>
      </c>
      <c r="I110" s="1038" t="s">
        <v>2632</v>
      </c>
      <c r="J110" s="836" t="s">
        <v>2633</v>
      </c>
      <c r="K110" s="854" t="s">
        <v>2634</v>
      </c>
      <c r="L110" s="2780"/>
      <c r="AA110" s="19" t="str">
        <f>IF(人物卡!BG63=0,"",人物卡!BG63&amp;人物卡!BQ63)</f>
        <v/>
      </c>
      <c r="AB110" s="978"/>
      <c r="AC110" s="19" t="str">
        <f>IF(人物卡!CC63=0,"",人物卡!CC63&amp;人物卡!CM63)</f>
        <v/>
      </c>
      <c r="AE110" s="979">
        <v>1967</v>
      </c>
      <c r="AF110" s="401" t="s">
        <v>148</v>
      </c>
      <c r="AG110" s="401"/>
      <c r="AH110" s="401"/>
      <c r="AI110" s="401" t="s">
        <v>148</v>
      </c>
      <c r="AJ110" s="401"/>
      <c r="AK110" s="401"/>
      <c r="AL110" s="401" t="s">
        <v>2734</v>
      </c>
      <c r="AM110" s="401" t="s">
        <v>1431</v>
      </c>
      <c r="AN110" s="401" t="s">
        <v>2864</v>
      </c>
      <c r="AO110" s="836" t="s">
        <v>2865</v>
      </c>
      <c r="AP110" s="836" t="s">
        <v>2796</v>
      </c>
      <c r="AQ110" s="401" t="s">
        <v>2866</v>
      </c>
      <c r="AR110" s="836" t="s">
        <v>2867</v>
      </c>
      <c r="AS110" s="836" t="s">
        <v>2868</v>
      </c>
      <c r="AT110" s="979">
        <v>1967</v>
      </c>
      <c r="BB110" s="1001"/>
      <c r="BC110" s="1016"/>
      <c r="BG110" s="1001"/>
      <c r="BH110" s="1017" t="s">
        <v>2869</v>
      </c>
      <c r="BI110" s="934" t="s">
        <v>2870</v>
      </c>
      <c r="BJ110" s="934" t="s">
        <v>2871</v>
      </c>
      <c r="BK110" s="934" t="s">
        <v>2872</v>
      </c>
      <c r="BL110" s="934" t="s">
        <v>2873</v>
      </c>
      <c r="BM110" s="934" t="s">
        <v>2874</v>
      </c>
      <c r="BN110" s="934" t="s">
        <v>2875</v>
      </c>
      <c r="BO110" s="934" t="s">
        <v>2876</v>
      </c>
      <c r="BP110" s="934" t="s">
        <v>2877</v>
      </c>
      <c r="BQ110" s="934" t="s">
        <v>2878</v>
      </c>
      <c r="BR110" s="934" t="s">
        <v>2879</v>
      </c>
      <c r="BS110" s="934" t="s">
        <v>2880</v>
      </c>
      <c r="BT110" s="934" t="s">
        <v>2881</v>
      </c>
      <c r="BU110" s="917"/>
      <c r="BV110" s="917"/>
      <c r="BW110" s="917"/>
      <c r="BX110" s="917"/>
      <c r="BY110" s="917"/>
      <c r="BZ110" s="917"/>
      <c r="CA110" s="917"/>
      <c r="CB110" s="917"/>
      <c r="CC110" s="917"/>
      <c r="CD110" s="917"/>
      <c r="CE110" s="917"/>
      <c r="CF110" s="917"/>
      <c r="CG110" s="917"/>
      <c r="CH110" s="917"/>
      <c r="CI110" s="917"/>
      <c r="CJ110" s="917"/>
      <c r="CK110" s="917"/>
      <c r="CL110" s="917"/>
      <c r="CM110" s="917"/>
      <c r="CN110" s="917"/>
      <c r="CO110" s="917"/>
      <c r="CP110" s="917"/>
      <c r="CQ110" s="917"/>
      <c r="CR110" s="917"/>
      <c r="CS110" s="917"/>
      <c r="CT110" s="917"/>
      <c r="CU110" s="917"/>
      <c r="CV110" s="917"/>
      <c r="CW110" s="917"/>
      <c r="CX110" s="917"/>
      <c r="CY110" s="917"/>
      <c r="CZ110" s="917"/>
      <c r="DA110" s="917"/>
      <c r="DB110" s="917"/>
      <c r="DC110" s="917"/>
      <c r="DD110" s="917"/>
      <c r="DE110" s="917"/>
      <c r="DF110" s="917"/>
      <c r="DG110" s="917"/>
      <c r="DH110" s="917"/>
      <c r="DI110" s="917"/>
      <c r="DJ110" s="917"/>
      <c r="DK110" s="917"/>
      <c r="DL110" s="917"/>
      <c r="DM110" s="917"/>
      <c r="DN110" s="917"/>
      <c r="DO110" s="917"/>
      <c r="DP110" s="917"/>
      <c r="DQ110" s="917"/>
      <c r="DR110" s="917"/>
      <c r="DS110" s="917"/>
      <c r="DT110" s="917"/>
      <c r="DU110" s="917"/>
      <c r="DV110" s="917"/>
      <c r="DW110" s="917"/>
      <c r="DX110" s="917"/>
      <c r="DY110" s="917"/>
      <c r="DZ110" s="917"/>
      <c r="EA110" s="917"/>
      <c r="EB110" s="917"/>
      <c r="EC110" s="917"/>
      <c r="ED110" s="917"/>
      <c r="EE110" s="917"/>
      <c r="EF110" s="917"/>
      <c r="EG110" s="917"/>
      <c r="EH110" s="917"/>
      <c r="EI110" s="917"/>
      <c r="EJ110" s="917"/>
      <c r="EK110" s="917"/>
      <c r="EL110" s="917"/>
      <c r="EM110" s="917"/>
      <c r="EN110" s="917"/>
      <c r="EO110" s="917"/>
    </row>
    <row r="111" spans="1:145" ht="17.25" customHeight="1">
      <c r="A111" s="856" t="s">
        <v>2882</v>
      </c>
      <c r="B111" s="856" t="s">
        <v>2882</v>
      </c>
      <c r="C111" s="867" t="s">
        <v>2481</v>
      </c>
      <c r="D111" s="921" t="s">
        <v>2643</v>
      </c>
      <c r="E111" s="836" t="s">
        <v>148</v>
      </c>
      <c r="F111" s="836" t="s">
        <v>2883</v>
      </c>
      <c r="G111" s="1020" t="s">
        <v>2630</v>
      </c>
      <c r="H111" s="921" t="s">
        <v>2631</v>
      </c>
      <c r="I111" s="1038" t="s">
        <v>2632</v>
      </c>
      <c r="J111" s="836" t="s">
        <v>2633</v>
      </c>
      <c r="K111" s="854" t="s">
        <v>2634</v>
      </c>
      <c r="L111" s="2780"/>
      <c r="AA111" s="19" t="str">
        <f>IF(人物卡!BG64=0,"",人物卡!BG64&amp;人物卡!BQ64)</f>
        <v/>
      </c>
      <c r="AB111" s="978"/>
      <c r="AC111" s="19" t="str">
        <f>IF(人物卡!CC64=0,"",人物卡!CC64&amp;人物卡!CM64)</f>
        <v/>
      </c>
      <c r="AE111" s="979">
        <v>1968</v>
      </c>
      <c r="AF111" s="401" t="s">
        <v>2884</v>
      </c>
      <c r="AG111" s="401"/>
      <c r="AH111" s="401"/>
      <c r="AI111" s="401" t="s">
        <v>148</v>
      </c>
      <c r="AJ111" s="401"/>
      <c r="AK111" s="401"/>
      <c r="AL111" s="401" t="s">
        <v>2734</v>
      </c>
      <c r="AM111" s="401" t="s">
        <v>1447</v>
      </c>
      <c r="AN111" s="401" t="s">
        <v>2885</v>
      </c>
      <c r="AO111" s="921" t="s">
        <v>2886</v>
      </c>
      <c r="AP111" s="836" t="s">
        <v>2796</v>
      </c>
      <c r="AQ111" s="401" t="s">
        <v>2887</v>
      </c>
      <c r="AR111" s="836" t="s">
        <v>2888</v>
      </c>
      <c r="AS111" s="921" t="s">
        <v>2889</v>
      </c>
      <c r="AT111" s="979">
        <v>1968</v>
      </c>
      <c r="AV111" s="1024"/>
      <c r="AW111" s="1024"/>
      <c r="AX111" s="1014"/>
      <c r="AY111" s="1014"/>
      <c r="AZ111" s="1024"/>
      <c r="BA111" s="1024"/>
      <c r="BB111" s="1001"/>
      <c r="BC111" s="1016"/>
      <c r="BG111" s="1001"/>
      <c r="BH111" s="1017" t="s">
        <v>2890</v>
      </c>
      <c r="BI111" s="934" t="s">
        <v>2891</v>
      </c>
      <c r="BJ111" s="934" t="s">
        <v>2892</v>
      </c>
      <c r="BK111" s="934" t="s">
        <v>2893</v>
      </c>
      <c r="BL111" s="1021"/>
      <c r="BM111" s="1021"/>
      <c r="BN111" s="917"/>
      <c r="BO111" s="917"/>
      <c r="BP111" s="917"/>
      <c r="BQ111" s="917"/>
      <c r="BR111" s="917"/>
      <c r="BS111" s="917"/>
      <c r="BT111" s="917"/>
      <c r="BU111" s="917"/>
      <c r="BV111" s="917"/>
      <c r="BW111" s="917"/>
      <c r="BX111" s="917"/>
      <c r="BY111" s="917"/>
      <c r="BZ111" s="917"/>
      <c r="CA111" s="917"/>
      <c r="CB111" s="917"/>
      <c r="CC111" s="917"/>
      <c r="CD111" s="917"/>
      <c r="CE111" s="917"/>
      <c r="CF111" s="917"/>
      <c r="CG111" s="917"/>
      <c r="CH111" s="917"/>
      <c r="CI111" s="917"/>
      <c r="CJ111" s="917"/>
      <c r="CK111" s="917"/>
      <c r="CL111" s="917"/>
      <c r="CM111" s="917"/>
      <c r="CN111" s="917"/>
      <c r="CO111" s="917"/>
      <c r="CP111" s="917"/>
      <c r="CQ111" s="917"/>
      <c r="CR111" s="917"/>
      <c r="CS111" s="917"/>
      <c r="CT111" s="917"/>
      <c r="CU111" s="917"/>
      <c r="CV111" s="917"/>
      <c r="CW111" s="917"/>
      <c r="CX111" s="917"/>
      <c r="CY111" s="917"/>
      <c r="CZ111" s="917"/>
      <c r="DA111" s="917"/>
      <c r="DB111" s="917"/>
      <c r="DC111" s="917"/>
      <c r="DD111" s="917"/>
      <c r="DE111" s="917"/>
      <c r="DF111" s="917"/>
      <c r="DG111" s="917"/>
      <c r="DH111" s="917"/>
      <c r="DI111" s="917"/>
      <c r="DJ111" s="917"/>
      <c r="DK111" s="917"/>
      <c r="DL111" s="917"/>
      <c r="DM111" s="917"/>
      <c r="DN111" s="917"/>
      <c r="DO111" s="917"/>
      <c r="DP111" s="917"/>
      <c r="DQ111" s="917"/>
      <c r="DR111" s="917"/>
      <c r="DS111" s="917"/>
      <c r="DT111" s="917"/>
      <c r="DU111" s="917"/>
      <c r="DV111" s="917"/>
      <c r="DW111" s="917"/>
      <c r="DX111" s="917"/>
      <c r="DY111" s="917"/>
      <c r="DZ111" s="917"/>
      <c r="EA111" s="917"/>
      <c r="EB111" s="917"/>
      <c r="EC111" s="917"/>
      <c r="ED111" s="917"/>
      <c r="EE111" s="917"/>
      <c r="EF111" s="917"/>
      <c r="EG111" s="917"/>
      <c r="EH111" s="917"/>
      <c r="EI111" s="917"/>
      <c r="EJ111" s="917"/>
      <c r="EK111" s="917"/>
      <c r="EL111" s="917"/>
      <c r="EM111" s="917"/>
      <c r="EN111" s="917"/>
      <c r="EO111" s="917"/>
    </row>
    <row r="112" spans="1:145" ht="17.25" customHeight="1">
      <c r="A112" s="856" t="s">
        <v>2894</v>
      </c>
      <c r="B112" s="856" t="s">
        <v>2894</v>
      </c>
      <c r="C112" s="867" t="s">
        <v>2481</v>
      </c>
      <c r="D112" s="921" t="s">
        <v>2643</v>
      </c>
      <c r="E112" s="836" t="s">
        <v>148</v>
      </c>
      <c r="F112" s="836" t="s">
        <v>2895</v>
      </c>
      <c r="G112" s="1020" t="s">
        <v>2630</v>
      </c>
      <c r="H112" s="921" t="s">
        <v>2631</v>
      </c>
      <c r="I112" s="1038" t="s">
        <v>2632</v>
      </c>
      <c r="J112" s="836" t="s">
        <v>2633</v>
      </c>
      <c r="K112" s="854" t="s">
        <v>2634</v>
      </c>
      <c r="L112" s="2780"/>
      <c r="M112" s="1041"/>
      <c r="N112" s="2842" t="s">
        <v>2896</v>
      </c>
      <c r="O112" s="2842"/>
      <c r="P112" s="2842"/>
      <c r="Q112" s="2842"/>
      <c r="R112" s="2843"/>
      <c r="S112" s="1042"/>
      <c r="T112" s="2842" t="s">
        <v>2897</v>
      </c>
      <c r="U112" s="2842"/>
      <c r="V112" s="2842"/>
      <c r="W112" s="2842"/>
      <c r="X112" s="2843"/>
      <c r="AE112" s="979">
        <v>1969</v>
      </c>
      <c r="AF112" s="401" t="s">
        <v>2898</v>
      </c>
      <c r="AG112" s="401" t="s">
        <v>2899</v>
      </c>
      <c r="AH112" s="401"/>
      <c r="AI112" s="401" t="s">
        <v>148</v>
      </c>
      <c r="AJ112" s="401"/>
      <c r="AK112" s="401"/>
      <c r="AL112" s="401" t="s">
        <v>2734</v>
      </c>
      <c r="AM112" s="401" t="s">
        <v>1465</v>
      </c>
      <c r="AN112" s="401" t="s">
        <v>2900</v>
      </c>
      <c r="AO112" s="921" t="s">
        <v>2901</v>
      </c>
      <c r="AP112" s="836" t="s">
        <v>2902</v>
      </c>
      <c r="AQ112" s="401" t="s">
        <v>2903</v>
      </c>
      <c r="AR112" s="836" t="s">
        <v>2904</v>
      </c>
      <c r="AS112" s="921" t="s">
        <v>2905</v>
      </c>
      <c r="AT112" s="979">
        <v>1969</v>
      </c>
      <c r="AV112" s="1024"/>
      <c r="AW112" s="1024"/>
      <c r="AX112" s="1014"/>
      <c r="AY112" s="1014"/>
      <c r="AZ112" s="1024"/>
      <c r="BA112" s="1024"/>
      <c r="BB112" s="1001"/>
      <c r="BC112" s="1016"/>
      <c r="BG112" s="1001"/>
      <c r="BH112" s="927" t="s">
        <v>2906</v>
      </c>
      <c r="BI112" s="934" t="s">
        <v>2907</v>
      </c>
      <c r="BJ112" s="934" t="s">
        <v>2908</v>
      </c>
      <c r="BK112" s="934" t="s">
        <v>2909</v>
      </c>
      <c r="BL112" s="934" t="s">
        <v>2910</v>
      </c>
      <c r="BM112" s="934" t="s">
        <v>2911</v>
      </c>
      <c r="BN112" s="934" t="s">
        <v>2912</v>
      </c>
      <c r="BO112" s="934" t="s">
        <v>2913</v>
      </c>
      <c r="BP112" s="934" t="s">
        <v>2914</v>
      </c>
      <c r="BQ112" s="934" t="s">
        <v>2915</v>
      </c>
      <c r="BR112" s="934" t="s">
        <v>2916</v>
      </c>
      <c r="BS112" s="934" t="s">
        <v>2917</v>
      </c>
      <c r="BT112" s="934" t="s">
        <v>2918</v>
      </c>
      <c r="BU112" s="934" t="s">
        <v>2919</v>
      </c>
      <c r="BV112" s="934" t="s">
        <v>2920</v>
      </c>
      <c r="BW112" s="934" t="s">
        <v>2921</v>
      </c>
      <c r="BX112" s="934" t="s">
        <v>2922</v>
      </c>
      <c r="BY112" s="934" t="s">
        <v>2923</v>
      </c>
      <c r="BZ112" s="917"/>
      <c r="CA112" s="917"/>
      <c r="CB112" s="917"/>
      <c r="CC112" s="917"/>
      <c r="CD112" s="917"/>
      <c r="CE112" s="917"/>
      <c r="CF112" s="917"/>
      <c r="CG112" s="917"/>
      <c r="CH112" s="917"/>
      <c r="CI112" s="917"/>
      <c r="CJ112" s="917"/>
      <c r="CK112" s="917"/>
      <c r="CL112" s="917"/>
      <c r="CM112" s="917"/>
      <c r="CN112" s="917"/>
      <c r="CO112" s="917"/>
      <c r="CP112" s="917"/>
      <c r="CQ112" s="917"/>
      <c r="CR112" s="917"/>
      <c r="CS112" s="917"/>
      <c r="CT112" s="917"/>
      <c r="CU112" s="917"/>
      <c r="CV112" s="917"/>
      <c r="CW112" s="917"/>
      <c r="CX112" s="917"/>
      <c r="CY112" s="917"/>
      <c r="CZ112" s="917"/>
      <c r="DA112" s="917"/>
      <c r="DB112" s="917"/>
      <c r="DC112" s="917"/>
      <c r="DD112" s="917"/>
      <c r="DE112" s="917"/>
      <c r="DF112" s="917"/>
      <c r="DG112" s="917"/>
      <c r="DH112" s="917"/>
      <c r="DI112" s="917"/>
      <c r="DJ112" s="917"/>
      <c r="DK112" s="917"/>
      <c r="DL112" s="917"/>
      <c r="DM112" s="917"/>
      <c r="DN112" s="917"/>
      <c r="DO112" s="917"/>
      <c r="DP112" s="917"/>
      <c r="DQ112" s="917"/>
      <c r="DR112" s="917"/>
      <c r="DS112" s="917"/>
      <c r="DT112" s="917"/>
      <c r="DU112" s="917"/>
      <c r="DV112" s="917"/>
      <c r="DW112" s="917"/>
      <c r="DX112" s="917"/>
      <c r="DY112" s="917"/>
      <c r="DZ112" s="917"/>
      <c r="EA112" s="917"/>
      <c r="EB112" s="917"/>
      <c r="EC112" s="917"/>
      <c r="ED112" s="917"/>
      <c r="EE112" s="917"/>
      <c r="EF112" s="917"/>
      <c r="EG112" s="917"/>
      <c r="EH112" s="917"/>
      <c r="EI112" s="917"/>
      <c r="EJ112" s="917"/>
      <c r="EK112" s="917"/>
      <c r="EL112" s="917"/>
      <c r="EM112" s="917"/>
      <c r="EN112" s="917"/>
      <c r="EO112" s="917"/>
    </row>
    <row r="113" spans="1:145" ht="17.25" customHeight="1">
      <c r="A113" s="856" t="s">
        <v>2924</v>
      </c>
      <c r="B113" s="856" t="s">
        <v>2924</v>
      </c>
      <c r="C113" s="867" t="s">
        <v>2481</v>
      </c>
      <c r="D113" s="921" t="s">
        <v>2643</v>
      </c>
      <c r="E113" s="836" t="s">
        <v>148</v>
      </c>
      <c r="F113" s="836" t="s">
        <v>2925</v>
      </c>
      <c r="G113" s="1020" t="s">
        <v>2630</v>
      </c>
      <c r="H113" s="921" t="s">
        <v>2631</v>
      </c>
      <c r="I113" s="1038" t="s">
        <v>2632</v>
      </c>
      <c r="J113" s="836" t="s">
        <v>2633</v>
      </c>
      <c r="K113" s="854" t="s">
        <v>2634</v>
      </c>
      <c r="L113" s="2780"/>
      <c r="M113" s="1043">
        <v>0</v>
      </c>
      <c r="N113" s="2834" t="s">
        <v>2926</v>
      </c>
      <c r="O113" s="2834"/>
      <c r="P113" s="2834"/>
      <c r="Q113" s="2834"/>
      <c r="R113" s="2835"/>
      <c r="S113" s="1044">
        <v>0</v>
      </c>
      <c r="T113" s="2834" t="s">
        <v>2927</v>
      </c>
      <c r="U113" s="2834"/>
      <c r="V113" s="2834"/>
      <c r="W113" s="2834"/>
      <c r="X113" s="2835"/>
      <c r="AE113" s="979">
        <v>1970</v>
      </c>
      <c r="AF113" s="401" t="s">
        <v>148</v>
      </c>
      <c r="AG113" s="401"/>
      <c r="AH113" s="401"/>
      <c r="AI113" s="401" t="s">
        <v>2928</v>
      </c>
      <c r="AJ113" s="401"/>
      <c r="AK113" s="401"/>
      <c r="AL113" s="401" t="s">
        <v>2929</v>
      </c>
      <c r="AM113" s="401" t="s">
        <v>1483</v>
      </c>
      <c r="AN113" s="401" t="s">
        <v>2930</v>
      </c>
      <c r="AO113" s="921" t="s">
        <v>2931</v>
      </c>
      <c r="AP113" s="836" t="s">
        <v>2932</v>
      </c>
      <c r="AQ113" s="401" t="s">
        <v>2933</v>
      </c>
      <c r="AR113" s="836" t="s">
        <v>2934</v>
      </c>
      <c r="AS113" s="921" t="s">
        <v>2935</v>
      </c>
      <c r="AT113" s="979">
        <v>1970</v>
      </c>
      <c r="AV113" s="1016"/>
      <c r="AW113" s="1016"/>
      <c r="AX113" s="1045"/>
      <c r="AY113" s="1045"/>
      <c r="AZ113" s="1016"/>
      <c r="BA113" s="1016"/>
      <c r="BB113" s="1001"/>
      <c r="BC113" s="1016"/>
      <c r="BG113" s="1001"/>
      <c r="BH113" s="927" t="s">
        <v>2936</v>
      </c>
      <c r="BI113" s="934" t="s">
        <v>2937</v>
      </c>
      <c r="BJ113" s="934" t="s">
        <v>2938</v>
      </c>
      <c r="BK113" s="934" t="s">
        <v>2939</v>
      </c>
      <c r="BL113" s="934" t="s">
        <v>2940</v>
      </c>
      <c r="BM113" s="934" t="s">
        <v>2941</v>
      </c>
      <c r="BN113" s="934" t="s">
        <v>2942</v>
      </c>
      <c r="BO113" s="934" t="s">
        <v>2943</v>
      </c>
      <c r="BP113" s="934" t="s">
        <v>2944</v>
      </c>
      <c r="BQ113" s="934" t="s">
        <v>2945</v>
      </c>
      <c r="BR113" s="934" t="s">
        <v>2946</v>
      </c>
      <c r="BS113" s="934" t="s">
        <v>2947</v>
      </c>
      <c r="BT113" s="934" t="s">
        <v>2948</v>
      </c>
      <c r="BU113" s="934" t="s">
        <v>2949</v>
      </c>
      <c r="BV113" s="934" t="s">
        <v>2950</v>
      </c>
      <c r="BW113" s="934" t="s">
        <v>2951</v>
      </c>
      <c r="BX113" s="934" t="s">
        <v>2952</v>
      </c>
      <c r="BY113" s="934" t="s">
        <v>2953</v>
      </c>
      <c r="BZ113" s="934" t="s">
        <v>2954</v>
      </c>
      <c r="CA113" s="917"/>
      <c r="CB113" s="917"/>
      <c r="CC113" s="917"/>
      <c r="CD113" s="917"/>
      <c r="CE113" s="917"/>
      <c r="CF113" s="917"/>
      <c r="CG113" s="917"/>
      <c r="CH113" s="917"/>
      <c r="CI113" s="917"/>
      <c r="CJ113" s="917"/>
      <c r="CK113" s="917"/>
      <c r="CL113" s="917"/>
      <c r="CM113" s="917"/>
      <c r="CN113" s="917"/>
      <c r="CO113" s="917"/>
      <c r="CP113" s="917"/>
      <c r="CQ113" s="917"/>
      <c r="CR113" s="917"/>
      <c r="CS113" s="917"/>
      <c r="CT113" s="917"/>
      <c r="CU113" s="917"/>
      <c r="CV113" s="917"/>
      <c r="CW113" s="917"/>
      <c r="CX113" s="917"/>
      <c r="CY113" s="917"/>
      <c r="CZ113" s="917"/>
      <c r="DA113" s="917"/>
      <c r="DB113" s="917"/>
      <c r="DC113" s="917"/>
      <c r="DD113" s="917"/>
      <c r="DE113" s="917"/>
      <c r="DF113" s="917"/>
      <c r="DG113" s="917"/>
      <c r="DH113" s="917"/>
      <c r="DI113" s="917"/>
      <c r="DJ113" s="917"/>
      <c r="DK113" s="917"/>
      <c r="DL113" s="917"/>
      <c r="DM113" s="917"/>
      <c r="DN113" s="917"/>
      <c r="DO113" s="917"/>
      <c r="DP113" s="917"/>
      <c r="DQ113" s="917"/>
      <c r="DR113" s="917"/>
      <c r="DS113" s="917"/>
      <c r="DT113" s="917"/>
      <c r="DU113" s="917"/>
      <c r="DV113" s="917"/>
      <c r="DW113" s="917"/>
      <c r="DX113" s="917"/>
      <c r="DY113" s="917"/>
      <c r="DZ113" s="917"/>
      <c r="EA113" s="917"/>
      <c r="EB113" s="917"/>
      <c r="EC113" s="917"/>
      <c r="ED113" s="917"/>
      <c r="EE113" s="917"/>
      <c r="EF113" s="917"/>
      <c r="EG113" s="917"/>
      <c r="EH113" s="917"/>
      <c r="EI113" s="917"/>
      <c r="EJ113" s="917"/>
      <c r="EK113" s="917"/>
      <c r="EL113" s="917"/>
      <c r="EM113" s="917"/>
      <c r="EN113" s="917"/>
      <c r="EO113" s="917"/>
    </row>
    <row r="114" spans="1:145" ht="17.25" customHeight="1">
      <c r="A114" s="856" t="s">
        <v>2955</v>
      </c>
      <c r="B114" s="856" t="s">
        <v>2955</v>
      </c>
      <c r="C114" s="867" t="s">
        <v>2481</v>
      </c>
      <c r="D114" s="921" t="s">
        <v>2643</v>
      </c>
      <c r="E114" s="836" t="s">
        <v>148</v>
      </c>
      <c r="F114" s="836" t="s">
        <v>2956</v>
      </c>
      <c r="G114" s="1020" t="s">
        <v>2630</v>
      </c>
      <c r="H114" s="921" t="s">
        <v>2631</v>
      </c>
      <c r="I114" s="1038" t="s">
        <v>2632</v>
      </c>
      <c r="J114" s="836" t="s">
        <v>2633</v>
      </c>
      <c r="K114" s="854" t="s">
        <v>2634</v>
      </c>
      <c r="L114" s="2780"/>
      <c r="M114" s="1043">
        <v>1</v>
      </c>
      <c r="N114" s="2834" t="s">
        <v>2957</v>
      </c>
      <c r="O114" s="2834"/>
      <c r="P114" s="2834"/>
      <c r="Q114" s="2834"/>
      <c r="R114" s="2835"/>
      <c r="S114" s="1044">
        <v>1</v>
      </c>
      <c r="T114" s="2834" t="s">
        <v>2958</v>
      </c>
      <c r="U114" s="2834"/>
      <c r="V114" s="2834"/>
      <c r="W114" s="2834"/>
      <c r="X114" s="2835"/>
      <c r="AE114" s="979">
        <v>1971</v>
      </c>
      <c r="AF114" s="401" t="s">
        <v>148</v>
      </c>
      <c r="AG114" s="401"/>
      <c r="AH114" s="401"/>
      <c r="AI114" s="401" t="s">
        <v>2959</v>
      </c>
      <c r="AJ114" s="401"/>
      <c r="AK114" s="401"/>
      <c r="AL114" s="401" t="s">
        <v>2929</v>
      </c>
      <c r="AM114" s="401" t="s">
        <v>1499</v>
      </c>
      <c r="AN114" s="401" t="s">
        <v>2960</v>
      </c>
      <c r="AO114" s="921" t="s">
        <v>2961</v>
      </c>
      <c r="AP114" s="836" t="s">
        <v>2932</v>
      </c>
      <c r="AQ114" s="401" t="s">
        <v>2962</v>
      </c>
      <c r="AR114" s="836" t="s">
        <v>2963</v>
      </c>
      <c r="AS114" s="921" t="s">
        <v>2964</v>
      </c>
      <c r="AT114" s="979">
        <v>1971</v>
      </c>
      <c r="AV114" s="1016"/>
      <c r="AW114" s="1016"/>
      <c r="AX114" s="1045"/>
      <c r="AY114" s="1045"/>
      <c r="AZ114" s="1016"/>
      <c r="BA114" s="1016"/>
      <c r="BB114" s="1001"/>
      <c r="BC114" s="1016"/>
      <c r="BG114" s="1001"/>
      <c r="BH114" s="927" t="s">
        <v>2965</v>
      </c>
      <c r="BI114" s="934" t="s">
        <v>2966</v>
      </c>
      <c r="BJ114" s="934" t="s">
        <v>2967</v>
      </c>
      <c r="BK114" s="934" t="s">
        <v>2968</v>
      </c>
      <c r="BL114" s="934" t="s">
        <v>2969</v>
      </c>
      <c r="BM114" s="934" t="s">
        <v>2970</v>
      </c>
      <c r="BN114" s="934" t="s">
        <v>2971</v>
      </c>
      <c r="BO114" s="934" t="s">
        <v>2972</v>
      </c>
      <c r="BP114" s="934" t="s">
        <v>2973</v>
      </c>
      <c r="BQ114" s="934" t="s">
        <v>2974</v>
      </c>
      <c r="BR114" s="934" t="s">
        <v>2975</v>
      </c>
      <c r="BS114" s="934" t="s">
        <v>2976</v>
      </c>
      <c r="BT114" s="934" t="s">
        <v>2977</v>
      </c>
      <c r="BU114" s="934" t="s">
        <v>2978</v>
      </c>
      <c r="BV114" s="934" t="s">
        <v>2979</v>
      </c>
      <c r="BW114" s="934" t="s">
        <v>2980</v>
      </c>
      <c r="BX114" s="934" t="s">
        <v>2981</v>
      </c>
      <c r="BY114" s="934" t="s">
        <v>2982</v>
      </c>
      <c r="BZ114" s="934" t="s">
        <v>2983</v>
      </c>
      <c r="CA114" s="934" t="s">
        <v>2984</v>
      </c>
      <c r="CB114" s="917"/>
      <c r="CC114" s="917"/>
      <c r="CD114" s="917"/>
      <c r="CE114" s="917"/>
      <c r="CF114" s="917"/>
      <c r="CG114" s="917"/>
      <c r="CH114" s="917"/>
      <c r="CI114" s="917"/>
      <c r="CJ114" s="917"/>
      <c r="CK114" s="917"/>
      <c r="CL114" s="917"/>
      <c r="CM114" s="917"/>
      <c r="CN114" s="917"/>
      <c r="CO114" s="917"/>
      <c r="CP114" s="917"/>
      <c r="CQ114" s="917"/>
      <c r="CR114" s="917"/>
      <c r="CS114" s="917"/>
      <c r="CT114" s="917"/>
      <c r="CU114" s="917"/>
      <c r="CV114" s="917"/>
      <c r="CW114" s="917"/>
      <c r="CX114" s="917"/>
      <c r="CY114" s="917"/>
      <c r="CZ114" s="917"/>
      <c r="DA114" s="917"/>
      <c r="DB114" s="917"/>
      <c r="DC114" s="917"/>
      <c r="DD114" s="917"/>
      <c r="DE114" s="917"/>
      <c r="DF114" s="917"/>
      <c r="DG114" s="917"/>
      <c r="DH114" s="917"/>
      <c r="DI114" s="917"/>
      <c r="DJ114" s="917"/>
      <c r="DK114" s="917"/>
      <c r="DL114" s="917"/>
      <c r="DM114" s="917"/>
      <c r="DN114" s="917"/>
      <c r="DO114" s="917"/>
      <c r="DP114" s="917"/>
      <c r="DQ114" s="917"/>
      <c r="DR114" s="917"/>
      <c r="DS114" s="917"/>
      <c r="DT114" s="917"/>
      <c r="DU114" s="917"/>
      <c r="DV114" s="917"/>
      <c r="DW114" s="917"/>
      <c r="DX114" s="917"/>
      <c r="DY114" s="917"/>
      <c r="DZ114" s="917"/>
      <c r="EA114" s="917"/>
      <c r="EB114" s="917"/>
      <c r="EC114" s="917"/>
      <c r="ED114" s="917"/>
      <c r="EE114" s="917"/>
      <c r="EF114" s="917"/>
      <c r="EG114" s="917"/>
      <c r="EH114" s="917"/>
      <c r="EI114" s="917"/>
      <c r="EJ114" s="917"/>
      <c r="EK114" s="917"/>
      <c r="EL114" s="917"/>
      <c r="EM114" s="917"/>
      <c r="EN114" s="917"/>
      <c r="EO114" s="917"/>
    </row>
    <row r="115" spans="1:145" ht="17.25" customHeight="1">
      <c r="A115" s="856" t="s">
        <v>2985</v>
      </c>
      <c r="B115" s="856" t="s">
        <v>2985</v>
      </c>
      <c r="C115" s="867" t="s">
        <v>2481</v>
      </c>
      <c r="D115" s="921" t="s">
        <v>2643</v>
      </c>
      <c r="E115" s="836" t="s">
        <v>148</v>
      </c>
      <c r="F115" s="836" t="s">
        <v>2986</v>
      </c>
      <c r="G115" s="1020" t="s">
        <v>2630</v>
      </c>
      <c r="H115" s="921" t="s">
        <v>2631</v>
      </c>
      <c r="I115" s="1038" t="s">
        <v>2632</v>
      </c>
      <c r="J115" s="836" t="s">
        <v>2633</v>
      </c>
      <c r="K115" s="854" t="s">
        <v>2634</v>
      </c>
      <c r="L115" s="2780"/>
      <c r="M115" s="1043">
        <v>2</v>
      </c>
      <c r="N115" s="2834" t="s">
        <v>2987</v>
      </c>
      <c r="O115" s="2834"/>
      <c r="P115" s="2834"/>
      <c r="Q115" s="2834"/>
      <c r="R115" s="2835"/>
      <c r="S115" s="1044">
        <v>2</v>
      </c>
      <c r="T115" s="2834" t="s">
        <v>2988</v>
      </c>
      <c r="U115" s="2834"/>
      <c r="V115" s="2834"/>
      <c r="W115" s="2834"/>
      <c r="X115" s="2835"/>
      <c r="AE115" s="979">
        <v>1972</v>
      </c>
      <c r="AF115" s="401" t="s">
        <v>2989</v>
      </c>
      <c r="AG115" s="401"/>
      <c r="AH115" s="401"/>
      <c r="AI115" s="401" t="s">
        <v>2990</v>
      </c>
      <c r="AJ115" s="401"/>
      <c r="AK115" s="401"/>
      <c r="AL115" s="401" t="s">
        <v>2929</v>
      </c>
      <c r="AM115" s="401" t="s">
        <v>1523</v>
      </c>
      <c r="AN115" s="401" t="s">
        <v>2991</v>
      </c>
      <c r="AO115" s="921" t="s">
        <v>2992</v>
      </c>
      <c r="AP115" s="836" t="s">
        <v>2932</v>
      </c>
      <c r="AQ115" s="401" t="s">
        <v>2993</v>
      </c>
      <c r="AR115" s="836" t="s">
        <v>2994</v>
      </c>
      <c r="AS115" s="921" t="s">
        <v>2995</v>
      </c>
      <c r="AT115" s="979">
        <v>1972</v>
      </c>
      <c r="AV115" s="1016"/>
      <c r="AW115" s="1016"/>
      <c r="AX115" s="1045"/>
      <c r="AY115" s="1045"/>
      <c r="AZ115" s="1016"/>
      <c r="BA115" s="1016"/>
      <c r="BB115" s="1001"/>
      <c r="BC115" s="1016"/>
      <c r="BG115" s="1001"/>
      <c r="BH115" s="927" t="s">
        <v>2996</v>
      </c>
      <c r="BI115" s="934" t="s">
        <v>2997</v>
      </c>
      <c r="BJ115" s="934" t="s">
        <v>2998</v>
      </c>
      <c r="BK115" s="934" t="s">
        <v>2999</v>
      </c>
      <c r="BL115" s="934" t="s">
        <v>3000</v>
      </c>
      <c r="BM115" s="934" t="s">
        <v>3001</v>
      </c>
      <c r="BN115" s="934" t="s">
        <v>3002</v>
      </c>
      <c r="BO115" s="934" t="s">
        <v>3003</v>
      </c>
      <c r="BP115" s="934" t="s">
        <v>3004</v>
      </c>
      <c r="BQ115" s="934" t="s">
        <v>3005</v>
      </c>
      <c r="BR115" s="934" t="s">
        <v>3006</v>
      </c>
      <c r="BS115" s="934" t="s">
        <v>3007</v>
      </c>
      <c r="BT115" s="934" t="s">
        <v>3008</v>
      </c>
      <c r="BU115" s="917"/>
      <c r="BV115" s="917"/>
      <c r="BW115" s="917"/>
      <c r="BX115" s="917"/>
      <c r="BY115" s="917"/>
      <c r="BZ115" s="917"/>
      <c r="CA115" s="917"/>
      <c r="CB115" s="917"/>
      <c r="CC115" s="917"/>
      <c r="CD115" s="917"/>
      <c r="CE115" s="917"/>
      <c r="CF115" s="917"/>
      <c r="CG115" s="917"/>
      <c r="CH115" s="917"/>
      <c r="CI115" s="917"/>
      <c r="CJ115" s="917"/>
      <c r="CK115" s="917"/>
      <c r="CL115" s="917"/>
      <c r="CM115" s="917"/>
      <c r="CN115" s="917"/>
      <c r="CO115" s="917"/>
      <c r="CP115" s="917"/>
      <c r="CQ115" s="917"/>
      <c r="CR115" s="917"/>
      <c r="CS115" s="917"/>
      <c r="CT115" s="917"/>
      <c r="CU115" s="917"/>
      <c r="CV115" s="917"/>
      <c r="CW115" s="917"/>
      <c r="CX115" s="917"/>
      <c r="CY115" s="917"/>
      <c r="CZ115" s="917"/>
      <c r="DA115" s="917"/>
      <c r="DB115" s="917"/>
      <c r="DC115" s="917"/>
      <c r="DD115" s="917"/>
      <c r="DE115" s="917"/>
      <c r="DF115" s="917"/>
      <c r="DG115" s="917"/>
      <c r="DH115" s="917"/>
      <c r="DI115" s="917"/>
      <c r="DJ115" s="917"/>
      <c r="DK115" s="917"/>
      <c r="DL115" s="917"/>
      <c r="DM115" s="917"/>
      <c r="DN115" s="917"/>
      <c r="DO115" s="917"/>
      <c r="DP115" s="917"/>
      <c r="DQ115" s="917"/>
      <c r="DR115" s="917"/>
      <c r="DS115" s="917"/>
      <c r="DT115" s="917"/>
      <c r="DU115" s="917"/>
      <c r="DV115" s="917"/>
      <c r="DW115" s="917"/>
      <c r="DX115" s="917"/>
      <c r="DY115" s="917"/>
      <c r="DZ115" s="917"/>
      <c r="EA115" s="917"/>
      <c r="EB115" s="917"/>
      <c r="EC115" s="917"/>
      <c r="ED115" s="917"/>
      <c r="EE115" s="917"/>
      <c r="EF115" s="917"/>
      <c r="EG115" s="917"/>
      <c r="EH115" s="917"/>
      <c r="EI115" s="917"/>
      <c r="EJ115" s="917"/>
      <c r="EK115" s="917"/>
      <c r="EL115" s="917"/>
      <c r="EM115" s="917"/>
      <c r="EN115" s="917"/>
      <c r="EO115" s="917"/>
    </row>
    <row r="116" spans="1:145" ht="17.25" customHeight="1">
      <c r="A116" s="856" t="s">
        <v>3009</v>
      </c>
      <c r="B116" s="856" t="s">
        <v>3009</v>
      </c>
      <c r="C116" s="867" t="s">
        <v>2481</v>
      </c>
      <c r="D116" s="921" t="s">
        <v>2643</v>
      </c>
      <c r="E116" s="836" t="s">
        <v>148</v>
      </c>
      <c r="F116" s="836" t="s">
        <v>3010</v>
      </c>
      <c r="G116" s="1020" t="s">
        <v>2630</v>
      </c>
      <c r="H116" s="921" t="s">
        <v>2631</v>
      </c>
      <c r="I116" s="1038" t="s">
        <v>2632</v>
      </c>
      <c r="J116" s="836" t="s">
        <v>2633</v>
      </c>
      <c r="K116" s="854" t="s">
        <v>2634</v>
      </c>
      <c r="L116" s="2780"/>
      <c r="M116" s="1043">
        <v>3</v>
      </c>
      <c r="N116" s="2834" t="s">
        <v>3011</v>
      </c>
      <c r="O116" s="2834"/>
      <c r="P116" s="2834"/>
      <c r="Q116" s="2834"/>
      <c r="R116" s="2835"/>
      <c r="S116" s="1044">
        <v>3</v>
      </c>
      <c r="T116" s="2834" t="s">
        <v>3012</v>
      </c>
      <c r="U116" s="2834"/>
      <c r="V116" s="2834"/>
      <c r="W116" s="2834"/>
      <c r="X116" s="2835"/>
      <c r="AE116" s="979">
        <v>1973</v>
      </c>
      <c r="AF116" s="401" t="s">
        <v>148</v>
      </c>
      <c r="AG116" s="401"/>
      <c r="AH116" s="401"/>
      <c r="AI116" s="401" t="s">
        <v>3013</v>
      </c>
      <c r="AJ116" s="401"/>
      <c r="AK116" s="401"/>
      <c r="AL116" s="401" t="s">
        <v>2929</v>
      </c>
      <c r="AM116" s="401" t="s">
        <v>1551</v>
      </c>
      <c r="AN116" s="401" t="s">
        <v>3014</v>
      </c>
      <c r="AO116" s="921" t="s">
        <v>3015</v>
      </c>
      <c r="AP116" s="836" t="s">
        <v>2932</v>
      </c>
      <c r="AQ116" s="401" t="s">
        <v>3016</v>
      </c>
      <c r="AR116" s="836" t="s">
        <v>3017</v>
      </c>
      <c r="AS116" s="921" t="s">
        <v>3018</v>
      </c>
      <c r="AT116" s="979">
        <v>1973</v>
      </c>
      <c r="AV116" s="1016"/>
      <c r="AW116" s="1016"/>
      <c r="AX116" s="1045"/>
      <c r="AY116" s="1045"/>
      <c r="AZ116" s="1016"/>
      <c r="BA116" s="1016"/>
      <c r="BB116" s="1001"/>
      <c r="BC116" s="1016"/>
      <c r="BG116" s="1001"/>
      <c r="BH116" s="927" t="s">
        <v>3019</v>
      </c>
      <c r="BI116" s="934" t="s">
        <v>3020</v>
      </c>
      <c r="BJ116" s="934" t="s">
        <v>3021</v>
      </c>
      <c r="BK116" s="934" t="s">
        <v>3022</v>
      </c>
      <c r="BL116" s="934" t="s">
        <v>3023</v>
      </c>
      <c r="BM116" s="934" t="s">
        <v>3024</v>
      </c>
      <c r="BN116" s="934" t="s">
        <v>3025</v>
      </c>
      <c r="BO116" s="934" t="s">
        <v>3026</v>
      </c>
      <c r="BP116" s="934" t="s">
        <v>3027</v>
      </c>
      <c r="BQ116" s="934" t="s">
        <v>3028</v>
      </c>
      <c r="BR116" s="934" t="s">
        <v>3029</v>
      </c>
      <c r="BS116" s="934" t="s">
        <v>3030</v>
      </c>
      <c r="BT116" s="934" t="s">
        <v>3031</v>
      </c>
      <c r="BU116" s="934" t="s">
        <v>3032</v>
      </c>
      <c r="BV116" s="934" t="s">
        <v>3033</v>
      </c>
      <c r="BW116" s="934" t="s">
        <v>3034</v>
      </c>
      <c r="BX116" s="934" t="s">
        <v>3035</v>
      </c>
      <c r="BY116" s="934" t="s">
        <v>3036</v>
      </c>
      <c r="BZ116" s="934" t="s">
        <v>3037</v>
      </c>
      <c r="CA116" s="934" t="s">
        <v>3038</v>
      </c>
      <c r="CB116" s="934" t="s">
        <v>3039</v>
      </c>
      <c r="CC116" s="934" t="s">
        <v>3040</v>
      </c>
      <c r="CD116" s="934" t="s">
        <v>3041</v>
      </c>
      <c r="CE116" s="934" t="s">
        <v>3042</v>
      </c>
      <c r="CF116" s="917"/>
      <c r="CG116" s="917"/>
      <c r="CH116" s="917"/>
      <c r="CI116" s="917"/>
      <c r="CJ116" s="917"/>
      <c r="CK116" s="917"/>
      <c r="CL116" s="917"/>
      <c r="CM116" s="917"/>
      <c r="CN116" s="917"/>
      <c r="CO116" s="917"/>
      <c r="CP116" s="917"/>
      <c r="CQ116" s="917"/>
      <c r="CR116" s="917"/>
      <c r="CS116" s="917"/>
      <c r="CT116" s="917"/>
      <c r="CU116" s="917"/>
      <c r="CV116" s="917"/>
      <c r="CW116" s="917"/>
      <c r="CX116" s="917"/>
      <c r="CY116" s="917"/>
      <c r="CZ116" s="917"/>
      <c r="DA116" s="917"/>
      <c r="DB116" s="917"/>
      <c r="DC116" s="917"/>
      <c r="DD116" s="917"/>
      <c r="DE116" s="917"/>
      <c r="DF116" s="917"/>
      <c r="DG116" s="917"/>
      <c r="DH116" s="917"/>
      <c r="DI116" s="917"/>
      <c r="DJ116" s="917"/>
      <c r="DK116" s="917"/>
      <c r="DL116" s="917"/>
      <c r="DM116" s="917"/>
      <c r="DN116" s="917"/>
      <c r="DO116" s="917"/>
      <c r="DP116" s="917"/>
      <c r="DQ116" s="917"/>
      <c r="DR116" s="917"/>
      <c r="DS116" s="917"/>
      <c r="DT116" s="917"/>
      <c r="DU116" s="917"/>
      <c r="DV116" s="917"/>
      <c r="DW116" s="917"/>
      <c r="DX116" s="917"/>
      <c r="DY116" s="917"/>
      <c r="DZ116" s="917"/>
      <c r="EA116" s="917"/>
      <c r="EB116" s="917"/>
      <c r="EC116" s="917"/>
      <c r="ED116" s="917"/>
      <c r="EE116" s="917"/>
      <c r="EF116" s="917"/>
      <c r="EG116" s="917"/>
      <c r="EH116" s="917"/>
      <c r="EI116" s="917"/>
      <c r="EJ116" s="917"/>
      <c r="EK116" s="917"/>
      <c r="EL116" s="917"/>
      <c r="EM116" s="917"/>
      <c r="EN116" s="917"/>
      <c r="EO116" s="917"/>
    </row>
    <row r="117" spans="1:145" ht="17.25" customHeight="1">
      <c r="A117" s="856" t="s">
        <v>3043</v>
      </c>
      <c r="B117" s="856" t="s">
        <v>3043</v>
      </c>
      <c r="C117" s="867" t="s">
        <v>2481</v>
      </c>
      <c r="D117" s="921" t="s">
        <v>2643</v>
      </c>
      <c r="E117" s="836" t="s">
        <v>148</v>
      </c>
      <c r="F117" s="836" t="s">
        <v>3044</v>
      </c>
      <c r="G117" s="1020" t="s">
        <v>2630</v>
      </c>
      <c r="H117" s="921" t="s">
        <v>2631</v>
      </c>
      <c r="I117" s="1038" t="s">
        <v>2632</v>
      </c>
      <c r="J117" s="836" t="s">
        <v>2633</v>
      </c>
      <c r="K117" s="854" t="s">
        <v>2634</v>
      </c>
      <c r="L117" s="2780"/>
      <c r="M117" s="1043">
        <v>4</v>
      </c>
      <c r="N117" s="2834" t="s">
        <v>3045</v>
      </c>
      <c r="O117" s="2834"/>
      <c r="P117" s="2834"/>
      <c r="Q117" s="2834"/>
      <c r="R117" s="2835"/>
      <c r="S117" s="1044">
        <v>4</v>
      </c>
      <c r="T117" s="2834" t="s">
        <v>3046</v>
      </c>
      <c r="U117" s="2834"/>
      <c r="V117" s="2834"/>
      <c r="W117" s="2834"/>
      <c r="X117" s="2835"/>
      <c r="AE117" s="979">
        <v>1974</v>
      </c>
      <c r="AF117" s="401" t="s">
        <v>148</v>
      </c>
      <c r="AG117" s="401"/>
      <c r="AH117" s="401"/>
      <c r="AI117" s="401" t="s">
        <v>148</v>
      </c>
      <c r="AJ117" s="401"/>
      <c r="AK117" s="401"/>
      <c r="AL117" s="401" t="s">
        <v>2929</v>
      </c>
      <c r="AM117" s="401" t="s">
        <v>1614</v>
      </c>
      <c r="AN117" s="401" t="s">
        <v>3047</v>
      </c>
      <c r="AO117" s="836" t="s">
        <v>3048</v>
      </c>
      <c r="AP117" s="836" t="s">
        <v>3049</v>
      </c>
      <c r="AQ117" s="401" t="s">
        <v>3016</v>
      </c>
      <c r="AR117" s="836" t="s">
        <v>3017</v>
      </c>
      <c r="AT117" s="979">
        <v>1974</v>
      </c>
      <c r="BB117" s="1001"/>
      <c r="BG117" s="1001"/>
      <c r="BH117" s="927" t="s">
        <v>3050</v>
      </c>
      <c r="BI117" s="934" t="s">
        <v>3051</v>
      </c>
      <c r="BJ117" s="934" t="s">
        <v>3052</v>
      </c>
      <c r="BK117" s="934" t="s">
        <v>3053</v>
      </c>
      <c r="BL117" s="934" t="s">
        <v>3054</v>
      </c>
      <c r="BM117" s="934" t="s">
        <v>3055</v>
      </c>
      <c r="BN117" s="934" t="s">
        <v>3056</v>
      </c>
      <c r="BO117" s="934" t="s">
        <v>3057</v>
      </c>
      <c r="BP117" s="934" t="s">
        <v>3058</v>
      </c>
      <c r="BQ117" s="934" t="s">
        <v>3059</v>
      </c>
      <c r="BR117" s="934" t="s">
        <v>3060</v>
      </c>
      <c r="BS117" s="934" t="s">
        <v>3061</v>
      </c>
      <c r="BT117" s="934" t="s">
        <v>3062</v>
      </c>
      <c r="BU117" s="934" t="s">
        <v>3063</v>
      </c>
      <c r="BV117" s="934" t="s">
        <v>3064</v>
      </c>
      <c r="BW117" s="934" t="s">
        <v>3065</v>
      </c>
      <c r="BX117" s="934" t="s">
        <v>3066</v>
      </c>
      <c r="BY117" s="934" t="s">
        <v>3067</v>
      </c>
      <c r="BZ117" s="934" t="s">
        <v>3068</v>
      </c>
      <c r="CA117" s="934" t="s">
        <v>3069</v>
      </c>
      <c r="CB117" s="934" t="s">
        <v>3070</v>
      </c>
      <c r="CC117" s="934" t="s">
        <v>3071</v>
      </c>
      <c r="CD117" s="934" t="s">
        <v>3072</v>
      </c>
      <c r="CE117" s="934" t="s">
        <v>3073</v>
      </c>
      <c r="CF117" s="934" t="s">
        <v>3074</v>
      </c>
      <c r="CG117" s="934" t="s">
        <v>3075</v>
      </c>
      <c r="CH117" s="934" t="s">
        <v>3076</v>
      </c>
      <c r="CI117" s="917"/>
      <c r="CJ117" s="917"/>
      <c r="CK117" s="917"/>
      <c r="CL117" s="917"/>
      <c r="CM117" s="917"/>
      <c r="CN117" s="917"/>
      <c r="CO117" s="917"/>
      <c r="CP117" s="917"/>
      <c r="CQ117" s="917"/>
      <c r="CR117" s="917"/>
      <c r="CS117" s="917"/>
      <c r="CT117" s="917"/>
      <c r="CU117" s="917"/>
      <c r="CV117" s="917"/>
      <c r="CW117" s="917"/>
      <c r="CX117" s="917"/>
      <c r="CY117" s="917"/>
      <c r="CZ117" s="917"/>
      <c r="DA117" s="917"/>
      <c r="DB117" s="917"/>
      <c r="DC117" s="917"/>
      <c r="DD117" s="917"/>
      <c r="DE117" s="917"/>
      <c r="DF117" s="917"/>
      <c r="DG117" s="917"/>
      <c r="DH117" s="917"/>
      <c r="DI117" s="917"/>
      <c r="DJ117" s="917"/>
      <c r="DK117" s="917"/>
      <c r="DL117" s="917"/>
      <c r="DM117" s="917"/>
      <c r="DN117" s="917"/>
      <c r="DO117" s="917"/>
      <c r="DP117" s="917"/>
      <c r="DQ117" s="917"/>
      <c r="DR117" s="917"/>
      <c r="DS117" s="917"/>
      <c r="DT117" s="917"/>
      <c r="DU117" s="917"/>
      <c r="DV117" s="917"/>
      <c r="DW117" s="917"/>
      <c r="DX117" s="917"/>
      <c r="DY117" s="917"/>
      <c r="DZ117" s="917"/>
      <c r="EA117" s="917"/>
      <c r="EB117" s="917"/>
      <c r="EC117" s="917"/>
      <c r="ED117" s="917"/>
      <c r="EE117" s="917"/>
      <c r="EF117" s="917"/>
      <c r="EG117" s="917"/>
      <c r="EH117" s="917"/>
      <c r="EI117" s="917"/>
      <c r="EJ117" s="917"/>
      <c r="EK117" s="917"/>
      <c r="EL117" s="917"/>
      <c r="EM117" s="917"/>
      <c r="EN117" s="917"/>
      <c r="EO117" s="917"/>
    </row>
    <row r="118" spans="1:145" ht="17.25" customHeight="1">
      <c r="A118" s="856" t="s">
        <v>3077</v>
      </c>
      <c r="B118" s="856" t="s">
        <v>3077</v>
      </c>
      <c r="C118" s="867" t="s">
        <v>2481</v>
      </c>
      <c r="D118" s="921" t="s">
        <v>2643</v>
      </c>
      <c r="E118" s="836" t="s">
        <v>148</v>
      </c>
      <c r="F118" s="836" t="s">
        <v>3078</v>
      </c>
      <c r="G118" s="1020" t="s">
        <v>2630</v>
      </c>
      <c r="H118" s="921" t="s">
        <v>2631</v>
      </c>
      <c r="I118" s="1038" t="s">
        <v>2632</v>
      </c>
      <c r="J118" s="836" t="s">
        <v>2633</v>
      </c>
      <c r="K118" s="854" t="s">
        <v>2634</v>
      </c>
      <c r="L118" s="2780"/>
      <c r="M118" s="1043">
        <v>5</v>
      </c>
      <c r="N118" s="2834" t="s">
        <v>3079</v>
      </c>
      <c r="O118" s="2834"/>
      <c r="P118" s="2834"/>
      <c r="Q118" s="2834"/>
      <c r="R118" s="2835"/>
      <c r="S118" s="1044">
        <v>5</v>
      </c>
      <c r="T118" s="2834" t="s">
        <v>3080</v>
      </c>
      <c r="U118" s="2834"/>
      <c r="V118" s="2834"/>
      <c r="W118" s="2834"/>
      <c r="X118" s="2835"/>
      <c r="AE118" s="979">
        <v>1975</v>
      </c>
      <c r="AF118" s="401" t="s">
        <v>3081</v>
      </c>
      <c r="AG118" s="401"/>
      <c r="AH118" s="401"/>
      <c r="AI118" s="401" t="s">
        <v>3082</v>
      </c>
      <c r="AJ118" s="401"/>
      <c r="AK118" s="401"/>
      <c r="AL118" s="401" t="s">
        <v>2929</v>
      </c>
      <c r="AM118" s="401" t="s">
        <v>1633</v>
      </c>
      <c r="AN118" s="401" t="s">
        <v>3083</v>
      </c>
      <c r="AO118" s="836" t="s">
        <v>3084</v>
      </c>
      <c r="AP118" s="836" t="s">
        <v>3085</v>
      </c>
      <c r="AQ118" s="401" t="s">
        <v>3086</v>
      </c>
      <c r="AR118" s="836" t="s">
        <v>3087</v>
      </c>
      <c r="AS118" s="836" t="s">
        <v>3088</v>
      </c>
      <c r="AT118" s="979">
        <v>1975</v>
      </c>
      <c r="BB118" s="1001"/>
      <c r="BG118" s="1001"/>
      <c r="BI118" s="917"/>
      <c r="BJ118" s="917"/>
      <c r="BK118" s="917"/>
      <c r="BL118" s="917"/>
      <c r="BM118" s="917"/>
      <c r="BN118" s="917"/>
      <c r="BO118" s="917"/>
      <c r="BP118" s="917"/>
      <c r="BQ118" s="917"/>
      <c r="BR118" s="917"/>
      <c r="BS118" s="917"/>
      <c r="BT118" s="917"/>
      <c r="BU118" s="917"/>
      <c r="BV118" s="917"/>
      <c r="BW118" s="917"/>
      <c r="BX118" s="917"/>
      <c r="BY118" s="917"/>
      <c r="BZ118" s="917"/>
      <c r="CA118" s="917"/>
      <c r="CB118" s="917"/>
      <c r="CC118" s="917"/>
      <c r="CD118" s="917"/>
      <c r="CE118" s="917"/>
      <c r="CF118" s="917"/>
      <c r="CG118" s="917"/>
      <c r="CH118" s="917"/>
      <c r="CI118" s="917"/>
      <c r="CJ118" s="917"/>
      <c r="CK118" s="917"/>
      <c r="CL118" s="917"/>
      <c r="CM118" s="917"/>
      <c r="CN118" s="917"/>
      <c r="CO118" s="917"/>
      <c r="CP118" s="917"/>
      <c r="CQ118" s="917"/>
      <c r="CR118" s="917"/>
      <c r="CS118" s="917"/>
      <c r="CT118" s="917"/>
      <c r="CU118" s="917"/>
      <c r="CV118" s="917"/>
      <c r="CW118" s="917"/>
      <c r="CX118" s="917"/>
      <c r="CY118" s="917"/>
      <c r="CZ118" s="917"/>
      <c r="DA118" s="917"/>
      <c r="DB118" s="917"/>
      <c r="DC118" s="917"/>
      <c r="DD118" s="917"/>
      <c r="DE118" s="917"/>
      <c r="DF118" s="917"/>
      <c r="DG118" s="917"/>
      <c r="DH118" s="917"/>
      <c r="DI118" s="917"/>
      <c r="DJ118" s="917"/>
      <c r="DK118" s="917"/>
      <c r="DL118" s="917"/>
      <c r="DM118" s="917"/>
      <c r="DN118" s="917"/>
      <c r="DO118" s="917"/>
      <c r="DP118" s="917"/>
      <c r="DQ118" s="917"/>
      <c r="DR118" s="917"/>
      <c r="DS118" s="917"/>
      <c r="DT118" s="917"/>
      <c r="DU118" s="917"/>
      <c r="DV118" s="917"/>
      <c r="DW118" s="917"/>
      <c r="DX118" s="917"/>
      <c r="DY118" s="917"/>
      <c r="DZ118" s="917"/>
      <c r="EA118" s="917"/>
      <c r="EB118" s="917"/>
      <c r="EC118" s="917"/>
      <c r="ED118" s="917"/>
      <c r="EE118" s="917"/>
      <c r="EF118" s="917"/>
      <c r="EG118" s="917"/>
      <c r="EH118" s="917"/>
      <c r="EI118" s="917"/>
      <c r="EJ118" s="917"/>
      <c r="EK118" s="917"/>
      <c r="EL118" s="917"/>
      <c r="EM118" s="917"/>
      <c r="EN118" s="917"/>
      <c r="EO118" s="917"/>
    </row>
    <row r="119" spans="1:145" ht="17.25" customHeight="1">
      <c r="A119" s="856" t="s">
        <v>3089</v>
      </c>
      <c r="B119" s="856" t="s">
        <v>3089</v>
      </c>
      <c r="C119" s="867" t="s">
        <v>2481</v>
      </c>
      <c r="D119" s="921" t="s">
        <v>2643</v>
      </c>
      <c r="E119" s="836" t="s">
        <v>148</v>
      </c>
      <c r="F119" s="836" t="s">
        <v>3090</v>
      </c>
      <c r="G119" s="1020" t="s">
        <v>2630</v>
      </c>
      <c r="H119" s="921" t="s">
        <v>2631</v>
      </c>
      <c r="I119" s="1038" t="s">
        <v>2632</v>
      </c>
      <c r="J119" s="836" t="s">
        <v>2633</v>
      </c>
      <c r="K119" s="854" t="s">
        <v>2634</v>
      </c>
      <c r="L119" s="2780"/>
      <c r="M119" s="1043">
        <v>6</v>
      </c>
      <c r="N119" s="2834" t="s">
        <v>3091</v>
      </c>
      <c r="O119" s="2834"/>
      <c r="P119" s="2834"/>
      <c r="Q119" s="2834"/>
      <c r="R119" s="2835"/>
      <c r="S119" s="1044">
        <v>6</v>
      </c>
      <c r="T119" s="2834" t="s">
        <v>3092</v>
      </c>
      <c r="U119" s="2834"/>
      <c r="V119" s="2834"/>
      <c r="W119" s="2834"/>
      <c r="X119" s="2835"/>
      <c r="AE119" s="979">
        <v>1976</v>
      </c>
      <c r="AF119" s="401" t="s">
        <v>3093</v>
      </c>
      <c r="AG119" s="401"/>
      <c r="AH119" s="401"/>
      <c r="AI119" s="401" t="s">
        <v>3094</v>
      </c>
      <c r="AJ119" s="401" t="s">
        <v>3095</v>
      </c>
      <c r="AK119" s="401" t="s">
        <v>3096</v>
      </c>
      <c r="AL119" s="401" t="s">
        <v>2929</v>
      </c>
      <c r="AM119" s="401" t="s">
        <v>1653</v>
      </c>
      <c r="AN119" s="401" t="s">
        <v>3097</v>
      </c>
      <c r="AO119" s="836" t="s">
        <v>3098</v>
      </c>
      <c r="AP119" s="836" t="s">
        <v>3085</v>
      </c>
      <c r="AQ119" s="401" t="s">
        <v>3099</v>
      </c>
      <c r="AR119" s="836" t="s">
        <v>3100</v>
      </c>
      <c r="AS119" s="836" t="s">
        <v>3101</v>
      </c>
      <c r="AT119" s="979">
        <v>1976</v>
      </c>
      <c r="BB119" s="1001"/>
      <c r="BG119" s="1001"/>
      <c r="BH119" s="1027" t="s">
        <v>3102</v>
      </c>
      <c r="BI119" s="917"/>
      <c r="BJ119" s="917"/>
      <c r="BK119" s="917"/>
      <c r="BL119" s="917"/>
      <c r="BM119" s="917"/>
      <c r="BN119" s="917"/>
      <c r="BO119" s="917"/>
      <c r="BP119" s="917"/>
      <c r="BQ119" s="917"/>
      <c r="BR119" s="917"/>
      <c r="BS119" s="917"/>
      <c r="BT119" s="917"/>
      <c r="BU119" s="917"/>
      <c r="BV119" s="917"/>
      <c r="BW119" s="917"/>
      <c r="BX119" s="917"/>
      <c r="BY119" s="917"/>
      <c r="BZ119" s="917"/>
      <c r="CA119" s="917"/>
      <c r="CB119" s="917"/>
      <c r="CC119" s="917"/>
      <c r="CD119" s="917"/>
      <c r="CE119" s="917"/>
      <c r="CF119" s="917"/>
      <c r="CG119" s="917"/>
      <c r="CH119" s="917"/>
      <c r="CI119" s="917"/>
      <c r="CJ119" s="917"/>
      <c r="CK119" s="917"/>
      <c r="CL119" s="917"/>
      <c r="CM119" s="917"/>
      <c r="CN119" s="917"/>
      <c r="CO119" s="917"/>
      <c r="CP119" s="917"/>
      <c r="CQ119" s="917"/>
      <c r="CR119" s="917"/>
      <c r="CS119" s="917"/>
      <c r="CT119" s="917"/>
      <c r="CU119" s="917"/>
      <c r="CV119" s="917"/>
      <c r="CW119" s="917"/>
      <c r="CX119" s="917"/>
      <c r="CY119" s="917"/>
      <c r="CZ119" s="917"/>
      <c r="DA119" s="917"/>
      <c r="DB119" s="917"/>
      <c r="DC119" s="917"/>
      <c r="DD119" s="917"/>
      <c r="DE119" s="917"/>
      <c r="DF119" s="917"/>
      <c r="DG119" s="917"/>
      <c r="DH119" s="917"/>
      <c r="DI119" s="917"/>
      <c r="DJ119" s="917"/>
      <c r="DK119" s="917"/>
      <c r="DL119" s="917"/>
      <c r="DM119" s="917"/>
      <c r="DN119" s="917"/>
      <c r="DO119" s="917"/>
      <c r="DP119" s="917"/>
      <c r="DQ119" s="917"/>
      <c r="DR119" s="917"/>
      <c r="DS119" s="917"/>
      <c r="DT119" s="917"/>
      <c r="DU119" s="917"/>
      <c r="DV119" s="917"/>
      <c r="DW119" s="917"/>
      <c r="DX119" s="917"/>
      <c r="DY119" s="917"/>
      <c r="DZ119" s="917"/>
      <c r="EA119" s="917"/>
      <c r="EB119" s="917"/>
      <c r="EC119" s="917"/>
      <c r="ED119" s="917"/>
      <c r="EE119" s="917"/>
      <c r="EF119" s="917"/>
      <c r="EG119" s="917"/>
      <c r="EH119" s="917"/>
      <c r="EI119" s="917"/>
      <c r="EJ119" s="917"/>
      <c r="EK119" s="917"/>
      <c r="EL119" s="917"/>
      <c r="EM119" s="917"/>
      <c r="EN119" s="917"/>
      <c r="EO119" s="917"/>
    </row>
    <row r="120" spans="1:145" ht="17.25" customHeight="1">
      <c r="A120" s="856" t="s">
        <v>3103</v>
      </c>
      <c r="B120" s="856" t="s">
        <v>3103</v>
      </c>
      <c r="C120" s="867" t="s">
        <v>2481</v>
      </c>
      <c r="D120" s="921" t="s">
        <v>2643</v>
      </c>
      <c r="E120" s="836" t="s">
        <v>148</v>
      </c>
      <c r="F120" s="836" t="s">
        <v>3104</v>
      </c>
      <c r="G120" s="1020" t="s">
        <v>2630</v>
      </c>
      <c r="H120" s="921" t="s">
        <v>2631</v>
      </c>
      <c r="I120" s="1038" t="s">
        <v>2632</v>
      </c>
      <c r="J120" s="836" t="s">
        <v>2633</v>
      </c>
      <c r="K120" s="854" t="s">
        <v>2634</v>
      </c>
      <c r="L120" s="2780"/>
      <c r="M120" s="1043">
        <v>7</v>
      </c>
      <c r="N120" s="2834" t="s">
        <v>3105</v>
      </c>
      <c r="O120" s="2834"/>
      <c r="P120" s="2834"/>
      <c r="Q120" s="2834"/>
      <c r="R120" s="2835"/>
      <c r="S120" s="1044">
        <v>7</v>
      </c>
      <c r="T120" s="2834" t="s">
        <v>3106</v>
      </c>
      <c r="U120" s="2834"/>
      <c r="V120" s="2834"/>
      <c r="W120" s="2834"/>
      <c r="X120" s="2835"/>
      <c r="AE120" s="979">
        <v>1977</v>
      </c>
      <c r="AF120" s="401" t="s">
        <v>148</v>
      </c>
      <c r="AG120" s="401"/>
      <c r="AH120" s="401"/>
      <c r="AI120" s="401" t="s">
        <v>148</v>
      </c>
      <c r="AJ120" s="401"/>
      <c r="AK120" s="401"/>
      <c r="AL120" s="401" t="s">
        <v>2929</v>
      </c>
      <c r="AM120" s="401" t="s">
        <v>1711</v>
      </c>
      <c r="AN120" s="401" t="s">
        <v>3107</v>
      </c>
      <c r="AO120" s="836" t="s">
        <v>3108</v>
      </c>
      <c r="AP120" s="836" t="s">
        <v>3109</v>
      </c>
      <c r="AQ120" s="401" t="s">
        <v>3110</v>
      </c>
      <c r="AR120" s="836" t="s">
        <v>3111</v>
      </c>
      <c r="AS120" s="836" t="s">
        <v>3112</v>
      </c>
      <c r="AT120" s="979">
        <v>1977</v>
      </c>
      <c r="BB120" s="1001"/>
      <c r="BG120" s="1001"/>
      <c r="BH120" s="927" t="s">
        <v>3113</v>
      </c>
      <c r="BI120" s="934" t="s">
        <v>3114</v>
      </c>
      <c r="BJ120" s="934" t="s">
        <v>3115</v>
      </c>
      <c r="BK120" s="934" t="s">
        <v>3116</v>
      </c>
      <c r="BL120" s="934" t="s">
        <v>3117</v>
      </c>
      <c r="BM120" s="934" t="s">
        <v>3118</v>
      </c>
      <c r="BN120" s="934" t="s">
        <v>3119</v>
      </c>
      <c r="BO120" s="934" t="s">
        <v>3120</v>
      </c>
      <c r="BP120" s="934" t="s">
        <v>3121</v>
      </c>
      <c r="BQ120" s="934" t="s">
        <v>3122</v>
      </c>
      <c r="BR120" s="934" t="s">
        <v>3123</v>
      </c>
      <c r="BS120" s="934" t="s">
        <v>3124</v>
      </c>
      <c r="BT120" s="934" t="s">
        <v>3125</v>
      </c>
      <c r="BU120" s="934" t="s">
        <v>3126</v>
      </c>
      <c r="BV120" s="934" t="s">
        <v>3127</v>
      </c>
      <c r="BW120" s="934" t="s">
        <v>3128</v>
      </c>
      <c r="BX120" s="934" t="s">
        <v>3129</v>
      </c>
      <c r="BY120" s="934" t="s">
        <v>3130</v>
      </c>
      <c r="BZ120" s="917"/>
      <c r="CA120" s="917"/>
      <c r="CB120" s="917"/>
      <c r="CC120" s="917"/>
      <c r="CD120" s="917"/>
      <c r="CE120" s="917"/>
      <c r="CF120" s="917"/>
      <c r="CG120" s="917"/>
      <c r="CH120" s="917"/>
      <c r="CI120" s="917"/>
      <c r="CJ120" s="917"/>
      <c r="CK120" s="917"/>
      <c r="CL120" s="917"/>
      <c r="CM120" s="917"/>
      <c r="CN120" s="917"/>
      <c r="CO120" s="917"/>
      <c r="CP120" s="917"/>
      <c r="CQ120" s="917"/>
      <c r="CR120" s="917"/>
      <c r="CS120" s="917"/>
      <c r="CT120" s="917"/>
      <c r="CU120" s="917"/>
      <c r="CV120" s="917"/>
      <c r="CW120" s="917"/>
      <c r="CX120" s="917"/>
      <c r="CY120" s="917"/>
      <c r="CZ120" s="917"/>
      <c r="DA120" s="917"/>
      <c r="DB120" s="917"/>
      <c r="DC120" s="917"/>
      <c r="DD120" s="917"/>
      <c r="DE120" s="917"/>
      <c r="DF120" s="917"/>
      <c r="DG120" s="917"/>
      <c r="DH120" s="917"/>
      <c r="DI120" s="917"/>
      <c r="DJ120" s="917"/>
      <c r="DK120" s="917"/>
      <c r="DL120" s="917"/>
      <c r="DM120" s="917"/>
      <c r="DN120" s="917"/>
      <c r="DO120" s="917"/>
      <c r="DP120" s="917"/>
      <c r="DQ120" s="917"/>
      <c r="DR120" s="917"/>
      <c r="DS120" s="917"/>
      <c r="DT120" s="917"/>
      <c r="DU120" s="917"/>
      <c r="DV120" s="917"/>
      <c r="DW120" s="917"/>
      <c r="DX120" s="917"/>
      <c r="DY120" s="917"/>
      <c r="DZ120" s="917"/>
      <c r="EA120" s="917"/>
      <c r="EB120" s="917"/>
      <c r="EC120" s="917"/>
      <c r="ED120" s="917"/>
      <c r="EE120" s="917"/>
      <c r="EF120" s="917"/>
      <c r="EG120" s="917"/>
      <c r="EH120" s="917"/>
      <c r="EI120" s="917"/>
      <c r="EJ120" s="917"/>
      <c r="EK120" s="917"/>
      <c r="EL120" s="917"/>
      <c r="EM120" s="917"/>
      <c r="EN120" s="917"/>
      <c r="EO120" s="917"/>
    </row>
    <row r="121" spans="1:145" ht="17.25" customHeight="1">
      <c r="A121" s="856" t="s">
        <v>3131</v>
      </c>
      <c r="B121" s="856" t="s">
        <v>3131</v>
      </c>
      <c r="C121" s="867" t="s">
        <v>2481</v>
      </c>
      <c r="D121" s="921" t="s">
        <v>2643</v>
      </c>
      <c r="E121" s="836" t="s">
        <v>148</v>
      </c>
      <c r="F121" s="836" t="s">
        <v>3132</v>
      </c>
      <c r="G121" s="1020" t="s">
        <v>2630</v>
      </c>
      <c r="H121" s="921" t="s">
        <v>2631</v>
      </c>
      <c r="I121" s="1038" t="s">
        <v>2632</v>
      </c>
      <c r="J121" s="836" t="s">
        <v>2633</v>
      </c>
      <c r="K121" s="854" t="s">
        <v>2634</v>
      </c>
      <c r="L121" s="2780"/>
      <c r="M121" s="1043">
        <v>8</v>
      </c>
      <c r="N121" s="2834" t="s">
        <v>3133</v>
      </c>
      <c r="O121" s="2834"/>
      <c r="P121" s="2834"/>
      <c r="Q121" s="2834"/>
      <c r="R121" s="2835"/>
      <c r="S121" s="1044">
        <v>8</v>
      </c>
      <c r="T121" s="2834" t="s">
        <v>3134</v>
      </c>
      <c r="U121" s="2834"/>
      <c r="V121" s="2834"/>
      <c r="W121" s="2834"/>
      <c r="X121" s="2835"/>
      <c r="AE121" s="979">
        <v>1978</v>
      </c>
      <c r="AF121" s="401" t="s">
        <v>148</v>
      </c>
      <c r="AG121" s="401"/>
      <c r="AH121" s="401"/>
      <c r="AI121" s="401" t="s">
        <v>148</v>
      </c>
      <c r="AJ121" s="401"/>
      <c r="AK121" s="401"/>
      <c r="AL121" s="401" t="s">
        <v>2929</v>
      </c>
      <c r="AM121" s="401" t="s">
        <v>1750</v>
      </c>
      <c r="AN121" s="401" t="s">
        <v>3135</v>
      </c>
      <c r="AO121" s="836" t="s">
        <v>3136</v>
      </c>
      <c r="AP121" s="836" t="s">
        <v>3137</v>
      </c>
      <c r="AQ121" s="401" t="s">
        <v>3138</v>
      </c>
      <c r="AR121" s="836" t="s">
        <v>3139</v>
      </c>
      <c r="AS121" s="836" t="s">
        <v>3140</v>
      </c>
      <c r="AT121" s="979">
        <v>1978</v>
      </c>
      <c r="BB121" s="1001"/>
      <c r="BG121" s="1001"/>
      <c r="BH121" s="927" t="s">
        <v>3141</v>
      </c>
      <c r="BI121" s="934" t="s">
        <v>3142</v>
      </c>
      <c r="BJ121" s="934" t="s">
        <v>3143</v>
      </c>
      <c r="BK121" s="934" t="s">
        <v>3144</v>
      </c>
      <c r="BL121" s="934" t="s">
        <v>3145</v>
      </c>
      <c r="BM121" s="934" t="s">
        <v>3146</v>
      </c>
      <c r="BN121" s="934" t="s">
        <v>3147</v>
      </c>
      <c r="BO121" s="934" t="s">
        <v>3148</v>
      </c>
      <c r="BP121" s="934" t="s">
        <v>3149</v>
      </c>
      <c r="BQ121" s="934" t="s">
        <v>3150</v>
      </c>
      <c r="BR121" s="934" t="s">
        <v>3151</v>
      </c>
      <c r="BS121" s="934" t="s">
        <v>3152</v>
      </c>
      <c r="BT121" s="934" t="s">
        <v>3153</v>
      </c>
      <c r="BU121" s="934" t="s">
        <v>3154</v>
      </c>
      <c r="BV121" s="934" t="s">
        <v>3155</v>
      </c>
      <c r="BW121" s="934" t="s">
        <v>3156</v>
      </c>
      <c r="BX121" s="934" t="s">
        <v>3157</v>
      </c>
      <c r="BY121" s="934" t="s">
        <v>3158</v>
      </c>
      <c r="BZ121" s="934" t="s">
        <v>3159</v>
      </c>
      <c r="CA121" s="934" t="s">
        <v>3160</v>
      </c>
      <c r="CB121" s="934" t="s">
        <v>3161</v>
      </c>
      <c r="CC121" s="934" t="s">
        <v>3162</v>
      </c>
      <c r="CD121" s="934" t="s">
        <v>3163</v>
      </c>
      <c r="CE121" s="917"/>
      <c r="CF121" s="917"/>
      <c r="CG121" s="917"/>
      <c r="CH121" s="917"/>
      <c r="CI121" s="917"/>
      <c r="CJ121" s="917"/>
      <c r="CK121" s="917"/>
      <c r="CL121" s="917"/>
      <c r="CM121" s="917"/>
      <c r="CN121" s="917"/>
      <c r="CO121" s="917"/>
      <c r="CP121" s="917"/>
      <c r="CQ121" s="917"/>
      <c r="CR121" s="917"/>
      <c r="CS121" s="917"/>
      <c r="CT121" s="917"/>
      <c r="CU121" s="917"/>
      <c r="CV121" s="917"/>
      <c r="CW121" s="917"/>
      <c r="CX121" s="917"/>
      <c r="CY121" s="917"/>
      <c r="CZ121" s="917"/>
      <c r="DA121" s="917"/>
      <c r="DB121" s="917"/>
      <c r="DC121" s="917"/>
      <c r="DD121" s="917"/>
      <c r="DE121" s="917"/>
      <c r="DF121" s="917"/>
      <c r="DG121" s="917"/>
      <c r="DH121" s="917"/>
      <c r="DI121" s="917"/>
      <c r="DJ121" s="917"/>
      <c r="DK121" s="917"/>
      <c r="DL121" s="917"/>
      <c r="DM121" s="917"/>
      <c r="DN121" s="917"/>
      <c r="DO121" s="917"/>
      <c r="DP121" s="917"/>
      <c r="DQ121" s="917"/>
      <c r="DR121" s="917"/>
      <c r="DS121" s="917"/>
      <c r="DT121" s="917"/>
      <c r="DU121" s="917"/>
      <c r="DV121" s="917"/>
      <c r="DW121" s="917"/>
      <c r="DX121" s="917"/>
      <c r="DY121" s="917"/>
      <c r="DZ121" s="917"/>
      <c r="EA121" s="917"/>
      <c r="EB121" s="917"/>
      <c r="EC121" s="917"/>
      <c r="ED121" s="917"/>
      <c r="EE121" s="917"/>
      <c r="EF121" s="917"/>
      <c r="EG121" s="917"/>
      <c r="EH121" s="917"/>
      <c r="EI121" s="917"/>
      <c r="EJ121" s="917"/>
      <c r="EK121" s="917"/>
      <c r="EL121" s="917"/>
      <c r="EM121" s="917"/>
      <c r="EN121" s="917"/>
      <c r="EO121" s="917"/>
    </row>
    <row r="122" spans="1:145" ht="17.25" customHeight="1">
      <c r="A122" s="856" t="s">
        <v>3164</v>
      </c>
      <c r="B122" s="856" t="s">
        <v>3164</v>
      </c>
      <c r="C122" s="867" t="s">
        <v>2481</v>
      </c>
      <c r="D122" s="921" t="s">
        <v>2643</v>
      </c>
      <c r="E122" s="836" t="s">
        <v>148</v>
      </c>
      <c r="F122" s="836" t="s">
        <v>3165</v>
      </c>
      <c r="G122" s="1020" t="s">
        <v>2630</v>
      </c>
      <c r="H122" s="921" t="s">
        <v>2631</v>
      </c>
      <c r="I122" s="1038" t="s">
        <v>2632</v>
      </c>
      <c r="J122" s="836" t="s">
        <v>2633</v>
      </c>
      <c r="K122" s="854" t="s">
        <v>2634</v>
      </c>
      <c r="L122" s="2780"/>
      <c r="M122" s="1043">
        <v>9</v>
      </c>
      <c r="N122" s="2834" t="s">
        <v>3166</v>
      </c>
      <c r="O122" s="2834"/>
      <c r="P122" s="2834"/>
      <c r="Q122" s="2834"/>
      <c r="R122" s="2835"/>
      <c r="S122" s="1044">
        <v>9</v>
      </c>
      <c r="T122" s="2834" t="s">
        <v>3167</v>
      </c>
      <c r="U122" s="2834"/>
      <c r="V122" s="2834"/>
      <c r="W122" s="2834"/>
      <c r="X122" s="2835"/>
      <c r="AE122" s="979">
        <v>1979</v>
      </c>
      <c r="AF122" s="401" t="s">
        <v>148</v>
      </c>
      <c r="AG122" s="401"/>
      <c r="AH122" s="401"/>
      <c r="AI122" s="401" t="s">
        <v>148</v>
      </c>
      <c r="AJ122" s="401"/>
      <c r="AK122" s="401"/>
      <c r="AL122" s="401" t="s">
        <v>2929</v>
      </c>
      <c r="AM122" s="401" t="s">
        <v>1783</v>
      </c>
      <c r="AN122" s="401" t="s">
        <v>3168</v>
      </c>
      <c r="AO122" s="836" t="s">
        <v>3169</v>
      </c>
      <c r="AP122" s="836" t="s">
        <v>3137</v>
      </c>
      <c r="AQ122" s="401" t="s">
        <v>3170</v>
      </c>
      <c r="AR122" s="836" t="s">
        <v>3171</v>
      </c>
      <c r="AS122" s="836" t="s">
        <v>3172</v>
      </c>
      <c r="AT122" s="979">
        <v>1979</v>
      </c>
      <c r="BB122" s="1001"/>
      <c r="BG122" s="1001"/>
      <c r="BH122" s="927" t="s">
        <v>3173</v>
      </c>
      <c r="BI122" s="934" t="s">
        <v>3174</v>
      </c>
      <c r="BJ122" s="934" t="s">
        <v>3175</v>
      </c>
      <c r="BK122" s="934" t="s">
        <v>3176</v>
      </c>
      <c r="BL122" s="934" t="s">
        <v>3177</v>
      </c>
      <c r="BM122" s="934" t="s">
        <v>3178</v>
      </c>
      <c r="BN122" s="934" t="s">
        <v>3179</v>
      </c>
      <c r="BO122" s="934" t="s">
        <v>3180</v>
      </c>
      <c r="BP122" s="934" t="s">
        <v>3181</v>
      </c>
      <c r="BQ122" s="934" t="s">
        <v>3182</v>
      </c>
      <c r="BR122" s="934" t="s">
        <v>3183</v>
      </c>
      <c r="BS122" s="934" t="s">
        <v>3004</v>
      </c>
      <c r="BT122" s="934" t="s">
        <v>3184</v>
      </c>
      <c r="BU122" s="917"/>
      <c r="BV122" s="917"/>
      <c r="BW122" s="917"/>
      <c r="BX122" s="917"/>
      <c r="BY122" s="917"/>
      <c r="BZ122" s="917"/>
      <c r="CA122" s="917"/>
      <c r="CB122" s="917"/>
      <c r="CC122" s="917"/>
      <c r="CD122" s="917"/>
      <c r="CE122" s="917"/>
      <c r="CF122" s="917"/>
      <c r="CG122" s="917"/>
      <c r="CH122" s="917"/>
      <c r="CI122" s="917"/>
      <c r="CJ122" s="917"/>
      <c r="CK122" s="917"/>
      <c r="CL122" s="917"/>
      <c r="CM122" s="917"/>
      <c r="CN122" s="917"/>
      <c r="CO122" s="917"/>
      <c r="CP122" s="917"/>
      <c r="CQ122" s="917"/>
      <c r="CR122" s="917"/>
      <c r="CS122" s="917"/>
      <c r="CT122" s="917"/>
      <c r="CU122" s="917"/>
      <c r="CV122" s="917"/>
      <c r="CW122" s="917"/>
      <c r="CX122" s="917"/>
      <c r="CY122" s="917"/>
      <c r="CZ122" s="917"/>
      <c r="DA122" s="917"/>
      <c r="DB122" s="917"/>
      <c r="DC122" s="917"/>
      <c r="DD122" s="917"/>
      <c r="DE122" s="917"/>
      <c r="DF122" s="917"/>
      <c r="DG122" s="917"/>
      <c r="DH122" s="917"/>
      <c r="DI122" s="917"/>
      <c r="DJ122" s="917"/>
      <c r="DK122" s="917"/>
      <c r="DL122" s="917"/>
      <c r="DM122" s="917"/>
      <c r="DN122" s="917"/>
      <c r="DO122" s="917"/>
      <c r="DP122" s="917"/>
      <c r="DQ122" s="917"/>
      <c r="DR122" s="917"/>
      <c r="DS122" s="917"/>
      <c r="DT122" s="917"/>
      <c r="DU122" s="917"/>
      <c r="DV122" s="917"/>
      <c r="DW122" s="917"/>
      <c r="DX122" s="917"/>
      <c r="DY122" s="917"/>
      <c r="DZ122" s="917"/>
      <c r="EA122" s="917"/>
      <c r="EB122" s="917"/>
      <c r="EC122" s="917"/>
      <c r="ED122" s="917"/>
      <c r="EE122" s="917"/>
      <c r="EF122" s="917"/>
      <c r="EG122" s="917"/>
      <c r="EH122" s="917"/>
      <c r="EI122" s="917"/>
      <c r="EJ122" s="917"/>
      <c r="EK122" s="917"/>
      <c r="EL122" s="917"/>
      <c r="EM122" s="917"/>
      <c r="EN122" s="917"/>
      <c r="EO122" s="917"/>
    </row>
    <row r="123" spans="1:145" ht="17.25" customHeight="1">
      <c r="A123" s="856" t="s">
        <v>3185</v>
      </c>
      <c r="B123" s="856" t="s">
        <v>3185</v>
      </c>
      <c r="C123" s="867" t="s">
        <v>2481</v>
      </c>
      <c r="D123" s="921" t="s">
        <v>2643</v>
      </c>
      <c r="E123" s="836" t="s">
        <v>148</v>
      </c>
      <c r="F123" s="836" t="s">
        <v>3186</v>
      </c>
      <c r="G123" s="1020" t="s">
        <v>2630</v>
      </c>
      <c r="H123" s="921" t="s">
        <v>2631</v>
      </c>
      <c r="I123" s="1038" t="s">
        <v>2632</v>
      </c>
      <c r="J123" s="836" t="s">
        <v>2633</v>
      </c>
      <c r="K123" s="854" t="s">
        <v>2634</v>
      </c>
      <c r="L123" s="2780"/>
      <c r="M123" s="1043">
        <v>10</v>
      </c>
      <c r="N123" s="2834" t="s">
        <v>3187</v>
      </c>
      <c r="O123" s="2834"/>
      <c r="P123" s="2834"/>
      <c r="Q123" s="2834"/>
      <c r="R123" s="2835"/>
      <c r="S123" s="1044">
        <v>10</v>
      </c>
      <c r="T123" s="2834" t="s">
        <v>3188</v>
      </c>
      <c r="U123" s="2834"/>
      <c r="V123" s="2834"/>
      <c r="W123" s="2834"/>
      <c r="X123" s="2835"/>
      <c r="AE123" s="979">
        <v>1980</v>
      </c>
      <c r="AF123" s="401" t="s">
        <v>3189</v>
      </c>
      <c r="AG123" s="401"/>
      <c r="AH123" s="401"/>
      <c r="AI123" s="401" t="s">
        <v>148</v>
      </c>
      <c r="AJ123" s="401"/>
      <c r="AK123" s="401"/>
      <c r="AL123" s="401" t="s">
        <v>3190</v>
      </c>
      <c r="AM123" s="401" t="s">
        <v>1813</v>
      </c>
      <c r="AN123" s="401" t="s">
        <v>3191</v>
      </c>
      <c r="AO123" s="836" t="s">
        <v>3192</v>
      </c>
      <c r="AP123" s="836" t="s">
        <v>3137</v>
      </c>
      <c r="AQ123" s="401" t="s">
        <v>3193</v>
      </c>
      <c r="AR123" s="836" t="s">
        <v>3194</v>
      </c>
      <c r="AS123" s="836" t="s">
        <v>3195</v>
      </c>
      <c r="AT123" s="979">
        <v>1980</v>
      </c>
      <c r="BB123" s="1001"/>
      <c r="BG123" s="1001"/>
      <c r="BH123" s="927" t="s">
        <v>3196</v>
      </c>
      <c r="BI123" s="934" t="s">
        <v>3197</v>
      </c>
      <c r="BJ123" s="934" t="s">
        <v>3198</v>
      </c>
      <c r="BK123" s="934" t="s">
        <v>3199</v>
      </c>
      <c r="BL123" s="934" t="s">
        <v>3200</v>
      </c>
      <c r="BM123" s="934" t="s">
        <v>3201</v>
      </c>
      <c r="BN123" s="934" t="s">
        <v>3202</v>
      </c>
      <c r="BO123" s="934" t="s">
        <v>3203</v>
      </c>
      <c r="BP123" s="934" t="s">
        <v>3204</v>
      </c>
      <c r="BQ123" s="934" t="s">
        <v>3205</v>
      </c>
      <c r="BR123" s="917"/>
      <c r="BS123" s="917"/>
      <c r="BT123" s="917"/>
      <c r="BU123" s="917"/>
      <c r="BV123" s="917"/>
      <c r="BW123" s="917"/>
      <c r="BX123" s="917"/>
      <c r="BY123" s="917"/>
      <c r="BZ123" s="917"/>
      <c r="CA123" s="917"/>
      <c r="CB123" s="917"/>
      <c r="CC123" s="917"/>
      <c r="CD123" s="917"/>
      <c r="CE123" s="917"/>
      <c r="CF123" s="917"/>
      <c r="CG123" s="917"/>
      <c r="CH123" s="917"/>
      <c r="CI123" s="917"/>
      <c r="CJ123" s="917"/>
      <c r="CK123" s="917"/>
      <c r="CL123" s="917"/>
      <c r="CM123" s="917"/>
      <c r="CN123" s="917"/>
      <c r="CO123" s="917"/>
      <c r="CP123" s="917"/>
      <c r="CQ123" s="917"/>
      <c r="CR123" s="917"/>
      <c r="CS123" s="917"/>
      <c r="CT123" s="917"/>
      <c r="CU123" s="917"/>
      <c r="CV123" s="917"/>
      <c r="CW123" s="917"/>
      <c r="CX123" s="917"/>
      <c r="CY123" s="917"/>
      <c r="CZ123" s="917"/>
      <c r="DA123" s="917"/>
      <c r="DB123" s="917"/>
      <c r="DC123" s="917"/>
      <c r="DD123" s="917"/>
      <c r="DE123" s="917"/>
      <c r="DF123" s="917"/>
      <c r="DG123" s="917"/>
      <c r="DH123" s="917"/>
      <c r="DI123" s="917"/>
      <c r="DJ123" s="917"/>
      <c r="DK123" s="917"/>
      <c r="DL123" s="917"/>
      <c r="DM123" s="917"/>
      <c r="DN123" s="917"/>
      <c r="DO123" s="917"/>
      <c r="DP123" s="917"/>
      <c r="DQ123" s="917"/>
      <c r="DR123" s="917"/>
      <c r="DS123" s="917"/>
      <c r="DT123" s="917"/>
      <c r="DU123" s="917"/>
      <c r="DV123" s="917"/>
      <c r="DW123" s="917"/>
      <c r="DX123" s="917"/>
      <c r="DY123" s="917"/>
      <c r="DZ123" s="917"/>
      <c r="EA123" s="917"/>
      <c r="EB123" s="917"/>
      <c r="EC123" s="917"/>
      <c r="ED123" s="917"/>
      <c r="EE123" s="917"/>
      <c r="EF123" s="917"/>
      <c r="EG123" s="917"/>
      <c r="EH123" s="917"/>
      <c r="EI123" s="917"/>
      <c r="EJ123" s="917"/>
      <c r="EK123" s="917"/>
      <c r="EL123" s="917"/>
      <c r="EM123" s="917"/>
      <c r="EN123" s="917"/>
      <c r="EO123" s="917"/>
    </row>
    <row r="124" spans="1:145" ht="17.25" customHeight="1">
      <c r="A124" s="856" t="s">
        <v>3206</v>
      </c>
      <c r="B124" s="856" t="s">
        <v>3206</v>
      </c>
      <c r="C124" s="867" t="s">
        <v>2481</v>
      </c>
      <c r="D124" s="921" t="s">
        <v>2643</v>
      </c>
      <c r="E124" s="836" t="s">
        <v>148</v>
      </c>
      <c r="F124" s="836" t="s">
        <v>3207</v>
      </c>
      <c r="G124" s="1020" t="s">
        <v>2630</v>
      </c>
      <c r="H124" s="921" t="s">
        <v>2631</v>
      </c>
      <c r="I124" s="1038" t="s">
        <v>2632</v>
      </c>
      <c r="J124" s="836" t="s">
        <v>2633</v>
      </c>
      <c r="K124" s="854" t="s">
        <v>2634</v>
      </c>
      <c r="L124" s="2780"/>
      <c r="M124" s="1043">
        <v>11</v>
      </c>
      <c r="N124" s="2834" t="s">
        <v>3208</v>
      </c>
      <c r="O124" s="2834"/>
      <c r="P124" s="2834"/>
      <c r="Q124" s="2834"/>
      <c r="R124" s="2835"/>
      <c r="S124" s="1044">
        <v>11</v>
      </c>
      <c r="T124" s="2834" t="s">
        <v>3209</v>
      </c>
      <c r="U124" s="2834"/>
      <c r="V124" s="2834"/>
      <c r="W124" s="2834"/>
      <c r="X124" s="2835"/>
      <c r="AE124" s="979">
        <v>1981</v>
      </c>
      <c r="AF124" s="401" t="s">
        <v>148</v>
      </c>
      <c r="AG124" s="401"/>
      <c r="AH124" s="401"/>
      <c r="AI124" s="401" t="s">
        <v>3210</v>
      </c>
      <c r="AJ124" s="401"/>
      <c r="AK124" s="401"/>
      <c r="AL124" s="401" t="s">
        <v>3190</v>
      </c>
      <c r="AM124" s="401" t="s">
        <v>1834</v>
      </c>
      <c r="AN124" s="401" t="s">
        <v>3211</v>
      </c>
      <c r="AO124" s="836" t="s">
        <v>3212</v>
      </c>
      <c r="AP124" s="836" t="s">
        <v>3213</v>
      </c>
      <c r="AQ124" s="401" t="s">
        <v>3193</v>
      </c>
      <c r="AR124" s="836" t="s">
        <v>3194</v>
      </c>
      <c r="AT124" s="979">
        <v>1981</v>
      </c>
      <c r="BB124" s="1001"/>
      <c r="BG124" s="1001"/>
      <c r="BH124" s="927" t="s">
        <v>3214</v>
      </c>
      <c r="BI124" s="934" t="s">
        <v>3215</v>
      </c>
      <c r="BJ124" s="934" t="s">
        <v>3216</v>
      </c>
      <c r="BK124" s="934" t="s">
        <v>3217</v>
      </c>
      <c r="BL124" s="934" t="s">
        <v>3218</v>
      </c>
      <c r="BM124" s="934" t="s">
        <v>3219</v>
      </c>
      <c r="BN124" s="934" t="s">
        <v>3220</v>
      </c>
      <c r="BO124" s="934" t="s">
        <v>3221</v>
      </c>
      <c r="BP124" s="934" t="s">
        <v>3222</v>
      </c>
      <c r="BQ124" s="934" t="s">
        <v>3223</v>
      </c>
      <c r="BR124" s="934" t="s">
        <v>3224</v>
      </c>
      <c r="BS124" s="934" t="s">
        <v>3225</v>
      </c>
      <c r="BT124" s="934" t="s">
        <v>3226</v>
      </c>
      <c r="BU124" s="934" t="s">
        <v>3227</v>
      </c>
      <c r="BV124" s="934" t="s">
        <v>3228</v>
      </c>
      <c r="BW124" s="934" t="s">
        <v>3229</v>
      </c>
      <c r="BX124" s="934" t="s">
        <v>3230</v>
      </c>
      <c r="BY124" s="934" t="s">
        <v>3231</v>
      </c>
      <c r="BZ124" s="934" t="s">
        <v>3232</v>
      </c>
      <c r="CA124" s="934" t="s">
        <v>3233</v>
      </c>
      <c r="CB124" s="934" t="s">
        <v>3234</v>
      </c>
      <c r="CC124" s="934" t="s">
        <v>3235</v>
      </c>
      <c r="CD124" s="934" t="s">
        <v>3236</v>
      </c>
      <c r="CE124" s="934" t="s">
        <v>3237</v>
      </c>
      <c r="CF124" s="917"/>
      <c r="CG124" s="917"/>
      <c r="CH124" s="917"/>
      <c r="CI124" s="917"/>
      <c r="CJ124" s="917"/>
      <c r="CK124" s="917"/>
      <c r="CL124" s="917"/>
      <c r="CM124" s="917"/>
      <c r="CN124" s="917"/>
      <c r="CO124" s="917"/>
      <c r="CP124" s="917"/>
      <c r="CQ124" s="917"/>
      <c r="CR124" s="917"/>
      <c r="CS124" s="917"/>
      <c r="CT124" s="917"/>
      <c r="CU124" s="917"/>
      <c r="CV124" s="917"/>
      <c r="CW124" s="917"/>
      <c r="CX124" s="917"/>
      <c r="CY124" s="917"/>
      <c r="CZ124" s="917"/>
      <c r="DA124" s="917"/>
      <c r="DB124" s="917"/>
      <c r="DC124" s="917"/>
      <c r="DD124" s="917"/>
      <c r="DE124" s="917"/>
      <c r="DF124" s="917"/>
      <c r="DG124" s="917"/>
      <c r="DH124" s="917"/>
      <c r="DI124" s="917"/>
      <c r="DJ124" s="917"/>
      <c r="DK124" s="917"/>
      <c r="DL124" s="917"/>
      <c r="DM124" s="917"/>
      <c r="DN124" s="917"/>
      <c r="DO124" s="917"/>
      <c r="DP124" s="917"/>
      <c r="DQ124" s="917"/>
      <c r="DR124" s="917"/>
      <c r="DS124" s="917"/>
      <c r="DT124" s="917"/>
      <c r="DU124" s="917"/>
      <c r="DV124" s="917"/>
      <c r="DW124" s="917"/>
      <c r="DX124" s="917"/>
      <c r="DY124" s="917"/>
      <c r="DZ124" s="917"/>
      <c r="EA124" s="917"/>
      <c r="EB124" s="917"/>
      <c r="EC124" s="917"/>
      <c r="ED124" s="917"/>
      <c r="EE124" s="917"/>
      <c r="EF124" s="917"/>
      <c r="EG124" s="917"/>
      <c r="EH124" s="917"/>
      <c r="EI124" s="917"/>
      <c r="EJ124" s="917"/>
      <c r="EK124" s="917"/>
      <c r="EL124" s="917"/>
      <c r="EM124" s="917"/>
      <c r="EN124" s="917"/>
      <c r="EO124" s="917"/>
    </row>
    <row r="125" spans="1:145" ht="17.25" customHeight="1">
      <c r="A125" s="856" t="s">
        <v>3238</v>
      </c>
      <c r="B125" s="856" t="s">
        <v>3238</v>
      </c>
      <c r="C125" s="867" t="s">
        <v>2481</v>
      </c>
      <c r="D125" s="921" t="s">
        <v>2643</v>
      </c>
      <c r="E125" s="836" t="s">
        <v>148</v>
      </c>
      <c r="F125" s="401" t="s">
        <v>3239</v>
      </c>
      <c r="G125" s="1020" t="s">
        <v>2630</v>
      </c>
      <c r="H125" s="921" t="s">
        <v>2631</v>
      </c>
      <c r="I125" s="1038" t="s">
        <v>2632</v>
      </c>
      <c r="J125" s="836" t="s">
        <v>2633</v>
      </c>
      <c r="K125" s="854" t="s">
        <v>2634</v>
      </c>
      <c r="L125" s="2780"/>
      <c r="M125" s="1043">
        <v>12</v>
      </c>
      <c r="N125" s="2834" t="s">
        <v>3240</v>
      </c>
      <c r="O125" s="2834"/>
      <c r="P125" s="2834"/>
      <c r="Q125" s="2834"/>
      <c r="R125" s="2835"/>
      <c r="S125" s="1044">
        <v>12</v>
      </c>
      <c r="T125" s="2834" t="s">
        <v>3241</v>
      </c>
      <c r="U125" s="2834"/>
      <c r="V125" s="2834"/>
      <c r="W125" s="2834"/>
      <c r="X125" s="2835"/>
      <c r="AE125" s="979">
        <v>1982</v>
      </c>
      <c r="AF125" s="401" t="s">
        <v>148</v>
      </c>
      <c r="AG125" s="401"/>
      <c r="AH125" s="401"/>
      <c r="AI125" s="401" t="s">
        <v>148</v>
      </c>
      <c r="AJ125" s="401"/>
      <c r="AK125" s="401"/>
      <c r="AL125" s="401" t="s">
        <v>3190</v>
      </c>
      <c r="AM125" s="401" t="s">
        <v>1856</v>
      </c>
      <c r="AN125" s="401" t="s">
        <v>3242</v>
      </c>
      <c r="AO125" s="836" t="s">
        <v>3243</v>
      </c>
      <c r="AP125" s="836" t="s">
        <v>3244</v>
      </c>
      <c r="AQ125" s="401" t="s">
        <v>3193</v>
      </c>
      <c r="AR125" s="836" t="s">
        <v>3194</v>
      </c>
      <c r="AT125" s="979">
        <v>1982</v>
      </c>
      <c r="BB125" s="1001"/>
      <c r="BG125" s="1001"/>
      <c r="BH125" s="927" t="s">
        <v>3245</v>
      </c>
      <c r="BI125" s="934" t="s">
        <v>3246</v>
      </c>
      <c r="BJ125" s="934" t="s">
        <v>3247</v>
      </c>
      <c r="BK125" s="934" t="s">
        <v>3248</v>
      </c>
      <c r="BL125" s="934" t="s">
        <v>3249</v>
      </c>
      <c r="BM125" s="934" t="s">
        <v>3250</v>
      </c>
      <c r="BN125" s="934" t="s">
        <v>3251</v>
      </c>
      <c r="BO125" s="934" t="s">
        <v>3252</v>
      </c>
      <c r="BP125" s="934" t="s">
        <v>3253</v>
      </c>
      <c r="BQ125" s="934" t="s">
        <v>3254</v>
      </c>
      <c r="BR125" s="917"/>
      <c r="BS125" s="917"/>
      <c r="BT125" s="917"/>
      <c r="BU125" s="917"/>
      <c r="BV125" s="917"/>
      <c r="BW125" s="917"/>
      <c r="BX125" s="917"/>
      <c r="BY125" s="917"/>
      <c r="BZ125" s="917"/>
      <c r="CA125" s="917"/>
      <c r="CB125" s="917"/>
      <c r="CC125" s="917"/>
      <c r="CD125" s="917"/>
      <c r="CE125" s="917"/>
      <c r="CF125" s="917"/>
      <c r="CG125" s="917"/>
      <c r="CH125" s="917"/>
      <c r="CI125" s="917"/>
      <c r="CJ125" s="917"/>
      <c r="CK125" s="917"/>
      <c r="CL125" s="917"/>
      <c r="CM125" s="917"/>
      <c r="CN125" s="917"/>
      <c r="CO125" s="917"/>
      <c r="CP125" s="917"/>
      <c r="CQ125" s="917"/>
      <c r="CR125" s="917"/>
      <c r="CS125" s="917"/>
      <c r="CT125" s="917"/>
      <c r="CU125" s="917"/>
      <c r="CV125" s="917"/>
      <c r="CW125" s="917"/>
      <c r="CX125" s="917"/>
      <c r="CY125" s="917"/>
      <c r="CZ125" s="917"/>
      <c r="DA125" s="917"/>
      <c r="DB125" s="917"/>
      <c r="DC125" s="917"/>
      <c r="DD125" s="917"/>
      <c r="DE125" s="917"/>
      <c r="DF125" s="917"/>
      <c r="DG125" s="917"/>
      <c r="DH125" s="917"/>
      <c r="DI125" s="917"/>
      <c r="DJ125" s="917"/>
      <c r="DK125" s="917"/>
      <c r="DL125" s="917"/>
      <c r="DM125" s="917"/>
      <c r="DN125" s="917"/>
      <c r="DO125" s="917"/>
      <c r="DP125" s="917"/>
      <c r="DQ125" s="917"/>
      <c r="DR125" s="917"/>
      <c r="DS125" s="917"/>
      <c r="DT125" s="917"/>
      <c r="DU125" s="917"/>
      <c r="DV125" s="917"/>
      <c r="DW125" s="917"/>
      <c r="DX125" s="917"/>
      <c r="DY125" s="917"/>
      <c r="DZ125" s="917"/>
      <c r="EA125" s="917"/>
      <c r="EB125" s="917"/>
      <c r="EC125" s="917"/>
      <c r="ED125" s="917"/>
      <c r="EE125" s="917"/>
      <c r="EF125" s="917"/>
      <c r="EG125" s="917"/>
      <c r="EH125" s="917"/>
      <c r="EI125" s="917"/>
      <c r="EJ125" s="917"/>
      <c r="EK125" s="917"/>
      <c r="EL125" s="917"/>
      <c r="EM125" s="917"/>
      <c r="EN125" s="917"/>
      <c r="EO125" s="917"/>
    </row>
    <row r="126" spans="1:145" ht="17.25" customHeight="1">
      <c r="A126" s="856" t="s">
        <v>3255</v>
      </c>
      <c r="B126" s="856" t="s">
        <v>3255</v>
      </c>
      <c r="C126" s="867" t="s">
        <v>2481</v>
      </c>
      <c r="D126" s="921" t="s">
        <v>2643</v>
      </c>
      <c r="E126" s="836" t="s">
        <v>148</v>
      </c>
      <c r="F126" s="836" t="s">
        <v>3256</v>
      </c>
      <c r="G126" s="1020" t="s">
        <v>2630</v>
      </c>
      <c r="H126" s="921" t="s">
        <v>2631</v>
      </c>
      <c r="I126" s="1038" t="s">
        <v>2632</v>
      </c>
      <c r="J126" s="836" t="s">
        <v>2633</v>
      </c>
      <c r="K126" s="854" t="s">
        <v>2634</v>
      </c>
      <c r="L126" s="2780"/>
      <c r="M126" s="1043">
        <v>13</v>
      </c>
      <c r="N126" s="2834" t="s">
        <v>3257</v>
      </c>
      <c r="O126" s="2834"/>
      <c r="P126" s="2834"/>
      <c r="Q126" s="2834"/>
      <c r="R126" s="2835"/>
      <c r="S126" s="1044">
        <v>13</v>
      </c>
      <c r="T126" s="2834" t="s">
        <v>3258</v>
      </c>
      <c r="U126" s="2834"/>
      <c r="V126" s="2834"/>
      <c r="W126" s="2834"/>
      <c r="X126" s="2835"/>
      <c r="AE126" s="979">
        <v>1983</v>
      </c>
      <c r="AF126" s="401" t="s">
        <v>148</v>
      </c>
      <c r="AG126" s="401"/>
      <c r="AH126" s="401"/>
      <c r="AI126" s="401" t="s">
        <v>3259</v>
      </c>
      <c r="AJ126" s="401"/>
      <c r="AK126" s="401"/>
      <c r="AL126" s="401" t="s">
        <v>3190</v>
      </c>
      <c r="AM126" s="401" t="s">
        <v>1864</v>
      </c>
      <c r="AN126" s="401" t="s">
        <v>3260</v>
      </c>
      <c r="AO126" s="836" t="s">
        <v>3261</v>
      </c>
      <c r="AP126" s="836" t="s">
        <v>3244</v>
      </c>
      <c r="AQ126" s="401" t="s">
        <v>3193</v>
      </c>
      <c r="AR126" s="836" t="s">
        <v>3194</v>
      </c>
      <c r="AT126" s="979">
        <v>1983</v>
      </c>
      <c r="BB126" s="1001"/>
      <c r="BG126" s="1001"/>
      <c r="BH126" s="927" t="s">
        <v>3262</v>
      </c>
      <c r="BI126" s="934" t="s">
        <v>3263</v>
      </c>
      <c r="BJ126" s="934" t="s">
        <v>3264</v>
      </c>
      <c r="BK126" s="934" t="s">
        <v>3265</v>
      </c>
      <c r="BL126" s="934" t="s">
        <v>3266</v>
      </c>
      <c r="BM126" s="934" t="s">
        <v>3267</v>
      </c>
      <c r="BN126" s="934" t="s">
        <v>3268</v>
      </c>
      <c r="BO126" s="934" t="s">
        <v>3269</v>
      </c>
      <c r="BP126" s="934" t="s">
        <v>3270</v>
      </c>
      <c r="BQ126" s="934" t="s">
        <v>3271</v>
      </c>
      <c r="BR126" s="934" t="s">
        <v>3272</v>
      </c>
      <c r="BS126" s="934" t="s">
        <v>3273</v>
      </c>
      <c r="BT126" s="934" t="s">
        <v>3274</v>
      </c>
      <c r="BU126" s="934" t="s">
        <v>3275</v>
      </c>
      <c r="BV126" s="934" t="s">
        <v>3276</v>
      </c>
      <c r="BW126" s="934" t="s">
        <v>3277</v>
      </c>
      <c r="BX126" s="917"/>
      <c r="BY126" s="917"/>
      <c r="BZ126" s="917"/>
      <c r="CA126" s="917"/>
      <c r="CB126" s="917"/>
      <c r="CC126" s="917"/>
      <c r="CD126" s="917"/>
      <c r="CE126" s="917"/>
      <c r="CF126" s="917"/>
      <c r="CG126" s="917"/>
      <c r="CH126" s="917"/>
      <c r="CI126" s="917"/>
      <c r="CJ126" s="917"/>
      <c r="CK126" s="917"/>
      <c r="CL126" s="917"/>
      <c r="CM126" s="917"/>
      <c r="CN126" s="917"/>
      <c r="CO126" s="917"/>
      <c r="CP126" s="917"/>
      <c r="CQ126" s="917"/>
      <c r="CR126" s="917"/>
      <c r="CS126" s="917"/>
      <c r="CT126" s="917"/>
      <c r="CU126" s="917"/>
      <c r="CV126" s="917"/>
      <c r="CW126" s="917"/>
      <c r="CX126" s="917"/>
      <c r="CY126" s="917"/>
      <c r="CZ126" s="917"/>
      <c r="DA126" s="917"/>
      <c r="DB126" s="917"/>
      <c r="DC126" s="917"/>
      <c r="DD126" s="917"/>
      <c r="DE126" s="917"/>
      <c r="DF126" s="917"/>
      <c r="DG126" s="917"/>
      <c r="DH126" s="917"/>
      <c r="DI126" s="917"/>
      <c r="DJ126" s="917"/>
      <c r="DK126" s="917"/>
      <c r="DL126" s="917"/>
      <c r="DM126" s="917"/>
      <c r="DN126" s="917"/>
      <c r="DO126" s="917"/>
      <c r="DP126" s="917"/>
      <c r="DQ126" s="917"/>
      <c r="DR126" s="917"/>
      <c r="DS126" s="917"/>
      <c r="DT126" s="917"/>
      <c r="DU126" s="917"/>
      <c r="DV126" s="917"/>
      <c r="DW126" s="917"/>
      <c r="DX126" s="917"/>
      <c r="DY126" s="917"/>
      <c r="DZ126" s="917"/>
      <c r="EA126" s="917"/>
      <c r="EB126" s="917"/>
      <c r="EC126" s="917"/>
      <c r="ED126" s="917"/>
      <c r="EE126" s="917"/>
      <c r="EF126" s="917"/>
      <c r="EG126" s="917"/>
      <c r="EH126" s="917"/>
      <c r="EI126" s="917"/>
      <c r="EJ126" s="917"/>
      <c r="EK126" s="917"/>
      <c r="EL126" s="917"/>
      <c r="EM126" s="917"/>
      <c r="EN126" s="917"/>
      <c r="EO126" s="917"/>
    </row>
    <row r="127" spans="1:145" ht="17.25" customHeight="1">
      <c r="A127" s="856" t="s">
        <v>3278</v>
      </c>
      <c r="B127" s="856" t="s">
        <v>3278</v>
      </c>
      <c r="C127" s="867" t="s">
        <v>2481</v>
      </c>
      <c r="D127" s="921" t="s">
        <v>2643</v>
      </c>
      <c r="E127" s="836" t="s">
        <v>148</v>
      </c>
      <c r="F127" s="836" t="s">
        <v>3279</v>
      </c>
      <c r="G127" s="1020" t="s">
        <v>2630</v>
      </c>
      <c r="H127" s="921" t="s">
        <v>2631</v>
      </c>
      <c r="I127" s="1038" t="s">
        <v>2632</v>
      </c>
      <c r="J127" s="836" t="s">
        <v>2633</v>
      </c>
      <c r="K127" s="854" t="s">
        <v>2634</v>
      </c>
      <c r="L127" s="2780"/>
      <c r="M127" s="1043">
        <v>14</v>
      </c>
      <c r="N127" s="2834" t="s">
        <v>3280</v>
      </c>
      <c r="O127" s="2834"/>
      <c r="P127" s="2834"/>
      <c r="Q127" s="2834"/>
      <c r="R127" s="2835"/>
      <c r="S127" s="1044">
        <v>14</v>
      </c>
      <c r="T127" s="2834" t="s">
        <v>3281</v>
      </c>
      <c r="U127" s="2834"/>
      <c r="V127" s="2834"/>
      <c r="W127" s="2834"/>
      <c r="X127" s="2835"/>
      <c r="AE127" s="979">
        <v>1984</v>
      </c>
      <c r="AF127" s="401" t="s">
        <v>2023</v>
      </c>
      <c r="AG127" s="401"/>
      <c r="AH127" s="401"/>
      <c r="AI127" s="401" t="s">
        <v>148</v>
      </c>
      <c r="AJ127" s="401"/>
      <c r="AK127" s="401"/>
      <c r="AL127" s="401" t="s">
        <v>3190</v>
      </c>
      <c r="AM127" s="401" t="s">
        <v>1875</v>
      </c>
      <c r="AN127" s="401" t="s">
        <v>3282</v>
      </c>
      <c r="AO127" s="836" t="s">
        <v>3283</v>
      </c>
      <c r="AP127" s="836" t="s">
        <v>3244</v>
      </c>
      <c r="AQ127" s="401" t="s">
        <v>3284</v>
      </c>
      <c r="AR127" s="836" t="s">
        <v>3285</v>
      </c>
      <c r="AS127" s="836" t="s">
        <v>3286</v>
      </c>
      <c r="AT127" s="979">
        <v>1984</v>
      </c>
      <c r="BB127" s="401"/>
      <c r="BG127" s="1001"/>
      <c r="BH127" s="927" t="s">
        <v>3287</v>
      </c>
      <c r="BI127" s="934" t="s">
        <v>3288</v>
      </c>
      <c r="BJ127" s="917"/>
      <c r="BK127" s="917"/>
      <c r="BL127" s="917"/>
      <c r="BM127" s="917"/>
      <c r="BN127" s="917"/>
      <c r="BO127" s="917"/>
      <c r="BP127" s="917"/>
      <c r="BQ127" s="917"/>
      <c r="BR127" s="917"/>
      <c r="BS127" s="917"/>
      <c r="BT127" s="917"/>
      <c r="BU127" s="917"/>
      <c r="BV127" s="917"/>
      <c r="BW127" s="917"/>
      <c r="BX127" s="917"/>
      <c r="BY127" s="917"/>
      <c r="BZ127" s="917"/>
      <c r="CA127" s="917"/>
      <c r="CB127" s="917"/>
      <c r="CC127" s="917"/>
      <c r="CD127" s="917"/>
      <c r="CE127" s="917"/>
      <c r="CF127" s="917"/>
      <c r="CG127" s="917"/>
      <c r="CH127" s="917"/>
      <c r="CI127" s="917"/>
      <c r="CJ127" s="917"/>
      <c r="CK127" s="917"/>
      <c r="CL127" s="917"/>
      <c r="CM127" s="917"/>
      <c r="CN127" s="917"/>
      <c r="CO127" s="917"/>
      <c r="CP127" s="917"/>
      <c r="CQ127" s="917"/>
      <c r="CR127" s="917"/>
      <c r="CS127" s="917"/>
      <c r="CT127" s="917"/>
      <c r="CU127" s="917"/>
      <c r="CV127" s="917"/>
      <c r="CW127" s="917"/>
      <c r="CX127" s="917"/>
      <c r="CY127" s="917"/>
      <c r="CZ127" s="917"/>
      <c r="DA127" s="917"/>
      <c r="DB127" s="917"/>
      <c r="DC127" s="917"/>
      <c r="DD127" s="917"/>
      <c r="DE127" s="917"/>
      <c r="DF127" s="917"/>
      <c r="DG127" s="917"/>
      <c r="DH127" s="917"/>
      <c r="DI127" s="917"/>
      <c r="DJ127" s="917"/>
      <c r="DK127" s="917"/>
      <c r="DL127" s="917"/>
      <c r="DM127" s="917"/>
      <c r="DN127" s="917"/>
      <c r="DO127" s="917"/>
      <c r="DP127" s="917"/>
      <c r="DQ127" s="917"/>
      <c r="DR127" s="917"/>
      <c r="DS127" s="917"/>
      <c r="DT127" s="917"/>
      <c r="DU127" s="917"/>
      <c r="DV127" s="917"/>
      <c r="DW127" s="917"/>
      <c r="DX127" s="917"/>
      <c r="DY127" s="917"/>
      <c r="DZ127" s="917"/>
      <c r="EA127" s="917"/>
      <c r="EB127" s="917"/>
      <c r="EC127" s="917"/>
      <c r="ED127" s="917"/>
      <c r="EE127" s="917"/>
      <c r="EF127" s="917"/>
      <c r="EG127" s="917"/>
      <c r="EH127" s="917"/>
      <c r="EI127" s="917"/>
      <c r="EJ127" s="917"/>
      <c r="EK127" s="917"/>
      <c r="EL127" s="917"/>
      <c r="EM127" s="917"/>
      <c r="EN127" s="917"/>
      <c r="EO127" s="917"/>
    </row>
    <row r="128" spans="1:145" ht="17.25" customHeight="1">
      <c r="A128" s="856" t="s">
        <v>3289</v>
      </c>
      <c r="B128" s="856" t="s">
        <v>3289</v>
      </c>
      <c r="C128" s="867" t="s">
        <v>2481</v>
      </c>
      <c r="D128" s="921" t="s">
        <v>2643</v>
      </c>
      <c r="E128" s="836" t="s">
        <v>148</v>
      </c>
      <c r="F128" s="401" t="s">
        <v>3290</v>
      </c>
      <c r="G128" s="1020" t="s">
        <v>2630</v>
      </c>
      <c r="H128" s="921" t="s">
        <v>2631</v>
      </c>
      <c r="I128" s="1038" t="s">
        <v>2632</v>
      </c>
      <c r="J128" s="836" t="s">
        <v>2633</v>
      </c>
      <c r="K128" s="854" t="s">
        <v>2634</v>
      </c>
      <c r="L128" s="2780"/>
      <c r="M128" s="1043">
        <v>15</v>
      </c>
      <c r="N128" s="2834" t="s">
        <v>3291</v>
      </c>
      <c r="O128" s="2834"/>
      <c r="P128" s="2834"/>
      <c r="Q128" s="2834"/>
      <c r="R128" s="2835"/>
      <c r="S128" s="1044">
        <v>15</v>
      </c>
      <c r="T128" s="2834" t="s">
        <v>3292</v>
      </c>
      <c r="U128" s="2834"/>
      <c r="V128" s="2834"/>
      <c r="W128" s="2834"/>
      <c r="X128" s="2835"/>
      <c r="AE128" s="979">
        <v>1985</v>
      </c>
      <c r="AF128" s="401" t="s">
        <v>148</v>
      </c>
      <c r="AG128" s="401"/>
      <c r="AH128" s="401"/>
      <c r="AI128" s="401" t="s">
        <v>148</v>
      </c>
      <c r="AJ128" s="401"/>
      <c r="AK128" s="401"/>
      <c r="AL128" s="401" t="s">
        <v>3190</v>
      </c>
      <c r="AM128" s="401" t="s">
        <v>1911</v>
      </c>
      <c r="AN128" s="401" t="s">
        <v>3293</v>
      </c>
      <c r="AO128" s="836" t="s">
        <v>3294</v>
      </c>
      <c r="AP128" s="836" t="s">
        <v>3244</v>
      </c>
      <c r="AQ128" s="401" t="s">
        <v>3284</v>
      </c>
      <c r="AR128" s="836" t="s">
        <v>3285</v>
      </c>
      <c r="AT128" s="979">
        <v>1985</v>
      </c>
      <c r="BB128" s="401"/>
      <c r="BG128" s="1001"/>
      <c r="BI128" s="917"/>
      <c r="BJ128" s="917"/>
      <c r="BK128" s="917"/>
      <c r="BL128" s="917"/>
      <c r="BM128" s="917"/>
      <c r="BN128" s="917"/>
      <c r="BO128" s="917"/>
      <c r="BP128" s="917"/>
      <c r="BQ128" s="917"/>
      <c r="BR128" s="917"/>
      <c r="BS128" s="917"/>
      <c r="BT128" s="917"/>
      <c r="BU128" s="917"/>
      <c r="BV128" s="917"/>
      <c r="BW128" s="917"/>
      <c r="BX128" s="917"/>
      <c r="BY128" s="917"/>
      <c r="BZ128" s="917"/>
      <c r="CA128" s="917"/>
      <c r="CB128" s="917"/>
      <c r="CC128" s="917"/>
      <c r="CD128" s="917"/>
      <c r="CE128" s="917"/>
      <c r="CF128" s="917"/>
      <c r="CG128" s="917"/>
      <c r="CH128" s="917"/>
      <c r="CI128" s="917"/>
      <c r="CJ128" s="917"/>
      <c r="CK128" s="917"/>
      <c r="CL128" s="917"/>
      <c r="CM128" s="917"/>
      <c r="CN128" s="917"/>
      <c r="CO128" s="917"/>
      <c r="CP128" s="917"/>
      <c r="CQ128" s="917"/>
      <c r="CR128" s="917"/>
      <c r="CS128" s="917"/>
      <c r="CT128" s="917"/>
      <c r="CU128" s="917"/>
      <c r="CV128" s="917"/>
      <c r="CW128" s="917"/>
      <c r="CX128" s="917"/>
      <c r="CY128" s="917"/>
      <c r="CZ128" s="917"/>
      <c r="DA128" s="917"/>
      <c r="DB128" s="917"/>
      <c r="DC128" s="917"/>
      <c r="DD128" s="917"/>
      <c r="DE128" s="917"/>
      <c r="DF128" s="917"/>
      <c r="DG128" s="917"/>
      <c r="DH128" s="917"/>
      <c r="DI128" s="917"/>
      <c r="DJ128" s="917"/>
      <c r="DK128" s="917"/>
      <c r="DL128" s="917"/>
      <c r="DM128" s="917"/>
      <c r="DN128" s="917"/>
      <c r="DO128" s="917"/>
      <c r="DP128" s="917"/>
      <c r="DQ128" s="917"/>
      <c r="DR128" s="917"/>
      <c r="DS128" s="917"/>
      <c r="DT128" s="917"/>
      <c r="DU128" s="917"/>
      <c r="DV128" s="917"/>
      <c r="DW128" s="917"/>
      <c r="DX128" s="917"/>
      <c r="DY128" s="917"/>
      <c r="DZ128" s="917"/>
      <c r="EA128" s="917"/>
      <c r="EB128" s="917"/>
      <c r="EC128" s="917"/>
      <c r="ED128" s="917"/>
      <c r="EE128" s="917"/>
      <c r="EF128" s="917"/>
      <c r="EG128" s="917"/>
      <c r="EH128" s="917"/>
      <c r="EI128" s="917"/>
      <c r="EJ128" s="917"/>
      <c r="EK128" s="917"/>
      <c r="EL128" s="917"/>
      <c r="EM128" s="917"/>
      <c r="EN128" s="917"/>
      <c r="EO128" s="917"/>
    </row>
    <row r="129" spans="1:145" ht="17.25" customHeight="1">
      <c r="A129" s="836" t="str">
        <f>Q226</f>
        <v/>
      </c>
      <c r="B129" s="856" t="s">
        <v>2617</v>
      </c>
      <c r="C129" s="867" t="s">
        <v>751</v>
      </c>
      <c r="D129" s="836" t="s">
        <v>751</v>
      </c>
      <c r="E129" s="836" t="s">
        <v>751</v>
      </c>
      <c r="F129" s="836" t="s">
        <v>751</v>
      </c>
      <c r="G129" s="836" t="s">
        <v>751</v>
      </c>
      <c r="H129" s="836" t="s">
        <v>751</v>
      </c>
      <c r="I129" s="836" t="s">
        <v>751</v>
      </c>
      <c r="J129" s="836" t="s">
        <v>751</v>
      </c>
      <c r="K129" s="854" t="s">
        <v>751</v>
      </c>
      <c r="L129" s="2780"/>
      <c r="M129" s="1043">
        <v>16</v>
      </c>
      <c r="N129" s="2834" t="s">
        <v>3295</v>
      </c>
      <c r="O129" s="2834"/>
      <c r="P129" s="2834"/>
      <c r="Q129" s="2834"/>
      <c r="R129" s="2835"/>
      <c r="S129" s="1044">
        <v>16</v>
      </c>
      <c r="T129" s="2834" t="s">
        <v>3296</v>
      </c>
      <c r="U129" s="2834"/>
      <c r="V129" s="2834"/>
      <c r="W129" s="2834"/>
      <c r="X129" s="2835"/>
      <c r="AE129" s="979">
        <v>1986</v>
      </c>
      <c r="AF129" s="401" t="s">
        <v>3297</v>
      </c>
      <c r="AG129" s="401"/>
      <c r="AH129" s="401"/>
      <c r="AI129" s="401" t="s">
        <v>148</v>
      </c>
      <c r="AJ129" s="401"/>
      <c r="AK129" s="401"/>
      <c r="AL129" s="401" t="s">
        <v>3190</v>
      </c>
      <c r="AM129" s="401" t="s">
        <v>1935</v>
      </c>
      <c r="AN129" s="401" t="s">
        <v>3298</v>
      </c>
      <c r="AO129" s="836" t="s">
        <v>3299</v>
      </c>
      <c r="AP129" s="836" t="s">
        <v>3244</v>
      </c>
      <c r="AQ129" s="401" t="s">
        <v>3300</v>
      </c>
      <c r="AR129" s="836" t="s">
        <v>3301</v>
      </c>
      <c r="AS129" s="836" t="s">
        <v>3302</v>
      </c>
      <c r="AT129" s="979">
        <v>1986</v>
      </c>
      <c r="BB129" s="401"/>
      <c r="BG129" s="1001"/>
      <c r="BH129" s="1027" t="s">
        <v>3303</v>
      </c>
      <c r="BI129" s="917"/>
      <c r="BJ129" s="917"/>
      <c r="BK129" s="917"/>
      <c r="BL129" s="917"/>
      <c r="BM129" s="917"/>
      <c r="BN129" s="917"/>
      <c r="BO129" s="917"/>
      <c r="BP129" s="917"/>
      <c r="BQ129" s="917"/>
      <c r="BR129" s="917"/>
      <c r="BS129" s="917"/>
      <c r="BT129" s="917"/>
      <c r="BU129" s="917"/>
      <c r="BV129" s="917"/>
      <c r="BW129" s="917"/>
      <c r="BX129" s="917"/>
      <c r="BY129" s="917"/>
      <c r="BZ129" s="917"/>
      <c r="CA129" s="917"/>
      <c r="CB129" s="917"/>
      <c r="CC129" s="917"/>
      <c r="CD129" s="917"/>
      <c r="CE129" s="917"/>
      <c r="CF129" s="917"/>
      <c r="CG129" s="917"/>
      <c r="CH129" s="917"/>
      <c r="CI129" s="917"/>
      <c r="CJ129" s="917"/>
      <c r="CK129" s="917"/>
      <c r="CL129" s="917"/>
      <c r="CM129" s="917"/>
      <c r="CN129" s="917"/>
      <c r="CO129" s="917"/>
      <c r="CP129" s="917"/>
      <c r="CQ129" s="917"/>
      <c r="CR129" s="917"/>
      <c r="CS129" s="917"/>
      <c r="CT129" s="917"/>
      <c r="CU129" s="917"/>
      <c r="CV129" s="917"/>
      <c r="CW129" s="917"/>
      <c r="CX129" s="917"/>
      <c r="CY129" s="917"/>
      <c r="CZ129" s="917"/>
      <c r="DA129" s="917"/>
      <c r="DB129" s="917"/>
      <c r="DC129" s="917"/>
      <c r="DD129" s="917"/>
      <c r="DE129" s="917"/>
      <c r="DF129" s="917"/>
      <c r="DG129" s="917"/>
      <c r="DH129" s="917"/>
      <c r="DI129" s="917"/>
      <c r="DJ129" s="917"/>
      <c r="DK129" s="917"/>
      <c r="DL129" s="917"/>
      <c r="DM129" s="917"/>
      <c r="DN129" s="917"/>
      <c r="DO129" s="917"/>
      <c r="DP129" s="917"/>
      <c r="DQ129" s="917"/>
      <c r="DR129" s="917"/>
      <c r="DS129" s="917"/>
      <c r="DT129" s="917"/>
      <c r="DU129" s="917"/>
      <c r="DV129" s="917"/>
      <c r="DW129" s="917"/>
      <c r="DX129" s="917"/>
      <c r="DY129" s="917"/>
      <c r="DZ129" s="917"/>
      <c r="EA129" s="917"/>
      <c r="EB129" s="917"/>
      <c r="EC129" s="917"/>
      <c r="ED129" s="917"/>
      <c r="EE129" s="917"/>
      <c r="EF129" s="917"/>
      <c r="EG129" s="917"/>
      <c r="EH129" s="917"/>
      <c r="EI129" s="917"/>
      <c r="EJ129" s="917"/>
      <c r="EK129" s="917"/>
      <c r="EL129" s="917"/>
      <c r="EM129" s="917"/>
      <c r="EN129" s="917"/>
      <c r="EO129" s="917"/>
    </row>
    <row r="130" spans="1:145" ht="17.25" customHeight="1">
      <c r="B130" s="856" t="s">
        <v>155</v>
      </c>
      <c r="C130" s="867" t="s">
        <v>3304</v>
      </c>
      <c r="D130" s="836" t="s">
        <v>3305</v>
      </c>
      <c r="E130" s="836" t="s">
        <v>3306</v>
      </c>
      <c r="F130" s="401" t="s">
        <v>3307</v>
      </c>
      <c r="G130" s="836" t="s">
        <v>3308</v>
      </c>
      <c r="H130" s="836" t="s">
        <v>3309</v>
      </c>
      <c r="I130" s="836" t="s">
        <v>3310</v>
      </c>
      <c r="J130" s="836" t="s">
        <v>3311</v>
      </c>
      <c r="K130" s="854" t="s">
        <v>3312</v>
      </c>
      <c r="L130" s="2780"/>
      <c r="M130" s="1043">
        <v>17</v>
      </c>
      <c r="N130" s="2834" t="s">
        <v>3313</v>
      </c>
      <c r="O130" s="2834"/>
      <c r="P130" s="2834"/>
      <c r="Q130" s="2834"/>
      <c r="R130" s="2835"/>
      <c r="S130" s="1044">
        <v>17</v>
      </c>
      <c r="T130" s="2834" t="s">
        <v>3314</v>
      </c>
      <c r="U130" s="2834"/>
      <c r="V130" s="2834"/>
      <c r="W130" s="2834"/>
      <c r="X130" s="2835"/>
      <c r="AE130" s="979">
        <v>1987</v>
      </c>
      <c r="AF130" s="401" t="s">
        <v>3297</v>
      </c>
      <c r="AG130" s="1046"/>
      <c r="AH130" s="1046"/>
      <c r="AI130" s="401" t="s">
        <v>148</v>
      </c>
      <c r="AJ130" s="401"/>
      <c r="AK130" s="401"/>
      <c r="AL130" s="401" t="s">
        <v>3190</v>
      </c>
      <c r="AM130" s="401" t="s">
        <v>1955</v>
      </c>
      <c r="AN130" s="401" t="s">
        <v>3315</v>
      </c>
      <c r="AO130" s="836" t="s">
        <v>3316</v>
      </c>
      <c r="AP130" s="836" t="s">
        <v>3244</v>
      </c>
      <c r="AQ130" s="401" t="s">
        <v>3300</v>
      </c>
      <c r="AR130" s="836" t="s">
        <v>3301</v>
      </c>
      <c r="AT130" s="979">
        <v>1987</v>
      </c>
      <c r="BB130" s="401"/>
      <c r="BG130" s="1001"/>
      <c r="BH130" s="1027" t="s">
        <v>3317</v>
      </c>
      <c r="BI130" s="917"/>
      <c r="BJ130" s="917"/>
      <c r="BK130" s="917"/>
      <c r="BL130" s="917"/>
      <c r="BM130" s="917"/>
      <c r="BN130" s="917"/>
      <c r="BO130" s="917"/>
      <c r="BP130" s="917"/>
      <c r="BQ130" s="917"/>
      <c r="BR130" s="917"/>
      <c r="BS130" s="917"/>
      <c r="BT130" s="917"/>
      <c r="BU130" s="917"/>
      <c r="BV130" s="917"/>
      <c r="BW130" s="917"/>
      <c r="BX130" s="917"/>
      <c r="BY130" s="917"/>
      <c r="BZ130" s="917"/>
      <c r="CA130" s="917"/>
      <c r="CB130" s="917"/>
      <c r="CC130" s="917"/>
      <c r="CD130" s="917"/>
      <c r="CE130" s="917"/>
      <c r="CF130" s="917"/>
      <c r="CG130" s="917"/>
      <c r="CH130" s="917"/>
      <c r="CI130" s="917"/>
      <c r="CJ130" s="917"/>
      <c r="CK130" s="917"/>
      <c r="CL130" s="917"/>
      <c r="CM130" s="917"/>
      <c r="CN130" s="917"/>
      <c r="CO130" s="917"/>
      <c r="CP130" s="917"/>
      <c r="CQ130" s="917"/>
      <c r="CR130" s="917"/>
      <c r="CS130" s="917"/>
      <c r="CT130" s="917"/>
      <c r="CU130" s="917"/>
      <c r="CV130" s="917"/>
      <c r="CW130" s="917"/>
      <c r="CX130" s="917"/>
      <c r="CY130" s="917"/>
      <c r="CZ130" s="917"/>
      <c r="DA130" s="917"/>
      <c r="DB130" s="917"/>
      <c r="DC130" s="917"/>
      <c r="DD130" s="917"/>
      <c r="DE130" s="917"/>
      <c r="DF130" s="917"/>
      <c r="DG130" s="917"/>
      <c r="DH130" s="917"/>
      <c r="DI130" s="917"/>
      <c r="DJ130" s="917"/>
      <c r="DK130" s="917"/>
      <c r="DL130" s="917"/>
      <c r="DM130" s="917"/>
      <c r="DN130" s="917"/>
      <c r="DO130" s="917"/>
      <c r="DP130" s="917"/>
      <c r="DQ130" s="917"/>
      <c r="DR130" s="917"/>
      <c r="DS130" s="917"/>
      <c r="DT130" s="917"/>
      <c r="DU130" s="917"/>
      <c r="DV130" s="917"/>
      <c r="DW130" s="917"/>
      <c r="DX130" s="917"/>
      <c r="DY130" s="917"/>
      <c r="DZ130" s="917"/>
      <c r="EA130" s="917"/>
      <c r="EB130" s="917"/>
      <c r="EC130" s="917"/>
      <c r="ED130" s="917"/>
      <c r="EE130" s="917"/>
      <c r="EF130" s="917"/>
      <c r="EG130" s="917"/>
      <c r="EH130" s="917"/>
      <c r="EI130" s="917"/>
      <c r="EJ130" s="917"/>
      <c r="EK130" s="917"/>
      <c r="EL130" s="917"/>
      <c r="EM130" s="917"/>
      <c r="EN130" s="917"/>
      <c r="EO130" s="917"/>
    </row>
    <row r="131" spans="1:145" ht="17.25" customHeight="1">
      <c r="B131" s="856" t="s">
        <v>166</v>
      </c>
      <c r="C131" s="867" t="s">
        <v>3318</v>
      </c>
      <c r="D131" s="836" t="s">
        <v>148</v>
      </c>
      <c r="E131" s="836" t="s">
        <v>3319</v>
      </c>
      <c r="F131" s="836" t="s">
        <v>3320</v>
      </c>
      <c r="G131" s="836" t="s">
        <v>3321</v>
      </c>
      <c r="H131" s="836" t="s">
        <v>3322</v>
      </c>
      <c r="I131" s="836" t="s">
        <v>3323</v>
      </c>
      <c r="J131" s="836" t="s">
        <v>3324</v>
      </c>
      <c r="K131" s="854" t="s">
        <v>3325</v>
      </c>
      <c r="L131" s="2780"/>
      <c r="M131" s="1043">
        <v>18</v>
      </c>
      <c r="N131" s="2834" t="s">
        <v>3326</v>
      </c>
      <c r="O131" s="2834"/>
      <c r="P131" s="2834"/>
      <c r="Q131" s="2834"/>
      <c r="R131" s="2835"/>
      <c r="S131" s="1044">
        <v>18</v>
      </c>
      <c r="T131" s="2834" t="s">
        <v>3327</v>
      </c>
      <c r="U131" s="2834"/>
      <c r="V131" s="2834"/>
      <c r="W131" s="2834"/>
      <c r="X131" s="2835"/>
      <c r="AE131" s="979">
        <v>1988</v>
      </c>
      <c r="AF131" s="401" t="s">
        <v>3297</v>
      </c>
      <c r="AG131" s="1046" t="s">
        <v>3328</v>
      </c>
      <c r="AH131" s="1046"/>
      <c r="AI131" s="401" t="s">
        <v>3329</v>
      </c>
      <c r="AJ131" s="401" t="s">
        <v>3330</v>
      </c>
      <c r="AK131" s="401"/>
      <c r="AL131" s="401" t="s">
        <v>3190</v>
      </c>
      <c r="AM131" s="401" t="s">
        <v>1980</v>
      </c>
      <c r="AN131" s="401" t="s">
        <v>3331</v>
      </c>
      <c r="AO131" s="401" t="s">
        <v>3332</v>
      </c>
      <c r="AP131" s="836" t="s">
        <v>3244</v>
      </c>
      <c r="AQ131" s="401" t="s">
        <v>3333</v>
      </c>
      <c r="AR131" s="836" t="s">
        <v>3334</v>
      </c>
      <c r="AS131" s="836" t="s">
        <v>3335</v>
      </c>
      <c r="AT131" s="979">
        <v>1988</v>
      </c>
      <c r="BB131" s="401"/>
      <c r="BG131" s="1001"/>
      <c r="BH131" s="927" t="s">
        <v>3336</v>
      </c>
      <c r="BI131" s="934" t="s">
        <v>3337</v>
      </c>
      <c r="BJ131" s="934" t="s">
        <v>3338</v>
      </c>
      <c r="BK131" s="934" t="s">
        <v>3339</v>
      </c>
      <c r="BL131" s="934" t="s">
        <v>3340</v>
      </c>
      <c r="BM131" s="934" t="s">
        <v>3341</v>
      </c>
      <c r="BN131" s="934" t="s">
        <v>3342</v>
      </c>
      <c r="BO131" s="934" t="s">
        <v>3343</v>
      </c>
      <c r="BP131" s="934" t="s">
        <v>3344</v>
      </c>
      <c r="BQ131" s="934" t="s">
        <v>3345</v>
      </c>
      <c r="BR131" s="934" t="s">
        <v>3346</v>
      </c>
      <c r="BS131" s="934" t="s">
        <v>3347</v>
      </c>
      <c r="BT131" s="934" t="s">
        <v>3348</v>
      </c>
      <c r="BU131" s="934" t="s">
        <v>3349</v>
      </c>
      <c r="BV131" s="934" t="s">
        <v>3350</v>
      </c>
      <c r="BW131" s="934" t="s">
        <v>3351</v>
      </c>
      <c r="BX131" s="934" t="s">
        <v>3352</v>
      </c>
      <c r="BY131" s="934" t="s">
        <v>3353</v>
      </c>
      <c r="BZ131" s="934" t="s">
        <v>1225</v>
      </c>
      <c r="CA131" s="934" t="s">
        <v>3354</v>
      </c>
      <c r="CB131" s="934" t="s">
        <v>3355</v>
      </c>
      <c r="CC131" s="934" t="s">
        <v>3356</v>
      </c>
      <c r="CD131" s="934" t="s">
        <v>3357</v>
      </c>
      <c r="CE131" s="934" t="s">
        <v>3358</v>
      </c>
      <c r="CF131" s="934" t="s">
        <v>3359</v>
      </c>
      <c r="CG131" s="934" t="s">
        <v>2576</v>
      </c>
      <c r="CH131" s="934" t="s">
        <v>3360</v>
      </c>
      <c r="CI131" s="934" t="s">
        <v>3361</v>
      </c>
      <c r="CJ131" s="934" t="s">
        <v>3362</v>
      </c>
      <c r="CK131" s="934" t="s">
        <v>3363</v>
      </c>
      <c r="CL131" s="934" t="s">
        <v>3364</v>
      </c>
      <c r="CM131" s="934" t="s">
        <v>1417</v>
      </c>
      <c r="CN131" s="917"/>
      <c r="CO131" s="917"/>
      <c r="CP131" s="917"/>
      <c r="CQ131" s="917"/>
      <c r="CR131" s="917"/>
      <c r="CS131" s="917"/>
      <c r="CT131" s="917"/>
      <c r="CU131" s="917"/>
      <c r="CV131" s="917"/>
      <c r="CW131" s="917"/>
      <c r="CX131" s="917"/>
      <c r="CY131" s="917"/>
      <c r="CZ131" s="917"/>
      <c r="DA131" s="917"/>
      <c r="DB131" s="917"/>
      <c r="DC131" s="917"/>
      <c r="DD131" s="917"/>
      <c r="DE131" s="917"/>
      <c r="DF131" s="917"/>
      <c r="DG131" s="917"/>
      <c r="DH131" s="917"/>
      <c r="DI131" s="917"/>
      <c r="DJ131" s="917"/>
      <c r="DK131" s="917"/>
      <c r="DL131" s="917"/>
      <c r="DM131" s="917"/>
      <c r="DN131" s="917"/>
      <c r="DO131" s="917"/>
      <c r="DP131" s="917"/>
      <c r="DQ131" s="917"/>
      <c r="DR131" s="917"/>
      <c r="DS131" s="917"/>
      <c r="DT131" s="917"/>
      <c r="DU131" s="917"/>
      <c r="DV131" s="917"/>
      <c r="DW131" s="917"/>
      <c r="DX131" s="917"/>
      <c r="DY131" s="917"/>
      <c r="DZ131" s="917"/>
      <c r="EA131" s="917"/>
      <c r="EB131" s="917"/>
      <c r="EC131" s="917"/>
      <c r="ED131" s="917"/>
      <c r="EE131" s="917"/>
      <c r="EF131" s="917"/>
      <c r="EG131" s="917"/>
      <c r="EH131" s="917"/>
      <c r="EI131" s="917"/>
      <c r="EJ131" s="917"/>
      <c r="EK131" s="917"/>
      <c r="EL131" s="917"/>
      <c r="EM131" s="917"/>
      <c r="EN131" s="917"/>
      <c r="EO131" s="917"/>
    </row>
    <row r="132" spans="1:145" ht="17.25" customHeight="1">
      <c r="B132" s="856" t="s">
        <v>3365</v>
      </c>
      <c r="C132" s="867" t="s">
        <v>2481</v>
      </c>
      <c r="D132" s="836" t="s">
        <v>3366</v>
      </c>
      <c r="E132" s="836" t="s">
        <v>148</v>
      </c>
      <c r="F132" s="836" t="s">
        <v>3367</v>
      </c>
      <c r="G132" s="836" t="s">
        <v>3368</v>
      </c>
      <c r="H132" s="836" t="s">
        <v>3369</v>
      </c>
      <c r="I132" s="836" t="s">
        <v>3370</v>
      </c>
      <c r="J132" s="836" t="s">
        <v>3371</v>
      </c>
      <c r="K132" s="854" t="s">
        <v>3372</v>
      </c>
      <c r="L132" s="2780"/>
      <c r="M132" s="1043">
        <v>19</v>
      </c>
      <c r="N132" s="2834" t="s">
        <v>3373</v>
      </c>
      <c r="O132" s="2834"/>
      <c r="P132" s="2834"/>
      <c r="Q132" s="2834"/>
      <c r="R132" s="2835"/>
      <c r="S132" s="1044">
        <v>19</v>
      </c>
      <c r="T132" s="2834" t="s">
        <v>3374</v>
      </c>
      <c r="U132" s="2834"/>
      <c r="V132" s="2834"/>
      <c r="W132" s="2834"/>
      <c r="X132" s="2835"/>
      <c r="AE132" s="979">
        <v>1989</v>
      </c>
      <c r="AF132" s="401" t="s">
        <v>3297</v>
      </c>
      <c r="AG132" s="1046" t="s">
        <v>3375</v>
      </c>
      <c r="AH132" s="1046"/>
      <c r="AI132" s="401" t="s">
        <v>148</v>
      </c>
      <c r="AJ132" s="401"/>
      <c r="AK132" s="401"/>
      <c r="AL132" s="401" t="s">
        <v>3190</v>
      </c>
      <c r="AM132" s="401" t="s">
        <v>1996</v>
      </c>
      <c r="AN132" s="401" t="s">
        <v>3376</v>
      </c>
      <c r="AO132" s="836" t="s">
        <v>3377</v>
      </c>
      <c r="AP132" s="836" t="s">
        <v>3378</v>
      </c>
      <c r="AQ132" s="836" t="s">
        <v>3379</v>
      </c>
      <c r="AR132" s="836" t="s">
        <v>3380</v>
      </c>
      <c r="AS132" s="836" t="s">
        <v>3381</v>
      </c>
      <c r="AT132" s="979">
        <v>1989</v>
      </c>
      <c r="BB132" s="401"/>
      <c r="BG132" s="1001"/>
      <c r="BH132" s="927" t="s">
        <v>3382</v>
      </c>
      <c r="BI132" s="934" t="s">
        <v>3383</v>
      </c>
      <c r="BJ132" s="934" t="s">
        <v>3384</v>
      </c>
      <c r="BK132" s="934" t="s">
        <v>3385</v>
      </c>
      <c r="BL132" s="934" t="s">
        <v>3386</v>
      </c>
      <c r="BM132" s="934" t="s">
        <v>3387</v>
      </c>
      <c r="BN132" s="934" t="s">
        <v>3388</v>
      </c>
      <c r="BO132" s="934" t="s">
        <v>3389</v>
      </c>
      <c r="BP132" s="934" t="s">
        <v>3390</v>
      </c>
      <c r="BQ132" s="934" t="s">
        <v>3391</v>
      </c>
      <c r="BR132" s="934" t="s">
        <v>3392</v>
      </c>
      <c r="BS132" s="934" t="s">
        <v>3393</v>
      </c>
      <c r="BT132" s="934" t="s">
        <v>3394</v>
      </c>
      <c r="BU132" s="934" t="s">
        <v>3395</v>
      </c>
      <c r="BV132" s="934" t="s">
        <v>3396</v>
      </c>
      <c r="BW132" s="934" t="s">
        <v>3397</v>
      </c>
      <c r="BX132" s="934" t="s">
        <v>3398</v>
      </c>
      <c r="BY132" s="934" t="s">
        <v>3399</v>
      </c>
      <c r="BZ132" s="934" t="s">
        <v>3400</v>
      </c>
      <c r="CA132" s="934" t="s">
        <v>3401</v>
      </c>
      <c r="CB132" s="934" t="s">
        <v>3402</v>
      </c>
      <c r="CC132" s="934" t="s">
        <v>3403</v>
      </c>
      <c r="CD132" s="934" t="s">
        <v>3404</v>
      </c>
      <c r="CE132" s="934" t="s">
        <v>3405</v>
      </c>
      <c r="CF132" s="934" t="s">
        <v>3406</v>
      </c>
      <c r="CG132" s="917"/>
      <c r="CH132" s="917"/>
      <c r="CI132" s="917"/>
      <c r="CJ132" s="917"/>
      <c r="CK132" s="917"/>
      <c r="CL132" s="917"/>
      <c r="CM132" s="917"/>
      <c r="CN132" s="917"/>
      <c r="CO132" s="917"/>
      <c r="CP132" s="917"/>
      <c r="CQ132" s="917"/>
      <c r="CR132" s="917"/>
      <c r="CS132" s="917"/>
      <c r="CT132" s="917"/>
      <c r="CU132" s="917"/>
      <c r="CV132" s="917"/>
      <c r="CW132" s="917"/>
      <c r="CX132" s="917"/>
      <c r="CY132" s="917"/>
      <c r="CZ132" s="917"/>
      <c r="DA132" s="917"/>
      <c r="DB132" s="917"/>
      <c r="DC132" s="917"/>
      <c r="DD132" s="917"/>
      <c r="DE132" s="917"/>
      <c r="DF132" s="917"/>
      <c r="DG132" s="917"/>
      <c r="DH132" s="917"/>
      <c r="DI132" s="917"/>
      <c r="DJ132" s="917"/>
      <c r="DK132" s="917"/>
      <c r="DL132" s="917"/>
      <c r="DM132" s="917"/>
      <c r="DN132" s="917"/>
      <c r="DO132" s="917"/>
      <c r="DP132" s="917"/>
      <c r="DQ132" s="917"/>
      <c r="DR132" s="917"/>
      <c r="DS132" s="917"/>
      <c r="DT132" s="917"/>
      <c r="DU132" s="917"/>
      <c r="DV132" s="917"/>
      <c r="DW132" s="917"/>
      <c r="DX132" s="917"/>
      <c r="DY132" s="917"/>
      <c r="DZ132" s="917"/>
      <c r="EA132" s="917"/>
      <c r="EB132" s="917"/>
      <c r="EC132" s="917"/>
      <c r="ED132" s="917"/>
      <c r="EE132" s="917"/>
      <c r="EF132" s="917"/>
      <c r="EG132" s="917"/>
      <c r="EH132" s="917"/>
      <c r="EI132" s="917"/>
      <c r="EJ132" s="917"/>
      <c r="EK132" s="917"/>
      <c r="EL132" s="917"/>
      <c r="EM132" s="917"/>
      <c r="EN132" s="917"/>
      <c r="EO132" s="917"/>
    </row>
    <row r="133" spans="1:145" ht="17.25" customHeight="1">
      <c r="B133" s="856" t="s">
        <v>150</v>
      </c>
      <c r="C133" s="867" t="s">
        <v>3407</v>
      </c>
      <c r="D133" s="836" t="s">
        <v>148</v>
      </c>
      <c r="E133" s="836" t="s">
        <v>148</v>
      </c>
      <c r="F133" s="836" t="s">
        <v>3408</v>
      </c>
      <c r="G133" s="836" t="s">
        <v>3409</v>
      </c>
      <c r="H133" s="836" t="s">
        <v>3410</v>
      </c>
      <c r="I133" s="836" t="s">
        <v>3411</v>
      </c>
      <c r="J133" s="836" t="s">
        <v>3412</v>
      </c>
      <c r="K133" s="854" t="s">
        <v>3413</v>
      </c>
      <c r="L133" s="2780"/>
      <c r="M133" s="1043">
        <v>20</v>
      </c>
      <c r="N133" s="2834" t="s">
        <v>3414</v>
      </c>
      <c r="O133" s="2834"/>
      <c r="P133" s="2834"/>
      <c r="Q133" s="2834"/>
      <c r="R133" s="2835"/>
      <c r="S133" s="1044">
        <v>20</v>
      </c>
      <c r="T133" s="2834" t="s">
        <v>3415</v>
      </c>
      <c r="U133" s="2834"/>
      <c r="V133" s="2834"/>
      <c r="W133" s="2834"/>
      <c r="X133" s="2835"/>
      <c r="AE133" s="979">
        <v>1990</v>
      </c>
      <c r="AF133" s="401" t="s">
        <v>3297</v>
      </c>
      <c r="AG133" s="1046"/>
      <c r="AH133" s="1046"/>
      <c r="AI133" s="401" t="s">
        <v>3416</v>
      </c>
      <c r="AJ133" s="401"/>
      <c r="AK133" s="401"/>
      <c r="AL133" s="401" t="s">
        <v>3417</v>
      </c>
      <c r="AM133" s="401" t="s">
        <v>2004</v>
      </c>
      <c r="AN133" s="401" t="s">
        <v>3418</v>
      </c>
      <c r="AO133" s="836" t="s">
        <v>3419</v>
      </c>
      <c r="AP133" s="836" t="s">
        <v>3420</v>
      </c>
      <c r="AQ133" s="836" t="s">
        <v>3379</v>
      </c>
      <c r="AR133" s="836" t="s">
        <v>3380</v>
      </c>
      <c r="AT133" s="979">
        <v>1990</v>
      </c>
      <c r="BB133" s="401"/>
      <c r="BG133" s="1001"/>
      <c r="BH133" s="927" t="s">
        <v>3421</v>
      </c>
      <c r="BI133" s="934" t="s">
        <v>3422</v>
      </c>
      <c r="BJ133" s="934" t="s">
        <v>3423</v>
      </c>
      <c r="BK133" s="934" t="s">
        <v>3398</v>
      </c>
      <c r="BL133" s="934" t="s">
        <v>3424</v>
      </c>
      <c r="BM133" s="934" t="s">
        <v>3400</v>
      </c>
      <c r="BN133" s="934" t="s">
        <v>3401</v>
      </c>
      <c r="BO133" s="934" t="s">
        <v>3399</v>
      </c>
      <c r="BP133" s="934" t="s">
        <v>3402</v>
      </c>
      <c r="BQ133" s="934" t="s">
        <v>3403</v>
      </c>
      <c r="BR133" s="934" t="s">
        <v>3425</v>
      </c>
      <c r="BS133" s="934" t="s">
        <v>3404</v>
      </c>
      <c r="BT133" s="934" t="s">
        <v>3405</v>
      </c>
      <c r="BU133" s="934" t="s">
        <v>3406</v>
      </c>
      <c r="BV133" s="917"/>
      <c r="BW133" s="917"/>
      <c r="BX133" s="917"/>
      <c r="BY133" s="917"/>
      <c r="BZ133" s="917"/>
      <c r="CA133" s="917"/>
      <c r="CB133" s="917"/>
      <c r="CC133" s="917"/>
      <c r="CD133" s="917"/>
      <c r="CE133" s="917"/>
      <c r="CF133" s="917"/>
      <c r="CG133" s="917"/>
      <c r="CH133" s="917"/>
      <c r="CI133" s="917"/>
      <c r="CJ133" s="917"/>
      <c r="CK133" s="917"/>
      <c r="CL133" s="917"/>
      <c r="CM133" s="917"/>
      <c r="CN133" s="917"/>
      <c r="CO133" s="917"/>
      <c r="CP133" s="917"/>
      <c r="CQ133" s="917"/>
      <c r="CR133" s="917"/>
      <c r="CS133" s="917"/>
      <c r="CT133" s="917"/>
      <c r="CU133" s="917"/>
      <c r="CV133" s="917"/>
      <c r="CW133" s="917"/>
      <c r="CX133" s="917"/>
      <c r="CY133" s="917"/>
      <c r="CZ133" s="917"/>
      <c r="DA133" s="917"/>
      <c r="DB133" s="917"/>
      <c r="DC133" s="917"/>
      <c r="DD133" s="917"/>
      <c r="DE133" s="917"/>
      <c r="DF133" s="917"/>
      <c r="DG133" s="917"/>
      <c r="DH133" s="917"/>
      <c r="DI133" s="917"/>
      <c r="DJ133" s="917"/>
      <c r="DK133" s="917"/>
      <c r="DL133" s="917"/>
      <c r="DM133" s="917"/>
      <c r="DN133" s="917"/>
      <c r="DO133" s="917"/>
      <c r="DP133" s="917"/>
      <c r="DQ133" s="917"/>
      <c r="DR133" s="917"/>
      <c r="DS133" s="917"/>
      <c r="DT133" s="917"/>
      <c r="DU133" s="917"/>
      <c r="DV133" s="917"/>
      <c r="DW133" s="917"/>
      <c r="DX133" s="917"/>
      <c r="DY133" s="917"/>
      <c r="DZ133" s="917"/>
      <c r="EA133" s="917"/>
      <c r="EB133" s="917"/>
      <c r="EC133" s="917"/>
      <c r="ED133" s="917"/>
      <c r="EE133" s="917"/>
      <c r="EF133" s="917"/>
      <c r="EG133" s="917"/>
      <c r="EH133" s="917"/>
      <c r="EI133" s="917"/>
      <c r="EJ133" s="917"/>
      <c r="EK133" s="917"/>
      <c r="EL133" s="917"/>
      <c r="EM133" s="917"/>
      <c r="EN133" s="917"/>
      <c r="EO133" s="917"/>
    </row>
    <row r="134" spans="1:145" ht="17.25" customHeight="1">
      <c r="B134" s="856" t="s">
        <v>152</v>
      </c>
      <c r="C134" s="867" t="s">
        <v>3407</v>
      </c>
      <c r="D134" s="836" t="s">
        <v>148</v>
      </c>
      <c r="E134" s="836" t="s">
        <v>148</v>
      </c>
      <c r="F134" s="836" t="s">
        <v>3426</v>
      </c>
      <c r="G134" s="836" t="s">
        <v>3427</v>
      </c>
      <c r="H134" s="836" t="s">
        <v>3428</v>
      </c>
      <c r="I134" s="836" t="s">
        <v>3429</v>
      </c>
      <c r="J134" s="836" t="s">
        <v>3430</v>
      </c>
      <c r="K134" s="854" t="s">
        <v>3431</v>
      </c>
      <c r="L134" s="2780"/>
      <c r="M134" s="1043">
        <v>21</v>
      </c>
      <c r="N134" s="2834" t="s">
        <v>3432</v>
      </c>
      <c r="O134" s="2834"/>
      <c r="P134" s="2834"/>
      <c r="Q134" s="2834"/>
      <c r="R134" s="2835"/>
      <c r="S134" s="1044">
        <v>21</v>
      </c>
      <c r="T134" s="2834" t="s">
        <v>3433</v>
      </c>
      <c r="U134" s="2834"/>
      <c r="V134" s="2834"/>
      <c r="W134" s="2834"/>
      <c r="X134" s="2835"/>
      <c r="AE134" s="979">
        <v>1991</v>
      </c>
      <c r="AF134" s="401" t="s">
        <v>148</v>
      </c>
      <c r="AG134" s="401"/>
      <c r="AH134" s="401"/>
      <c r="AI134" s="401" t="s">
        <v>148</v>
      </c>
      <c r="AJ134" s="401"/>
      <c r="AK134" s="401"/>
      <c r="AL134" s="401" t="s">
        <v>3417</v>
      </c>
      <c r="AM134" s="401" t="s">
        <v>2014</v>
      </c>
      <c r="AN134" s="401" t="s">
        <v>3434</v>
      </c>
      <c r="AO134" s="836" t="s">
        <v>3435</v>
      </c>
      <c r="AP134" s="836" t="s">
        <v>3420</v>
      </c>
      <c r="AQ134" s="836" t="s">
        <v>3379</v>
      </c>
      <c r="AR134" s="836" t="s">
        <v>3380</v>
      </c>
      <c r="AT134" s="979">
        <v>1991</v>
      </c>
      <c r="BB134" s="401"/>
      <c r="BG134" s="1001"/>
      <c r="BH134" s="927" t="s">
        <v>3436</v>
      </c>
      <c r="BI134" s="934" t="s">
        <v>3437</v>
      </c>
      <c r="BJ134" s="934" t="s">
        <v>3438</v>
      </c>
      <c r="BK134" s="934" t="s">
        <v>3439</v>
      </c>
      <c r="BL134" s="934" t="s">
        <v>3440</v>
      </c>
      <c r="BM134" s="934" t="s">
        <v>3441</v>
      </c>
      <c r="BN134" s="934" t="s">
        <v>3442</v>
      </c>
      <c r="BO134" s="934" t="s">
        <v>3443</v>
      </c>
      <c r="BP134" s="934" t="s">
        <v>3444</v>
      </c>
      <c r="BQ134" s="934" t="s">
        <v>3445</v>
      </c>
      <c r="BR134" s="934" t="s">
        <v>3446</v>
      </c>
      <c r="BS134" s="934" t="s">
        <v>3447</v>
      </c>
      <c r="BT134" s="934" t="s">
        <v>3448</v>
      </c>
      <c r="BU134" s="934" t="s">
        <v>3449</v>
      </c>
      <c r="BV134" s="917"/>
      <c r="BW134" s="917"/>
      <c r="BX134" s="917"/>
      <c r="BY134" s="917"/>
      <c r="BZ134" s="917"/>
      <c r="CA134" s="917"/>
      <c r="CB134" s="917"/>
      <c r="CC134" s="917"/>
      <c r="CD134" s="917"/>
      <c r="CE134" s="917"/>
      <c r="CF134" s="917"/>
      <c r="CG134" s="917"/>
      <c r="CH134" s="917"/>
      <c r="CI134" s="917"/>
      <c r="CJ134" s="917"/>
      <c r="CK134" s="917"/>
      <c r="CL134" s="917"/>
      <c r="CM134" s="917"/>
      <c r="CN134" s="917"/>
      <c r="CO134" s="917"/>
      <c r="CP134" s="917"/>
      <c r="CQ134" s="917"/>
      <c r="CR134" s="917"/>
      <c r="CS134" s="917"/>
      <c r="CT134" s="917"/>
      <c r="CU134" s="917"/>
      <c r="CV134" s="917"/>
      <c r="CW134" s="917"/>
      <c r="CX134" s="917"/>
      <c r="CY134" s="917"/>
      <c r="CZ134" s="917"/>
      <c r="DA134" s="917"/>
      <c r="DB134" s="917"/>
      <c r="DC134" s="917"/>
      <c r="DD134" s="917"/>
      <c r="DE134" s="917"/>
      <c r="DF134" s="917"/>
      <c r="DG134" s="917"/>
      <c r="DH134" s="917"/>
      <c r="DI134" s="917"/>
      <c r="DJ134" s="917"/>
      <c r="DK134" s="917"/>
      <c r="DL134" s="917"/>
      <c r="DM134" s="917"/>
      <c r="DN134" s="917"/>
      <c r="DO134" s="917"/>
      <c r="DP134" s="917"/>
      <c r="DQ134" s="917"/>
      <c r="DR134" s="917"/>
      <c r="DS134" s="917"/>
      <c r="DT134" s="917"/>
      <c r="DU134" s="917"/>
      <c r="DV134" s="917"/>
      <c r="DW134" s="917"/>
      <c r="DX134" s="917"/>
      <c r="DY134" s="917"/>
      <c r="DZ134" s="917"/>
      <c r="EA134" s="917"/>
      <c r="EB134" s="917"/>
      <c r="EC134" s="917"/>
      <c r="ED134" s="917"/>
      <c r="EE134" s="917"/>
      <c r="EF134" s="917"/>
      <c r="EG134" s="917"/>
      <c r="EH134" s="917"/>
      <c r="EI134" s="917"/>
      <c r="EJ134" s="917"/>
      <c r="EK134" s="917"/>
      <c r="EL134" s="917"/>
      <c r="EM134" s="917"/>
      <c r="EN134" s="917"/>
      <c r="EO134" s="917"/>
    </row>
    <row r="135" spans="1:145" ht="17.25" customHeight="1">
      <c r="B135" s="856" t="s">
        <v>132</v>
      </c>
      <c r="C135" s="867" t="s">
        <v>2481</v>
      </c>
      <c r="D135" s="836" t="s">
        <v>148</v>
      </c>
      <c r="E135" s="836" t="s">
        <v>148</v>
      </c>
      <c r="F135" s="401" t="s">
        <v>3450</v>
      </c>
      <c r="G135" s="836" t="s">
        <v>3451</v>
      </c>
      <c r="H135" s="836" t="s">
        <v>3452</v>
      </c>
      <c r="I135" s="836" t="s">
        <v>3453</v>
      </c>
      <c r="J135" s="836" t="s">
        <v>3454</v>
      </c>
      <c r="K135" s="854" t="s">
        <v>3455</v>
      </c>
      <c r="L135" s="2780"/>
      <c r="M135" s="1043">
        <v>22</v>
      </c>
      <c r="N135" s="2834" t="s">
        <v>3456</v>
      </c>
      <c r="O135" s="2834"/>
      <c r="P135" s="2834"/>
      <c r="Q135" s="2834"/>
      <c r="R135" s="2835"/>
      <c r="S135" s="1044">
        <v>22</v>
      </c>
      <c r="T135" s="2834" t="s">
        <v>3457</v>
      </c>
      <c r="U135" s="2834"/>
      <c r="V135" s="2834"/>
      <c r="W135" s="2834"/>
      <c r="X135" s="2835"/>
      <c r="AE135" s="979">
        <v>1992</v>
      </c>
      <c r="AF135" s="401" t="s">
        <v>3458</v>
      </c>
      <c r="AG135" s="401"/>
      <c r="AH135" s="401"/>
      <c r="AI135" s="401" t="s">
        <v>3459</v>
      </c>
      <c r="AJ135" s="401"/>
      <c r="AK135" s="401"/>
      <c r="AL135" s="401" t="s">
        <v>3417</v>
      </c>
      <c r="AM135" s="401" t="s">
        <v>2026</v>
      </c>
      <c r="AN135" s="401" t="s">
        <v>3460</v>
      </c>
      <c r="AO135" s="836" t="s">
        <v>3461</v>
      </c>
      <c r="AP135" s="836" t="s">
        <v>3420</v>
      </c>
      <c r="AQ135" s="836" t="s">
        <v>3379</v>
      </c>
      <c r="AR135" s="836" t="s">
        <v>3380</v>
      </c>
      <c r="AT135" s="979">
        <v>1992</v>
      </c>
      <c r="BB135" s="401"/>
      <c r="BG135" s="1001"/>
      <c r="BH135" s="927" t="s">
        <v>3462</v>
      </c>
      <c r="BI135" s="934" t="s">
        <v>3463</v>
      </c>
      <c r="BJ135" s="934" t="s">
        <v>3464</v>
      </c>
      <c r="BK135" s="934" t="s">
        <v>3465</v>
      </c>
      <c r="BL135" s="934" t="s">
        <v>3466</v>
      </c>
      <c r="BM135" s="934" t="s">
        <v>3467</v>
      </c>
      <c r="BN135" s="934" t="s">
        <v>3468</v>
      </c>
      <c r="BO135" s="934" t="s">
        <v>3469</v>
      </c>
      <c r="BP135" s="934" t="s">
        <v>3470</v>
      </c>
      <c r="BQ135" s="934" t="s">
        <v>3471</v>
      </c>
      <c r="BR135" s="934" t="s">
        <v>3472</v>
      </c>
      <c r="BS135" s="934" t="s">
        <v>3473</v>
      </c>
      <c r="BT135" s="934" t="s">
        <v>3474</v>
      </c>
      <c r="BU135" s="934" t="s">
        <v>3475</v>
      </c>
      <c r="BV135" s="934" t="s">
        <v>3476</v>
      </c>
      <c r="BW135" s="917"/>
      <c r="BX135" s="917"/>
      <c r="BY135" s="917"/>
      <c r="BZ135" s="917"/>
      <c r="CA135" s="917"/>
      <c r="CB135" s="917"/>
      <c r="CC135" s="917"/>
      <c r="CD135" s="917"/>
      <c r="CE135" s="917"/>
      <c r="CF135" s="917"/>
      <c r="CG135" s="917"/>
      <c r="CH135" s="917"/>
      <c r="CI135" s="917"/>
      <c r="CJ135" s="917"/>
      <c r="CK135" s="917"/>
      <c r="CL135" s="917"/>
      <c r="CM135" s="917"/>
      <c r="CN135" s="917"/>
      <c r="CO135" s="917"/>
      <c r="CP135" s="917"/>
      <c r="CQ135" s="917"/>
      <c r="CR135" s="917"/>
      <c r="CS135" s="917"/>
      <c r="CT135" s="917"/>
      <c r="CU135" s="917"/>
      <c r="CV135" s="917"/>
      <c r="CW135" s="917"/>
      <c r="CX135" s="917"/>
      <c r="CY135" s="917"/>
      <c r="CZ135" s="917"/>
      <c r="DA135" s="917"/>
      <c r="DB135" s="917"/>
      <c r="DC135" s="917"/>
      <c r="DD135" s="917"/>
      <c r="DE135" s="917"/>
      <c r="DF135" s="917"/>
      <c r="DG135" s="917"/>
      <c r="DH135" s="917"/>
      <c r="DI135" s="917"/>
      <c r="DJ135" s="917"/>
      <c r="DK135" s="917"/>
      <c r="DL135" s="917"/>
      <c r="DM135" s="917"/>
      <c r="DN135" s="917"/>
      <c r="DO135" s="917"/>
      <c r="DP135" s="917"/>
      <c r="DQ135" s="917"/>
      <c r="DR135" s="917"/>
      <c r="DS135" s="917"/>
      <c r="DT135" s="917"/>
      <c r="DU135" s="917"/>
      <c r="DV135" s="917"/>
      <c r="DW135" s="917"/>
      <c r="DX135" s="917"/>
      <c r="DY135" s="917"/>
      <c r="DZ135" s="917"/>
      <c r="EA135" s="917"/>
      <c r="EB135" s="917"/>
      <c r="EC135" s="917"/>
      <c r="ED135" s="917"/>
      <c r="EE135" s="917"/>
      <c r="EF135" s="917"/>
      <c r="EG135" s="917"/>
      <c r="EH135" s="917"/>
      <c r="EI135" s="917"/>
      <c r="EJ135" s="917"/>
      <c r="EK135" s="917"/>
      <c r="EL135" s="917"/>
      <c r="EM135" s="917"/>
      <c r="EN135" s="917"/>
      <c r="EO135" s="917"/>
    </row>
    <row r="136" spans="1:145" ht="17.25" customHeight="1">
      <c r="B136" s="856" t="s">
        <v>205</v>
      </c>
      <c r="C136" s="867" t="s">
        <v>3477</v>
      </c>
      <c r="D136" s="836" t="s">
        <v>148</v>
      </c>
      <c r="E136" s="836" t="s">
        <v>3478</v>
      </c>
      <c r="F136" s="836" t="s">
        <v>3479</v>
      </c>
      <c r="G136" s="836" t="s">
        <v>148</v>
      </c>
      <c r="H136" s="836" t="s">
        <v>148</v>
      </c>
      <c r="I136" s="836" t="s">
        <v>3480</v>
      </c>
      <c r="J136" s="836" t="s">
        <v>148</v>
      </c>
      <c r="K136" s="854" t="s">
        <v>148</v>
      </c>
      <c r="L136" s="2780"/>
      <c r="M136" s="1043">
        <v>23</v>
      </c>
      <c r="N136" s="2834" t="s">
        <v>3481</v>
      </c>
      <c r="O136" s="2834"/>
      <c r="P136" s="2834"/>
      <c r="Q136" s="2834"/>
      <c r="R136" s="2835"/>
      <c r="S136" s="1044">
        <v>23</v>
      </c>
      <c r="T136" s="2834" t="s">
        <v>3482</v>
      </c>
      <c r="U136" s="2834"/>
      <c r="V136" s="2834"/>
      <c r="W136" s="2834"/>
      <c r="X136" s="2835"/>
      <c r="AE136" s="979">
        <v>1993</v>
      </c>
      <c r="AF136" s="401" t="s">
        <v>148</v>
      </c>
      <c r="AG136" s="401"/>
      <c r="AH136" s="401"/>
      <c r="AI136" s="401" t="s">
        <v>3483</v>
      </c>
      <c r="AJ136" s="401"/>
      <c r="AK136" s="401"/>
      <c r="AL136" s="401" t="s">
        <v>3417</v>
      </c>
      <c r="AM136" s="401" t="s">
        <v>2048</v>
      </c>
      <c r="AN136" s="401" t="s">
        <v>3484</v>
      </c>
      <c r="AO136" s="836" t="s">
        <v>3485</v>
      </c>
      <c r="AP136" s="836" t="s">
        <v>3486</v>
      </c>
      <c r="AQ136" s="836" t="s">
        <v>3379</v>
      </c>
      <c r="AR136" s="836" t="s">
        <v>3380</v>
      </c>
      <c r="AT136" s="979">
        <v>1993</v>
      </c>
      <c r="BB136" s="401"/>
      <c r="BG136" s="1001"/>
      <c r="BH136" s="927" t="s">
        <v>3487</v>
      </c>
      <c r="BI136" s="934" t="s">
        <v>3488</v>
      </c>
      <c r="BJ136" s="934" t="s">
        <v>3489</v>
      </c>
      <c r="BK136" s="934" t="s">
        <v>3490</v>
      </c>
      <c r="BL136" s="934" t="s">
        <v>3491</v>
      </c>
      <c r="BM136" s="934" t="s">
        <v>3492</v>
      </c>
      <c r="BN136" s="934" t="s">
        <v>3493</v>
      </c>
      <c r="BO136" s="934" t="s">
        <v>3494</v>
      </c>
      <c r="BP136" s="934" t="s">
        <v>3495</v>
      </c>
      <c r="BQ136" s="934" t="s">
        <v>3496</v>
      </c>
      <c r="BR136" s="934" t="s">
        <v>3497</v>
      </c>
      <c r="BS136" s="934" t="s">
        <v>3498</v>
      </c>
      <c r="BT136" s="934" t="s">
        <v>3499</v>
      </c>
      <c r="BU136" s="934" t="s">
        <v>3500</v>
      </c>
      <c r="BV136" s="934" t="s">
        <v>3501</v>
      </c>
      <c r="BW136" s="934" t="s">
        <v>3502</v>
      </c>
      <c r="BX136" s="934" t="s">
        <v>3503</v>
      </c>
      <c r="BY136" s="934" t="s">
        <v>3504</v>
      </c>
      <c r="BZ136" s="934" t="s">
        <v>3505</v>
      </c>
      <c r="CA136" s="934" t="s">
        <v>3506</v>
      </c>
      <c r="CB136" s="934" t="s">
        <v>3507</v>
      </c>
      <c r="CC136" s="934" t="s">
        <v>3508</v>
      </c>
      <c r="CD136" s="934" t="s">
        <v>3509</v>
      </c>
      <c r="CE136" s="934" t="s">
        <v>3510</v>
      </c>
      <c r="CF136" s="934" t="s">
        <v>3511</v>
      </c>
      <c r="CG136" s="934" t="s">
        <v>3512</v>
      </c>
      <c r="CH136" s="934" t="s">
        <v>3513</v>
      </c>
      <c r="CI136" s="934" t="s">
        <v>3514</v>
      </c>
      <c r="CJ136" s="934" t="s">
        <v>3515</v>
      </c>
      <c r="CK136" s="934" t="s">
        <v>3516</v>
      </c>
      <c r="CL136" s="934" t="s">
        <v>3517</v>
      </c>
      <c r="CM136" s="934" t="s">
        <v>3518</v>
      </c>
      <c r="CN136" s="934" t="s">
        <v>3519</v>
      </c>
      <c r="CO136" s="934" t="s">
        <v>3520</v>
      </c>
      <c r="CP136" s="934" t="s">
        <v>3521</v>
      </c>
      <c r="CQ136" s="934" t="s">
        <v>3522</v>
      </c>
      <c r="CR136" s="934" t="s">
        <v>3523</v>
      </c>
      <c r="CS136" s="934" t="s">
        <v>3524</v>
      </c>
      <c r="CT136" s="917"/>
      <c r="CU136" s="917"/>
      <c r="CV136" s="917"/>
      <c r="CW136" s="917"/>
      <c r="CX136" s="917"/>
      <c r="CY136" s="917"/>
      <c r="CZ136" s="917"/>
      <c r="DA136" s="917"/>
      <c r="DB136" s="917"/>
      <c r="DC136" s="917"/>
      <c r="DD136" s="917"/>
      <c r="DE136" s="917"/>
      <c r="DF136" s="917"/>
      <c r="DG136" s="917"/>
      <c r="DH136" s="917"/>
      <c r="DI136" s="917"/>
      <c r="DJ136" s="917"/>
      <c r="DK136" s="917"/>
      <c r="DL136" s="917"/>
      <c r="DM136" s="917"/>
      <c r="DN136" s="917"/>
      <c r="DO136" s="917"/>
      <c r="DP136" s="917"/>
      <c r="DQ136" s="917"/>
      <c r="DR136" s="917"/>
      <c r="DS136" s="917"/>
      <c r="DT136" s="917"/>
      <c r="DU136" s="917"/>
      <c r="DV136" s="917"/>
      <c r="DW136" s="917"/>
      <c r="DX136" s="917"/>
      <c r="DY136" s="917"/>
      <c r="DZ136" s="917"/>
      <c r="EA136" s="917"/>
      <c r="EB136" s="917"/>
      <c r="EC136" s="917"/>
      <c r="ED136" s="917"/>
      <c r="EE136" s="917"/>
      <c r="EF136" s="917"/>
      <c r="EG136" s="917"/>
      <c r="EH136" s="917"/>
      <c r="EI136" s="917"/>
      <c r="EJ136" s="917"/>
      <c r="EK136" s="917"/>
      <c r="EL136" s="917"/>
      <c r="EM136" s="917"/>
      <c r="EN136" s="917"/>
      <c r="EO136" s="917"/>
    </row>
    <row r="137" spans="1:145" ht="17.25" customHeight="1">
      <c r="B137" s="856" t="s">
        <v>187</v>
      </c>
      <c r="C137" s="867" t="s">
        <v>3318</v>
      </c>
      <c r="D137" s="836" t="s">
        <v>3525</v>
      </c>
      <c r="E137" s="836" t="s">
        <v>148</v>
      </c>
      <c r="F137" s="836" t="s">
        <v>3526</v>
      </c>
      <c r="G137" s="836" t="s">
        <v>3527</v>
      </c>
      <c r="H137" s="836" t="s">
        <v>3528</v>
      </c>
      <c r="I137" s="836" t="s">
        <v>3529</v>
      </c>
      <c r="J137" s="836" t="s">
        <v>3530</v>
      </c>
      <c r="K137" s="854" t="s">
        <v>3531</v>
      </c>
      <c r="L137" s="2780"/>
      <c r="M137" s="1043">
        <v>24</v>
      </c>
      <c r="N137" s="2834" t="s">
        <v>3532</v>
      </c>
      <c r="O137" s="2834"/>
      <c r="P137" s="2834"/>
      <c r="Q137" s="2834"/>
      <c r="R137" s="2835"/>
      <c r="S137" s="1044">
        <v>24</v>
      </c>
      <c r="T137" s="2834" t="s">
        <v>3533</v>
      </c>
      <c r="U137" s="2834"/>
      <c r="V137" s="2834"/>
      <c r="W137" s="2834"/>
      <c r="X137" s="2835"/>
      <c r="AE137" s="979">
        <v>1994</v>
      </c>
      <c r="AF137" s="401" t="s">
        <v>148</v>
      </c>
      <c r="AG137" s="401"/>
      <c r="AH137" s="401"/>
      <c r="AI137" s="401" t="s">
        <v>148</v>
      </c>
      <c r="AJ137" s="401"/>
      <c r="AK137" s="401"/>
      <c r="AL137" s="401" t="s">
        <v>3417</v>
      </c>
      <c r="AM137" s="401" t="s">
        <v>2083</v>
      </c>
      <c r="AN137" s="401" t="s">
        <v>3534</v>
      </c>
      <c r="AO137" s="836" t="s">
        <v>3535</v>
      </c>
      <c r="AP137" s="836" t="s">
        <v>3536</v>
      </c>
      <c r="AQ137" s="836" t="s">
        <v>3379</v>
      </c>
      <c r="AR137" s="836" t="s">
        <v>3380</v>
      </c>
      <c r="AT137" s="979">
        <v>1994</v>
      </c>
      <c r="BB137" s="401"/>
      <c r="BG137" s="1001"/>
      <c r="BH137" s="927" t="s">
        <v>3537</v>
      </c>
      <c r="BI137" s="934" t="s">
        <v>3538</v>
      </c>
      <c r="BJ137" s="934" t="s">
        <v>3539</v>
      </c>
      <c r="BK137" s="934" t="s">
        <v>3540</v>
      </c>
      <c r="BL137" s="934" t="s">
        <v>3541</v>
      </c>
      <c r="BM137" s="934" t="s">
        <v>3542</v>
      </c>
      <c r="BN137" s="934" t="s">
        <v>3543</v>
      </c>
      <c r="BO137" s="934" t="s">
        <v>3544</v>
      </c>
      <c r="BP137" s="934" t="s">
        <v>3545</v>
      </c>
      <c r="BQ137" s="934" t="s">
        <v>3546</v>
      </c>
      <c r="BR137" s="934" t="s">
        <v>3547</v>
      </c>
      <c r="BS137" s="934" t="s">
        <v>3548</v>
      </c>
      <c r="BT137" s="934" t="s">
        <v>3549</v>
      </c>
      <c r="BU137" s="934" t="s">
        <v>3550</v>
      </c>
      <c r="BV137" s="934" t="s">
        <v>3551</v>
      </c>
      <c r="BW137" s="934" t="s">
        <v>3552</v>
      </c>
      <c r="BX137" s="934" t="s">
        <v>3553</v>
      </c>
      <c r="BY137" s="917"/>
      <c r="BZ137" s="917"/>
      <c r="CA137" s="917"/>
      <c r="CB137" s="917"/>
      <c r="CC137" s="917"/>
      <c r="CD137" s="917"/>
      <c r="CE137" s="917"/>
      <c r="CF137" s="917"/>
      <c r="CG137" s="917"/>
      <c r="CH137" s="917"/>
      <c r="CI137" s="917"/>
      <c r="CJ137" s="917"/>
      <c r="CK137" s="917"/>
      <c r="CL137" s="917"/>
      <c r="CM137" s="917"/>
      <c r="CN137" s="917"/>
      <c r="CO137" s="917"/>
      <c r="CP137" s="917"/>
      <c r="CQ137" s="917"/>
      <c r="CR137" s="917"/>
      <c r="CS137" s="917"/>
      <c r="CT137" s="917"/>
      <c r="CU137" s="917"/>
      <c r="CV137" s="917"/>
      <c r="CW137" s="917"/>
      <c r="CX137" s="917"/>
      <c r="CY137" s="917"/>
      <c r="CZ137" s="917"/>
      <c r="DA137" s="917"/>
      <c r="DB137" s="917"/>
      <c r="DC137" s="917"/>
      <c r="DD137" s="917"/>
      <c r="DE137" s="917"/>
      <c r="DF137" s="917"/>
      <c r="DG137" s="917"/>
      <c r="DH137" s="917"/>
      <c r="DI137" s="917"/>
      <c r="DJ137" s="917"/>
      <c r="DK137" s="917"/>
      <c r="DL137" s="917"/>
      <c r="DM137" s="917"/>
      <c r="DN137" s="917"/>
      <c r="DO137" s="917"/>
      <c r="DP137" s="917"/>
      <c r="DQ137" s="917"/>
      <c r="DR137" s="917"/>
      <c r="DS137" s="917"/>
      <c r="DT137" s="917"/>
      <c r="DU137" s="917"/>
      <c r="DV137" s="917"/>
      <c r="DW137" s="917"/>
      <c r="DX137" s="917"/>
      <c r="DY137" s="917"/>
      <c r="DZ137" s="917"/>
      <c r="EA137" s="917"/>
      <c r="EB137" s="917"/>
      <c r="EC137" s="917"/>
      <c r="ED137" s="917"/>
      <c r="EE137" s="917"/>
      <c r="EF137" s="917"/>
      <c r="EG137" s="917"/>
      <c r="EH137" s="917"/>
      <c r="EI137" s="917"/>
      <c r="EJ137" s="917"/>
      <c r="EK137" s="917"/>
      <c r="EL137" s="917"/>
      <c r="EM137" s="917"/>
      <c r="EN137" s="917"/>
      <c r="EO137" s="917"/>
    </row>
    <row r="138" spans="1:145" ht="17.25" customHeight="1">
      <c r="B138" s="856" t="s">
        <v>156</v>
      </c>
      <c r="C138" s="867" t="s">
        <v>3554</v>
      </c>
      <c r="D138" s="836" t="s">
        <v>148</v>
      </c>
      <c r="E138" s="836" t="s">
        <v>148</v>
      </c>
      <c r="F138" s="836" t="s">
        <v>3555</v>
      </c>
      <c r="G138" s="836" t="s">
        <v>3556</v>
      </c>
      <c r="H138" s="836" t="s">
        <v>3557</v>
      </c>
      <c r="I138" s="836" t="s">
        <v>3558</v>
      </c>
      <c r="J138" s="836" t="s">
        <v>3559</v>
      </c>
      <c r="K138" s="854" t="s">
        <v>3560</v>
      </c>
      <c r="L138" s="2780"/>
      <c r="M138" s="1043">
        <v>25</v>
      </c>
      <c r="N138" s="2834" t="s">
        <v>3561</v>
      </c>
      <c r="O138" s="2834"/>
      <c r="P138" s="2834"/>
      <c r="Q138" s="2834"/>
      <c r="R138" s="2835"/>
      <c r="S138" s="1044">
        <v>25</v>
      </c>
      <c r="T138" s="2834" t="s">
        <v>3562</v>
      </c>
      <c r="U138" s="2834"/>
      <c r="V138" s="2834"/>
      <c r="W138" s="2834"/>
      <c r="X138" s="2835"/>
      <c r="AE138" s="979">
        <v>1995</v>
      </c>
      <c r="AF138" s="401" t="s">
        <v>148</v>
      </c>
      <c r="AG138" s="401"/>
      <c r="AH138" s="401"/>
      <c r="AI138" s="401" t="s">
        <v>148</v>
      </c>
      <c r="AJ138" s="401"/>
      <c r="AK138" s="401"/>
      <c r="AL138" s="401" t="s">
        <v>3417</v>
      </c>
      <c r="AM138" s="401" t="s">
        <v>2114</v>
      </c>
      <c r="AN138" s="401" t="s">
        <v>3563</v>
      </c>
      <c r="AO138" s="836" t="s">
        <v>3564</v>
      </c>
      <c r="AP138" s="836" t="s">
        <v>3536</v>
      </c>
      <c r="AQ138" s="836" t="s">
        <v>3379</v>
      </c>
      <c r="AR138" s="836" t="s">
        <v>3380</v>
      </c>
      <c r="AT138" s="979">
        <v>1995</v>
      </c>
      <c r="BB138" s="401"/>
      <c r="BG138" s="1001"/>
      <c r="BH138" s="927"/>
      <c r="BI138" s="917"/>
      <c r="BJ138" s="917"/>
      <c r="BK138" s="917"/>
      <c r="BL138" s="917"/>
      <c r="BM138" s="917"/>
      <c r="BN138" s="917"/>
      <c r="BO138" s="917"/>
      <c r="BP138" s="917"/>
      <c r="BQ138" s="917"/>
      <c r="BR138" s="917"/>
      <c r="BS138" s="917"/>
      <c r="BT138" s="917"/>
      <c r="BU138" s="917"/>
      <c r="BV138" s="917"/>
      <c r="BW138" s="917"/>
      <c r="BX138" s="917"/>
      <c r="BY138" s="917"/>
      <c r="BZ138" s="917"/>
      <c r="CA138" s="917"/>
      <c r="CB138" s="917"/>
      <c r="CC138" s="917"/>
      <c r="CD138" s="917"/>
      <c r="CE138" s="917"/>
      <c r="CF138" s="917"/>
      <c r="CG138" s="917"/>
      <c r="CH138" s="917"/>
      <c r="CI138" s="917"/>
      <c r="CJ138" s="917"/>
      <c r="CK138" s="917"/>
      <c r="CL138" s="917"/>
      <c r="CM138" s="917"/>
      <c r="CN138" s="917"/>
      <c r="CO138" s="917"/>
      <c r="CP138" s="917"/>
      <c r="CQ138" s="917"/>
      <c r="CR138" s="917"/>
      <c r="CS138" s="917"/>
      <c r="CT138" s="917"/>
      <c r="CU138" s="917"/>
      <c r="CV138" s="917"/>
      <c r="CW138" s="917"/>
      <c r="CX138" s="917"/>
      <c r="CY138" s="917"/>
      <c r="CZ138" s="917"/>
      <c r="DA138" s="917"/>
      <c r="DB138" s="917"/>
      <c r="DC138" s="917"/>
      <c r="DD138" s="917"/>
      <c r="DE138" s="917"/>
      <c r="DF138" s="917"/>
      <c r="DG138" s="917"/>
      <c r="DH138" s="917"/>
      <c r="DI138" s="917"/>
      <c r="DJ138" s="917"/>
      <c r="DK138" s="917"/>
      <c r="DL138" s="917"/>
      <c r="DM138" s="917"/>
      <c r="DN138" s="917"/>
      <c r="DO138" s="917"/>
      <c r="DP138" s="917"/>
      <c r="DQ138" s="917"/>
      <c r="DR138" s="917"/>
      <c r="DS138" s="917"/>
      <c r="DT138" s="917"/>
      <c r="DU138" s="917"/>
      <c r="DV138" s="917"/>
      <c r="DW138" s="917"/>
      <c r="DX138" s="917"/>
      <c r="DY138" s="917"/>
      <c r="DZ138" s="917"/>
      <c r="EA138" s="917"/>
      <c r="EB138" s="917"/>
      <c r="EC138" s="917"/>
      <c r="ED138" s="917"/>
      <c r="EE138" s="917"/>
      <c r="EF138" s="917"/>
      <c r="EG138" s="917"/>
      <c r="EH138" s="917"/>
      <c r="EI138" s="917"/>
      <c r="EJ138" s="917"/>
      <c r="EK138" s="917"/>
      <c r="EL138" s="917"/>
      <c r="EM138" s="917"/>
      <c r="EN138" s="917"/>
      <c r="EO138" s="917"/>
    </row>
    <row r="139" spans="1:145" ht="17.25" customHeight="1">
      <c r="B139" s="856" t="s">
        <v>159</v>
      </c>
      <c r="C139" s="867" t="s">
        <v>2504</v>
      </c>
      <c r="D139" s="836" t="s">
        <v>3366</v>
      </c>
      <c r="E139" s="836" t="s">
        <v>3565</v>
      </c>
      <c r="F139" s="836" t="s">
        <v>3566</v>
      </c>
      <c r="G139" s="836" t="s">
        <v>3567</v>
      </c>
      <c r="H139" s="836" t="s">
        <v>3568</v>
      </c>
      <c r="I139" s="836" t="s">
        <v>3569</v>
      </c>
      <c r="J139" s="836" t="s">
        <v>3570</v>
      </c>
      <c r="K139" s="854" t="s">
        <v>3571</v>
      </c>
      <c r="L139" s="2780"/>
      <c r="M139" s="1043">
        <v>26</v>
      </c>
      <c r="N139" s="2834" t="s">
        <v>3572</v>
      </c>
      <c r="O139" s="2834"/>
      <c r="P139" s="2834"/>
      <c r="Q139" s="2834"/>
      <c r="R139" s="2835"/>
      <c r="S139" s="1044">
        <v>26</v>
      </c>
      <c r="T139" s="2834" t="s">
        <v>3573</v>
      </c>
      <c r="U139" s="2834"/>
      <c r="V139" s="2834"/>
      <c r="W139" s="2834"/>
      <c r="X139" s="2835"/>
      <c r="AE139" s="979">
        <v>1996</v>
      </c>
      <c r="AF139" s="401" t="s">
        <v>3574</v>
      </c>
      <c r="AG139" s="401"/>
      <c r="AH139" s="401"/>
      <c r="AI139" s="401" t="s">
        <v>148</v>
      </c>
      <c r="AJ139" s="401"/>
      <c r="AK139" s="401"/>
      <c r="AL139" s="401" t="s">
        <v>3417</v>
      </c>
      <c r="AM139" s="401" t="s">
        <v>2132</v>
      </c>
      <c r="AN139" s="401" t="s">
        <v>3575</v>
      </c>
      <c r="AO139" s="836" t="s">
        <v>3576</v>
      </c>
      <c r="AP139" s="836" t="s">
        <v>3536</v>
      </c>
      <c r="AQ139" s="836" t="s">
        <v>3379</v>
      </c>
      <c r="AR139" s="836" t="s">
        <v>3380</v>
      </c>
      <c r="AT139" s="979">
        <v>1996</v>
      </c>
      <c r="BB139" s="401"/>
      <c r="BG139" s="1001"/>
      <c r="BH139" s="1027" t="s">
        <v>3577</v>
      </c>
      <c r="BI139" s="917"/>
      <c r="BJ139" s="917"/>
      <c r="BK139" s="917"/>
      <c r="BL139" s="917"/>
      <c r="BM139" s="917"/>
      <c r="BN139" s="917"/>
      <c r="BO139" s="917"/>
      <c r="BP139" s="917"/>
      <c r="BQ139" s="917"/>
      <c r="BR139" s="917"/>
      <c r="BS139" s="917"/>
      <c r="BT139" s="917"/>
      <c r="BU139" s="917"/>
      <c r="BV139" s="917"/>
      <c r="BW139" s="917"/>
      <c r="BX139" s="917"/>
      <c r="BY139" s="917"/>
      <c r="BZ139" s="917"/>
      <c r="CA139" s="917"/>
      <c r="CB139" s="917"/>
      <c r="CC139" s="917"/>
      <c r="CD139" s="917"/>
      <c r="CE139" s="917"/>
      <c r="CF139" s="917"/>
      <c r="CG139" s="917"/>
      <c r="CH139" s="917"/>
      <c r="CI139" s="917"/>
      <c r="CJ139" s="917"/>
      <c r="CK139" s="917"/>
      <c r="CL139" s="917"/>
      <c r="CM139" s="917"/>
      <c r="CN139" s="917"/>
      <c r="CO139" s="917"/>
      <c r="CP139" s="917"/>
      <c r="CQ139" s="917"/>
      <c r="CR139" s="917"/>
      <c r="CS139" s="917"/>
      <c r="CT139" s="917"/>
      <c r="CU139" s="917"/>
      <c r="CV139" s="917"/>
      <c r="CW139" s="917"/>
      <c r="CX139" s="917"/>
      <c r="CY139" s="917"/>
      <c r="CZ139" s="917"/>
      <c r="DA139" s="917"/>
      <c r="DB139" s="917"/>
      <c r="DC139" s="917"/>
      <c r="DD139" s="917"/>
      <c r="DE139" s="917"/>
      <c r="DF139" s="917"/>
      <c r="DG139" s="917"/>
      <c r="DH139" s="917"/>
      <c r="DI139" s="917"/>
      <c r="DJ139" s="917"/>
      <c r="DK139" s="917"/>
      <c r="DL139" s="917"/>
      <c r="DM139" s="917"/>
      <c r="DN139" s="917"/>
      <c r="DO139" s="917"/>
      <c r="DP139" s="917"/>
      <c r="DQ139" s="917"/>
      <c r="DR139" s="917"/>
      <c r="DS139" s="917"/>
      <c r="DT139" s="917"/>
      <c r="DU139" s="917"/>
      <c r="DV139" s="917"/>
      <c r="DW139" s="917"/>
      <c r="DX139" s="917"/>
      <c r="DY139" s="917"/>
      <c r="DZ139" s="917"/>
      <c r="EA139" s="917"/>
      <c r="EB139" s="917"/>
      <c r="EC139" s="917"/>
      <c r="ED139" s="917"/>
      <c r="EE139" s="917"/>
      <c r="EF139" s="917"/>
      <c r="EG139" s="917"/>
      <c r="EH139" s="917"/>
      <c r="EI139" s="917"/>
      <c r="EJ139" s="917"/>
      <c r="EK139" s="917"/>
      <c r="EL139" s="917"/>
      <c r="EM139" s="917"/>
      <c r="EN139" s="917"/>
      <c r="EO139" s="917"/>
    </row>
    <row r="140" spans="1:145" ht="17.25" customHeight="1">
      <c r="B140" s="856" t="s">
        <v>157</v>
      </c>
      <c r="C140" s="867" t="s">
        <v>2481</v>
      </c>
      <c r="D140" s="836" t="s">
        <v>3305</v>
      </c>
      <c r="E140" s="836" t="s">
        <v>3306</v>
      </c>
      <c r="F140" s="836" t="s">
        <v>3578</v>
      </c>
      <c r="G140" s="836" t="s">
        <v>3308</v>
      </c>
      <c r="H140" s="836" t="s">
        <v>3309</v>
      </c>
      <c r="I140" s="836" t="s">
        <v>3579</v>
      </c>
      <c r="J140" s="836" t="s">
        <v>3580</v>
      </c>
      <c r="K140" s="854" t="s">
        <v>3581</v>
      </c>
      <c r="L140" s="2780"/>
      <c r="M140" s="1043">
        <v>27</v>
      </c>
      <c r="N140" s="2834" t="s">
        <v>3582</v>
      </c>
      <c r="O140" s="2834"/>
      <c r="P140" s="2834"/>
      <c r="Q140" s="2834"/>
      <c r="R140" s="2835"/>
      <c r="S140" s="1044">
        <v>27</v>
      </c>
      <c r="T140" s="2834" t="s">
        <v>3583</v>
      </c>
      <c r="U140" s="2834"/>
      <c r="V140" s="2834"/>
      <c r="W140" s="2834"/>
      <c r="X140" s="2835"/>
      <c r="AE140" s="979">
        <v>1997</v>
      </c>
      <c r="AF140" s="401" t="s">
        <v>148</v>
      </c>
      <c r="AG140" s="401"/>
      <c r="AH140" s="401"/>
      <c r="AI140" s="401" t="s">
        <v>3584</v>
      </c>
      <c r="AJ140" s="401"/>
      <c r="AK140" s="401"/>
      <c r="AL140" s="401" t="s">
        <v>3417</v>
      </c>
      <c r="AM140" s="401" t="s">
        <v>2151</v>
      </c>
      <c r="AN140" s="401" t="s">
        <v>3585</v>
      </c>
      <c r="AO140" s="836" t="s">
        <v>3586</v>
      </c>
      <c r="AP140" s="836" t="s">
        <v>3536</v>
      </c>
      <c r="AQ140" s="836" t="s">
        <v>3379</v>
      </c>
      <c r="AR140" s="836" t="s">
        <v>3380</v>
      </c>
      <c r="AT140" s="979">
        <v>1997</v>
      </c>
      <c r="BB140" s="401"/>
      <c r="BG140" s="1001"/>
      <c r="BH140" s="927" t="s">
        <v>3587</v>
      </c>
      <c r="BI140" s="934" t="s">
        <v>3588</v>
      </c>
      <c r="BJ140" s="934" t="s">
        <v>3589</v>
      </c>
      <c r="BK140" s="934" t="s">
        <v>3590</v>
      </c>
      <c r="BL140" s="934" t="s">
        <v>3591</v>
      </c>
      <c r="BM140" s="934" t="s">
        <v>3592</v>
      </c>
      <c r="BN140" s="934" t="s">
        <v>3593</v>
      </c>
      <c r="BO140" s="934" t="s">
        <v>3594</v>
      </c>
      <c r="BP140" s="934" t="s">
        <v>3595</v>
      </c>
      <c r="BQ140" s="934" t="s">
        <v>3596</v>
      </c>
      <c r="BR140" s="934" t="s">
        <v>3597</v>
      </c>
      <c r="BS140" s="917"/>
      <c r="BT140" s="917"/>
      <c r="BU140" s="917"/>
      <c r="BV140" s="917"/>
      <c r="BW140" s="917"/>
      <c r="BX140" s="917"/>
      <c r="BY140" s="917"/>
      <c r="BZ140" s="917"/>
      <c r="CA140" s="917"/>
      <c r="CB140" s="917"/>
      <c r="CC140" s="917"/>
      <c r="CD140" s="917"/>
      <c r="CE140" s="917"/>
      <c r="CF140" s="917"/>
      <c r="CG140" s="917"/>
      <c r="CH140" s="917"/>
      <c r="CI140" s="917"/>
      <c r="CJ140" s="917"/>
      <c r="CK140" s="917"/>
      <c r="CL140" s="917"/>
      <c r="CM140" s="917"/>
      <c r="CN140" s="917"/>
      <c r="CO140" s="917"/>
      <c r="CP140" s="917"/>
      <c r="CQ140" s="917"/>
      <c r="CR140" s="917"/>
      <c r="CS140" s="917"/>
      <c r="CT140" s="917"/>
      <c r="CU140" s="917"/>
      <c r="CV140" s="917"/>
      <c r="CW140" s="917"/>
      <c r="CX140" s="917"/>
      <c r="CY140" s="917"/>
      <c r="CZ140" s="917"/>
      <c r="DA140" s="917"/>
      <c r="DB140" s="917"/>
      <c r="DC140" s="917"/>
      <c r="DD140" s="917"/>
      <c r="DE140" s="917"/>
      <c r="DF140" s="917"/>
      <c r="DG140" s="917"/>
      <c r="DH140" s="917"/>
      <c r="DI140" s="917"/>
      <c r="DJ140" s="917"/>
      <c r="DK140" s="917"/>
      <c r="DL140" s="917"/>
      <c r="DM140" s="917"/>
      <c r="DN140" s="917"/>
      <c r="DO140" s="917"/>
      <c r="DP140" s="917"/>
      <c r="DQ140" s="917"/>
      <c r="DR140" s="917"/>
      <c r="DS140" s="917"/>
      <c r="DT140" s="917"/>
      <c r="DU140" s="917"/>
      <c r="DV140" s="917"/>
      <c r="DW140" s="917"/>
      <c r="DX140" s="917"/>
      <c r="DY140" s="917"/>
      <c r="DZ140" s="917"/>
      <c r="EA140" s="917"/>
      <c r="EB140" s="917"/>
      <c r="EC140" s="917"/>
      <c r="ED140" s="917"/>
      <c r="EE140" s="917"/>
      <c r="EF140" s="917"/>
      <c r="EG140" s="917"/>
      <c r="EH140" s="917"/>
      <c r="EI140" s="917"/>
      <c r="EJ140" s="917"/>
      <c r="EK140" s="917"/>
      <c r="EL140" s="917"/>
      <c r="EM140" s="917"/>
      <c r="EN140" s="917"/>
      <c r="EO140" s="917"/>
    </row>
    <row r="141" spans="1:145" ht="17.25" customHeight="1">
      <c r="B141" s="856" t="s">
        <v>2617</v>
      </c>
      <c r="C141" s="867" t="s">
        <v>751</v>
      </c>
      <c r="D141" s="836" t="s">
        <v>751</v>
      </c>
      <c r="E141" s="836" t="s">
        <v>751</v>
      </c>
      <c r="F141" s="836" t="s">
        <v>751</v>
      </c>
      <c r="G141" s="836" t="s">
        <v>751</v>
      </c>
      <c r="H141" s="836" t="s">
        <v>751</v>
      </c>
      <c r="I141" s="836" t="s">
        <v>751</v>
      </c>
      <c r="J141" s="836" t="s">
        <v>751</v>
      </c>
      <c r="K141" s="854" t="s">
        <v>751</v>
      </c>
      <c r="L141" s="2780"/>
      <c r="M141" s="1043">
        <v>28</v>
      </c>
      <c r="N141" s="2834" t="s">
        <v>3598</v>
      </c>
      <c r="O141" s="2834"/>
      <c r="P141" s="2834"/>
      <c r="Q141" s="2834"/>
      <c r="R141" s="2835"/>
      <c r="S141" s="1044">
        <v>28</v>
      </c>
      <c r="T141" s="2834" t="s">
        <v>3599</v>
      </c>
      <c r="U141" s="2834"/>
      <c r="V141" s="2834"/>
      <c r="W141" s="2834"/>
      <c r="X141" s="2835"/>
      <c r="AE141" s="979">
        <v>1998</v>
      </c>
      <c r="AF141" s="401" t="s">
        <v>148</v>
      </c>
      <c r="AG141" s="401"/>
      <c r="AH141" s="401"/>
      <c r="AI141" s="401" t="s">
        <v>3600</v>
      </c>
      <c r="AJ141" s="401"/>
      <c r="AK141" s="401"/>
      <c r="AL141" s="401" t="s">
        <v>3417</v>
      </c>
      <c r="AM141" s="401" t="s">
        <v>2166</v>
      </c>
      <c r="AN141" s="401" t="s">
        <v>3601</v>
      </c>
      <c r="AO141" s="836" t="s">
        <v>3602</v>
      </c>
      <c r="AP141" s="836" t="s">
        <v>3536</v>
      </c>
      <c r="AQ141" s="836" t="s">
        <v>3379</v>
      </c>
      <c r="AR141" s="836" t="s">
        <v>3380</v>
      </c>
      <c r="AT141" s="979">
        <v>1998</v>
      </c>
      <c r="BB141" s="401"/>
      <c r="BG141" s="1001"/>
      <c r="BH141" s="927" t="s">
        <v>3603</v>
      </c>
      <c r="BI141" s="934" t="s">
        <v>3604</v>
      </c>
      <c r="BJ141" s="934" t="s">
        <v>3605</v>
      </c>
      <c r="BK141" s="934" t="s">
        <v>3606</v>
      </c>
      <c r="BL141" s="934" t="s">
        <v>1767</v>
      </c>
      <c r="BM141" s="934" t="s">
        <v>3607</v>
      </c>
      <c r="BN141" s="917"/>
      <c r="BO141" s="917"/>
      <c r="BP141" s="917"/>
      <c r="BQ141" s="917"/>
      <c r="BR141" s="917"/>
      <c r="BS141" s="917"/>
      <c r="BT141" s="917"/>
      <c r="BU141" s="917"/>
      <c r="BV141" s="917"/>
      <c r="BW141" s="917"/>
      <c r="BX141" s="917"/>
      <c r="BY141" s="917"/>
      <c r="BZ141" s="917"/>
      <c r="CA141" s="917"/>
      <c r="CB141" s="917"/>
      <c r="CC141" s="917"/>
      <c r="CD141" s="917"/>
      <c r="CE141" s="917"/>
      <c r="CF141" s="917"/>
      <c r="CG141" s="917"/>
      <c r="CH141" s="917"/>
      <c r="CI141" s="917"/>
      <c r="CJ141" s="917"/>
      <c r="CK141" s="917"/>
      <c r="CL141" s="917"/>
      <c r="CM141" s="917"/>
      <c r="CN141" s="917"/>
      <c r="CO141" s="917"/>
      <c r="CP141" s="917"/>
      <c r="CQ141" s="917"/>
      <c r="CR141" s="917"/>
      <c r="CS141" s="917"/>
      <c r="CT141" s="917"/>
      <c r="CU141" s="917"/>
      <c r="CV141" s="917"/>
      <c r="CW141" s="917"/>
      <c r="CX141" s="917"/>
      <c r="CY141" s="917"/>
      <c r="CZ141" s="917"/>
      <c r="DA141" s="917"/>
      <c r="DB141" s="917"/>
      <c r="DC141" s="917"/>
      <c r="DD141" s="917"/>
      <c r="DE141" s="917"/>
      <c r="DF141" s="917"/>
      <c r="DG141" s="917"/>
      <c r="DH141" s="917"/>
      <c r="DI141" s="917"/>
      <c r="DJ141" s="917"/>
      <c r="DK141" s="917"/>
      <c r="DL141" s="917"/>
      <c r="DM141" s="917"/>
      <c r="DN141" s="917"/>
      <c r="DO141" s="917"/>
      <c r="DP141" s="917"/>
      <c r="DQ141" s="917"/>
      <c r="DR141" s="917"/>
      <c r="DS141" s="917"/>
      <c r="DT141" s="917"/>
      <c r="DU141" s="917"/>
      <c r="DV141" s="917"/>
      <c r="DW141" s="917"/>
      <c r="DX141" s="917"/>
      <c r="DY141" s="917"/>
      <c r="DZ141" s="917"/>
      <c r="EA141" s="917"/>
      <c r="EB141" s="917"/>
      <c r="EC141" s="917"/>
      <c r="ED141" s="917"/>
      <c r="EE141" s="917"/>
      <c r="EF141" s="917"/>
      <c r="EG141" s="917"/>
      <c r="EH141" s="917"/>
      <c r="EI141" s="917"/>
      <c r="EJ141" s="917"/>
      <c r="EK141" s="917"/>
      <c r="EL141" s="917"/>
      <c r="EM141" s="917"/>
      <c r="EN141" s="917"/>
      <c r="EO141" s="917"/>
    </row>
    <row r="142" spans="1:145" ht="17.25" customHeight="1">
      <c r="B142" s="856" t="s">
        <v>223</v>
      </c>
      <c r="C142" s="867" t="s">
        <v>148</v>
      </c>
      <c r="D142" s="836" t="s">
        <v>3608</v>
      </c>
      <c r="E142" s="836" t="s">
        <v>148</v>
      </c>
      <c r="F142" s="401" t="s">
        <v>3609</v>
      </c>
      <c r="G142" s="836" t="s">
        <v>148</v>
      </c>
      <c r="H142" s="836" t="s">
        <v>148</v>
      </c>
      <c r="I142" s="836" t="s">
        <v>3610</v>
      </c>
      <c r="J142" s="836" t="s">
        <v>148</v>
      </c>
      <c r="K142" s="854" t="s">
        <v>148</v>
      </c>
      <c r="L142" s="2780"/>
      <c r="M142" s="1043">
        <v>29</v>
      </c>
      <c r="N142" s="2834" t="s">
        <v>3611</v>
      </c>
      <c r="O142" s="2834"/>
      <c r="P142" s="2834"/>
      <c r="Q142" s="2834"/>
      <c r="R142" s="2835"/>
      <c r="S142" s="1044">
        <v>29</v>
      </c>
      <c r="T142" s="2834" t="s">
        <v>3612</v>
      </c>
      <c r="U142" s="2834"/>
      <c r="V142" s="2834"/>
      <c r="W142" s="2834"/>
      <c r="X142" s="2835"/>
      <c r="AE142" s="979">
        <v>1999</v>
      </c>
      <c r="AF142" s="401" t="s">
        <v>3613</v>
      </c>
      <c r="AG142" s="401"/>
      <c r="AH142" s="401"/>
      <c r="AI142" s="401" t="s">
        <v>3614</v>
      </c>
      <c r="AJ142" s="401" t="s">
        <v>3615</v>
      </c>
      <c r="AK142" s="401"/>
      <c r="AL142" s="401" t="s">
        <v>3417</v>
      </c>
      <c r="AM142" s="401" t="s">
        <v>2175</v>
      </c>
      <c r="AN142" s="401" t="s">
        <v>3616</v>
      </c>
      <c r="AO142" s="401" t="s">
        <v>3617</v>
      </c>
      <c r="AP142" s="836" t="s">
        <v>3536</v>
      </c>
      <c r="AQ142" s="836" t="s">
        <v>3379</v>
      </c>
      <c r="AR142" s="836" t="s">
        <v>3380</v>
      </c>
      <c r="AT142" s="979">
        <v>1999</v>
      </c>
      <c r="BB142" s="401"/>
      <c r="BG142" s="1001"/>
      <c r="BH142" s="927" t="s">
        <v>3618</v>
      </c>
      <c r="BI142" s="934" t="s">
        <v>3619</v>
      </c>
      <c r="BJ142" s="934" t="s">
        <v>3620</v>
      </c>
      <c r="BK142" s="934" t="s">
        <v>3621</v>
      </c>
      <c r="BL142" s="934" t="s">
        <v>3622</v>
      </c>
      <c r="BM142" s="934" t="s">
        <v>3623</v>
      </c>
      <c r="BN142" s="934" t="s">
        <v>3624</v>
      </c>
      <c r="BO142" s="934" t="s">
        <v>3625</v>
      </c>
      <c r="BP142" s="934" t="s">
        <v>3626</v>
      </c>
      <c r="BQ142" s="934" t="s">
        <v>3627</v>
      </c>
      <c r="BR142" s="934" t="s">
        <v>3628</v>
      </c>
      <c r="BS142" s="934" t="s">
        <v>3629</v>
      </c>
      <c r="BT142" s="934" t="s">
        <v>3630</v>
      </c>
      <c r="BU142" s="934" t="s">
        <v>3631</v>
      </c>
      <c r="BV142" s="934" t="s">
        <v>3632</v>
      </c>
      <c r="BW142" s="934" t="s">
        <v>3633</v>
      </c>
      <c r="BX142" s="934" t="s">
        <v>3634</v>
      </c>
      <c r="BY142" s="917"/>
      <c r="BZ142" s="917"/>
      <c r="CA142" s="917"/>
      <c r="CB142" s="917"/>
      <c r="CC142" s="917"/>
      <c r="CD142" s="917"/>
      <c r="CE142" s="917"/>
      <c r="CF142" s="917"/>
      <c r="CG142" s="917"/>
      <c r="CH142" s="917"/>
      <c r="CI142" s="917"/>
      <c r="CJ142" s="917"/>
      <c r="CK142" s="917"/>
      <c r="CL142" s="917"/>
      <c r="CM142" s="917"/>
      <c r="CN142" s="917"/>
      <c r="CO142" s="917"/>
      <c r="CP142" s="917"/>
      <c r="CQ142" s="917"/>
      <c r="CR142" s="917"/>
      <c r="CS142" s="917"/>
      <c r="CT142" s="917"/>
      <c r="CU142" s="917"/>
      <c r="CV142" s="917"/>
      <c r="CW142" s="917"/>
      <c r="CX142" s="917"/>
      <c r="CY142" s="917"/>
      <c r="CZ142" s="917"/>
      <c r="DA142" s="917"/>
      <c r="DB142" s="917"/>
      <c r="DC142" s="917"/>
      <c r="DD142" s="917"/>
      <c r="DE142" s="917"/>
      <c r="DF142" s="917"/>
      <c r="DG142" s="917"/>
      <c r="DH142" s="917"/>
      <c r="DI142" s="917"/>
      <c r="DJ142" s="917"/>
      <c r="DK142" s="917"/>
      <c r="DL142" s="917"/>
      <c r="DM142" s="917"/>
      <c r="DN142" s="917"/>
      <c r="DO142" s="917"/>
      <c r="DP142" s="917"/>
      <c r="DQ142" s="917"/>
      <c r="DR142" s="917"/>
      <c r="DS142" s="917"/>
      <c r="DT142" s="917"/>
      <c r="DU142" s="917"/>
      <c r="DV142" s="917"/>
      <c r="DW142" s="917"/>
      <c r="DX142" s="917"/>
      <c r="DY142" s="917"/>
      <c r="DZ142" s="917"/>
      <c r="EA142" s="917"/>
      <c r="EB142" s="917"/>
      <c r="EC142" s="917"/>
      <c r="ED142" s="917"/>
      <c r="EE142" s="917"/>
      <c r="EF142" s="917"/>
      <c r="EG142" s="917"/>
      <c r="EH142" s="917"/>
      <c r="EI142" s="917"/>
      <c r="EJ142" s="917"/>
      <c r="EK142" s="917"/>
      <c r="EL142" s="917"/>
      <c r="EM142" s="917"/>
      <c r="EN142" s="917"/>
      <c r="EO142" s="917"/>
    </row>
    <row r="143" spans="1:145" ht="17.25" customHeight="1">
      <c r="A143" s="856" t="s">
        <v>3635</v>
      </c>
      <c r="B143" s="856" t="s">
        <v>3635</v>
      </c>
      <c r="C143" s="867" t="s">
        <v>2481</v>
      </c>
      <c r="D143" s="836" t="s">
        <v>3636</v>
      </c>
      <c r="E143" s="836" t="s">
        <v>148</v>
      </c>
      <c r="F143" s="836" t="s">
        <v>3637</v>
      </c>
      <c r="G143" s="836" t="s">
        <v>148</v>
      </c>
      <c r="H143" s="836" t="s">
        <v>148</v>
      </c>
      <c r="I143" s="836" t="s">
        <v>3610</v>
      </c>
      <c r="J143" s="836" t="s">
        <v>148</v>
      </c>
      <c r="K143" s="854" t="s">
        <v>148</v>
      </c>
      <c r="L143" s="2780"/>
      <c r="M143" s="1043">
        <v>30</v>
      </c>
      <c r="N143" s="2834" t="s">
        <v>3638</v>
      </c>
      <c r="O143" s="2834"/>
      <c r="P143" s="2834"/>
      <c r="Q143" s="2834"/>
      <c r="R143" s="2835"/>
      <c r="S143" s="1044">
        <v>30</v>
      </c>
      <c r="T143" s="2834" t="s">
        <v>3639</v>
      </c>
      <c r="U143" s="2834"/>
      <c r="V143" s="2834"/>
      <c r="W143" s="2834"/>
      <c r="X143" s="2835"/>
      <c r="AE143" s="979">
        <v>2000</v>
      </c>
      <c r="AF143" s="401" t="s">
        <v>3640</v>
      </c>
      <c r="AG143" s="401" t="s">
        <v>3641</v>
      </c>
      <c r="AH143" s="401"/>
      <c r="AI143" s="401" t="s">
        <v>3642</v>
      </c>
      <c r="AJ143" s="401"/>
      <c r="AK143" s="401"/>
      <c r="AL143" s="401" t="s">
        <v>3643</v>
      </c>
      <c r="AM143" s="401" t="s">
        <v>2184</v>
      </c>
      <c r="AN143" s="401" t="s">
        <v>3644</v>
      </c>
      <c r="AO143" s="836" t="s">
        <v>3645</v>
      </c>
      <c r="AP143" s="836" t="s">
        <v>3536</v>
      </c>
      <c r="AQ143" s="836" t="s">
        <v>3379</v>
      </c>
      <c r="AR143" s="836" t="s">
        <v>3380</v>
      </c>
      <c r="AT143" s="979">
        <v>2000</v>
      </c>
      <c r="BB143" s="401"/>
      <c r="BG143" s="1001"/>
      <c r="BH143" s="927" t="s">
        <v>3646</v>
      </c>
      <c r="BI143" s="934" t="s">
        <v>3647</v>
      </c>
      <c r="BJ143" s="934" t="s">
        <v>3648</v>
      </c>
      <c r="BK143" s="934" t="s">
        <v>3649</v>
      </c>
      <c r="BL143" s="934" t="s">
        <v>3650</v>
      </c>
      <c r="BM143" s="934" t="s">
        <v>3651</v>
      </c>
      <c r="BN143" s="934" t="s">
        <v>3652</v>
      </c>
      <c r="BO143" s="934" t="s">
        <v>3653</v>
      </c>
      <c r="BP143" s="934" t="s">
        <v>3654</v>
      </c>
      <c r="BQ143" s="917"/>
      <c r="BR143" s="917"/>
      <c r="BS143" s="917"/>
      <c r="BT143" s="917"/>
      <c r="BU143" s="917"/>
      <c r="BV143" s="917"/>
      <c r="BW143" s="917"/>
      <c r="BX143" s="917"/>
      <c r="BY143" s="917"/>
      <c r="BZ143" s="917"/>
      <c r="CA143" s="917"/>
      <c r="CB143" s="917"/>
      <c r="CC143" s="917"/>
      <c r="CD143" s="917"/>
      <c r="CE143" s="917"/>
      <c r="CF143" s="917"/>
      <c r="CG143" s="917"/>
      <c r="CH143" s="917"/>
      <c r="CI143" s="917"/>
      <c r="CJ143" s="917"/>
      <c r="CK143" s="917"/>
      <c r="CL143" s="917"/>
      <c r="CM143" s="917"/>
      <c r="CN143" s="917"/>
      <c r="CO143" s="917"/>
      <c r="CP143" s="917"/>
      <c r="CQ143" s="917"/>
      <c r="CR143" s="917"/>
      <c r="CS143" s="917"/>
      <c r="CT143" s="917"/>
      <c r="CU143" s="917"/>
      <c r="CV143" s="917"/>
      <c r="CW143" s="917"/>
      <c r="CX143" s="917"/>
      <c r="CY143" s="917"/>
      <c r="CZ143" s="917"/>
      <c r="DA143" s="917"/>
      <c r="DB143" s="917"/>
      <c r="DC143" s="917"/>
      <c r="DD143" s="917"/>
      <c r="DE143" s="917"/>
      <c r="DF143" s="917"/>
      <c r="DG143" s="917"/>
      <c r="DH143" s="917"/>
      <c r="DI143" s="917"/>
      <c r="DJ143" s="917"/>
      <c r="DK143" s="917"/>
      <c r="DL143" s="917"/>
      <c r="DM143" s="917"/>
      <c r="DN143" s="917"/>
      <c r="DO143" s="917"/>
      <c r="DP143" s="917"/>
      <c r="DQ143" s="917"/>
      <c r="DR143" s="917"/>
      <c r="DS143" s="917"/>
      <c r="DT143" s="917"/>
      <c r="DU143" s="917"/>
      <c r="DV143" s="917"/>
      <c r="DW143" s="917"/>
      <c r="DX143" s="917"/>
      <c r="DY143" s="917"/>
      <c r="DZ143" s="917"/>
      <c r="EA143" s="917"/>
      <c r="EB143" s="917"/>
      <c r="EC143" s="917"/>
      <c r="ED143" s="917"/>
      <c r="EE143" s="917"/>
      <c r="EF143" s="917"/>
      <c r="EG143" s="917"/>
      <c r="EH143" s="917"/>
      <c r="EI143" s="917"/>
      <c r="EJ143" s="917"/>
      <c r="EK143" s="917"/>
      <c r="EL143" s="917"/>
      <c r="EM143" s="917"/>
      <c r="EN143" s="917"/>
      <c r="EO143" s="917"/>
    </row>
    <row r="144" spans="1:145" ht="17.25" customHeight="1">
      <c r="A144" s="856" t="s">
        <v>3655</v>
      </c>
      <c r="B144" s="856" t="s">
        <v>3655</v>
      </c>
      <c r="C144" s="867" t="s">
        <v>3554</v>
      </c>
      <c r="D144" s="836" t="s">
        <v>3636</v>
      </c>
      <c r="E144" s="836" t="s">
        <v>148</v>
      </c>
      <c r="F144" s="836" t="s">
        <v>3656</v>
      </c>
      <c r="G144" s="836" t="s">
        <v>148</v>
      </c>
      <c r="H144" s="836" t="s">
        <v>148</v>
      </c>
      <c r="I144" s="836" t="s">
        <v>3610</v>
      </c>
      <c r="J144" s="836" t="s">
        <v>148</v>
      </c>
      <c r="K144" s="854" t="s">
        <v>148</v>
      </c>
      <c r="L144" s="2780"/>
      <c r="M144" s="1043">
        <v>31</v>
      </c>
      <c r="N144" s="2834" t="s">
        <v>3657</v>
      </c>
      <c r="O144" s="2834"/>
      <c r="P144" s="2834"/>
      <c r="Q144" s="2834"/>
      <c r="R144" s="2835"/>
      <c r="S144" s="1044">
        <v>31</v>
      </c>
      <c r="T144" s="2834" t="s">
        <v>3658</v>
      </c>
      <c r="U144" s="2834"/>
      <c r="V144" s="2834"/>
      <c r="W144" s="2834"/>
      <c r="X144" s="2835"/>
      <c r="AE144" s="979">
        <v>2001</v>
      </c>
      <c r="AF144" s="401" t="s">
        <v>148</v>
      </c>
      <c r="AG144" s="401"/>
      <c r="AH144" s="401"/>
      <c r="AI144" s="401" t="s">
        <v>3659</v>
      </c>
      <c r="AJ144" s="401"/>
      <c r="AK144" s="401"/>
      <c r="AL144" s="401" t="s">
        <v>3643</v>
      </c>
      <c r="AM144" s="401" t="s">
        <v>2207</v>
      </c>
      <c r="AN144" s="401" t="s">
        <v>3660</v>
      </c>
      <c r="AO144" s="836" t="s">
        <v>3661</v>
      </c>
      <c r="AP144" s="836" t="s">
        <v>3662</v>
      </c>
      <c r="AQ144" s="401" t="s">
        <v>3663</v>
      </c>
      <c r="AR144" s="836" t="s">
        <v>3664</v>
      </c>
      <c r="AS144" s="836" t="s">
        <v>3665</v>
      </c>
      <c r="AT144" s="979">
        <v>2001</v>
      </c>
      <c r="BB144" s="401"/>
      <c r="BG144" s="1001"/>
      <c r="BH144" s="927" t="s">
        <v>3666</v>
      </c>
      <c r="BI144" s="934" t="s">
        <v>3667</v>
      </c>
      <c r="BJ144" s="934" t="s">
        <v>670</v>
      </c>
      <c r="BK144" s="934" t="s">
        <v>3668</v>
      </c>
      <c r="BL144" s="934" t="s">
        <v>3669</v>
      </c>
      <c r="BM144" s="934" t="s">
        <v>1417</v>
      </c>
      <c r="BN144" s="934" t="s">
        <v>3670</v>
      </c>
      <c r="BO144" s="934" t="s">
        <v>3671</v>
      </c>
      <c r="BP144" s="934" t="s">
        <v>1225</v>
      </c>
      <c r="BQ144" s="934" t="s">
        <v>3672</v>
      </c>
      <c r="BR144" s="934" t="s">
        <v>3673</v>
      </c>
      <c r="BS144" s="934" t="s">
        <v>3674</v>
      </c>
      <c r="BT144" s="917"/>
      <c r="BU144" s="917"/>
      <c r="BV144" s="917"/>
      <c r="BW144" s="917"/>
      <c r="BX144" s="917"/>
      <c r="BY144" s="917"/>
      <c r="BZ144" s="917"/>
      <c r="CA144" s="917"/>
      <c r="CB144" s="917"/>
      <c r="CC144" s="917"/>
      <c r="CD144" s="917"/>
      <c r="CE144" s="917"/>
      <c r="CF144" s="917"/>
      <c r="CG144" s="917"/>
      <c r="CH144" s="917"/>
      <c r="CI144" s="917"/>
      <c r="CJ144" s="917"/>
      <c r="CK144" s="917"/>
      <c r="CL144" s="917"/>
      <c r="CM144" s="917"/>
      <c r="CN144" s="917"/>
      <c r="CO144" s="917"/>
      <c r="CP144" s="917"/>
      <c r="CQ144" s="917"/>
      <c r="CR144" s="917"/>
      <c r="CS144" s="917"/>
      <c r="CT144" s="917"/>
      <c r="CU144" s="917"/>
      <c r="CV144" s="917"/>
      <c r="CW144" s="917"/>
      <c r="CX144" s="917"/>
      <c r="CY144" s="917"/>
      <c r="CZ144" s="917"/>
      <c r="DA144" s="917"/>
      <c r="DB144" s="917"/>
      <c r="DC144" s="917"/>
      <c r="DD144" s="917"/>
      <c r="DE144" s="917"/>
      <c r="DF144" s="917"/>
      <c r="DG144" s="917"/>
      <c r="DH144" s="917"/>
      <c r="DI144" s="917"/>
      <c r="DJ144" s="917"/>
      <c r="DK144" s="917"/>
      <c r="DL144" s="917"/>
      <c r="DM144" s="917"/>
      <c r="DN144" s="917"/>
      <c r="DO144" s="917"/>
      <c r="DP144" s="917"/>
      <c r="DQ144" s="917"/>
      <c r="DR144" s="917"/>
      <c r="DS144" s="917"/>
      <c r="DT144" s="917"/>
      <c r="DU144" s="917"/>
      <c r="DV144" s="917"/>
      <c r="DW144" s="917"/>
      <c r="DX144" s="917"/>
      <c r="DY144" s="917"/>
      <c r="DZ144" s="917"/>
      <c r="EA144" s="917"/>
      <c r="EB144" s="917"/>
      <c r="EC144" s="917"/>
      <c r="ED144" s="917"/>
      <c r="EE144" s="917"/>
      <c r="EF144" s="917"/>
      <c r="EG144" s="917"/>
      <c r="EH144" s="917"/>
      <c r="EI144" s="917"/>
      <c r="EJ144" s="917"/>
      <c r="EK144" s="917"/>
      <c r="EL144" s="917"/>
      <c r="EM144" s="917"/>
      <c r="EN144" s="917"/>
      <c r="EO144" s="917"/>
    </row>
    <row r="145" spans="1:145" ht="17.25" customHeight="1">
      <c r="A145" s="856" t="s">
        <v>3675</v>
      </c>
      <c r="B145" s="856" t="s">
        <v>209</v>
      </c>
      <c r="C145" s="867" t="s">
        <v>3676</v>
      </c>
      <c r="D145" s="836" t="s">
        <v>3636</v>
      </c>
      <c r="E145" s="836" t="s">
        <v>148</v>
      </c>
      <c r="F145" s="836" t="s">
        <v>3677</v>
      </c>
      <c r="G145" s="836" t="s">
        <v>148</v>
      </c>
      <c r="H145" s="836" t="s">
        <v>148</v>
      </c>
      <c r="I145" s="836" t="s">
        <v>3610</v>
      </c>
      <c r="J145" s="836" t="s">
        <v>148</v>
      </c>
      <c r="K145" s="854" t="s">
        <v>148</v>
      </c>
      <c r="L145" s="2780"/>
      <c r="M145" s="1043">
        <v>32</v>
      </c>
      <c r="N145" s="2834" t="s">
        <v>3678</v>
      </c>
      <c r="O145" s="2834"/>
      <c r="P145" s="2834"/>
      <c r="Q145" s="2834"/>
      <c r="R145" s="2835"/>
      <c r="S145" s="1044">
        <v>32</v>
      </c>
      <c r="T145" s="2834" t="s">
        <v>3679</v>
      </c>
      <c r="U145" s="2834"/>
      <c r="V145" s="2834"/>
      <c r="W145" s="2834"/>
      <c r="X145" s="2835"/>
      <c r="AE145" s="979">
        <v>2002</v>
      </c>
      <c r="AF145" s="401" t="s">
        <v>3680</v>
      </c>
      <c r="AG145" s="401"/>
      <c r="AH145" s="401"/>
      <c r="AI145" s="401" t="s">
        <v>3681</v>
      </c>
      <c r="AJ145" s="401"/>
      <c r="AK145" s="401"/>
      <c r="AL145" s="401" t="s">
        <v>3643</v>
      </c>
      <c r="AM145" s="401" t="s">
        <v>2224</v>
      </c>
      <c r="AN145" s="401" t="s">
        <v>3682</v>
      </c>
      <c r="AO145" s="836" t="s">
        <v>3683</v>
      </c>
      <c r="AP145" s="836" t="s">
        <v>3684</v>
      </c>
      <c r="AQ145" s="401" t="s">
        <v>3663</v>
      </c>
      <c r="AR145" s="836" t="s">
        <v>3664</v>
      </c>
      <c r="AT145" s="979">
        <v>2002</v>
      </c>
      <c r="BB145" s="401"/>
      <c r="BG145" s="1001"/>
      <c r="BH145" s="927" t="s">
        <v>3685</v>
      </c>
      <c r="BI145" s="934" t="s">
        <v>3686</v>
      </c>
      <c r="BJ145" s="934" t="s">
        <v>3687</v>
      </c>
      <c r="BK145" s="934" t="s">
        <v>3688</v>
      </c>
      <c r="BL145" s="934" t="s">
        <v>3689</v>
      </c>
      <c r="BM145" s="934" t="s">
        <v>3690</v>
      </c>
      <c r="BN145" s="934" t="s">
        <v>3691</v>
      </c>
      <c r="BO145" s="934" t="s">
        <v>3692</v>
      </c>
      <c r="BP145" s="934" t="s">
        <v>3693</v>
      </c>
      <c r="BQ145" s="934" t="s">
        <v>3694</v>
      </c>
      <c r="BR145" s="934" t="s">
        <v>3695</v>
      </c>
      <c r="BS145" s="934" t="s">
        <v>3696</v>
      </c>
      <c r="BT145" s="934" t="s">
        <v>3697</v>
      </c>
      <c r="BU145" s="934" t="s">
        <v>3698</v>
      </c>
      <c r="BV145" s="934" t="s">
        <v>2941</v>
      </c>
      <c r="BW145" s="934" t="s">
        <v>3699</v>
      </c>
      <c r="BX145" s="934" t="s">
        <v>3700</v>
      </c>
      <c r="BY145" s="934" t="s">
        <v>3701</v>
      </c>
      <c r="BZ145" s="934" t="s">
        <v>3702</v>
      </c>
      <c r="CA145" s="934" t="s">
        <v>3703</v>
      </c>
      <c r="CB145" s="934" t="s">
        <v>3704</v>
      </c>
      <c r="CC145" s="934" t="s">
        <v>3705</v>
      </c>
      <c r="CD145" s="934" t="s">
        <v>3706</v>
      </c>
      <c r="CE145" s="934" t="s">
        <v>3707</v>
      </c>
      <c r="CF145" s="917"/>
      <c r="CG145" s="917"/>
      <c r="CH145" s="917"/>
      <c r="CI145" s="917"/>
      <c r="CJ145" s="917"/>
      <c r="CK145" s="917"/>
      <c r="CL145" s="917"/>
      <c r="CM145" s="917"/>
      <c r="CN145" s="917"/>
      <c r="CO145" s="917"/>
      <c r="CP145" s="917"/>
      <c r="CQ145" s="917"/>
      <c r="CR145" s="917"/>
      <c r="CS145" s="917"/>
      <c r="CT145" s="917"/>
      <c r="CU145" s="917"/>
      <c r="CV145" s="917"/>
      <c r="CW145" s="917"/>
      <c r="CX145" s="917"/>
      <c r="CY145" s="917"/>
      <c r="CZ145" s="917"/>
      <c r="DA145" s="917"/>
      <c r="DB145" s="917"/>
      <c r="DC145" s="917"/>
      <c r="DD145" s="917"/>
      <c r="DE145" s="917"/>
      <c r="DF145" s="917"/>
      <c r="DG145" s="917"/>
      <c r="DH145" s="917"/>
      <c r="DI145" s="917"/>
      <c r="DJ145" s="917"/>
      <c r="DK145" s="917"/>
      <c r="DL145" s="917"/>
      <c r="DM145" s="917"/>
      <c r="DN145" s="917"/>
      <c r="DO145" s="917"/>
      <c r="DP145" s="917"/>
      <c r="DQ145" s="917"/>
      <c r="DR145" s="917"/>
      <c r="DS145" s="917"/>
      <c r="DT145" s="917"/>
      <c r="DU145" s="917"/>
      <c r="DV145" s="917"/>
      <c r="DW145" s="917"/>
      <c r="DX145" s="917"/>
      <c r="DY145" s="917"/>
      <c r="DZ145" s="917"/>
      <c r="EA145" s="917"/>
      <c r="EB145" s="917"/>
      <c r="EC145" s="917"/>
      <c r="ED145" s="917"/>
      <c r="EE145" s="917"/>
      <c r="EF145" s="917"/>
      <c r="EG145" s="917"/>
      <c r="EH145" s="917"/>
      <c r="EI145" s="917"/>
      <c r="EJ145" s="917"/>
      <c r="EK145" s="917"/>
      <c r="EL145" s="917"/>
      <c r="EM145" s="917"/>
      <c r="EN145" s="917"/>
      <c r="EO145" s="917"/>
    </row>
    <row r="146" spans="1:145" ht="17.25" customHeight="1">
      <c r="A146" s="856" t="s">
        <v>3708</v>
      </c>
      <c r="B146" s="856" t="s">
        <v>3675</v>
      </c>
      <c r="C146" s="867" t="s">
        <v>3304</v>
      </c>
      <c r="D146" s="836" t="s">
        <v>3636</v>
      </c>
      <c r="E146" s="836" t="s">
        <v>148</v>
      </c>
      <c r="F146" s="401" t="s">
        <v>3709</v>
      </c>
      <c r="G146" s="836" t="s">
        <v>148</v>
      </c>
      <c r="H146" s="836" t="s">
        <v>148</v>
      </c>
      <c r="I146" s="836" t="s">
        <v>3610</v>
      </c>
      <c r="J146" s="836" t="s">
        <v>148</v>
      </c>
      <c r="K146" s="854" t="s">
        <v>148</v>
      </c>
      <c r="L146" s="2780"/>
      <c r="M146" s="1043">
        <v>33</v>
      </c>
      <c r="N146" s="2834" t="s">
        <v>3710</v>
      </c>
      <c r="O146" s="2834"/>
      <c r="P146" s="2834"/>
      <c r="Q146" s="2834"/>
      <c r="R146" s="2835"/>
      <c r="S146" s="1044">
        <v>33</v>
      </c>
      <c r="T146" s="2834" t="s">
        <v>3711</v>
      </c>
      <c r="U146" s="2834"/>
      <c r="V146" s="2834"/>
      <c r="W146" s="2834"/>
      <c r="X146" s="2835"/>
      <c r="AE146" s="979">
        <v>2003</v>
      </c>
      <c r="AF146" s="401" t="s">
        <v>148</v>
      </c>
      <c r="AG146" s="401"/>
      <c r="AH146" s="401"/>
      <c r="AI146" s="401" t="s">
        <v>3712</v>
      </c>
      <c r="AJ146" s="401" t="s">
        <v>3713</v>
      </c>
      <c r="AK146" s="401"/>
      <c r="AL146" s="401" t="s">
        <v>3643</v>
      </c>
      <c r="AM146" s="401" t="s">
        <v>2244</v>
      </c>
      <c r="AN146" s="401" t="s">
        <v>3714</v>
      </c>
      <c r="AO146" s="836" t="s">
        <v>3715</v>
      </c>
      <c r="AP146" s="836" t="s">
        <v>3684</v>
      </c>
      <c r="AQ146" s="401" t="s">
        <v>3663</v>
      </c>
      <c r="AR146" s="836" t="s">
        <v>3664</v>
      </c>
      <c r="AT146" s="979">
        <v>2003</v>
      </c>
      <c r="BB146" s="401"/>
      <c r="BG146" s="1001"/>
      <c r="BH146" s="927" t="s">
        <v>3716</v>
      </c>
      <c r="BI146" s="934" t="s">
        <v>3717</v>
      </c>
      <c r="BJ146" s="934" t="s">
        <v>3718</v>
      </c>
      <c r="BK146" s="934" t="s">
        <v>3719</v>
      </c>
      <c r="BL146" s="934" t="s">
        <v>1760</v>
      </c>
      <c r="BM146" s="934" t="s">
        <v>3720</v>
      </c>
      <c r="BN146" s="934" t="s">
        <v>3721</v>
      </c>
      <c r="BO146" s="934" t="s">
        <v>3722</v>
      </c>
      <c r="BP146" s="934" t="s">
        <v>3723</v>
      </c>
      <c r="BQ146" s="934" t="s">
        <v>3724</v>
      </c>
      <c r="BR146" s="934" t="s">
        <v>3725</v>
      </c>
      <c r="BS146" s="934" t="s">
        <v>3726</v>
      </c>
      <c r="BT146" s="934" t="s">
        <v>3727</v>
      </c>
      <c r="BU146" s="934" t="s">
        <v>3728</v>
      </c>
      <c r="BV146" s="934" t="s">
        <v>3729</v>
      </c>
      <c r="BW146" s="934" t="s">
        <v>3730</v>
      </c>
      <c r="BX146" s="934" t="s">
        <v>3731</v>
      </c>
      <c r="BY146" s="934" t="s">
        <v>3732</v>
      </c>
      <c r="BZ146" s="934" t="s">
        <v>3733</v>
      </c>
      <c r="CA146" s="934" t="s">
        <v>3734</v>
      </c>
      <c r="CB146" s="934" t="s">
        <v>3735</v>
      </c>
      <c r="CC146" s="934" t="s">
        <v>3736</v>
      </c>
      <c r="CD146" s="934" t="s">
        <v>3737</v>
      </c>
      <c r="CE146" s="934" t="s">
        <v>3738</v>
      </c>
      <c r="CF146" s="934" t="s">
        <v>3739</v>
      </c>
      <c r="CG146" s="934" t="s">
        <v>3740</v>
      </c>
      <c r="CH146" s="934" t="s">
        <v>3741</v>
      </c>
      <c r="CI146" s="934" t="s">
        <v>3742</v>
      </c>
      <c r="CJ146" s="934" t="s">
        <v>3743</v>
      </c>
      <c r="CK146" s="917"/>
      <c r="CL146" s="917"/>
      <c r="CM146" s="917"/>
      <c r="CN146" s="917"/>
      <c r="CO146" s="917"/>
      <c r="CP146" s="917"/>
      <c r="CQ146" s="917"/>
      <c r="CR146" s="917"/>
      <c r="CS146" s="917"/>
      <c r="CT146" s="917"/>
      <c r="CU146" s="917"/>
      <c r="CV146" s="917"/>
      <c r="CW146" s="917"/>
      <c r="CX146" s="917"/>
      <c r="CY146" s="917"/>
      <c r="CZ146" s="917"/>
      <c r="DA146" s="917"/>
      <c r="DB146" s="917"/>
      <c r="DC146" s="917"/>
      <c r="DD146" s="917"/>
      <c r="DE146" s="917"/>
      <c r="DF146" s="917"/>
      <c r="DG146" s="917"/>
      <c r="DH146" s="917"/>
      <c r="DI146" s="917"/>
      <c r="DJ146" s="917"/>
      <c r="DK146" s="917"/>
      <c r="DL146" s="917"/>
      <c r="DM146" s="917"/>
      <c r="DN146" s="917"/>
      <c r="DO146" s="917"/>
      <c r="DP146" s="917"/>
      <c r="DQ146" s="917"/>
      <c r="DR146" s="917"/>
      <c r="DS146" s="917"/>
      <c r="DT146" s="917"/>
      <c r="DU146" s="917"/>
      <c r="DV146" s="917"/>
      <c r="DW146" s="917"/>
      <c r="DX146" s="917"/>
      <c r="DY146" s="917"/>
      <c r="DZ146" s="917"/>
      <c r="EA146" s="917"/>
      <c r="EB146" s="917"/>
      <c r="EC146" s="917"/>
      <c r="ED146" s="917"/>
      <c r="EE146" s="917"/>
      <c r="EF146" s="917"/>
      <c r="EG146" s="917"/>
      <c r="EH146" s="917"/>
      <c r="EI146" s="917"/>
      <c r="EJ146" s="917"/>
      <c r="EK146" s="917"/>
      <c r="EL146" s="917"/>
      <c r="EM146" s="917"/>
      <c r="EN146" s="917"/>
      <c r="EO146" s="917"/>
    </row>
    <row r="147" spans="1:145" ht="17.25" customHeight="1">
      <c r="A147" s="856" t="s">
        <v>3744</v>
      </c>
      <c r="B147" s="856" t="s">
        <v>3708</v>
      </c>
      <c r="C147" s="867" t="s">
        <v>3318</v>
      </c>
      <c r="D147" s="836" t="s">
        <v>3636</v>
      </c>
      <c r="E147" s="836" t="s">
        <v>148</v>
      </c>
      <c r="F147" s="836" t="s">
        <v>3745</v>
      </c>
      <c r="G147" s="836" t="s">
        <v>148</v>
      </c>
      <c r="H147" s="836" t="s">
        <v>148</v>
      </c>
      <c r="I147" s="836" t="s">
        <v>3610</v>
      </c>
      <c r="J147" s="836" t="s">
        <v>148</v>
      </c>
      <c r="K147" s="854" t="s">
        <v>148</v>
      </c>
      <c r="L147" s="2780"/>
      <c r="M147" s="1043">
        <v>34</v>
      </c>
      <c r="N147" s="2834" t="s">
        <v>3746</v>
      </c>
      <c r="O147" s="2834"/>
      <c r="P147" s="2834"/>
      <c r="Q147" s="2834"/>
      <c r="R147" s="2835"/>
      <c r="S147" s="1044">
        <v>34</v>
      </c>
      <c r="T147" s="2834" t="s">
        <v>3747</v>
      </c>
      <c r="U147" s="2834"/>
      <c r="V147" s="2834"/>
      <c r="W147" s="2834"/>
      <c r="X147" s="2835"/>
      <c r="AE147" s="979">
        <v>2004</v>
      </c>
      <c r="AF147" s="401" t="s">
        <v>1137</v>
      </c>
      <c r="AG147" s="401"/>
      <c r="AH147" s="401"/>
      <c r="AI147" s="401" t="s">
        <v>148</v>
      </c>
      <c r="AJ147" s="401"/>
      <c r="AK147" s="401"/>
      <c r="AL147" s="401" t="s">
        <v>3643</v>
      </c>
      <c r="AM147" s="401" t="s">
        <v>2261</v>
      </c>
      <c r="AN147" s="401" t="s">
        <v>3748</v>
      </c>
      <c r="AO147" s="836" t="s">
        <v>3749</v>
      </c>
      <c r="AP147" s="836" t="s">
        <v>3684</v>
      </c>
      <c r="AQ147" s="401" t="s">
        <v>3663</v>
      </c>
      <c r="AR147" s="836" t="s">
        <v>3664</v>
      </c>
      <c r="AT147" s="979">
        <v>2004</v>
      </c>
      <c r="BG147" s="1001"/>
      <c r="BH147" s="927" t="s">
        <v>3750</v>
      </c>
      <c r="BI147" s="934" t="s">
        <v>3751</v>
      </c>
      <c r="BJ147" s="934" t="s">
        <v>3752</v>
      </c>
      <c r="BK147" s="934" t="s">
        <v>2576</v>
      </c>
      <c r="BL147" s="934" t="s">
        <v>1417</v>
      </c>
      <c r="BM147" s="934" t="s">
        <v>1225</v>
      </c>
      <c r="BN147" s="934" t="s">
        <v>1226</v>
      </c>
      <c r="BO147" s="917"/>
      <c r="BP147" s="917"/>
      <c r="BQ147" s="917"/>
      <c r="BR147" s="917"/>
      <c r="BS147" s="917"/>
      <c r="BT147" s="917"/>
      <c r="BU147" s="917"/>
      <c r="BV147" s="917"/>
      <c r="BW147" s="917"/>
      <c r="BX147" s="917"/>
      <c r="BY147" s="917"/>
      <c r="BZ147" s="917"/>
      <c r="CA147" s="917"/>
      <c r="CB147" s="917"/>
      <c r="CC147" s="917"/>
      <c r="CD147" s="917"/>
      <c r="CE147" s="917"/>
      <c r="CF147" s="917"/>
      <c r="CG147" s="917"/>
      <c r="CH147" s="917"/>
      <c r="CI147" s="917"/>
      <c r="CJ147" s="917"/>
      <c r="CK147" s="917"/>
      <c r="CL147" s="917"/>
      <c r="CM147" s="917"/>
      <c r="CN147" s="917"/>
      <c r="CO147" s="917"/>
      <c r="CP147" s="917"/>
      <c r="CQ147" s="917"/>
      <c r="CR147" s="917"/>
      <c r="CS147" s="917"/>
      <c r="CT147" s="917"/>
      <c r="CU147" s="917"/>
      <c r="CV147" s="917"/>
      <c r="CW147" s="917"/>
      <c r="CX147" s="917"/>
      <c r="CY147" s="917"/>
      <c r="CZ147" s="917"/>
      <c r="DA147" s="917"/>
      <c r="DB147" s="917"/>
      <c r="DC147" s="917"/>
      <c r="DD147" s="917"/>
      <c r="DE147" s="917"/>
      <c r="DF147" s="917"/>
      <c r="DG147" s="917"/>
      <c r="DH147" s="917"/>
      <c r="DI147" s="917"/>
      <c r="DJ147" s="917"/>
      <c r="DK147" s="917"/>
      <c r="DL147" s="917"/>
      <c r="DM147" s="917"/>
      <c r="DN147" s="917"/>
      <c r="DO147" s="917"/>
      <c r="DP147" s="917"/>
      <c r="DQ147" s="917"/>
      <c r="DR147" s="917"/>
      <c r="DS147" s="917"/>
      <c r="DT147" s="917"/>
      <c r="DU147" s="917"/>
      <c r="DV147" s="917"/>
      <c r="DW147" s="917"/>
      <c r="DX147" s="917"/>
      <c r="DY147" s="917"/>
      <c r="DZ147" s="917"/>
      <c r="EA147" s="917"/>
      <c r="EB147" s="917"/>
      <c r="EC147" s="917"/>
      <c r="ED147" s="917"/>
      <c r="EE147" s="917"/>
      <c r="EF147" s="917"/>
      <c r="EG147" s="917"/>
      <c r="EH147" s="917"/>
      <c r="EI147" s="917"/>
      <c r="EJ147" s="917"/>
      <c r="EK147" s="917"/>
      <c r="EL147" s="917"/>
      <c r="EM147" s="917"/>
      <c r="EN147" s="917"/>
      <c r="EO147" s="917"/>
    </row>
    <row r="148" spans="1:145" ht="17.25" customHeight="1">
      <c r="A148" s="856" t="s">
        <v>3753</v>
      </c>
      <c r="B148" s="856" t="s">
        <v>3744</v>
      </c>
      <c r="C148" s="867" t="s">
        <v>3304</v>
      </c>
      <c r="D148" s="836" t="s">
        <v>3636</v>
      </c>
      <c r="E148" s="836" t="s">
        <v>148</v>
      </c>
      <c r="F148" s="836" t="s">
        <v>3754</v>
      </c>
      <c r="G148" s="836" t="s">
        <v>148</v>
      </c>
      <c r="H148" s="836" t="s">
        <v>148</v>
      </c>
      <c r="I148" s="836" t="s">
        <v>3610</v>
      </c>
      <c r="J148" s="836" t="s">
        <v>148</v>
      </c>
      <c r="K148" s="854" t="s">
        <v>148</v>
      </c>
      <c r="L148" s="2780"/>
      <c r="M148" s="1043">
        <v>35</v>
      </c>
      <c r="N148" s="2834" t="s">
        <v>3755</v>
      </c>
      <c r="O148" s="2834"/>
      <c r="P148" s="2834"/>
      <c r="Q148" s="2834"/>
      <c r="R148" s="2835"/>
      <c r="S148" s="1044">
        <v>35</v>
      </c>
      <c r="T148" s="2834" t="s">
        <v>3756</v>
      </c>
      <c r="U148" s="2834"/>
      <c r="V148" s="2834"/>
      <c r="W148" s="2834"/>
      <c r="X148" s="2835"/>
      <c r="AE148" s="979">
        <v>2005</v>
      </c>
      <c r="AF148" s="401" t="s">
        <v>148</v>
      </c>
      <c r="AG148" s="401"/>
      <c r="AH148" s="401"/>
      <c r="AI148" s="401" t="s">
        <v>148</v>
      </c>
      <c r="AJ148" s="401"/>
      <c r="AK148" s="401"/>
      <c r="AL148" s="401" t="s">
        <v>3643</v>
      </c>
      <c r="AM148" s="401" t="s">
        <v>2330</v>
      </c>
      <c r="AN148" s="401" t="s">
        <v>3757</v>
      </c>
      <c r="AO148" s="836" t="s">
        <v>3758</v>
      </c>
      <c r="AP148" s="836" t="s">
        <v>3684</v>
      </c>
      <c r="AQ148" s="401" t="s">
        <v>3663</v>
      </c>
      <c r="AR148" s="836" t="s">
        <v>3664</v>
      </c>
      <c r="AT148" s="979">
        <v>2005</v>
      </c>
      <c r="BG148" s="1001"/>
      <c r="BH148" s="927" t="s">
        <v>3759</v>
      </c>
      <c r="BI148" s="934" t="s">
        <v>3760</v>
      </c>
      <c r="BJ148" s="934" t="s">
        <v>3761</v>
      </c>
      <c r="BK148" s="934" t="s">
        <v>3762</v>
      </c>
      <c r="BL148" s="934" t="s">
        <v>3763</v>
      </c>
      <c r="BM148" s="934" t="s">
        <v>3764</v>
      </c>
      <c r="BN148" s="934" t="s">
        <v>3765</v>
      </c>
      <c r="BO148" s="934" t="s">
        <v>3766</v>
      </c>
      <c r="BP148" s="934" t="s">
        <v>3767</v>
      </c>
      <c r="BQ148" s="934" t="s">
        <v>3768</v>
      </c>
      <c r="BR148" s="934" t="s">
        <v>3769</v>
      </c>
      <c r="BS148" s="934" t="s">
        <v>3770</v>
      </c>
      <c r="BT148" s="934" t="s">
        <v>3771</v>
      </c>
      <c r="BU148" s="934" t="s">
        <v>3772</v>
      </c>
      <c r="BV148" s="917"/>
      <c r="BW148" s="917"/>
      <c r="BX148" s="917"/>
      <c r="BY148" s="917"/>
      <c r="BZ148" s="917"/>
      <c r="CA148" s="917"/>
      <c r="CB148" s="917"/>
      <c r="CC148" s="917"/>
      <c r="CD148" s="917"/>
      <c r="CE148" s="917"/>
      <c r="CF148" s="917"/>
      <c r="CG148" s="917"/>
      <c r="CH148" s="917"/>
      <c r="CI148" s="917"/>
      <c r="CJ148" s="917"/>
      <c r="CK148" s="917"/>
      <c r="CL148" s="917"/>
      <c r="CM148" s="917"/>
      <c r="CN148" s="917"/>
      <c r="CO148" s="917"/>
      <c r="CP148" s="917"/>
      <c r="CQ148" s="917"/>
      <c r="CR148" s="917"/>
      <c r="CS148" s="917"/>
      <c r="CT148" s="917"/>
      <c r="CU148" s="917"/>
      <c r="CV148" s="917"/>
      <c r="CW148" s="917"/>
      <c r="CX148" s="917"/>
      <c r="CY148" s="917"/>
      <c r="CZ148" s="917"/>
      <c r="DA148" s="917"/>
      <c r="DB148" s="917"/>
      <c r="DC148" s="917"/>
      <c r="DD148" s="917"/>
      <c r="DE148" s="917"/>
      <c r="DF148" s="917"/>
      <c r="DG148" s="917"/>
      <c r="DH148" s="917"/>
      <c r="DI148" s="917"/>
      <c r="DJ148" s="917"/>
      <c r="DK148" s="917"/>
      <c r="DL148" s="917"/>
      <c r="DM148" s="917"/>
      <c r="DN148" s="917"/>
      <c r="DO148" s="917"/>
      <c r="DP148" s="917"/>
      <c r="DQ148" s="917"/>
      <c r="DR148" s="917"/>
      <c r="DS148" s="917"/>
      <c r="DT148" s="917"/>
      <c r="DU148" s="917"/>
      <c r="DV148" s="917"/>
      <c r="DW148" s="917"/>
      <c r="DX148" s="917"/>
      <c r="DY148" s="917"/>
      <c r="DZ148" s="917"/>
      <c r="EA148" s="917"/>
      <c r="EB148" s="917"/>
      <c r="EC148" s="917"/>
      <c r="ED148" s="917"/>
      <c r="EE148" s="917"/>
      <c r="EF148" s="917"/>
      <c r="EG148" s="917"/>
      <c r="EH148" s="917"/>
      <c r="EI148" s="917"/>
      <c r="EJ148" s="917"/>
      <c r="EK148" s="917"/>
      <c r="EL148" s="917"/>
      <c r="EM148" s="917"/>
      <c r="EN148" s="917"/>
      <c r="EO148" s="917"/>
    </row>
    <row r="149" spans="1:145" ht="17.25" customHeight="1">
      <c r="A149" s="856" t="s">
        <v>3773</v>
      </c>
      <c r="B149" s="856" t="s">
        <v>3753</v>
      </c>
      <c r="C149" s="867" t="s">
        <v>3554</v>
      </c>
      <c r="D149" s="836" t="s">
        <v>3636</v>
      </c>
      <c r="E149" s="836" t="s">
        <v>148</v>
      </c>
      <c r="F149" s="836" t="s">
        <v>3774</v>
      </c>
      <c r="G149" s="836" t="s">
        <v>148</v>
      </c>
      <c r="H149" s="836" t="s">
        <v>148</v>
      </c>
      <c r="I149" s="836" t="s">
        <v>3610</v>
      </c>
      <c r="J149" s="836" t="s">
        <v>148</v>
      </c>
      <c r="K149" s="854" t="s">
        <v>148</v>
      </c>
      <c r="L149" s="2780"/>
      <c r="M149" s="1043">
        <v>36</v>
      </c>
      <c r="N149" s="2834" t="s">
        <v>3775</v>
      </c>
      <c r="O149" s="2834"/>
      <c r="P149" s="2834"/>
      <c r="Q149" s="2834"/>
      <c r="R149" s="2835"/>
      <c r="S149" s="1044">
        <v>36</v>
      </c>
      <c r="T149" s="2834" t="s">
        <v>3776</v>
      </c>
      <c r="U149" s="2834"/>
      <c r="V149" s="2834"/>
      <c r="W149" s="2834"/>
      <c r="X149" s="2835"/>
      <c r="AE149" s="979">
        <v>2006</v>
      </c>
      <c r="AF149" s="401" t="s">
        <v>148</v>
      </c>
      <c r="AG149" s="401"/>
      <c r="AH149" s="401"/>
      <c r="AI149" s="401" t="s">
        <v>3777</v>
      </c>
      <c r="AJ149" s="401"/>
      <c r="AK149" s="401"/>
      <c r="AL149" s="401" t="s">
        <v>3643</v>
      </c>
      <c r="AM149" s="401" t="s">
        <v>2363</v>
      </c>
      <c r="AN149" s="401" t="s">
        <v>3778</v>
      </c>
      <c r="AO149" s="401" t="s">
        <v>3779</v>
      </c>
      <c r="AP149" s="836" t="s">
        <v>3684</v>
      </c>
      <c r="AQ149" s="401" t="s">
        <v>3663</v>
      </c>
      <c r="AR149" s="836" t="s">
        <v>3664</v>
      </c>
      <c r="AT149" s="979">
        <v>2006</v>
      </c>
      <c r="BG149" s="1001"/>
      <c r="BH149" s="927" t="s">
        <v>3780</v>
      </c>
      <c r="BI149" s="934" t="s">
        <v>3781</v>
      </c>
      <c r="BJ149" s="934" t="s">
        <v>3782</v>
      </c>
      <c r="BK149" s="934" t="s">
        <v>3783</v>
      </c>
      <c r="BL149" s="934" t="s">
        <v>3784</v>
      </c>
      <c r="BM149" s="917"/>
      <c r="BN149" s="917"/>
      <c r="BO149" s="917"/>
      <c r="BP149" s="917"/>
      <c r="BQ149" s="917"/>
      <c r="BR149" s="917"/>
      <c r="BS149" s="917"/>
      <c r="BT149" s="917"/>
      <c r="BU149" s="917"/>
      <c r="BV149" s="917"/>
      <c r="BW149" s="917"/>
      <c r="BX149" s="917"/>
      <c r="BY149" s="917"/>
      <c r="BZ149" s="917"/>
      <c r="CA149" s="917"/>
      <c r="CB149" s="917"/>
      <c r="CC149" s="917"/>
      <c r="CD149" s="917"/>
      <c r="CE149" s="917"/>
      <c r="CF149" s="917"/>
      <c r="CG149" s="917"/>
      <c r="CH149" s="917"/>
      <c r="CI149" s="917"/>
      <c r="CJ149" s="917"/>
      <c r="CK149" s="917"/>
      <c r="CL149" s="917"/>
      <c r="CM149" s="917"/>
      <c r="CN149" s="917"/>
      <c r="CO149" s="917"/>
      <c r="CP149" s="917"/>
      <c r="CQ149" s="917"/>
      <c r="CR149" s="917"/>
      <c r="CS149" s="917"/>
      <c r="CT149" s="917"/>
      <c r="CU149" s="917"/>
      <c r="CV149" s="917"/>
      <c r="CW149" s="917"/>
      <c r="CX149" s="917"/>
      <c r="CY149" s="917"/>
      <c r="CZ149" s="917"/>
      <c r="DA149" s="917"/>
      <c r="DB149" s="917"/>
      <c r="DC149" s="917"/>
      <c r="DD149" s="917"/>
      <c r="DE149" s="917"/>
      <c r="DF149" s="917"/>
      <c r="DG149" s="917"/>
      <c r="DH149" s="917"/>
      <c r="DI149" s="917"/>
      <c r="DJ149" s="917"/>
      <c r="DK149" s="917"/>
      <c r="DL149" s="917"/>
      <c r="DM149" s="917"/>
      <c r="DN149" s="917"/>
      <c r="DO149" s="917"/>
      <c r="DP149" s="917"/>
      <c r="DQ149" s="917"/>
      <c r="DR149" s="917"/>
      <c r="DS149" s="917"/>
      <c r="DT149" s="917"/>
      <c r="DU149" s="917"/>
      <c r="DV149" s="917"/>
      <c r="DW149" s="917"/>
      <c r="DX149" s="917"/>
      <c r="DY149" s="917"/>
      <c r="DZ149" s="917"/>
      <c r="EA149" s="917"/>
      <c r="EB149" s="917"/>
      <c r="EC149" s="917"/>
      <c r="ED149" s="917"/>
      <c r="EE149" s="917"/>
      <c r="EF149" s="917"/>
      <c r="EG149" s="917"/>
      <c r="EH149" s="917"/>
      <c r="EI149" s="917"/>
      <c r="EJ149" s="917"/>
      <c r="EK149" s="917"/>
      <c r="EL149" s="917"/>
      <c r="EM149" s="917"/>
      <c r="EN149" s="917"/>
      <c r="EO149" s="917"/>
    </row>
    <row r="150" spans="1:145" ht="17.25" customHeight="1">
      <c r="B150" s="856" t="s">
        <v>3773</v>
      </c>
      <c r="C150" s="867" t="s">
        <v>3318</v>
      </c>
      <c r="D150" s="836" t="s">
        <v>3636</v>
      </c>
      <c r="E150" s="836" t="s">
        <v>148</v>
      </c>
      <c r="F150" s="401" t="s">
        <v>3785</v>
      </c>
      <c r="G150" s="836" t="s">
        <v>148</v>
      </c>
      <c r="H150" s="836" t="s">
        <v>148</v>
      </c>
      <c r="I150" s="836" t="s">
        <v>3610</v>
      </c>
      <c r="J150" s="836" t="s">
        <v>148</v>
      </c>
      <c r="K150" s="854" t="s">
        <v>148</v>
      </c>
      <c r="L150" s="2780"/>
      <c r="M150" s="1043">
        <v>37</v>
      </c>
      <c r="N150" s="2834" t="s">
        <v>3786</v>
      </c>
      <c r="O150" s="2834"/>
      <c r="P150" s="2834"/>
      <c r="Q150" s="2834"/>
      <c r="R150" s="2835"/>
      <c r="S150" s="1044">
        <v>37</v>
      </c>
      <c r="T150" s="2834" t="s">
        <v>3787</v>
      </c>
      <c r="U150" s="2834"/>
      <c r="V150" s="2834"/>
      <c r="W150" s="2834"/>
      <c r="X150" s="2835"/>
      <c r="AE150" s="979">
        <v>2007</v>
      </c>
      <c r="AF150" s="401" t="s">
        <v>148</v>
      </c>
      <c r="AG150" s="401"/>
      <c r="AH150" s="401"/>
      <c r="AI150" s="401" t="s">
        <v>148</v>
      </c>
      <c r="AJ150" s="401"/>
      <c r="AK150" s="401"/>
      <c r="AL150" s="401" t="s">
        <v>3643</v>
      </c>
      <c r="AM150" s="401" t="s">
        <v>2388</v>
      </c>
      <c r="AN150" s="401" t="s">
        <v>3788</v>
      </c>
      <c r="AO150" s="836" t="s">
        <v>3789</v>
      </c>
      <c r="AP150" s="836" t="s">
        <v>3684</v>
      </c>
      <c r="AQ150" s="401" t="s">
        <v>3663</v>
      </c>
      <c r="AR150" s="836" t="s">
        <v>3664</v>
      </c>
      <c r="AT150" s="979">
        <v>2007</v>
      </c>
      <c r="BG150" s="1001"/>
      <c r="BH150" s="927"/>
      <c r="BI150" s="917"/>
      <c r="BJ150" s="917"/>
      <c r="BK150" s="917"/>
      <c r="BL150" s="917"/>
      <c r="BM150" s="917"/>
      <c r="BN150" s="917"/>
      <c r="BO150" s="917"/>
      <c r="BP150" s="917"/>
      <c r="BQ150" s="917"/>
      <c r="BR150" s="917"/>
      <c r="BS150" s="917"/>
      <c r="BT150" s="917"/>
      <c r="BU150" s="917"/>
      <c r="BV150" s="917"/>
      <c r="BW150" s="917"/>
      <c r="BX150" s="917"/>
      <c r="BY150" s="917"/>
      <c r="BZ150" s="917"/>
      <c r="CA150" s="917"/>
      <c r="CB150" s="917"/>
      <c r="CC150" s="917"/>
      <c r="CD150" s="917"/>
      <c r="CE150" s="917"/>
      <c r="CF150" s="917"/>
      <c r="CG150" s="917"/>
      <c r="CH150" s="917"/>
      <c r="CI150" s="917"/>
      <c r="CJ150" s="917"/>
      <c r="CK150" s="917"/>
      <c r="CL150" s="917"/>
      <c r="CM150" s="917"/>
      <c r="CN150" s="917"/>
      <c r="CO150" s="917"/>
      <c r="CP150" s="917"/>
      <c r="CQ150" s="917"/>
      <c r="CR150" s="917"/>
      <c r="CS150" s="917"/>
      <c r="CT150" s="917"/>
      <c r="CU150" s="917"/>
      <c r="CV150" s="917"/>
      <c r="CW150" s="917"/>
      <c r="CX150" s="917"/>
      <c r="CY150" s="917"/>
      <c r="CZ150" s="917"/>
      <c r="DA150" s="917"/>
      <c r="DB150" s="917"/>
      <c r="DC150" s="917"/>
      <c r="DD150" s="917"/>
      <c r="DE150" s="917"/>
      <c r="DF150" s="917"/>
      <c r="DG150" s="917"/>
      <c r="DH150" s="917"/>
      <c r="DI150" s="917"/>
      <c r="DJ150" s="917"/>
      <c r="DK150" s="917"/>
      <c r="DL150" s="917"/>
      <c r="DM150" s="917"/>
      <c r="DN150" s="917"/>
      <c r="DO150" s="917"/>
      <c r="DP150" s="917"/>
      <c r="DQ150" s="917"/>
      <c r="DR150" s="917"/>
      <c r="DS150" s="917"/>
      <c r="DT150" s="917"/>
      <c r="DU150" s="917"/>
      <c r="DV150" s="917"/>
      <c r="DW150" s="917"/>
      <c r="DX150" s="917"/>
      <c r="DY150" s="917"/>
      <c r="DZ150" s="917"/>
      <c r="EA150" s="917"/>
      <c r="EB150" s="917"/>
      <c r="EC150" s="917"/>
      <c r="ED150" s="917"/>
      <c r="EE150" s="917"/>
      <c r="EF150" s="917"/>
      <c r="EG150" s="917"/>
      <c r="EH150" s="917"/>
      <c r="EI150" s="917"/>
      <c r="EJ150" s="917"/>
      <c r="EK150" s="917"/>
      <c r="EL150" s="917"/>
      <c r="EM150" s="917"/>
      <c r="EN150" s="917"/>
      <c r="EO150" s="917"/>
    </row>
    <row r="151" spans="1:145" ht="17.25" customHeight="1">
      <c r="B151" s="856" t="s">
        <v>3790</v>
      </c>
      <c r="C151" s="867" t="s">
        <v>2504</v>
      </c>
      <c r="D151" s="401" t="s">
        <v>3636</v>
      </c>
      <c r="E151" s="836" t="s">
        <v>148</v>
      </c>
      <c r="F151" s="401" t="s">
        <v>3791</v>
      </c>
      <c r="G151" s="836" t="s">
        <v>148</v>
      </c>
      <c r="H151" s="836" t="s">
        <v>148</v>
      </c>
      <c r="I151" s="836" t="s">
        <v>3610</v>
      </c>
      <c r="J151" s="836" t="s">
        <v>148</v>
      </c>
      <c r="K151" s="854" t="s">
        <v>148</v>
      </c>
      <c r="L151" s="2780"/>
      <c r="M151" s="1043">
        <v>38</v>
      </c>
      <c r="N151" s="2834" t="s">
        <v>3792</v>
      </c>
      <c r="O151" s="2834"/>
      <c r="P151" s="2834"/>
      <c r="Q151" s="2834"/>
      <c r="R151" s="2835"/>
      <c r="S151" s="1044">
        <v>38</v>
      </c>
      <c r="T151" s="2834" t="s">
        <v>3793</v>
      </c>
      <c r="U151" s="2834"/>
      <c r="V151" s="2834"/>
      <c r="W151" s="2834"/>
      <c r="X151" s="2835"/>
      <c r="AE151" s="979">
        <v>2008</v>
      </c>
      <c r="AF151" s="401" t="s">
        <v>3794</v>
      </c>
      <c r="AG151" s="401"/>
      <c r="AH151" s="401"/>
      <c r="AI151" s="401" t="s">
        <v>3794</v>
      </c>
      <c r="AJ151" s="401" t="s">
        <v>3795</v>
      </c>
      <c r="AK151" s="401"/>
      <c r="AL151" s="401" t="s">
        <v>3643</v>
      </c>
      <c r="AM151" s="401" t="s">
        <v>2396</v>
      </c>
      <c r="AN151" s="401" t="s">
        <v>3796</v>
      </c>
      <c r="AO151" s="836" t="s">
        <v>3797</v>
      </c>
      <c r="AP151" s="836" t="s">
        <v>3684</v>
      </c>
      <c r="AQ151" s="401" t="s">
        <v>3663</v>
      </c>
      <c r="AR151" s="836" t="s">
        <v>3798</v>
      </c>
      <c r="AT151" s="979">
        <v>2008</v>
      </c>
      <c r="BG151" s="1001"/>
      <c r="BH151" s="1027" t="s">
        <v>3799</v>
      </c>
      <c r="BI151" s="917"/>
      <c r="BJ151" s="917"/>
      <c r="BK151" s="917"/>
      <c r="BL151" s="917"/>
      <c r="BM151" s="917"/>
      <c r="BN151" s="917"/>
      <c r="BO151" s="917"/>
      <c r="BP151" s="917"/>
      <c r="BQ151" s="917"/>
      <c r="BR151" s="917"/>
      <c r="BS151" s="917"/>
      <c r="BT151" s="917"/>
      <c r="BU151" s="917"/>
      <c r="BV151" s="917"/>
      <c r="BW151" s="917"/>
      <c r="BX151" s="917"/>
      <c r="BY151" s="917"/>
      <c r="BZ151" s="917"/>
      <c r="CA151" s="917"/>
      <c r="CB151" s="917"/>
      <c r="CC151" s="917"/>
      <c r="CD151" s="917"/>
      <c r="CE151" s="917"/>
      <c r="CF151" s="917"/>
      <c r="CG151" s="917"/>
      <c r="CH151" s="917"/>
      <c r="CI151" s="917"/>
      <c r="CJ151" s="917"/>
      <c r="CK151" s="917"/>
      <c r="CL151" s="917"/>
      <c r="CM151" s="917"/>
      <c r="CN151" s="917"/>
      <c r="CO151" s="917"/>
      <c r="CP151" s="917"/>
      <c r="CQ151" s="917"/>
      <c r="CR151" s="917"/>
      <c r="CS151" s="917"/>
      <c r="CT151" s="917"/>
      <c r="CU151" s="917"/>
      <c r="CV151" s="917"/>
      <c r="CW151" s="917"/>
      <c r="CX151" s="917"/>
      <c r="CY151" s="917"/>
      <c r="CZ151" s="917"/>
      <c r="DA151" s="917"/>
      <c r="DB151" s="917"/>
      <c r="DC151" s="917"/>
      <c r="DD151" s="917"/>
      <c r="DE151" s="917"/>
      <c r="DF151" s="917"/>
      <c r="DG151" s="917"/>
      <c r="DH151" s="917"/>
      <c r="DI151" s="917"/>
      <c r="DJ151" s="917"/>
      <c r="DK151" s="917"/>
      <c r="DL151" s="917"/>
      <c r="DM151" s="917"/>
      <c r="DN151" s="917"/>
      <c r="DO151" s="917"/>
      <c r="DP151" s="917"/>
      <c r="DQ151" s="917"/>
      <c r="DR151" s="917"/>
      <c r="DS151" s="917"/>
      <c r="DT151" s="917"/>
      <c r="DU151" s="917"/>
      <c r="DV151" s="917"/>
      <c r="DW151" s="917"/>
      <c r="DX151" s="917"/>
      <c r="DY151" s="917"/>
      <c r="DZ151" s="917"/>
      <c r="EA151" s="917"/>
      <c r="EB151" s="917"/>
      <c r="EC151" s="917"/>
      <c r="ED151" s="917"/>
      <c r="EE151" s="917"/>
      <c r="EF151" s="917"/>
      <c r="EG151" s="917"/>
      <c r="EH151" s="917"/>
      <c r="EI151" s="917"/>
      <c r="EJ151" s="917"/>
      <c r="EK151" s="917"/>
      <c r="EL151" s="917"/>
      <c r="EM151" s="917"/>
      <c r="EN151" s="917"/>
      <c r="EO151" s="917"/>
    </row>
    <row r="152" spans="1:145" ht="17.25" customHeight="1">
      <c r="B152" s="856" t="s">
        <v>2617</v>
      </c>
      <c r="C152" s="867" t="s">
        <v>751</v>
      </c>
      <c r="D152" s="836" t="s">
        <v>751</v>
      </c>
      <c r="E152" s="836" t="s">
        <v>751</v>
      </c>
      <c r="F152" s="836" t="s">
        <v>751</v>
      </c>
      <c r="G152" s="836" t="s">
        <v>751</v>
      </c>
      <c r="H152" s="836" t="s">
        <v>751</v>
      </c>
      <c r="I152" s="836" t="s">
        <v>751</v>
      </c>
      <c r="J152" s="836" t="s">
        <v>751</v>
      </c>
      <c r="K152" s="854" t="s">
        <v>751</v>
      </c>
      <c r="L152" s="2780"/>
      <c r="M152" s="1043">
        <v>39</v>
      </c>
      <c r="N152" s="2834" t="s">
        <v>3800</v>
      </c>
      <c r="O152" s="2834"/>
      <c r="P152" s="2834"/>
      <c r="Q152" s="2834"/>
      <c r="R152" s="2835"/>
      <c r="S152" s="1044">
        <v>39</v>
      </c>
      <c r="T152" s="2834" t="s">
        <v>3801</v>
      </c>
      <c r="U152" s="2834"/>
      <c r="V152" s="2834"/>
      <c r="W152" s="2834"/>
      <c r="X152" s="2835"/>
      <c r="AE152" s="979">
        <v>2009</v>
      </c>
      <c r="AF152" s="401" t="s">
        <v>148</v>
      </c>
      <c r="AG152" s="401"/>
      <c r="AH152" s="401"/>
      <c r="AI152" s="401" t="s">
        <v>148</v>
      </c>
      <c r="AJ152" s="401"/>
      <c r="AK152" s="401"/>
      <c r="AL152" s="401" t="s">
        <v>3643</v>
      </c>
      <c r="AM152" s="401" t="s">
        <v>2406</v>
      </c>
      <c r="AN152" s="401" t="s">
        <v>3802</v>
      </c>
      <c r="AO152" s="401" t="s">
        <v>3803</v>
      </c>
      <c r="AP152" s="401" t="s">
        <v>3804</v>
      </c>
      <c r="AQ152" s="401" t="s">
        <v>3805</v>
      </c>
      <c r="AR152" s="836" t="s">
        <v>3798</v>
      </c>
      <c r="AS152" s="836" t="s">
        <v>3806</v>
      </c>
      <c r="AT152" s="979">
        <v>2009</v>
      </c>
      <c r="BG152" s="1001"/>
      <c r="BH152" s="927" t="s">
        <v>3807</v>
      </c>
      <c r="BI152" s="934" t="s">
        <v>3808</v>
      </c>
      <c r="BJ152" s="934" t="s">
        <v>3809</v>
      </c>
      <c r="BK152" s="934" t="s">
        <v>3810</v>
      </c>
      <c r="BL152" s="934" t="s">
        <v>3811</v>
      </c>
      <c r="BM152" s="934" t="s">
        <v>3812</v>
      </c>
      <c r="BN152" s="934" t="s">
        <v>3813</v>
      </c>
      <c r="BO152" s="934" t="s">
        <v>3814</v>
      </c>
      <c r="BP152" s="934" t="s">
        <v>3815</v>
      </c>
      <c r="BQ152" s="934" t="s">
        <v>3816</v>
      </c>
      <c r="BR152" s="917"/>
      <c r="BS152" s="917"/>
      <c r="BT152" s="917"/>
      <c r="BU152" s="917"/>
      <c r="BV152" s="917"/>
      <c r="BW152" s="917"/>
      <c r="BX152" s="917"/>
      <c r="BY152" s="917"/>
      <c r="BZ152" s="917"/>
      <c r="CA152" s="917"/>
      <c r="CB152" s="917"/>
      <c r="CC152" s="917"/>
      <c r="CD152" s="917"/>
      <c r="CE152" s="917"/>
      <c r="CF152" s="917"/>
      <c r="CG152" s="917"/>
      <c r="CH152" s="917"/>
      <c r="CI152" s="917"/>
      <c r="CJ152" s="917"/>
      <c r="CK152" s="917"/>
      <c r="CL152" s="917"/>
      <c r="CM152" s="917"/>
      <c r="CN152" s="917"/>
      <c r="CO152" s="917"/>
      <c r="CP152" s="917"/>
      <c r="CQ152" s="917"/>
      <c r="CR152" s="917"/>
      <c r="CS152" s="917"/>
      <c r="CT152" s="917"/>
      <c r="CU152" s="917"/>
      <c r="CV152" s="917"/>
      <c r="CW152" s="917"/>
      <c r="CX152" s="917"/>
      <c r="CY152" s="917"/>
      <c r="CZ152" s="917"/>
      <c r="DA152" s="917"/>
      <c r="DB152" s="917"/>
      <c r="DC152" s="917"/>
      <c r="DD152" s="917"/>
      <c r="DE152" s="917"/>
      <c r="DF152" s="917"/>
      <c r="DG152" s="917"/>
      <c r="DH152" s="917"/>
      <c r="DI152" s="917"/>
      <c r="DJ152" s="917"/>
      <c r="DK152" s="917"/>
      <c r="DL152" s="917"/>
      <c r="DM152" s="917"/>
      <c r="DN152" s="917"/>
      <c r="DO152" s="917"/>
      <c r="DP152" s="917"/>
      <c r="DQ152" s="917"/>
      <c r="DR152" s="917"/>
      <c r="DS152" s="917"/>
      <c r="DT152" s="917"/>
      <c r="DU152" s="917"/>
      <c r="DV152" s="917"/>
      <c r="DW152" s="917"/>
      <c r="DX152" s="917"/>
      <c r="DY152" s="917"/>
      <c r="DZ152" s="917"/>
      <c r="EA152" s="917"/>
      <c r="EB152" s="917"/>
      <c r="EC152" s="917"/>
      <c r="ED152" s="917"/>
      <c r="EE152" s="917"/>
      <c r="EF152" s="917"/>
      <c r="EG152" s="917"/>
      <c r="EH152" s="917"/>
      <c r="EI152" s="917"/>
      <c r="EJ152" s="917"/>
      <c r="EK152" s="917"/>
      <c r="EL152" s="917"/>
      <c r="EM152" s="917"/>
      <c r="EN152" s="917"/>
      <c r="EO152" s="917"/>
    </row>
    <row r="153" spans="1:145" ht="17.25" customHeight="1">
      <c r="A153" s="856" t="s">
        <v>3817</v>
      </c>
      <c r="B153" s="959" t="s">
        <v>3818</v>
      </c>
      <c r="C153" s="867" t="s">
        <v>148</v>
      </c>
      <c r="D153" s="836" t="s">
        <v>3608</v>
      </c>
      <c r="E153" s="836" t="s">
        <v>3819</v>
      </c>
      <c r="F153" s="836" t="s">
        <v>3820</v>
      </c>
      <c r="G153" s="836" t="s">
        <v>148</v>
      </c>
      <c r="H153" s="836" t="s">
        <v>148</v>
      </c>
      <c r="I153" s="836" t="s">
        <v>3610</v>
      </c>
      <c r="J153" s="836" t="s">
        <v>148</v>
      </c>
      <c r="K153" s="854" t="s">
        <v>148</v>
      </c>
      <c r="L153" s="2780"/>
      <c r="M153" s="1043">
        <v>40</v>
      </c>
      <c r="N153" s="2834" t="s">
        <v>3821</v>
      </c>
      <c r="O153" s="2834"/>
      <c r="P153" s="2834"/>
      <c r="Q153" s="2834"/>
      <c r="R153" s="2835"/>
      <c r="S153" s="1044">
        <v>40</v>
      </c>
      <c r="T153" s="2834" t="s">
        <v>3822</v>
      </c>
      <c r="U153" s="2834"/>
      <c r="V153" s="2834"/>
      <c r="W153" s="2834"/>
      <c r="X153" s="2835"/>
      <c r="AE153" s="979">
        <v>2010</v>
      </c>
      <c r="AF153" s="401" t="s">
        <v>148</v>
      </c>
      <c r="AG153" s="401"/>
      <c r="AH153" s="401"/>
      <c r="AI153" s="401" t="s">
        <v>3823</v>
      </c>
      <c r="AJ153" s="401" t="s">
        <v>3824</v>
      </c>
      <c r="AK153" s="401"/>
      <c r="AL153" s="401" t="s">
        <v>3825</v>
      </c>
      <c r="AM153" s="401" t="s">
        <v>1011</v>
      </c>
      <c r="AN153" s="401" t="s">
        <v>3826</v>
      </c>
      <c r="AO153" s="836" t="s">
        <v>3827</v>
      </c>
      <c r="AP153" s="836" t="s">
        <v>3828</v>
      </c>
      <c r="AQ153" s="401" t="s">
        <v>3805</v>
      </c>
      <c r="AR153" s="836" t="s">
        <v>3798</v>
      </c>
      <c r="AT153" s="979">
        <v>2010</v>
      </c>
      <c r="BG153" s="1001"/>
      <c r="BH153" s="927" t="s">
        <v>3829</v>
      </c>
      <c r="BI153" s="934" t="s">
        <v>3830</v>
      </c>
      <c r="BJ153" s="934" t="s">
        <v>3831</v>
      </c>
      <c r="BK153" s="934" t="s">
        <v>3832</v>
      </c>
      <c r="BL153" s="934" t="s">
        <v>3833</v>
      </c>
      <c r="BM153" s="934" t="s">
        <v>3834</v>
      </c>
      <c r="BN153" s="934" t="s">
        <v>3835</v>
      </c>
      <c r="BO153" s="934" t="s">
        <v>3836</v>
      </c>
      <c r="BP153" s="934" t="s">
        <v>3837</v>
      </c>
      <c r="BQ153" s="934" t="s">
        <v>3838</v>
      </c>
      <c r="BR153" s="934" t="s">
        <v>3839</v>
      </c>
      <c r="BS153" s="934" t="s">
        <v>3840</v>
      </c>
      <c r="BT153" s="934" t="s">
        <v>3841</v>
      </c>
      <c r="BU153" s="934" t="s">
        <v>3842</v>
      </c>
      <c r="BV153" s="934" t="s">
        <v>3843</v>
      </c>
      <c r="BW153" s="934" t="s">
        <v>3844</v>
      </c>
      <c r="BX153" s="934" t="s">
        <v>3845</v>
      </c>
      <c r="BY153" s="934" t="s">
        <v>3846</v>
      </c>
      <c r="BZ153" s="934" t="s">
        <v>3847</v>
      </c>
      <c r="CA153" s="917"/>
      <c r="CB153" s="917"/>
      <c r="CC153" s="917"/>
      <c r="CD153" s="917"/>
      <c r="CE153" s="917"/>
      <c r="CF153" s="917"/>
      <c r="CG153" s="917"/>
      <c r="CH153" s="917"/>
      <c r="CI153" s="917"/>
      <c r="CJ153" s="917"/>
      <c r="CK153" s="917"/>
      <c r="CL153" s="917"/>
      <c r="CM153" s="917"/>
      <c r="CN153" s="917"/>
      <c r="CO153" s="917"/>
      <c r="CP153" s="917"/>
      <c r="CQ153" s="917"/>
      <c r="CR153" s="917"/>
      <c r="CS153" s="917"/>
      <c r="CT153" s="917"/>
      <c r="CU153" s="917"/>
      <c r="CV153" s="917"/>
      <c r="CW153" s="917"/>
      <c r="CX153" s="917"/>
      <c r="CY153" s="917"/>
      <c r="CZ153" s="917"/>
      <c r="DA153" s="917"/>
      <c r="DB153" s="917"/>
      <c r="DC153" s="917"/>
      <c r="DD153" s="917"/>
      <c r="DE153" s="917"/>
      <c r="DF153" s="917"/>
      <c r="DG153" s="917"/>
      <c r="DH153" s="917"/>
      <c r="DI153" s="917"/>
      <c r="DJ153" s="917"/>
      <c r="DK153" s="917"/>
      <c r="DL153" s="917"/>
      <c r="DM153" s="917"/>
      <c r="DN153" s="917"/>
      <c r="DO153" s="917"/>
      <c r="DP153" s="917"/>
      <c r="DQ153" s="917"/>
      <c r="DR153" s="917"/>
      <c r="DS153" s="917"/>
      <c r="DT153" s="917"/>
      <c r="DU153" s="917"/>
      <c r="DV153" s="917"/>
      <c r="DW153" s="917"/>
      <c r="DX153" s="917"/>
      <c r="DY153" s="917"/>
      <c r="DZ153" s="917"/>
      <c r="EA153" s="917"/>
      <c r="EB153" s="917"/>
      <c r="EC153" s="917"/>
      <c r="ED153" s="917"/>
      <c r="EE153" s="917"/>
      <c r="EF153" s="917"/>
      <c r="EG153" s="917"/>
      <c r="EH153" s="917"/>
      <c r="EI153" s="917"/>
      <c r="EJ153" s="917"/>
      <c r="EK153" s="917"/>
      <c r="EL153" s="917"/>
      <c r="EM153" s="917"/>
      <c r="EN153" s="917"/>
      <c r="EO153" s="917"/>
    </row>
    <row r="154" spans="1:145" ht="17.25" customHeight="1">
      <c r="A154" s="856" t="s">
        <v>3848</v>
      </c>
      <c r="B154" s="856" t="s">
        <v>3817</v>
      </c>
      <c r="C154" s="867" t="s">
        <v>3676</v>
      </c>
      <c r="D154" s="836" t="s">
        <v>3849</v>
      </c>
      <c r="E154" s="836" t="s">
        <v>3819</v>
      </c>
      <c r="F154" s="836" t="s">
        <v>3850</v>
      </c>
      <c r="G154" s="836" t="s">
        <v>148</v>
      </c>
      <c r="H154" s="836" t="s">
        <v>148</v>
      </c>
      <c r="I154" s="836" t="s">
        <v>3610</v>
      </c>
      <c r="J154" s="836" t="s">
        <v>148</v>
      </c>
      <c r="K154" s="854" t="s">
        <v>148</v>
      </c>
      <c r="L154" s="2780"/>
      <c r="M154" s="1043">
        <v>41</v>
      </c>
      <c r="N154" s="2834" t="s">
        <v>3851</v>
      </c>
      <c r="O154" s="2834"/>
      <c r="P154" s="2834"/>
      <c r="Q154" s="2834"/>
      <c r="R154" s="2835"/>
      <c r="S154" s="1044">
        <v>41</v>
      </c>
      <c r="T154" s="2834" t="s">
        <v>3852</v>
      </c>
      <c r="U154" s="2834"/>
      <c r="V154" s="2834"/>
      <c r="W154" s="2834"/>
      <c r="X154" s="2835"/>
      <c r="AE154" s="979">
        <v>2011</v>
      </c>
      <c r="AF154" s="401" t="s">
        <v>3853</v>
      </c>
      <c r="AG154" s="401"/>
      <c r="AH154" s="401"/>
      <c r="AI154" s="401" t="s">
        <v>148</v>
      </c>
      <c r="AJ154" s="401"/>
      <c r="AK154" s="401"/>
      <c r="AL154" s="401" t="s">
        <v>3825</v>
      </c>
      <c r="AM154" s="401" t="s">
        <v>1022</v>
      </c>
      <c r="AN154" s="401" t="s">
        <v>3854</v>
      </c>
      <c r="AO154" s="836" t="s">
        <v>3855</v>
      </c>
      <c r="AP154" s="836" t="s">
        <v>3828</v>
      </c>
      <c r="AQ154" s="401" t="s">
        <v>3805</v>
      </c>
      <c r="AR154" s="836" t="s">
        <v>3798</v>
      </c>
      <c r="AT154" s="979">
        <v>2011</v>
      </c>
      <c r="BG154" s="1001"/>
      <c r="BH154" s="927" t="s">
        <v>3856</v>
      </c>
      <c r="BI154" s="934" t="s">
        <v>3857</v>
      </c>
      <c r="BJ154" s="934" t="s">
        <v>3858</v>
      </c>
      <c r="BK154" s="934" t="s">
        <v>3859</v>
      </c>
      <c r="BL154" s="934" t="s">
        <v>3860</v>
      </c>
      <c r="BM154" s="934" t="s">
        <v>3861</v>
      </c>
      <c r="BN154" s="934" t="s">
        <v>3862</v>
      </c>
      <c r="BO154" s="934" t="s">
        <v>3863</v>
      </c>
      <c r="BP154" s="917"/>
      <c r="BQ154" s="917"/>
      <c r="BR154" s="917"/>
      <c r="BS154" s="917"/>
      <c r="BT154" s="917"/>
      <c r="BU154" s="917"/>
      <c r="BV154" s="917"/>
      <c r="BW154" s="917"/>
      <c r="BX154" s="917"/>
      <c r="BY154" s="917"/>
      <c r="BZ154" s="917"/>
      <c r="CA154" s="917"/>
      <c r="CB154" s="917"/>
      <c r="CC154" s="917"/>
      <c r="CD154" s="917"/>
      <c r="CE154" s="917"/>
      <c r="CF154" s="917"/>
      <c r="CG154" s="917"/>
      <c r="CH154" s="917"/>
      <c r="CI154" s="917"/>
      <c r="CJ154" s="917"/>
      <c r="CK154" s="917"/>
      <c r="CL154" s="917"/>
      <c r="CM154" s="917"/>
      <c r="CN154" s="917"/>
      <c r="CO154" s="917"/>
      <c r="CP154" s="917"/>
      <c r="CQ154" s="917"/>
      <c r="CR154" s="917"/>
      <c r="CS154" s="917"/>
      <c r="CT154" s="917"/>
      <c r="CU154" s="917"/>
      <c r="CV154" s="917"/>
      <c r="CW154" s="917"/>
      <c r="CX154" s="917"/>
      <c r="CY154" s="917"/>
      <c r="CZ154" s="917"/>
      <c r="DA154" s="917"/>
      <c r="DB154" s="917"/>
      <c r="DC154" s="917"/>
      <c r="DD154" s="917"/>
      <c r="DE154" s="917"/>
      <c r="DF154" s="917"/>
      <c r="DG154" s="917"/>
      <c r="DH154" s="917"/>
      <c r="DI154" s="917"/>
      <c r="DJ154" s="917"/>
      <c r="DK154" s="917"/>
      <c r="DL154" s="917"/>
      <c r="DM154" s="917"/>
      <c r="DN154" s="917"/>
      <c r="DO154" s="917"/>
      <c r="DP154" s="917"/>
      <c r="DQ154" s="917"/>
      <c r="DR154" s="917"/>
      <c r="DS154" s="917"/>
      <c r="DT154" s="917"/>
      <c r="DU154" s="917"/>
      <c r="DV154" s="917"/>
      <c r="DW154" s="917"/>
      <c r="DX154" s="917"/>
      <c r="DY154" s="917"/>
      <c r="DZ154" s="917"/>
      <c r="EA154" s="917"/>
      <c r="EB154" s="917"/>
      <c r="EC154" s="917"/>
      <c r="ED154" s="917"/>
      <c r="EE154" s="917"/>
      <c r="EF154" s="917"/>
      <c r="EG154" s="917"/>
      <c r="EH154" s="917"/>
      <c r="EI154" s="917"/>
      <c r="EJ154" s="917"/>
      <c r="EK154" s="917"/>
      <c r="EL154" s="917"/>
      <c r="EM154" s="917"/>
      <c r="EN154" s="917"/>
      <c r="EO154" s="917"/>
    </row>
    <row r="155" spans="1:145" ht="17.25" customHeight="1">
      <c r="A155" s="856" t="s">
        <v>3864</v>
      </c>
      <c r="B155" s="856" t="s">
        <v>3848</v>
      </c>
      <c r="C155" s="867" t="s">
        <v>3304</v>
      </c>
      <c r="D155" s="836" t="s">
        <v>3849</v>
      </c>
      <c r="E155" s="836" t="s">
        <v>3819</v>
      </c>
      <c r="F155" s="401" t="s">
        <v>3865</v>
      </c>
      <c r="G155" s="836" t="s">
        <v>148</v>
      </c>
      <c r="H155" s="836" t="s">
        <v>148</v>
      </c>
      <c r="I155" s="836" t="s">
        <v>3610</v>
      </c>
      <c r="J155" s="836" t="s">
        <v>148</v>
      </c>
      <c r="K155" s="854" t="s">
        <v>148</v>
      </c>
      <c r="L155" s="2780"/>
      <c r="M155" s="1043">
        <v>42</v>
      </c>
      <c r="N155" s="2834" t="s">
        <v>3866</v>
      </c>
      <c r="O155" s="2834"/>
      <c r="P155" s="2834"/>
      <c r="Q155" s="2834"/>
      <c r="R155" s="2835"/>
      <c r="S155" s="1044">
        <v>42</v>
      </c>
      <c r="T155" s="2834" t="s">
        <v>3867</v>
      </c>
      <c r="U155" s="2834"/>
      <c r="V155" s="2834"/>
      <c r="W155" s="2834"/>
      <c r="X155" s="2835"/>
      <c r="AE155" s="979">
        <v>2012</v>
      </c>
      <c r="AF155" s="401" t="s">
        <v>1446</v>
      </c>
      <c r="AG155" s="401" t="s">
        <v>3868</v>
      </c>
      <c r="AH155" s="401" t="s">
        <v>3869</v>
      </c>
      <c r="AI155" s="401" t="s">
        <v>3870</v>
      </c>
      <c r="AJ155" s="401"/>
      <c r="AK155" s="401"/>
      <c r="AL155" s="401" t="s">
        <v>3825</v>
      </c>
      <c r="AM155" s="401" t="s">
        <v>1031</v>
      </c>
      <c r="AN155" s="401" t="s">
        <v>3871</v>
      </c>
      <c r="AO155" s="836" t="s">
        <v>3872</v>
      </c>
      <c r="AP155" s="836" t="s">
        <v>3828</v>
      </c>
      <c r="AQ155" s="401" t="s">
        <v>3873</v>
      </c>
      <c r="AR155" s="401" t="s">
        <v>3874</v>
      </c>
      <c r="AS155" s="836" t="s">
        <v>3875</v>
      </c>
      <c r="AT155" s="979">
        <v>2012</v>
      </c>
      <c r="BG155" s="1001"/>
      <c r="BH155" s="927" t="s">
        <v>3876</v>
      </c>
      <c r="BI155" s="934" t="s">
        <v>3877</v>
      </c>
      <c r="BJ155" s="934" t="s">
        <v>3878</v>
      </c>
      <c r="BK155" s="934" t="s">
        <v>3879</v>
      </c>
      <c r="BL155" s="934" t="s">
        <v>3880</v>
      </c>
      <c r="BM155" s="934" t="s">
        <v>3881</v>
      </c>
      <c r="BN155" s="934" t="s">
        <v>3882</v>
      </c>
      <c r="BO155" s="934" t="s">
        <v>3883</v>
      </c>
      <c r="BP155" s="934" t="s">
        <v>3844</v>
      </c>
      <c r="BQ155" s="934" t="s">
        <v>3884</v>
      </c>
      <c r="BR155" s="934" t="s">
        <v>3885</v>
      </c>
      <c r="BS155" s="934" t="s">
        <v>3886</v>
      </c>
      <c r="BT155" s="917"/>
      <c r="BU155" s="917"/>
      <c r="BV155" s="917"/>
      <c r="BW155" s="917"/>
      <c r="BX155" s="917"/>
      <c r="BY155" s="917"/>
      <c r="BZ155" s="917"/>
      <c r="CA155" s="917"/>
      <c r="CB155" s="917"/>
      <c r="CC155" s="917"/>
      <c r="CD155" s="917"/>
      <c r="CE155" s="917"/>
      <c r="CF155" s="917"/>
      <c r="CG155" s="917"/>
      <c r="CH155" s="917"/>
      <c r="CI155" s="917"/>
      <c r="CJ155" s="917"/>
      <c r="CK155" s="917"/>
      <c r="CL155" s="917"/>
      <c r="CM155" s="917"/>
      <c r="CN155" s="917"/>
      <c r="CO155" s="917"/>
      <c r="CP155" s="917"/>
      <c r="CQ155" s="917"/>
      <c r="CR155" s="917"/>
      <c r="CS155" s="917"/>
      <c r="CT155" s="917"/>
      <c r="CU155" s="917"/>
      <c r="CV155" s="917"/>
      <c r="CW155" s="917"/>
      <c r="CX155" s="917"/>
      <c r="CY155" s="917"/>
      <c r="CZ155" s="917"/>
      <c r="DA155" s="917"/>
      <c r="DB155" s="917"/>
      <c r="DC155" s="917"/>
      <c r="DD155" s="917"/>
      <c r="DE155" s="917"/>
      <c r="DF155" s="917"/>
      <c r="DG155" s="917"/>
      <c r="DH155" s="917"/>
      <c r="DI155" s="917"/>
      <c r="DJ155" s="917"/>
      <c r="DK155" s="917"/>
      <c r="DL155" s="917"/>
      <c r="DM155" s="917"/>
      <c r="DN155" s="917"/>
      <c r="DO155" s="917"/>
      <c r="DP155" s="917"/>
      <c r="DQ155" s="917"/>
      <c r="DR155" s="917"/>
      <c r="DS155" s="917"/>
      <c r="DT155" s="917"/>
      <c r="DU155" s="917"/>
      <c r="DV155" s="917"/>
      <c r="DW155" s="917"/>
      <c r="DX155" s="917"/>
      <c r="DY155" s="917"/>
      <c r="DZ155" s="917"/>
      <c r="EA155" s="917"/>
      <c r="EB155" s="917"/>
      <c r="EC155" s="917"/>
      <c r="ED155" s="917"/>
      <c r="EE155" s="917"/>
      <c r="EF155" s="917"/>
      <c r="EG155" s="917"/>
      <c r="EH155" s="917"/>
      <c r="EI155" s="917"/>
      <c r="EJ155" s="917"/>
      <c r="EK155" s="917"/>
      <c r="EL155" s="917"/>
      <c r="EM155" s="917"/>
      <c r="EN155" s="917"/>
      <c r="EO155" s="917"/>
    </row>
    <row r="156" spans="1:145" ht="17.25" customHeight="1">
      <c r="A156" s="856" t="s">
        <v>3887</v>
      </c>
      <c r="B156" s="856" t="s">
        <v>3888</v>
      </c>
      <c r="C156" s="867" t="s">
        <v>3304</v>
      </c>
      <c r="D156" s="836" t="s">
        <v>3849</v>
      </c>
      <c r="E156" s="836" t="s">
        <v>3819</v>
      </c>
      <c r="F156" s="836" t="s">
        <v>3889</v>
      </c>
      <c r="G156" s="836" t="s">
        <v>148</v>
      </c>
      <c r="H156" s="836" t="s">
        <v>148</v>
      </c>
      <c r="I156" s="836" t="s">
        <v>3610</v>
      </c>
      <c r="J156" s="836" t="s">
        <v>148</v>
      </c>
      <c r="K156" s="854" t="s">
        <v>148</v>
      </c>
      <c r="L156" s="2780"/>
      <c r="M156" s="1043">
        <v>43</v>
      </c>
      <c r="N156" s="2834" t="s">
        <v>3890</v>
      </c>
      <c r="O156" s="2834"/>
      <c r="P156" s="2834"/>
      <c r="Q156" s="2834"/>
      <c r="R156" s="2835"/>
      <c r="S156" s="1044">
        <v>43</v>
      </c>
      <c r="T156" s="2834" t="s">
        <v>3891</v>
      </c>
      <c r="U156" s="2834"/>
      <c r="V156" s="2834"/>
      <c r="W156" s="2834"/>
      <c r="X156" s="2835"/>
      <c r="AE156" s="979">
        <v>2013</v>
      </c>
      <c r="AF156" s="1047" t="s">
        <v>3892</v>
      </c>
      <c r="AG156" s="1047" t="s">
        <v>3893</v>
      </c>
      <c r="AH156" s="1047"/>
      <c r="AI156" s="1047" t="s">
        <v>3894</v>
      </c>
      <c r="AJ156" s="836" t="s">
        <v>3895</v>
      </c>
      <c r="AK156" s="1047" t="s">
        <v>3896</v>
      </c>
      <c r="AL156" s="401" t="s">
        <v>3825</v>
      </c>
      <c r="AM156" s="401" t="s">
        <v>1042</v>
      </c>
      <c r="AN156" s="401" t="s">
        <v>3897</v>
      </c>
      <c r="AO156" s="1048" t="s">
        <v>3898</v>
      </c>
      <c r="AP156" s="836" t="s">
        <v>3828</v>
      </c>
      <c r="AQ156" s="1047" t="s">
        <v>3873</v>
      </c>
      <c r="AR156" s="401" t="s">
        <v>3899</v>
      </c>
      <c r="AT156" s="979">
        <v>2013</v>
      </c>
      <c r="BD156" s="1049"/>
      <c r="BE156" s="1049"/>
      <c r="BF156" s="1049"/>
      <c r="BG156" s="1001"/>
      <c r="BH156" s="927" t="s">
        <v>3900</v>
      </c>
      <c r="BI156" s="934" t="s">
        <v>3901</v>
      </c>
      <c r="BJ156" s="934" t="s">
        <v>3902</v>
      </c>
      <c r="BK156" s="934" t="s">
        <v>3903</v>
      </c>
      <c r="BL156" s="934" t="s">
        <v>3904</v>
      </c>
      <c r="BM156" s="934" t="s">
        <v>3905</v>
      </c>
      <c r="BN156" s="934" t="s">
        <v>3906</v>
      </c>
      <c r="BO156" s="934" t="s">
        <v>3907</v>
      </c>
      <c r="BP156" s="934" t="s">
        <v>3908</v>
      </c>
      <c r="BQ156" s="934" t="s">
        <v>3909</v>
      </c>
      <c r="BR156" s="934" t="s">
        <v>3910</v>
      </c>
      <c r="BS156" s="934" t="s">
        <v>3911</v>
      </c>
      <c r="BT156" s="934" t="s">
        <v>3912</v>
      </c>
      <c r="BU156" s="934" t="s">
        <v>3913</v>
      </c>
      <c r="BV156" s="934" t="s">
        <v>3914</v>
      </c>
      <c r="BW156" s="934" t="s">
        <v>3915</v>
      </c>
      <c r="BX156" s="934" t="s">
        <v>3916</v>
      </c>
      <c r="BY156" s="934" t="s">
        <v>3917</v>
      </c>
      <c r="BZ156" s="934" t="s">
        <v>3918</v>
      </c>
      <c r="CA156" s="934" t="s">
        <v>3919</v>
      </c>
      <c r="CB156" s="934" t="s">
        <v>3920</v>
      </c>
      <c r="CC156" s="934" t="s">
        <v>3921</v>
      </c>
      <c r="CD156" s="934" t="s">
        <v>3922</v>
      </c>
      <c r="CE156" s="934" t="s">
        <v>3923</v>
      </c>
      <c r="CF156" s="934" t="s">
        <v>3924</v>
      </c>
      <c r="CG156" s="934" t="s">
        <v>3925</v>
      </c>
      <c r="CH156" s="934" t="s">
        <v>3926</v>
      </c>
      <c r="CI156" s="934" t="s">
        <v>3927</v>
      </c>
      <c r="CJ156" s="934" t="s">
        <v>3928</v>
      </c>
      <c r="CK156" s="934" t="s">
        <v>3929</v>
      </c>
      <c r="CL156" s="934" t="s">
        <v>3930</v>
      </c>
      <c r="CM156" s="934" t="s">
        <v>3931</v>
      </c>
      <c r="CN156" s="934" t="s">
        <v>3932</v>
      </c>
      <c r="CO156" s="934" t="s">
        <v>3933</v>
      </c>
      <c r="CP156" s="934" t="s">
        <v>3934</v>
      </c>
      <c r="CQ156" s="934" t="s">
        <v>3935</v>
      </c>
      <c r="CR156" s="934" t="s">
        <v>3936</v>
      </c>
      <c r="CS156" s="934" t="s">
        <v>3937</v>
      </c>
      <c r="CT156" s="917"/>
      <c r="CU156" s="917"/>
      <c r="CV156" s="917"/>
      <c r="CW156" s="917"/>
      <c r="CX156" s="917"/>
      <c r="CY156" s="917"/>
      <c r="CZ156" s="917"/>
      <c r="DA156" s="917"/>
      <c r="DB156" s="917"/>
      <c r="DC156" s="917"/>
      <c r="DD156" s="917"/>
      <c r="DE156" s="917"/>
      <c r="DF156" s="917"/>
      <c r="DG156" s="917"/>
      <c r="DH156" s="917"/>
      <c r="DI156" s="917"/>
      <c r="DJ156" s="917"/>
      <c r="DK156" s="917"/>
      <c r="DL156" s="917"/>
      <c r="DM156" s="917"/>
      <c r="DN156" s="917"/>
      <c r="DO156" s="917"/>
      <c r="DP156" s="917"/>
      <c r="DQ156" s="917"/>
      <c r="DR156" s="917"/>
      <c r="DS156" s="917"/>
      <c r="DT156" s="917"/>
      <c r="DU156" s="917"/>
      <c r="DV156" s="917"/>
      <c r="DW156" s="917"/>
      <c r="DX156" s="917"/>
      <c r="DY156" s="917"/>
      <c r="DZ156" s="917"/>
      <c r="EA156" s="917"/>
      <c r="EB156" s="917"/>
      <c r="EC156" s="917"/>
      <c r="ED156" s="917"/>
      <c r="EE156" s="917"/>
      <c r="EF156" s="917"/>
      <c r="EG156" s="917"/>
      <c r="EH156" s="917"/>
      <c r="EI156" s="917"/>
      <c r="EJ156" s="917"/>
      <c r="EK156" s="917"/>
      <c r="EL156" s="917"/>
      <c r="EM156" s="917"/>
      <c r="EN156" s="917"/>
      <c r="EO156" s="917"/>
    </row>
    <row r="157" spans="1:145" ht="17.25" customHeight="1">
      <c r="A157" s="856" t="s">
        <v>3938</v>
      </c>
      <c r="B157" s="856" t="s">
        <v>3887</v>
      </c>
      <c r="C157" s="867" t="s">
        <v>3554</v>
      </c>
      <c r="D157" s="836" t="s">
        <v>3849</v>
      </c>
      <c r="E157" s="836" t="s">
        <v>3819</v>
      </c>
      <c r="F157" s="836" t="s">
        <v>3939</v>
      </c>
      <c r="G157" s="836" t="s">
        <v>148</v>
      </c>
      <c r="H157" s="836" t="s">
        <v>148</v>
      </c>
      <c r="I157" s="836" t="s">
        <v>3610</v>
      </c>
      <c r="J157" s="836" t="s">
        <v>148</v>
      </c>
      <c r="K157" s="854" t="s">
        <v>148</v>
      </c>
      <c r="L157" s="2780"/>
      <c r="M157" s="1043">
        <v>44</v>
      </c>
      <c r="N157" s="2834" t="s">
        <v>3940</v>
      </c>
      <c r="O157" s="2834"/>
      <c r="P157" s="2834"/>
      <c r="Q157" s="2834"/>
      <c r="R157" s="2835"/>
      <c r="S157" s="1044">
        <v>44</v>
      </c>
      <c r="T157" s="2834" t="s">
        <v>3941</v>
      </c>
      <c r="U157" s="2834"/>
      <c r="V157" s="2834"/>
      <c r="W157" s="2834"/>
      <c r="X157" s="2835"/>
      <c r="AE157" s="979">
        <v>2014</v>
      </c>
      <c r="AF157" s="836" t="s">
        <v>3942</v>
      </c>
      <c r="AG157" s="836" t="s">
        <v>3943</v>
      </c>
      <c r="AH157" s="836" t="s">
        <v>3944</v>
      </c>
      <c r="AI157" s="836" t="s">
        <v>3945</v>
      </c>
      <c r="AJ157" s="836" t="s">
        <v>3946</v>
      </c>
      <c r="AK157" s="836" t="s">
        <v>3947</v>
      </c>
      <c r="AL157" s="401" t="s">
        <v>3825</v>
      </c>
      <c r="AM157" s="401" t="s">
        <v>1059</v>
      </c>
      <c r="AN157" s="401" t="s">
        <v>3948</v>
      </c>
      <c r="AO157" s="401" t="s">
        <v>3949</v>
      </c>
      <c r="AP157" s="836" t="s">
        <v>3828</v>
      </c>
      <c r="AQ157" s="836" t="s">
        <v>3873</v>
      </c>
      <c r="AR157" s="401" t="s">
        <v>3950</v>
      </c>
      <c r="AT157" s="979">
        <v>2014</v>
      </c>
      <c r="BB157" s="1050"/>
      <c r="BC157" s="1051"/>
      <c r="BD157" s="1051"/>
      <c r="BE157" s="1051"/>
      <c r="BF157" s="1051"/>
      <c r="BG157" s="1001"/>
      <c r="BH157" s="927" t="s">
        <v>3951</v>
      </c>
      <c r="BI157" s="934" t="s">
        <v>3952</v>
      </c>
      <c r="BJ157" s="934" t="s">
        <v>3953</v>
      </c>
      <c r="BK157" s="934" t="s">
        <v>3954</v>
      </c>
      <c r="BL157" s="934" t="s">
        <v>3955</v>
      </c>
      <c r="BM157" s="934" t="s">
        <v>3956</v>
      </c>
      <c r="BN157" s="934" t="s">
        <v>3957</v>
      </c>
      <c r="BO157" s="934" t="s">
        <v>3958</v>
      </c>
      <c r="BP157" s="934" t="s">
        <v>3959</v>
      </c>
      <c r="BQ157" s="934" t="s">
        <v>3960</v>
      </c>
      <c r="BR157" s="934" t="s">
        <v>3961</v>
      </c>
      <c r="BS157" s="934" t="s">
        <v>3962</v>
      </c>
      <c r="BT157" s="934" t="s">
        <v>3963</v>
      </c>
      <c r="BU157" s="934" t="s">
        <v>3964</v>
      </c>
      <c r="BV157" s="917"/>
      <c r="BW157" s="917"/>
      <c r="BX157" s="917"/>
      <c r="BY157" s="917"/>
      <c r="BZ157" s="917"/>
      <c r="CA157" s="917"/>
      <c r="CB157" s="917"/>
      <c r="CC157" s="917"/>
      <c r="CD157" s="917"/>
      <c r="CE157" s="917"/>
      <c r="CF157" s="917"/>
      <c r="CG157" s="917"/>
      <c r="CH157" s="917"/>
      <c r="CI157" s="917"/>
      <c r="CJ157" s="917"/>
      <c r="CK157" s="917"/>
      <c r="CL157" s="917"/>
      <c r="CM157" s="917"/>
      <c r="CN157" s="917"/>
      <c r="CO157" s="917"/>
      <c r="CP157" s="917"/>
      <c r="CQ157" s="917"/>
      <c r="CR157" s="917"/>
      <c r="CS157" s="917"/>
      <c r="CT157" s="917"/>
      <c r="CU157" s="917"/>
      <c r="CV157" s="917"/>
      <c r="CW157" s="917"/>
      <c r="CX157" s="917"/>
      <c r="CY157" s="917"/>
      <c r="CZ157" s="917"/>
      <c r="DA157" s="917"/>
      <c r="DB157" s="917"/>
      <c r="DC157" s="917"/>
      <c r="DD157" s="917"/>
      <c r="DE157" s="917"/>
      <c r="DF157" s="917"/>
      <c r="DG157" s="917"/>
      <c r="DH157" s="917"/>
      <c r="DI157" s="917"/>
      <c r="DJ157" s="917"/>
      <c r="DK157" s="917"/>
      <c r="DL157" s="917"/>
      <c r="DM157" s="917"/>
      <c r="DN157" s="917"/>
      <c r="DO157" s="917"/>
      <c r="DP157" s="917"/>
      <c r="DQ157" s="917"/>
      <c r="DR157" s="917"/>
      <c r="DS157" s="917"/>
      <c r="DT157" s="917"/>
      <c r="DU157" s="917"/>
      <c r="DV157" s="917"/>
      <c r="DW157" s="917"/>
      <c r="DX157" s="917"/>
      <c r="DY157" s="917"/>
      <c r="DZ157" s="917"/>
      <c r="EA157" s="917"/>
      <c r="EB157" s="917"/>
      <c r="EC157" s="917"/>
      <c r="ED157" s="917"/>
      <c r="EE157" s="917"/>
      <c r="EF157" s="917"/>
      <c r="EG157" s="917"/>
      <c r="EH157" s="917"/>
      <c r="EI157" s="917"/>
      <c r="EJ157" s="917"/>
      <c r="EK157" s="917"/>
      <c r="EL157" s="917"/>
      <c r="EM157" s="917"/>
      <c r="EN157" s="917"/>
      <c r="EO157" s="917"/>
    </row>
    <row r="158" spans="1:145" ht="17.25" customHeight="1">
      <c r="A158" s="856" t="s">
        <v>3965</v>
      </c>
      <c r="B158" s="856" t="s">
        <v>3938</v>
      </c>
      <c r="C158" s="867" t="s">
        <v>3554</v>
      </c>
      <c r="D158" s="836" t="s">
        <v>3849</v>
      </c>
      <c r="E158" s="836" t="s">
        <v>3819</v>
      </c>
      <c r="F158" s="836" t="s">
        <v>3966</v>
      </c>
      <c r="G158" s="836" t="s">
        <v>148</v>
      </c>
      <c r="H158" s="836" t="s">
        <v>148</v>
      </c>
      <c r="I158" s="836" t="s">
        <v>3610</v>
      </c>
      <c r="J158" s="836" t="s">
        <v>148</v>
      </c>
      <c r="K158" s="854" t="s">
        <v>148</v>
      </c>
      <c r="L158" s="2780"/>
      <c r="M158" s="1043">
        <v>45</v>
      </c>
      <c r="N158" s="2834" t="s">
        <v>3967</v>
      </c>
      <c r="O158" s="2834"/>
      <c r="P158" s="2834"/>
      <c r="Q158" s="2834"/>
      <c r="R158" s="2835"/>
      <c r="S158" s="1044">
        <v>45</v>
      </c>
      <c r="T158" s="2834" t="s">
        <v>3968</v>
      </c>
      <c r="U158" s="2834"/>
      <c r="V158" s="2834"/>
      <c r="W158" s="2834"/>
      <c r="X158" s="2835"/>
      <c r="AE158" s="979">
        <v>2015</v>
      </c>
      <c r="AF158" s="836" t="s">
        <v>3969</v>
      </c>
      <c r="AI158" s="836" t="s">
        <v>3970</v>
      </c>
      <c r="AJ158" s="836" t="s">
        <v>3971</v>
      </c>
      <c r="AL158" s="401" t="s">
        <v>3825</v>
      </c>
      <c r="AM158" s="401" t="s">
        <v>1113</v>
      </c>
      <c r="AN158" s="401" t="s">
        <v>3972</v>
      </c>
      <c r="AO158" s="401" t="s">
        <v>3973</v>
      </c>
      <c r="AP158" s="836" t="s">
        <v>3828</v>
      </c>
      <c r="AQ158" s="836" t="s">
        <v>3873</v>
      </c>
      <c r="AR158" s="401" t="s">
        <v>3974</v>
      </c>
      <c r="AT158" s="979">
        <v>2015</v>
      </c>
      <c r="BB158" s="1050"/>
      <c r="BC158" s="1051"/>
      <c r="BD158" s="1051"/>
      <c r="BE158" s="1051"/>
      <c r="BF158" s="1051"/>
      <c r="BG158" s="1001"/>
      <c r="BH158" s="927" t="s">
        <v>3975</v>
      </c>
      <c r="BI158" s="934" t="s">
        <v>3976</v>
      </c>
      <c r="BJ158" s="934" t="s">
        <v>3977</v>
      </c>
      <c r="BK158" s="934" t="s">
        <v>3978</v>
      </c>
      <c r="BL158" s="934" t="s">
        <v>3979</v>
      </c>
      <c r="BM158" s="934" t="s">
        <v>3980</v>
      </c>
      <c r="BN158" s="934" t="s">
        <v>3981</v>
      </c>
      <c r="BO158" s="934" t="s">
        <v>3982</v>
      </c>
      <c r="BP158" s="934" t="s">
        <v>3983</v>
      </c>
      <c r="BQ158" s="934" t="s">
        <v>3984</v>
      </c>
      <c r="BR158" s="934" t="s">
        <v>3985</v>
      </c>
      <c r="BS158" s="934" t="s">
        <v>3986</v>
      </c>
      <c r="BT158" s="934" t="s">
        <v>3987</v>
      </c>
      <c r="BU158" s="917"/>
      <c r="BV158" s="917"/>
      <c r="BW158" s="917"/>
      <c r="BX158" s="917"/>
      <c r="BY158" s="917"/>
      <c r="BZ158" s="917"/>
      <c r="CA158" s="917"/>
      <c r="CB158" s="917"/>
      <c r="CC158" s="917"/>
      <c r="CD158" s="917"/>
      <c r="CE158" s="917"/>
      <c r="CF158" s="917"/>
      <c r="CG158" s="917"/>
      <c r="CH158" s="917"/>
      <c r="CI158" s="917"/>
      <c r="CJ158" s="917"/>
      <c r="CK158" s="917"/>
      <c r="CL158" s="917"/>
      <c r="CM158" s="917"/>
      <c r="CN158" s="917"/>
      <c r="CO158" s="917"/>
      <c r="CP158" s="917"/>
      <c r="CQ158" s="917"/>
      <c r="CR158" s="917"/>
      <c r="CS158" s="917"/>
      <c r="CT158" s="917"/>
      <c r="CU158" s="917"/>
      <c r="CV158" s="917"/>
      <c r="CW158" s="917"/>
      <c r="CX158" s="917"/>
      <c r="CY158" s="917"/>
      <c r="CZ158" s="917"/>
      <c r="DA158" s="917"/>
      <c r="DB158" s="917"/>
      <c r="DC158" s="917"/>
      <c r="DD158" s="917"/>
      <c r="DE158" s="917"/>
      <c r="DF158" s="917"/>
      <c r="DG158" s="917"/>
      <c r="DH158" s="917"/>
      <c r="DI158" s="917"/>
      <c r="DJ158" s="917"/>
      <c r="DK158" s="917"/>
      <c r="DL158" s="917"/>
      <c r="DM158" s="917"/>
      <c r="DN158" s="917"/>
      <c r="DO158" s="917"/>
      <c r="DP158" s="917"/>
      <c r="DQ158" s="917"/>
      <c r="DR158" s="917"/>
      <c r="DS158" s="917"/>
      <c r="DT158" s="917"/>
      <c r="DU158" s="917"/>
      <c r="DV158" s="917"/>
      <c r="DW158" s="917"/>
      <c r="DX158" s="917"/>
      <c r="DY158" s="917"/>
      <c r="DZ158" s="917"/>
      <c r="EA158" s="917"/>
      <c r="EB158" s="917"/>
      <c r="EC158" s="917"/>
      <c r="ED158" s="917"/>
      <c r="EE158" s="917"/>
      <c r="EF158" s="917"/>
      <c r="EG158" s="917"/>
      <c r="EH158" s="917"/>
      <c r="EI158" s="917"/>
      <c r="EJ158" s="917"/>
      <c r="EK158" s="917"/>
      <c r="EL158" s="917"/>
      <c r="EM158" s="917"/>
      <c r="EN158" s="917"/>
      <c r="EO158" s="917"/>
    </row>
    <row r="159" spans="1:145" ht="17.25" customHeight="1">
      <c r="B159" s="856" t="s">
        <v>211</v>
      </c>
      <c r="C159" s="867" t="s">
        <v>3318</v>
      </c>
      <c r="D159" s="836" t="s">
        <v>3849</v>
      </c>
      <c r="E159" s="836" t="s">
        <v>3819</v>
      </c>
      <c r="F159" s="836" t="s">
        <v>3988</v>
      </c>
      <c r="G159" s="836" t="s">
        <v>148</v>
      </c>
      <c r="H159" s="836" t="s">
        <v>148</v>
      </c>
      <c r="I159" s="836" t="s">
        <v>3610</v>
      </c>
      <c r="J159" s="836" t="s">
        <v>148</v>
      </c>
      <c r="K159" s="854" t="s">
        <v>148</v>
      </c>
      <c r="L159" s="2780"/>
      <c r="M159" s="1043">
        <v>46</v>
      </c>
      <c r="N159" s="2834" t="s">
        <v>3989</v>
      </c>
      <c r="O159" s="2834"/>
      <c r="P159" s="2834"/>
      <c r="Q159" s="2834"/>
      <c r="R159" s="2835"/>
      <c r="S159" s="1044">
        <v>46</v>
      </c>
      <c r="T159" s="2834" t="s">
        <v>3990</v>
      </c>
      <c r="U159" s="2834"/>
      <c r="V159" s="2834"/>
      <c r="W159" s="2834"/>
      <c r="X159" s="2835"/>
      <c r="AE159" s="979">
        <v>2016</v>
      </c>
      <c r="AF159" s="836" t="s">
        <v>3991</v>
      </c>
      <c r="AI159" s="836" t="s">
        <v>148</v>
      </c>
      <c r="AL159" s="401" t="s">
        <v>3825</v>
      </c>
      <c r="AM159" s="401" t="s">
        <v>1139</v>
      </c>
      <c r="AN159" s="401" t="s">
        <v>3992</v>
      </c>
      <c r="AO159" s="401" t="s">
        <v>3993</v>
      </c>
      <c r="AP159" s="836" t="s">
        <v>3828</v>
      </c>
      <c r="AR159" s="401" t="s">
        <v>3994</v>
      </c>
      <c r="AS159" s="836" t="s">
        <v>3873</v>
      </c>
      <c r="AT159" s="979">
        <v>2016</v>
      </c>
      <c r="BB159" s="1050"/>
      <c r="BC159" s="1051"/>
      <c r="BD159" s="1051"/>
      <c r="BE159" s="1051"/>
      <c r="BF159" s="1051"/>
      <c r="BG159" s="1001"/>
      <c r="BH159" s="927" t="s">
        <v>3995</v>
      </c>
      <c r="BI159" s="934" t="s">
        <v>3996</v>
      </c>
      <c r="BJ159" s="934" t="s">
        <v>3997</v>
      </c>
      <c r="BK159" s="934" t="s">
        <v>3998</v>
      </c>
      <c r="BL159" s="934" t="s">
        <v>3999</v>
      </c>
      <c r="BM159" s="934" t="s">
        <v>4000</v>
      </c>
      <c r="BN159" s="934" t="s">
        <v>4001</v>
      </c>
      <c r="BO159" s="934" t="s">
        <v>4002</v>
      </c>
      <c r="BP159" s="934" t="s">
        <v>4003</v>
      </c>
      <c r="BQ159" s="934" t="s">
        <v>4004</v>
      </c>
      <c r="BR159" s="934" t="s">
        <v>4005</v>
      </c>
      <c r="BS159" s="934" t="s">
        <v>4006</v>
      </c>
      <c r="BT159" s="917"/>
      <c r="BU159" s="917"/>
      <c r="BV159" s="917"/>
      <c r="BW159" s="917"/>
      <c r="BX159" s="917"/>
      <c r="BY159" s="917"/>
      <c r="BZ159" s="917"/>
      <c r="CA159" s="917"/>
      <c r="CB159" s="917"/>
      <c r="CC159" s="917"/>
      <c r="CD159" s="917"/>
      <c r="CE159" s="917"/>
      <c r="CF159" s="917"/>
      <c r="CG159" s="917"/>
      <c r="CH159" s="917"/>
      <c r="CI159" s="917"/>
      <c r="CJ159" s="917"/>
      <c r="CK159" s="917"/>
      <c r="CL159" s="917"/>
      <c r="CM159" s="917"/>
      <c r="CN159" s="917"/>
      <c r="CO159" s="917"/>
      <c r="CP159" s="917"/>
      <c r="CQ159" s="917"/>
      <c r="CR159" s="917"/>
      <c r="CS159" s="917"/>
      <c r="CT159" s="917"/>
      <c r="CU159" s="917"/>
      <c r="CV159" s="917"/>
      <c r="CW159" s="917"/>
      <c r="CX159" s="917"/>
      <c r="CY159" s="917"/>
      <c r="CZ159" s="917"/>
      <c r="DA159" s="917"/>
      <c r="DB159" s="917"/>
      <c r="DC159" s="917"/>
      <c r="DD159" s="917"/>
      <c r="DE159" s="917"/>
      <c r="DF159" s="917"/>
      <c r="DG159" s="917"/>
      <c r="DH159" s="917"/>
      <c r="DI159" s="917"/>
      <c r="DJ159" s="917"/>
      <c r="DK159" s="917"/>
      <c r="DL159" s="917"/>
      <c r="DM159" s="917"/>
      <c r="DN159" s="917"/>
      <c r="DO159" s="917"/>
      <c r="DP159" s="917"/>
      <c r="DQ159" s="917"/>
      <c r="DR159" s="917"/>
      <c r="DS159" s="917"/>
      <c r="DT159" s="917"/>
      <c r="DU159" s="917"/>
      <c r="DV159" s="917"/>
      <c r="DW159" s="917"/>
      <c r="DX159" s="917"/>
      <c r="DY159" s="917"/>
      <c r="DZ159" s="917"/>
      <c r="EA159" s="917"/>
      <c r="EB159" s="917"/>
      <c r="EC159" s="917"/>
      <c r="ED159" s="917"/>
      <c r="EE159" s="917"/>
      <c r="EF159" s="917"/>
      <c r="EG159" s="917"/>
      <c r="EH159" s="917"/>
      <c r="EI159" s="917"/>
      <c r="EJ159" s="917"/>
      <c r="EK159" s="917"/>
      <c r="EL159" s="917"/>
      <c r="EM159" s="917"/>
      <c r="EN159" s="917"/>
      <c r="EO159" s="917"/>
    </row>
    <row r="160" spans="1:145" ht="17.25" customHeight="1">
      <c r="B160" s="856" t="s">
        <v>3965</v>
      </c>
      <c r="C160" s="867" t="s">
        <v>3554</v>
      </c>
      <c r="D160" s="836" t="s">
        <v>3849</v>
      </c>
      <c r="E160" s="836" t="s">
        <v>3819</v>
      </c>
      <c r="F160" s="836" t="s">
        <v>4007</v>
      </c>
      <c r="G160" s="836" t="s">
        <v>148</v>
      </c>
      <c r="H160" s="836" t="s">
        <v>148</v>
      </c>
      <c r="I160" s="836" t="s">
        <v>3610</v>
      </c>
      <c r="J160" s="836" t="s">
        <v>148</v>
      </c>
      <c r="K160" s="854" t="s">
        <v>148</v>
      </c>
      <c r="L160" s="2780"/>
      <c r="M160" s="1043">
        <v>47</v>
      </c>
      <c r="N160" s="2834" t="s">
        <v>4008</v>
      </c>
      <c r="O160" s="2834"/>
      <c r="P160" s="2834"/>
      <c r="Q160" s="2834"/>
      <c r="R160" s="2835"/>
      <c r="S160" s="1044">
        <v>47</v>
      </c>
      <c r="T160" s="2834" t="s">
        <v>4009</v>
      </c>
      <c r="U160" s="2834"/>
      <c r="V160" s="2834"/>
      <c r="W160" s="2834"/>
      <c r="X160" s="2835"/>
      <c r="AE160" s="979">
        <v>2017</v>
      </c>
      <c r="AF160" s="836" t="s">
        <v>4010</v>
      </c>
      <c r="AG160" s="836" t="s">
        <v>4011</v>
      </c>
      <c r="AI160" s="836" t="s">
        <v>148</v>
      </c>
      <c r="AL160" s="401" t="s">
        <v>3825</v>
      </c>
      <c r="AM160" s="401" t="s">
        <v>1163</v>
      </c>
      <c r="AN160" s="401" t="s">
        <v>4012</v>
      </c>
      <c r="AO160" s="401" t="s">
        <v>4013</v>
      </c>
      <c r="AP160" s="401" t="s">
        <v>4014</v>
      </c>
      <c r="AQ160" s="836" t="s">
        <v>4015</v>
      </c>
      <c r="AR160" s="401" t="s">
        <v>3994</v>
      </c>
      <c r="AS160" s="836" t="s">
        <v>4015</v>
      </c>
      <c r="AT160" s="979">
        <v>2017</v>
      </c>
      <c r="BB160" s="1050"/>
      <c r="BC160" s="1051"/>
      <c r="BD160" s="1051"/>
      <c r="BE160" s="1051"/>
      <c r="BF160" s="1051"/>
      <c r="BG160" s="1001"/>
      <c r="BH160" s="927" t="s">
        <v>4016</v>
      </c>
      <c r="BI160" s="934" t="s">
        <v>4017</v>
      </c>
      <c r="BJ160" s="934" t="s">
        <v>3863</v>
      </c>
      <c r="BK160" s="934" t="s">
        <v>4018</v>
      </c>
      <c r="BL160" s="934" t="s">
        <v>3862</v>
      </c>
      <c r="BM160" s="934" t="s">
        <v>4019</v>
      </c>
      <c r="BN160" s="934" t="s">
        <v>2576</v>
      </c>
      <c r="BO160" s="934" t="s">
        <v>4020</v>
      </c>
      <c r="BP160" s="1052"/>
      <c r="BQ160" s="1052"/>
      <c r="BR160" s="1052"/>
      <c r="BS160" s="917"/>
      <c r="BT160" s="917"/>
      <c r="BU160" s="917"/>
      <c r="BV160" s="917"/>
      <c r="BW160" s="917"/>
      <c r="BX160" s="917"/>
      <c r="BY160" s="917"/>
      <c r="BZ160" s="917"/>
      <c r="CA160" s="917"/>
      <c r="CB160" s="917"/>
      <c r="CC160" s="917"/>
      <c r="CD160" s="917"/>
      <c r="CE160" s="917"/>
      <c r="CF160" s="917"/>
      <c r="CG160" s="917"/>
      <c r="CH160" s="917"/>
      <c r="CI160" s="917"/>
      <c r="CJ160" s="917"/>
      <c r="CK160" s="917"/>
      <c r="CL160" s="917"/>
      <c r="CM160" s="917"/>
      <c r="CN160" s="917"/>
      <c r="CO160" s="917"/>
      <c r="CP160" s="917"/>
      <c r="CQ160" s="917"/>
      <c r="CR160" s="917"/>
      <c r="CS160" s="917"/>
      <c r="CT160" s="917"/>
      <c r="CU160" s="917"/>
      <c r="CV160" s="917"/>
      <c r="CW160" s="917"/>
      <c r="CX160" s="917"/>
      <c r="CY160" s="917"/>
      <c r="CZ160" s="917"/>
      <c r="DA160" s="917"/>
      <c r="DB160" s="917"/>
      <c r="DC160" s="917"/>
      <c r="DD160" s="917"/>
      <c r="DE160" s="917"/>
      <c r="DF160" s="917"/>
      <c r="DG160" s="917"/>
      <c r="DH160" s="917"/>
      <c r="DI160" s="917"/>
      <c r="DJ160" s="917"/>
      <c r="DK160" s="917"/>
      <c r="DL160" s="917"/>
      <c r="DM160" s="917"/>
      <c r="DN160" s="917"/>
      <c r="DO160" s="917"/>
      <c r="DP160" s="917"/>
      <c r="DQ160" s="917"/>
      <c r="DR160" s="917"/>
      <c r="DS160" s="917"/>
      <c r="DT160" s="917"/>
      <c r="DU160" s="917"/>
      <c r="DV160" s="917"/>
      <c r="DW160" s="917"/>
      <c r="DX160" s="917"/>
      <c r="DY160" s="917"/>
      <c r="DZ160" s="917"/>
      <c r="EA160" s="917"/>
      <c r="EB160" s="917"/>
      <c r="EC160" s="917"/>
      <c r="ED160" s="917"/>
      <c r="EE160" s="917"/>
      <c r="EF160" s="917"/>
      <c r="EG160" s="917"/>
      <c r="EH160" s="917"/>
      <c r="EI160" s="917"/>
      <c r="EJ160" s="917"/>
      <c r="EK160" s="917"/>
      <c r="EL160" s="917"/>
      <c r="EM160" s="917"/>
      <c r="EN160" s="917"/>
      <c r="EO160" s="917"/>
    </row>
    <row r="161" spans="2:145" ht="17.25" customHeight="1">
      <c r="B161" s="856" t="s">
        <v>2617</v>
      </c>
      <c r="C161" s="867" t="s">
        <v>751</v>
      </c>
      <c r="D161" s="836" t="s">
        <v>751</v>
      </c>
      <c r="E161" s="836" t="s">
        <v>751</v>
      </c>
      <c r="F161" s="836" t="s">
        <v>751</v>
      </c>
      <c r="G161" s="836" t="s">
        <v>751</v>
      </c>
      <c r="H161" s="836" t="s">
        <v>751</v>
      </c>
      <c r="I161" s="836" t="s">
        <v>751</v>
      </c>
      <c r="J161" s="836" t="s">
        <v>751</v>
      </c>
      <c r="K161" s="854" t="s">
        <v>751</v>
      </c>
      <c r="L161" s="2780"/>
      <c r="M161" s="1043">
        <v>48</v>
      </c>
      <c r="N161" s="2834" t="s">
        <v>4021</v>
      </c>
      <c r="O161" s="2834"/>
      <c r="P161" s="2834"/>
      <c r="Q161" s="2834"/>
      <c r="R161" s="2835"/>
      <c r="S161" s="1044">
        <v>48</v>
      </c>
      <c r="T161" s="2834" t="s">
        <v>4022</v>
      </c>
      <c r="U161" s="2834"/>
      <c r="V161" s="2834"/>
      <c r="W161" s="2834"/>
      <c r="X161" s="2835"/>
      <c r="AE161" s="979">
        <v>2018</v>
      </c>
      <c r="AF161" s="836" t="s">
        <v>4023</v>
      </c>
      <c r="AG161" s="836" t="s">
        <v>4024</v>
      </c>
      <c r="AI161" s="836" t="s">
        <v>4025</v>
      </c>
      <c r="AL161" s="401" t="s">
        <v>3825</v>
      </c>
      <c r="AM161" s="401" t="s">
        <v>1186</v>
      </c>
      <c r="AN161" s="401" t="s">
        <v>4026</v>
      </c>
      <c r="AO161" s="401" t="s">
        <v>4027</v>
      </c>
      <c r="AP161" s="401" t="s">
        <v>4028</v>
      </c>
      <c r="AQ161" s="836" t="s">
        <v>4015</v>
      </c>
      <c r="AR161" s="401" t="s">
        <v>3994</v>
      </c>
      <c r="AS161" s="836" t="s">
        <v>4015</v>
      </c>
      <c r="AT161" s="979">
        <v>2018</v>
      </c>
      <c r="BB161" s="1050"/>
      <c r="BC161" s="1051"/>
      <c r="BD161" s="1051"/>
      <c r="BE161" s="1051"/>
      <c r="BF161" s="1051"/>
      <c r="BG161" s="1001"/>
      <c r="BH161" s="927" t="s">
        <v>4029</v>
      </c>
      <c r="BI161" s="934" t="s">
        <v>4030</v>
      </c>
      <c r="BJ161" s="934" t="s">
        <v>4031</v>
      </c>
      <c r="BK161" s="934" t="s">
        <v>4032</v>
      </c>
      <c r="BL161" s="934" t="s">
        <v>4033</v>
      </c>
      <c r="BM161" s="934" t="s">
        <v>4034</v>
      </c>
      <c r="BN161" s="934" t="s">
        <v>4035</v>
      </c>
      <c r="BO161" s="934" t="s">
        <v>4036</v>
      </c>
      <c r="BP161" s="934" t="s">
        <v>4037</v>
      </c>
      <c r="BQ161" s="934" t="s">
        <v>4038</v>
      </c>
      <c r="BR161" s="934" t="s">
        <v>4039</v>
      </c>
      <c r="BS161" s="934" t="s">
        <v>4040</v>
      </c>
      <c r="BT161" s="934" t="s">
        <v>4041</v>
      </c>
      <c r="BU161" s="917"/>
      <c r="BV161" s="917"/>
      <c r="BW161" s="917"/>
      <c r="BX161" s="917"/>
      <c r="BY161" s="917"/>
      <c r="BZ161" s="917"/>
      <c r="CA161" s="917"/>
      <c r="CB161" s="917"/>
      <c r="CC161" s="917"/>
      <c r="CD161" s="917"/>
      <c r="CE161" s="917"/>
      <c r="CF161" s="917"/>
      <c r="CG161" s="917"/>
      <c r="CH161" s="917"/>
      <c r="CI161" s="917"/>
      <c r="CJ161" s="917"/>
      <c r="CK161" s="917"/>
      <c r="CL161" s="917"/>
      <c r="CM161" s="917"/>
      <c r="CN161" s="917"/>
      <c r="CO161" s="917"/>
      <c r="CP161" s="917"/>
      <c r="CQ161" s="917"/>
      <c r="CR161" s="917"/>
      <c r="CS161" s="917"/>
      <c r="CT161" s="917"/>
      <c r="CU161" s="917"/>
      <c r="CV161" s="917"/>
      <c r="CW161" s="917"/>
      <c r="CX161" s="917"/>
      <c r="CY161" s="917"/>
      <c r="CZ161" s="917"/>
      <c r="DA161" s="917"/>
      <c r="DB161" s="917"/>
      <c r="DC161" s="917"/>
      <c r="DD161" s="917"/>
      <c r="DE161" s="917"/>
      <c r="DF161" s="917"/>
      <c r="DG161" s="917"/>
      <c r="DH161" s="917"/>
      <c r="DI161" s="917"/>
      <c r="DJ161" s="917"/>
      <c r="DK161" s="917"/>
      <c r="DL161" s="917"/>
      <c r="DM161" s="917"/>
      <c r="DN161" s="917"/>
      <c r="DO161" s="917"/>
      <c r="DP161" s="917"/>
      <c r="DQ161" s="917"/>
      <c r="DR161" s="917"/>
      <c r="DS161" s="917"/>
      <c r="DT161" s="917"/>
      <c r="DU161" s="917"/>
      <c r="DV161" s="917"/>
      <c r="DW161" s="917"/>
      <c r="DX161" s="917"/>
      <c r="DY161" s="917"/>
      <c r="DZ161" s="917"/>
      <c r="EA161" s="917"/>
      <c r="EB161" s="917"/>
      <c r="EC161" s="917"/>
      <c r="ED161" s="917"/>
      <c r="EE161" s="917"/>
      <c r="EF161" s="917"/>
      <c r="EG161" s="917"/>
      <c r="EH161" s="917"/>
      <c r="EI161" s="917"/>
      <c r="EJ161" s="917"/>
      <c r="EK161" s="917"/>
      <c r="EL161" s="917"/>
      <c r="EM161" s="917"/>
      <c r="EN161" s="917"/>
      <c r="EO161" s="917"/>
    </row>
    <row r="162" spans="2:145" ht="17.25" customHeight="1">
      <c r="B162" s="959" t="s">
        <v>178</v>
      </c>
      <c r="C162" s="867" t="s">
        <v>4042</v>
      </c>
      <c r="D162" s="836" t="s">
        <v>148</v>
      </c>
      <c r="E162" s="836" t="s">
        <v>4043</v>
      </c>
      <c r="F162" s="836" t="s">
        <v>4044</v>
      </c>
      <c r="G162" s="836" t="s">
        <v>148</v>
      </c>
      <c r="H162" s="836" t="s">
        <v>148</v>
      </c>
      <c r="I162" s="836" t="s">
        <v>4045</v>
      </c>
      <c r="J162" s="836" t="s">
        <v>4046</v>
      </c>
      <c r="K162" s="854" t="s">
        <v>4047</v>
      </c>
      <c r="L162" s="2780"/>
      <c r="M162" s="1043">
        <v>49</v>
      </c>
      <c r="N162" s="2834" t="s">
        <v>4048</v>
      </c>
      <c r="O162" s="2834"/>
      <c r="P162" s="2834"/>
      <c r="Q162" s="2834"/>
      <c r="R162" s="2835"/>
      <c r="S162" s="1044">
        <v>49</v>
      </c>
      <c r="T162" s="2834" t="s">
        <v>4049</v>
      </c>
      <c r="U162" s="2834"/>
      <c r="V162" s="2834"/>
      <c r="W162" s="2834"/>
      <c r="X162" s="2835"/>
      <c r="AE162" s="979">
        <v>2019</v>
      </c>
      <c r="AF162" s="836" t="s">
        <v>4050</v>
      </c>
      <c r="AG162" s="836" t="s">
        <v>4051</v>
      </c>
      <c r="AH162" s="836" t="s">
        <v>4052</v>
      </c>
      <c r="AI162" s="836" t="s">
        <v>4053</v>
      </c>
      <c r="AL162" s="401" t="s">
        <v>3825</v>
      </c>
      <c r="AM162" s="401" t="s">
        <v>2114</v>
      </c>
      <c r="AN162" s="401" t="s">
        <v>4054</v>
      </c>
      <c r="AO162" s="401" t="s">
        <v>4055</v>
      </c>
      <c r="AP162" s="401" t="s">
        <v>4028</v>
      </c>
      <c r="AQ162" s="836" t="s">
        <v>4015</v>
      </c>
      <c r="AR162" s="401" t="s">
        <v>3994</v>
      </c>
      <c r="AS162" s="836" t="s">
        <v>4015</v>
      </c>
      <c r="AT162" s="979">
        <v>2019</v>
      </c>
      <c r="BB162" s="1050"/>
      <c r="BC162" s="1051"/>
      <c r="BD162" s="1051"/>
      <c r="BE162" s="1051"/>
      <c r="BF162" s="1051"/>
      <c r="BG162" s="1001"/>
      <c r="BH162" s="927" t="s">
        <v>4056</v>
      </c>
      <c r="BI162" s="934" t="s">
        <v>4057</v>
      </c>
      <c r="BJ162" s="934" t="s">
        <v>4058</v>
      </c>
      <c r="BK162" s="934" t="s">
        <v>4059</v>
      </c>
      <c r="BL162" s="934" t="s">
        <v>4060</v>
      </c>
      <c r="BM162" s="934" t="s">
        <v>4061</v>
      </c>
      <c r="BN162" s="934" t="s">
        <v>4062</v>
      </c>
      <c r="BO162" s="934" t="s">
        <v>4063</v>
      </c>
      <c r="BP162" s="934" t="s">
        <v>4064</v>
      </c>
      <c r="BQ162" s="934" t="s">
        <v>4065</v>
      </c>
      <c r="BR162" s="934" t="s">
        <v>4066</v>
      </c>
      <c r="BS162" s="934" t="s">
        <v>4067</v>
      </c>
      <c r="BT162" s="934" t="s">
        <v>4068</v>
      </c>
      <c r="BU162" s="934" t="s">
        <v>4069</v>
      </c>
      <c r="BV162" s="934" t="s">
        <v>4070</v>
      </c>
      <c r="BW162" s="934" t="s">
        <v>4071</v>
      </c>
      <c r="BX162" s="934" t="s">
        <v>4072</v>
      </c>
      <c r="BY162" s="934" t="s">
        <v>4073</v>
      </c>
      <c r="BZ162" s="934" t="s">
        <v>4074</v>
      </c>
      <c r="CA162" s="934" t="s">
        <v>4075</v>
      </c>
      <c r="CB162" s="934" t="s">
        <v>4076</v>
      </c>
      <c r="CC162" s="934" t="s">
        <v>4077</v>
      </c>
      <c r="CD162" s="934" t="s">
        <v>4078</v>
      </c>
      <c r="CE162" s="917"/>
      <c r="CF162" s="917"/>
      <c r="CG162" s="917"/>
      <c r="CH162" s="917"/>
      <c r="CI162" s="917"/>
      <c r="CJ162" s="917"/>
      <c r="CK162" s="917"/>
      <c r="CL162" s="917"/>
      <c r="CM162" s="917"/>
      <c r="CN162" s="917"/>
      <c r="CO162" s="917"/>
      <c r="CP162" s="917"/>
      <c r="CQ162" s="917"/>
      <c r="CR162" s="917"/>
      <c r="CS162" s="917"/>
      <c r="CT162" s="917"/>
      <c r="CU162" s="917"/>
      <c r="CV162" s="917"/>
      <c r="CW162" s="917"/>
      <c r="CX162" s="917"/>
      <c r="CY162" s="917"/>
      <c r="CZ162" s="917"/>
      <c r="DA162" s="917"/>
      <c r="DB162" s="917"/>
      <c r="DC162" s="917"/>
      <c r="DD162" s="917"/>
      <c r="DE162" s="917"/>
      <c r="DF162" s="917"/>
      <c r="DG162" s="917"/>
      <c r="DH162" s="917"/>
      <c r="DI162" s="917"/>
      <c r="DJ162" s="917"/>
      <c r="DK162" s="917"/>
      <c r="DL162" s="917"/>
      <c r="DM162" s="917"/>
      <c r="DN162" s="917"/>
      <c r="DO162" s="917"/>
      <c r="DP162" s="917"/>
      <c r="DQ162" s="917"/>
      <c r="DR162" s="917"/>
      <c r="DS162" s="917"/>
      <c r="DT162" s="917"/>
      <c r="DU162" s="917"/>
      <c r="DV162" s="917"/>
      <c r="DW162" s="917"/>
      <c r="DX162" s="917"/>
      <c r="DY162" s="917"/>
      <c r="DZ162" s="917"/>
      <c r="EA162" s="917"/>
      <c r="EB162" s="917"/>
      <c r="EC162" s="917"/>
      <c r="ED162" s="917"/>
      <c r="EE162" s="917"/>
      <c r="EF162" s="917"/>
      <c r="EG162" s="917"/>
      <c r="EH162" s="917"/>
      <c r="EI162" s="917"/>
      <c r="EJ162" s="917"/>
      <c r="EK162" s="917"/>
      <c r="EL162" s="917"/>
      <c r="EM162" s="917"/>
      <c r="EN162" s="917"/>
      <c r="EO162" s="917"/>
    </row>
    <row r="163" spans="2:145" ht="17.25" customHeight="1">
      <c r="B163" s="959" t="s">
        <v>133</v>
      </c>
      <c r="C163" s="867" t="s">
        <v>2481</v>
      </c>
      <c r="D163" s="836" t="s">
        <v>148</v>
      </c>
      <c r="E163" s="836" t="s">
        <v>148</v>
      </c>
      <c r="F163" s="836" t="s">
        <v>4079</v>
      </c>
      <c r="G163" s="836" t="s">
        <v>4080</v>
      </c>
      <c r="H163" s="836" t="s">
        <v>4081</v>
      </c>
      <c r="I163" s="836" t="s">
        <v>4082</v>
      </c>
      <c r="J163" s="836" t="s">
        <v>4083</v>
      </c>
      <c r="K163" s="854" t="s">
        <v>4084</v>
      </c>
      <c r="L163" s="2780"/>
      <c r="M163" s="1043">
        <v>50</v>
      </c>
      <c r="N163" s="2834" t="s">
        <v>4085</v>
      </c>
      <c r="O163" s="2834"/>
      <c r="P163" s="2834"/>
      <c r="Q163" s="2834"/>
      <c r="R163" s="2835"/>
      <c r="S163" s="1044">
        <v>50</v>
      </c>
      <c r="T163" s="2834" t="s">
        <v>4086</v>
      </c>
      <c r="U163" s="2834"/>
      <c r="V163" s="2834"/>
      <c r="W163" s="2834"/>
      <c r="X163" s="2835"/>
      <c r="AE163" s="979">
        <v>2020</v>
      </c>
      <c r="AF163" s="836" t="s">
        <v>4087</v>
      </c>
      <c r="AG163" s="836" t="s">
        <v>4088</v>
      </c>
      <c r="AH163" s="836" t="s">
        <v>4089</v>
      </c>
      <c r="AI163" s="836" t="s">
        <v>4090</v>
      </c>
      <c r="AJ163" s="836" t="s">
        <v>4091</v>
      </c>
      <c r="AK163" s="836" t="s">
        <v>4092</v>
      </c>
      <c r="AL163" s="401" t="s">
        <v>4093</v>
      </c>
      <c r="AM163" s="401" t="s">
        <v>1242</v>
      </c>
      <c r="AN163" s="401" t="s">
        <v>4094</v>
      </c>
      <c r="AO163" s="401" t="s">
        <v>4095</v>
      </c>
      <c r="AP163" s="401" t="s">
        <v>4028</v>
      </c>
      <c r="AQ163" s="836" t="s">
        <v>4015</v>
      </c>
      <c r="AR163" s="401" t="s">
        <v>3994</v>
      </c>
      <c r="AS163" s="836" t="s">
        <v>4015</v>
      </c>
      <c r="AT163" s="979">
        <v>2020</v>
      </c>
      <c r="AU163" s="1053"/>
      <c r="AV163" s="1054"/>
      <c r="AW163" s="1054"/>
      <c r="AX163" s="1054"/>
      <c r="AY163" s="1054"/>
      <c r="AZ163" s="1054"/>
      <c r="BA163" s="1054"/>
      <c r="BB163" s="1055"/>
      <c r="BC163" s="1051"/>
      <c r="BD163" s="1051"/>
      <c r="BE163" s="1051"/>
      <c r="BF163" s="1051"/>
      <c r="BG163" s="1001"/>
      <c r="BH163" s="927" t="s">
        <v>4096</v>
      </c>
      <c r="BI163" s="934" t="s">
        <v>4097</v>
      </c>
      <c r="BJ163" s="934" t="s">
        <v>4098</v>
      </c>
      <c r="BK163" s="934" t="s">
        <v>4099</v>
      </c>
      <c r="BL163" s="934" t="s">
        <v>3718</v>
      </c>
      <c r="BM163" s="934" t="s">
        <v>3719</v>
      </c>
      <c r="BN163" s="934" t="s">
        <v>4100</v>
      </c>
      <c r="BO163" s="934" t="s">
        <v>3720</v>
      </c>
      <c r="BP163" s="934" t="s">
        <v>4101</v>
      </c>
      <c r="BQ163" s="934" t="s">
        <v>4102</v>
      </c>
      <c r="BR163" s="934" t="s">
        <v>1760</v>
      </c>
      <c r="BS163" s="934" t="s">
        <v>4103</v>
      </c>
      <c r="BT163" s="934" t="s">
        <v>4104</v>
      </c>
      <c r="BU163" s="934" t="s">
        <v>4105</v>
      </c>
      <c r="BV163" s="934" t="s">
        <v>4072</v>
      </c>
      <c r="BW163" s="934" t="s">
        <v>4106</v>
      </c>
      <c r="BX163" s="934" t="s">
        <v>4107</v>
      </c>
      <c r="BY163" s="934" t="s">
        <v>4108</v>
      </c>
      <c r="BZ163" s="917"/>
      <c r="CA163" s="917"/>
      <c r="CB163" s="917"/>
      <c r="CC163" s="917"/>
      <c r="CD163" s="917"/>
      <c r="CE163" s="917"/>
      <c r="CF163" s="917"/>
      <c r="CG163" s="917"/>
      <c r="CH163" s="917"/>
      <c r="CI163" s="917"/>
      <c r="CJ163" s="917"/>
      <c r="CK163" s="917"/>
      <c r="CL163" s="917"/>
      <c r="CM163" s="917"/>
      <c r="CN163" s="917"/>
      <c r="CO163" s="917"/>
      <c r="CP163" s="917"/>
      <c r="CQ163" s="917"/>
      <c r="CR163" s="917"/>
      <c r="CS163" s="917"/>
      <c r="CT163" s="917"/>
      <c r="CU163" s="917"/>
      <c r="CV163" s="917"/>
      <c r="CW163" s="917"/>
      <c r="CX163" s="917"/>
      <c r="CY163" s="917"/>
      <c r="CZ163" s="917"/>
      <c r="DA163" s="917"/>
      <c r="DB163" s="917"/>
      <c r="DC163" s="917"/>
      <c r="DD163" s="917"/>
      <c r="DE163" s="917"/>
      <c r="DF163" s="917"/>
      <c r="DG163" s="917"/>
      <c r="DH163" s="917"/>
      <c r="DI163" s="917"/>
      <c r="DJ163" s="917"/>
      <c r="DK163" s="917"/>
      <c r="DL163" s="917"/>
      <c r="DM163" s="917"/>
      <c r="DN163" s="917"/>
      <c r="DO163" s="917"/>
      <c r="DP163" s="917"/>
      <c r="DQ163" s="917"/>
      <c r="DR163" s="917"/>
      <c r="DS163" s="917"/>
      <c r="DT163" s="917"/>
      <c r="DU163" s="917"/>
      <c r="DV163" s="917"/>
      <c r="DW163" s="917"/>
      <c r="DX163" s="917"/>
      <c r="DY163" s="917"/>
      <c r="DZ163" s="917"/>
      <c r="EA163" s="917"/>
      <c r="EB163" s="917"/>
      <c r="EC163" s="917"/>
      <c r="ED163" s="917"/>
      <c r="EE163" s="917"/>
      <c r="EF163" s="917"/>
      <c r="EG163" s="917"/>
      <c r="EH163" s="917"/>
      <c r="EI163" s="917"/>
      <c r="EJ163" s="917"/>
      <c r="EK163" s="917"/>
      <c r="EL163" s="917"/>
      <c r="EM163" s="917"/>
      <c r="EN163" s="917"/>
      <c r="EO163" s="917"/>
    </row>
    <row r="164" spans="2:145" ht="15.65" customHeight="1">
      <c r="B164" s="959" t="s">
        <v>160</v>
      </c>
      <c r="C164" s="867" t="s">
        <v>3304</v>
      </c>
      <c r="D164" s="836" t="s">
        <v>3305</v>
      </c>
      <c r="E164" s="836" t="s">
        <v>3306</v>
      </c>
      <c r="F164" s="836" t="s">
        <v>4109</v>
      </c>
      <c r="G164" s="836" t="s">
        <v>3308</v>
      </c>
      <c r="H164" s="836" t="s">
        <v>3309</v>
      </c>
      <c r="I164" s="401" t="s">
        <v>4110</v>
      </c>
      <c r="J164" s="836" t="s">
        <v>4111</v>
      </c>
      <c r="K164" s="854" t="s">
        <v>4112</v>
      </c>
      <c r="L164" s="2780"/>
      <c r="M164" s="1043">
        <v>51</v>
      </c>
      <c r="N164" s="2834" t="s">
        <v>4113</v>
      </c>
      <c r="O164" s="2834"/>
      <c r="P164" s="2834"/>
      <c r="Q164" s="2834"/>
      <c r="R164" s="2835"/>
      <c r="S164" s="1044">
        <v>51</v>
      </c>
      <c r="T164" s="2834" t="s">
        <v>4114</v>
      </c>
      <c r="U164" s="2834"/>
      <c r="V164" s="2834"/>
      <c r="W164" s="2834"/>
      <c r="X164" s="2835"/>
      <c r="AE164" s="836">
        <v>2021</v>
      </c>
      <c r="AF164" s="836" t="s">
        <v>4115</v>
      </c>
      <c r="AG164" s="836" t="s">
        <v>4116</v>
      </c>
      <c r="AH164" s="836" t="s">
        <v>4117</v>
      </c>
      <c r="AI164" s="836" t="s">
        <v>4118</v>
      </c>
      <c r="AJ164" s="836" t="s">
        <v>4119</v>
      </c>
      <c r="AK164" s="836" t="s">
        <v>4120</v>
      </c>
      <c r="AL164" s="401" t="s">
        <v>4093</v>
      </c>
      <c r="AM164" s="1031" t="s">
        <v>1259</v>
      </c>
      <c r="AN164" s="836" t="s">
        <v>4121</v>
      </c>
      <c r="AO164" s="1056" t="s">
        <v>4122</v>
      </c>
      <c r="AP164" s="401" t="s">
        <v>4028</v>
      </c>
      <c r="AQ164" s="836" t="s">
        <v>4015</v>
      </c>
      <c r="AR164" s="401" t="s">
        <v>3994</v>
      </c>
      <c r="AS164" s="836" t="s">
        <v>4015</v>
      </c>
      <c r="AT164" s="836">
        <v>2021</v>
      </c>
      <c r="BG164" s="1001"/>
      <c r="BH164" s="927" t="s">
        <v>4123</v>
      </c>
      <c r="BI164" s="934" t="s">
        <v>4124</v>
      </c>
      <c r="BJ164" s="934" t="s">
        <v>2941</v>
      </c>
      <c r="BK164" s="934" t="s">
        <v>4125</v>
      </c>
      <c r="BL164" s="934" t="s">
        <v>3718</v>
      </c>
      <c r="BM164" s="934" t="s">
        <v>4126</v>
      </c>
      <c r="BN164" s="934" t="s">
        <v>4127</v>
      </c>
      <c r="BO164" s="934" t="s">
        <v>4128</v>
      </c>
      <c r="BP164" s="934" t="s">
        <v>3694</v>
      </c>
      <c r="BQ164" s="934" t="s">
        <v>4072</v>
      </c>
      <c r="BR164" s="934" t="s">
        <v>4129</v>
      </c>
      <c r="BS164" s="917"/>
      <c r="BT164" s="917"/>
      <c r="BU164" s="917"/>
      <c r="BV164" s="917"/>
      <c r="BW164" s="917"/>
      <c r="BX164" s="917"/>
      <c r="BY164" s="917"/>
      <c r="BZ164" s="917"/>
      <c r="CA164" s="917"/>
      <c r="CB164" s="917"/>
      <c r="CC164" s="917"/>
      <c r="CD164" s="917"/>
      <c r="CE164" s="917"/>
      <c r="CF164" s="917"/>
      <c r="CG164" s="917"/>
      <c r="CH164" s="917"/>
      <c r="CI164" s="917"/>
      <c r="CJ164" s="917"/>
      <c r="CK164" s="917"/>
      <c r="CL164" s="917"/>
      <c r="CM164" s="917"/>
      <c r="CN164" s="917"/>
      <c r="CO164" s="917"/>
      <c r="CP164" s="917"/>
      <c r="CQ164" s="917"/>
      <c r="CR164" s="917"/>
      <c r="CS164" s="917"/>
      <c r="CT164" s="917"/>
      <c r="CU164" s="917"/>
      <c r="CV164" s="917"/>
      <c r="CW164" s="917"/>
      <c r="CX164" s="917"/>
      <c r="CY164" s="917"/>
      <c r="CZ164" s="917"/>
      <c r="DA164" s="917"/>
      <c r="DB164" s="917"/>
      <c r="DC164" s="917"/>
      <c r="DD164" s="917"/>
      <c r="DE164" s="917"/>
      <c r="DF164" s="917"/>
      <c r="DG164" s="917"/>
      <c r="DH164" s="917"/>
      <c r="DI164" s="917"/>
      <c r="DJ164" s="917"/>
      <c r="DK164" s="917"/>
      <c r="DL164" s="917"/>
      <c r="DM164" s="917"/>
      <c r="DN164" s="917"/>
      <c r="DO164" s="917"/>
      <c r="DP164" s="917"/>
      <c r="DQ164" s="917"/>
      <c r="DR164" s="917"/>
      <c r="DS164" s="917"/>
      <c r="DT164" s="917"/>
      <c r="DU164" s="917"/>
      <c r="DV164" s="917"/>
      <c r="DW164" s="917"/>
      <c r="DX164" s="917"/>
      <c r="DY164" s="917"/>
      <c r="DZ164" s="917"/>
      <c r="EA164" s="917"/>
      <c r="EB164" s="917"/>
      <c r="EC164" s="917"/>
      <c r="ED164" s="917"/>
      <c r="EE164" s="917"/>
      <c r="EF164" s="917"/>
      <c r="EG164" s="917"/>
      <c r="EH164" s="917"/>
      <c r="EI164" s="917"/>
      <c r="EJ164" s="917"/>
      <c r="EK164" s="917"/>
      <c r="EL164" s="917"/>
      <c r="EM164" s="917"/>
      <c r="EN164" s="917"/>
      <c r="EO164" s="917"/>
    </row>
    <row r="165" spans="2:145" ht="15.65" customHeight="1">
      <c r="B165" s="959" t="s">
        <v>164</v>
      </c>
      <c r="C165" s="867" t="s">
        <v>3318</v>
      </c>
      <c r="D165" s="836" t="s">
        <v>148</v>
      </c>
      <c r="E165" s="836" t="s">
        <v>148</v>
      </c>
      <c r="F165" s="836" t="s">
        <v>4130</v>
      </c>
      <c r="G165" s="836" t="s">
        <v>4131</v>
      </c>
      <c r="H165" s="836" t="s">
        <v>4132</v>
      </c>
      <c r="I165" s="836" t="s">
        <v>4133</v>
      </c>
      <c r="J165" s="836" t="s">
        <v>4134</v>
      </c>
      <c r="K165" s="854" t="s">
        <v>4135</v>
      </c>
      <c r="L165" s="2780"/>
      <c r="M165" s="1043">
        <v>52</v>
      </c>
      <c r="N165" s="2834" t="s">
        <v>4136</v>
      </c>
      <c r="O165" s="2834"/>
      <c r="P165" s="2834"/>
      <c r="Q165" s="2834"/>
      <c r="R165" s="2835"/>
      <c r="S165" s="1044">
        <v>52</v>
      </c>
      <c r="T165" s="2834" t="s">
        <v>4137</v>
      </c>
      <c r="U165" s="2834"/>
      <c r="V165" s="2834"/>
      <c r="W165" s="2834"/>
      <c r="X165" s="2835"/>
      <c r="AE165" s="836">
        <v>2022</v>
      </c>
      <c r="AF165" s="836" t="s">
        <v>4138</v>
      </c>
      <c r="AG165" s="836" t="s">
        <v>4139</v>
      </c>
      <c r="AH165" s="401" t="s">
        <v>4140</v>
      </c>
      <c r="AI165" s="836" t="s">
        <v>4141</v>
      </c>
      <c r="AJ165" s="836" t="s">
        <v>4142</v>
      </c>
      <c r="AK165" s="836" t="s">
        <v>4143</v>
      </c>
      <c r="AL165" s="401" t="s">
        <v>4093</v>
      </c>
      <c r="AM165" s="401" t="s">
        <v>1275</v>
      </c>
      <c r="AN165" s="836" t="s">
        <v>4144</v>
      </c>
      <c r="AO165" s="401" t="s">
        <v>4145</v>
      </c>
      <c r="AP165" s="401" t="s">
        <v>4028</v>
      </c>
      <c r="AQ165" s="836" t="s">
        <v>4015</v>
      </c>
      <c r="AS165" s="836" t="s">
        <v>4015</v>
      </c>
      <c r="AT165" s="836">
        <v>2022</v>
      </c>
      <c r="AW165" s="905"/>
      <c r="AY165" s="850"/>
      <c r="AZ165" s="850"/>
      <c r="BA165" s="850"/>
      <c r="BB165" s="850"/>
      <c r="BC165" s="850"/>
      <c r="BD165" s="1057"/>
      <c r="BG165" s="1001"/>
      <c r="BH165" s="927" t="s">
        <v>4146</v>
      </c>
      <c r="BI165" s="934" t="s">
        <v>4147</v>
      </c>
      <c r="BJ165" s="934" t="s">
        <v>4148</v>
      </c>
      <c r="BK165" s="934" t="s">
        <v>4149</v>
      </c>
      <c r="BL165" s="934" t="s">
        <v>4150</v>
      </c>
      <c r="BM165" s="934" t="s">
        <v>4151</v>
      </c>
      <c r="BN165" s="934" t="s">
        <v>4152</v>
      </c>
      <c r="BO165" s="934" t="s">
        <v>4153</v>
      </c>
      <c r="BP165" s="934" t="s">
        <v>4154</v>
      </c>
      <c r="BQ165" s="934" t="s">
        <v>4155</v>
      </c>
      <c r="BR165" s="934" t="s">
        <v>4156</v>
      </c>
      <c r="BS165" s="917"/>
      <c r="BT165" s="917"/>
      <c r="BU165" s="917"/>
      <c r="BV165" s="917"/>
      <c r="BW165" s="917"/>
      <c r="BX165" s="917"/>
      <c r="BY165" s="917"/>
      <c r="BZ165" s="917"/>
      <c r="CA165" s="917"/>
      <c r="CB165" s="917"/>
      <c r="CC165" s="917"/>
      <c r="CD165" s="917"/>
      <c r="CE165" s="917"/>
      <c r="CF165" s="917"/>
      <c r="CG165" s="917"/>
      <c r="CH165" s="917"/>
      <c r="CI165" s="917"/>
      <c r="CJ165" s="917"/>
      <c r="CK165" s="917"/>
      <c r="CL165" s="917"/>
      <c r="CM165" s="917"/>
      <c r="CN165" s="917"/>
      <c r="CO165" s="917"/>
      <c r="CP165" s="917"/>
      <c r="CQ165" s="917"/>
      <c r="CR165" s="917"/>
      <c r="CS165" s="917"/>
      <c r="CT165" s="917"/>
      <c r="CU165" s="917"/>
      <c r="CV165" s="917"/>
      <c r="CW165" s="917"/>
      <c r="CX165" s="917"/>
      <c r="CY165" s="917"/>
      <c r="CZ165" s="917"/>
      <c r="DA165" s="917"/>
      <c r="DB165" s="917"/>
      <c r="DC165" s="917"/>
      <c r="DD165" s="917"/>
      <c r="DE165" s="917"/>
      <c r="DF165" s="917"/>
      <c r="DG165" s="917"/>
      <c r="DH165" s="917"/>
      <c r="DI165" s="917"/>
      <c r="DJ165" s="917"/>
      <c r="DK165" s="917"/>
      <c r="DL165" s="917"/>
      <c r="DM165" s="917"/>
      <c r="DN165" s="917"/>
      <c r="DO165" s="917"/>
      <c r="DP165" s="917"/>
      <c r="DQ165" s="917"/>
      <c r="DR165" s="917"/>
      <c r="DS165" s="917"/>
      <c r="DT165" s="917"/>
      <c r="DU165" s="917"/>
      <c r="DV165" s="917"/>
      <c r="DW165" s="917"/>
      <c r="DX165" s="917"/>
      <c r="DY165" s="917"/>
      <c r="DZ165" s="917"/>
      <c r="EA165" s="917"/>
      <c r="EB165" s="917"/>
      <c r="EC165" s="917"/>
      <c r="ED165" s="917"/>
      <c r="EE165" s="917"/>
      <c r="EF165" s="917"/>
      <c r="EG165" s="917"/>
      <c r="EH165" s="917"/>
      <c r="EI165" s="917"/>
      <c r="EJ165" s="917"/>
      <c r="EK165" s="917"/>
      <c r="EL165" s="917"/>
      <c r="EM165" s="917"/>
      <c r="EN165" s="917"/>
      <c r="EO165" s="917"/>
    </row>
    <row r="166" spans="2:145" ht="15.65" customHeight="1">
      <c r="B166" s="959" t="s">
        <v>4157</v>
      </c>
      <c r="C166" s="867" t="s">
        <v>2504</v>
      </c>
      <c r="D166" s="836" t="s">
        <v>2628</v>
      </c>
      <c r="E166" s="836" t="s">
        <v>148</v>
      </c>
      <c r="F166" s="836" t="s">
        <v>4158</v>
      </c>
      <c r="G166" s="836" t="s">
        <v>4159</v>
      </c>
      <c r="H166" s="836" t="s">
        <v>4160</v>
      </c>
      <c r="I166" s="836" t="s">
        <v>4161</v>
      </c>
      <c r="J166" s="836" t="s">
        <v>4162</v>
      </c>
      <c r="K166" s="854" t="s">
        <v>4163</v>
      </c>
      <c r="L166" s="2780"/>
      <c r="M166" s="1043">
        <v>53</v>
      </c>
      <c r="N166" s="2834" t="s">
        <v>4164</v>
      </c>
      <c r="O166" s="2834"/>
      <c r="P166" s="2834"/>
      <c r="Q166" s="2834"/>
      <c r="R166" s="2835"/>
      <c r="S166" s="1044">
        <v>53</v>
      </c>
      <c r="T166" s="2834" t="s">
        <v>4165</v>
      </c>
      <c r="U166" s="2834"/>
      <c r="V166" s="2834"/>
      <c r="W166" s="2834"/>
      <c r="X166" s="2835"/>
      <c r="AE166" s="836">
        <v>2023</v>
      </c>
      <c r="AF166" s="401" t="s">
        <v>148</v>
      </c>
      <c r="AI166" s="836" t="s">
        <v>4166</v>
      </c>
      <c r="AJ166" s="836" t="s">
        <v>4167</v>
      </c>
      <c r="AL166" s="401" t="s">
        <v>4093</v>
      </c>
      <c r="AM166" s="401" t="s">
        <v>1292</v>
      </c>
      <c r="AN166" s="836" t="s">
        <v>4168</v>
      </c>
      <c r="AO166" s="401" t="s">
        <v>148</v>
      </c>
      <c r="AP166" s="401" t="s">
        <v>4028</v>
      </c>
      <c r="AQ166" s="836" t="s">
        <v>4015</v>
      </c>
      <c r="AS166" s="836" t="s">
        <v>4015</v>
      </c>
      <c r="AT166" s="836">
        <v>2023</v>
      </c>
      <c r="AW166" s="856"/>
      <c r="AX166" s="836" t="s">
        <v>4169</v>
      </c>
      <c r="BA166" s="836" t="s">
        <v>4170</v>
      </c>
      <c r="BC166" s="1058" t="s">
        <v>4171</v>
      </c>
      <c r="BD166" s="402"/>
      <c r="BG166" s="1001"/>
      <c r="BH166" s="927" t="s">
        <v>4172</v>
      </c>
      <c r="BI166" s="934" t="s">
        <v>4173</v>
      </c>
      <c r="BJ166" s="934" t="s">
        <v>4174</v>
      </c>
      <c r="BK166" s="934" t="s">
        <v>4175</v>
      </c>
      <c r="BL166" s="934" t="s">
        <v>4176</v>
      </c>
      <c r="BM166" s="934" t="s">
        <v>4177</v>
      </c>
      <c r="BN166" s="934" t="s">
        <v>4178</v>
      </c>
      <c r="BO166" s="934" t="s">
        <v>4179</v>
      </c>
      <c r="BP166" s="934" t="s">
        <v>4180</v>
      </c>
      <c r="BQ166" s="934" t="s">
        <v>4181</v>
      </c>
      <c r="BR166" s="934" t="s">
        <v>4182</v>
      </c>
      <c r="BS166" s="934" t="s">
        <v>4183</v>
      </c>
      <c r="BT166" s="917"/>
      <c r="BU166" s="917"/>
      <c r="BV166" s="917"/>
      <c r="BW166" s="917"/>
      <c r="BX166" s="917"/>
      <c r="BY166" s="917"/>
      <c r="BZ166" s="917"/>
      <c r="CA166" s="917"/>
      <c r="CB166" s="917"/>
      <c r="CC166" s="917"/>
      <c r="CD166" s="917"/>
      <c r="CE166" s="917"/>
      <c r="CF166" s="917"/>
      <c r="CG166" s="917"/>
      <c r="CH166" s="917"/>
      <c r="CI166" s="917"/>
      <c r="CJ166" s="917"/>
      <c r="CK166" s="917"/>
      <c r="CL166" s="917"/>
      <c r="CM166" s="917"/>
      <c r="CN166" s="917"/>
      <c r="CO166" s="917"/>
      <c r="CP166" s="917"/>
      <c r="CQ166" s="917"/>
      <c r="CR166" s="917"/>
      <c r="CS166" s="917"/>
      <c r="CT166" s="917"/>
      <c r="CU166" s="917"/>
      <c r="CV166" s="917"/>
      <c r="CW166" s="917"/>
      <c r="CX166" s="917"/>
      <c r="CY166" s="917"/>
      <c r="CZ166" s="917"/>
      <c r="DA166" s="917"/>
      <c r="DB166" s="917"/>
      <c r="DC166" s="917"/>
      <c r="DD166" s="917"/>
      <c r="DE166" s="917"/>
      <c r="DF166" s="917"/>
      <c r="DG166" s="917"/>
      <c r="DH166" s="917"/>
      <c r="DI166" s="917"/>
      <c r="DJ166" s="917"/>
      <c r="DK166" s="917"/>
      <c r="DL166" s="917"/>
      <c r="DM166" s="917"/>
      <c r="DN166" s="917"/>
      <c r="DO166" s="917"/>
      <c r="DP166" s="917"/>
      <c r="DQ166" s="917"/>
      <c r="DR166" s="917"/>
      <c r="DS166" s="917"/>
      <c r="DT166" s="917"/>
      <c r="DU166" s="917"/>
      <c r="DV166" s="917"/>
      <c r="DW166" s="917"/>
      <c r="DX166" s="917"/>
      <c r="DY166" s="917"/>
      <c r="DZ166" s="917"/>
      <c r="EA166" s="917"/>
      <c r="EB166" s="917"/>
      <c r="EC166" s="917"/>
      <c r="ED166" s="917"/>
      <c r="EE166" s="917"/>
      <c r="EF166" s="917"/>
      <c r="EG166" s="917"/>
      <c r="EH166" s="917"/>
      <c r="EI166" s="917"/>
      <c r="EJ166" s="917"/>
      <c r="EK166" s="917"/>
      <c r="EL166" s="917"/>
      <c r="EM166" s="917"/>
      <c r="EN166" s="917"/>
      <c r="EO166" s="917"/>
    </row>
    <row r="167" spans="2:145" ht="15.65" customHeight="1">
      <c r="B167" s="959" t="s">
        <v>192</v>
      </c>
      <c r="C167" s="867" t="s">
        <v>4184</v>
      </c>
      <c r="D167" s="836" t="s">
        <v>148</v>
      </c>
      <c r="E167" s="836" t="s">
        <v>148</v>
      </c>
      <c r="F167" s="836" t="s">
        <v>4185</v>
      </c>
      <c r="G167" s="836" t="s">
        <v>148</v>
      </c>
      <c r="H167" s="836" t="s">
        <v>148</v>
      </c>
      <c r="I167" s="836" t="s">
        <v>4161</v>
      </c>
      <c r="J167" s="836" t="s">
        <v>4162</v>
      </c>
      <c r="K167" s="854" t="s">
        <v>4163</v>
      </c>
      <c r="L167" s="2780"/>
      <c r="M167" s="1043">
        <v>54</v>
      </c>
      <c r="N167" s="2834" t="s">
        <v>4186</v>
      </c>
      <c r="O167" s="2834"/>
      <c r="P167" s="2834"/>
      <c r="Q167" s="2834"/>
      <c r="R167" s="2835"/>
      <c r="S167" s="1044">
        <v>54</v>
      </c>
      <c r="T167" s="2834" t="s">
        <v>4187</v>
      </c>
      <c r="U167" s="2834"/>
      <c r="V167" s="2834"/>
      <c r="W167" s="2834"/>
      <c r="X167" s="2835"/>
      <c r="AM167" s="401" t="s">
        <v>1338</v>
      </c>
      <c r="AP167" s="401"/>
      <c r="AW167" s="856"/>
      <c r="AX167" s="836" t="s">
        <v>4188</v>
      </c>
      <c r="BA167" s="836" t="s">
        <v>4189</v>
      </c>
      <c r="BC167" s="1059" t="s">
        <v>4190</v>
      </c>
      <c r="BD167" s="854"/>
      <c r="BG167" s="1001"/>
      <c r="BH167" s="927" t="s">
        <v>4191</v>
      </c>
      <c r="BI167" s="934" t="s">
        <v>4192</v>
      </c>
      <c r="BJ167" s="934" t="s">
        <v>4193</v>
      </c>
      <c r="BK167" s="934" t="s">
        <v>4194</v>
      </c>
      <c r="BL167" s="934" t="s">
        <v>4195</v>
      </c>
      <c r="BM167" s="934" t="s">
        <v>4196</v>
      </c>
      <c r="BN167" s="934" t="s">
        <v>4197</v>
      </c>
      <c r="BO167" s="934" t="s">
        <v>4198</v>
      </c>
      <c r="BP167" s="934" t="s">
        <v>4199</v>
      </c>
      <c r="BQ167" s="934" t="s">
        <v>4200</v>
      </c>
      <c r="BR167" s="934" t="s">
        <v>4201</v>
      </c>
      <c r="BS167" s="934" t="s">
        <v>4202</v>
      </c>
      <c r="BT167" s="934" t="s">
        <v>4203</v>
      </c>
      <c r="BU167" s="934" t="s">
        <v>4204</v>
      </c>
      <c r="BV167" s="934" t="s">
        <v>4205</v>
      </c>
      <c r="BW167" s="934" t="s">
        <v>4206</v>
      </c>
      <c r="BX167" s="934" t="s">
        <v>4207</v>
      </c>
      <c r="BY167" s="934" t="s">
        <v>4208</v>
      </c>
      <c r="BZ167" s="934" t="s">
        <v>4209</v>
      </c>
      <c r="CA167" s="934" t="s">
        <v>4210</v>
      </c>
      <c r="CB167" s="934" t="s">
        <v>4211</v>
      </c>
      <c r="CC167" s="934" t="s">
        <v>4212</v>
      </c>
      <c r="CD167" s="934" t="s">
        <v>4213</v>
      </c>
      <c r="CE167" s="934" t="s">
        <v>4214</v>
      </c>
      <c r="CF167" s="934" t="s">
        <v>4215</v>
      </c>
      <c r="CG167" s="934" t="s">
        <v>4216</v>
      </c>
      <c r="CH167" s="934" t="s">
        <v>4217</v>
      </c>
      <c r="CI167" s="934" t="s">
        <v>4218</v>
      </c>
      <c r="CJ167" s="934" t="s">
        <v>4219</v>
      </c>
      <c r="CK167" s="934" t="s">
        <v>4220</v>
      </c>
      <c r="CL167" s="934" t="s">
        <v>4221</v>
      </c>
      <c r="CM167" s="934" t="s">
        <v>4222</v>
      </c>
      <c r="CN167" s="934" t="s">
        <v>4223</v>
      </c>
      <c r="CO167" s="934" t="s">
        <v>4224</v>
      </c>
      <c r="CP167" s="934" t="s">
        <v>4225</v>
      </c>
      <c r="CQ167" s="934" t="s">
        <v>4226</v>
      </c>
      <c r="CR167" s="917"/>
      <c r="CS167" s="917"/>
      <c r="CT167" s="917"/>
      <c r="CU167" s="917"/>
      <c r="CV167" s="917"/>
      <c r="CW167" s="917"/>
      <c r="CX167" s="917"/>
      <c r="CY167" s="917"/>
      <c r="CZ167" s="917"/>
      <c r="DA167" s="917"/>
      <c r="DB167" s="917"/>
      <c r="DC167" s="917"/>
      <c r="DD167" s="917"/>
      <c r="DE167" s="917"/>
      <c r="DF167" s="917"/>
      <c r="DG167" s="917"/>
      <c r="DH167" s="917"/>
      <c r="DI167" s="917"/>
      <c r="DJ167" s="917"/>
      <c r="DK167" s="917"/>
      <c r="DL167" s="917"/>
      <c r="DM167" s="917"/>
      <c r="DN167" s="917"/>
      <c r="DO167" s="917"/>
      <c r="DP167" s="917"/>
      <c r="DQ167" s="917"/>
      <c r="DR167" s="917"/>
      <c r="DS167" s="917"/>
      <c r="DT167" s="917"/>
      <c r="DU167" s="917"/>
      <c r="DV167" s="917"/>
      <c r="DW167" s="917"/>
      <c r="DX167" s="917"/>
      <c r="DY167" s="917"/>
      <c r="DZ167" s="917"/>
      <c r="EA167" s="917"/>
      <c r="EB167" s="917"/>
      <c r="EC167" s="917"/>
      <c r="ED167" s="917"/>
      <c r="EE167" s="917"/>
      <c r="EF167" s="917"/>
      <c r="EG167" s="917"/>
      <c r="EH167" s="917"/>
      <c r="EI167" s="917"/>
      <c r="EJ167" s="917"/>
      <c r="EK167" s="917"/>
      <c r="EL167" s="917"/>
      <c r="EM167" s="917"/>
      <c r="EN167" s="917"/>
      <c r="EO167" s="917"/>
    </row>
    <row r="168" spans="2:145" ht="15.65" customHeight="1">
      <c r="B168" s="959" t="s">
        <v>131</v>
      </c>
      <c r="C168" s="867" t="s">
        <v>2481</v>
      </c>
      <c r="D168" s="836" t="s">
        <v>148</v>
      </c>
      <c r="E168" s="836" t="s">
        <v>148</v>
      </c>
      <c r="F168" s="836" t="s">
        <v>4227</v>
      </c>
      <c r="G168" s="836" t="s">
        <v>4228</v>
      </c>
      <c r="H168" s="836" t="s">
        <v>4229</v>
      </c>
      <c r="I168" s="836" t="s">
        <v>4230</v>
      </c>
      <c r="J168" s="836" t="s">
        <v>4231</v>
      </c>
      <c r="K168" s="854" t="s">
        <v>4232</v>
      </c>
      <c r="L168" s="2780"/>
      <c r="M168" s="1043">
        <v>55</v>
      </c>
      <c r="N168" s="2834" t="s">
        <v>4233</v>
      </c>
      <c r="O168" s="2834"/>
      <c r="P168" s="2834"/>
      <c r="Q168" s="2834"/>
      <c r="R168" s="2835"/>
      <c r="S168" s="1044">
        <v>55</v>
      </c>
      <c r="T168" s="2834" t="s">
        <v>4234</v>
      </c>
      <c r="U168" s="2834"/>
      <c r="V168" s="2834"/>
      <c r="W168" s="2834"/>
      <c r="X168" s="2835"/>
      <c r="AM168" s="401" t="s">
        <v>1369</v>
      </c>
      <c r="AW168" s="856"/>
      <c r="AX168" s="836" t="s">
        <v>4235</v>
      </c>
      <c r="BC168" s="1059" t="s">
        <v>4236</v>
      </c>
      <c r="BD168" s="402"/>
      <c r="BG168" s="1001"/>
      <c r="BH168" s="927"/>
      <c r="BI168" s="917"/>
      <c r="BJ168" s="917"/>
      <c r="BK168" s="917"/>
      <c r="BL168" s="917"/>
      <c r="BM168" s="917"/>
      <c r="BN168" s="917"/>
      <c r="BO168" s="917"/>
      <c r="BP168" s="917"/>
      <c r="BQ168" s="917"/>
      <c r="BR168" s="917"/>
      <c r="BS168" s="917"/>
      <c r="BT168" s="917"/>
      <c r="BU168" s="917"/>
      <c r="BV168" s="917"/>
      <c r="BW168" s="917"/>
      <c r="BX168" s="917"/>
      <c r="BY168" s="917"/>
      <c r="BZ168" s="917"/>
      <c r="CA168" s="917"/>
      <c r="CB168" s="917"/>
      <c r="CC168" s="917"/>
      <c r="CD168" s="917"/>
      <c r="CE168" s="917"/>
      <c r="CF168" s="917"/>
      <c r="CG168" s="917"/>
      <c r="CH168" s="917"/>
      <c r="CI168" s="917"/>
      <c r="CJ168" s="917"/>
      <c r="CK168" s="917"/>
      <c r="CL168" s="917"/>
      <c r="CM168" s="917"/>
      <c r="CN168" s="917"/>
      <c r="CO168" s="917"/>
      <c r="CP168" s="917"/>
      <c r="CQ168" s="917"/>
      <c r="CR168" s="917"/>
      <c r="CS168" s="917"/>
      <c r="CT168" s="917"/>
      <c r="CU168" s="917"/>
      <c r="CV168" s="917"/>
      <c r="CW168" s="917"/>
      <c r="CX168" s="917"/>
      <c r="CY168" s="917"/>
      <c r="CZ168" s="917"/>
      <c r="DA168" s="917"/>
      <c r="DB168" s="917"/>
      <c r="DC168" s="917"/>
      <c r="DD168" s="917"/>
      <c r="DE168" s="917"/>
      <c r="DF168" s="917"/>
      <c r="DG168" s="917"/>
      <c r="DH168" s="917"/>
      <c r="DI168" s="917"/>
      <c r="DJ168" s="917"/>
      <c r="DK168" s="917"/>
      <c r="DL168" s="917"/>
      <c r="DM168" s="917"/>
      <c r="DN168" s="917"/>
      <c r="DO168" s="917"/>
      <c r="DP168" s="917"/>
      <c r="DQ168" s="917"/>
      <c r="DR168" s="917"/>
      <c r="DS168" s="917"/>
      <c r="DT168" s="917"/>
      <c r="DU168" s="917"/>
      <c r="DV168" s="917"/>
      <c r="DW168" s="917"/>
      <c r="DX168" s="917"/>
      <c r="DY168" s="917"/>
      <c r="DZ168" s="917"/>
      <c r="EA168" s="917"/>
      <c r="EB168" s="917"/>
      <c r="EC168" s="917"/>
      <c r="ED168" s="917"/>
      <c r="EE168" s="917"/>
      <c r="EF168" s="917"/>
      <c r="EG168" s="917"/>
      <c r="EH168" s="917"/>
      <c r="EI168" s="917"/>
      <c r="EJ168" s="917"/>
      <c r="EK168" s="917"/>
      <c r="EL168" s="917"/>
      <c r="EM168" s="917"/>
      <c r="EN168" s="917"/>
      <c r="EO168" s="917"/>
    </row>
    <row r="169" spans="2:145" ht="15.65" customHeight="1">
      <c r="B169" s="959" t="s">
        <v>138</v>
      </c>
      <c r="C169" s="867" t="s">
        <v>3318</v>
      </c>
      <c r="D169" s="836" t="s">
        <v>148</v>
      </c>
      <c r="E169" s="836" t="s">
        <v>148</v>
      </c>
      <c r="F169" s="401" t="s">
        <v>4237</v>
      </c>
      <c r="G169" s="836" t="s">
        <v>4228</v>
      </c>
      <c r="H169" s="836" t="s">
        <v>4229</v>
      </c>
      <c r="I169" s="836" t="s">
        <v>4238</v>
      </c>
      <c r="J169" s="836" t="s">
        <v>4239</v>
      </c>
      <c r="K169" s="854" t="s">
        <v>4240</v>
      </c>
      <c r="L169" s="2780"/>
      <c r="M169" s="1043">
        <v>56</v>
      </c>
      <c r="N169" s="2834" t="s">
        <v>4241</v>
      </c>
      <c r="O169" s="2834"/>
      <c r="P169" s="2834"/>
      <c r="Q169" s="2834"/>
      <c r="R169" s="2835"/>
      <c r="S169" s="1044">
        <v>56</v>
      </c>
      <c r="T169" s="2834" t="s">
        <v>4242</v>
      </c>
      <c r="U169" s="2834"/>
      <c r="V169" s="2834"/>
      <c r="W169" s="2834"/>
      <c r="X169" s="2835"/>
      <c r="AM169" s="401" t="s">
        <v>1409</v>
      </c>
      <c r="AW169" s="856"/>
      <c r="AX169" s="1060" t="s">
        <v>4243</v>
      </c>
      <c r="BA169" s="836" t="s">
        <v>4244</v>
      </c>
      <c r="BC169" s="1059" t="s">
        <v>4245</v>
      </c>
      <c r="BD169" s="402"/>
      <c r="BG169" s="1001"/>
      <c r="BH169" s="1027" t="s">
        <v>4246</v>
      </c>
      <c r="BI169" s="917"/>
      <c r="BJ169" s="917"/>
      <c r="BK169" s="917"/>
      <c r="BL169" s="917"/>
      <c r="BM169" s="917"/>
      <c r="BN169" s="917"/>
      <c r="BO169" s="917"/>
      <c r="BP169" s="917"/>
      <c r="BQ169" s="917"/>
      <c r="BR169" s="917"/>
      <c r="BS169" s="917"/>
      <c r="BT169" s="917"/>
      <c r="BU169" s="917"/>
      <c r="BV169" s="917"/>
      <c r="BW169" s="917"/>
      <c r="BX169" s="917"/>
      <c r="BY169" s="917"/>
      <c r="BZ169" s="917"/>
      <c r="CA169" s="917"/>
      <c r="CB169" s="917"/>
      <c r="CC169" s="917"/>
      <c r="CD169" s="917"/>
      <c r="CE169" s="917"/>
      <c r="CF169" s="917"/>
      <c r="CG169" s="917"/>
      <c r="CH169" s="917"/>
      <c r="CI169" s="917"/>
      <c r="CJ169" s="917"/>
      <c r="CK169" s="917"/>
      <c r="CL169" s="917"/>
      <c r="CM169" s="917"/>
      <c r="CN169" s="917"/>
      <c r="CO169" s="917"/>
      <c r="CP169" s="917"/>
      <c r="CQ169" s="917"/>
      <c r="CR169" s="917"/>
      <c r="CS169" s="917"/>
      <c r="CT169" s="917"/>
      <c r="CU169" s="917"/>
      <c r="CV169" s="917"/>
      <c r="CW169" s="917"/>
      <c r="CX169" s="917"/>
      <c r="CY169" s="917"/>
      <c r="CZ169" s="917"/>
      <c r="DA169" s="917"/>
      <c r="DB169" s="917"/>
      <c r="DC169" s="917"/>
      <c r="DD169" s="917"/>
      <c r="DE169" s="917"/>
      <c r="DF169" s="917"/>
      <c r="DG169" s="917"/>
      <c r="DH169" s="917"/>
      <c r="DI169" s="917"/>
      <c r="DJ169" s="917"/>
      <c r="DK169" s="917"/>
      <c r="DL169" s="917"/>
      <c r="DM169" s="917"/>
      <c r="DN169" s="917"/>
      <c r="DO169" s="917"/>
      <c r="DP169" s="917"/>
      <c r="DQ169" s="917"/>
      <c r="DR169" s="917"/>
      <c r="DS169" s="917"/>
      <c r="DT169" s="917"/>
      <c r="DU169" s="917"/>
      <c r="DV169" s="917"/>
      <c r="DW169" s="917"/>
      <c r="DX169" s="917"/>
      <c r="DY169" s="917"/>
      <c r="DZ169" s="917"/>
      <c r="EA169" s="917"/>
      <c r="EB169" s="917"/>
      <c r="EC169" s="917"/>
      <c r="ED169" s="917"/>
      <c r="EE169" s="917"/>
      <c r="EF169" s="917"/>
      <c r="EG169" s="917"/>
      <c r="EH169" s="917"/>
      <c r="EI169" s="917"/>
      <c r="EJ169" s="917"/>
      <c r="EK169" s="917"/>
      <c r="EL169" s="917"/>
      <c r="EM169" s="917"/>
      <c r="EN169" s="917"/>
      <c r="EO169" s="917"/>
    </row>
    <row r="170" spans="2:145" ht="15.65" customHeight="1">
      <c r="B170" s="959" t="s">
        <v>141</v>
      </c>
      <c r="C170" s="867" t="s">
        <v>3318</v>
      </c>
      <c r="D170" s="836" t="s">
        <v>148</v>
      </c>
      <c r="E170" s="836" t="s">
        <v>4247</v>
      </c>
      <c r="F170" s="836" t="s">
        <v>4248</v>
      </c>
      <c r="G170" s="836" t="s">
        <v>4249</v>
      </c>
      <c r="H170" s="836" t="s">
        <v>4250</v>
      </c>
      <c r="I170" s="836" t="s">
        <v>4251</v>
      </c>
      <c r="J170" s="836" t="s">
        <v>4252</v>
      </c>
      <c r="K170" s="854" t="s">
        <v>4253</v>
      </c>
      <c r="L170" s="2780"/>
      <c r="M170" s="1043">
        <v>57</v>
      </c>
      <c r="N170" s="2834" t="s">
        <v>4254</v>
      </c>
      <c r="O170" s="2834"/>
      <c r="P170" s="2834"/>
      <c r="Q170" s="2834"/>
      <c r="R170" s="2835"/>
      <c r="S170" s="1044">
        <v>57</v>
      </c>
      <c r="T170" s="2834" t="s">
        <v>4255</v>
      </c>
      <c r="U170" s="2834"/>
      <c r="V170" s="2834"/>
      <c r="W170" s="2834"/>
      <c r="X170" s="2835"/>
      <c r="AM170" s="401" t="s">
        <v>1431</v>
      </c>
      <c r="AW170" s="856"/>
      <c r="AX170" s="1060" t="s">
        <v>4256</v>
      </c>
      <c r="BA170" s="836" t="s">
        <v>4257</v>
      </c>
      <c r="BC170" s="1059" t="s">
        <v>4258</v>
      </c>
      <c r="BD170" s="402"/>
      <c r="BG170" s="1001"/>
      <c r="BH170" s="927" t="s">
        <v>4259</v>
      </c>
      <c r="BI170" s="934" t="s">
        <v>4260</v>
      </c>
      <c r="BJ170" s="934" t="s">
        <v>4261</v>
      </c>
      <c r="BK170" s="934" t="s">
        <v>4262</v>
      </c>
      <c r="BL170" s="934" t="s">
        <v>4263</v>
      </c>
      <c r="BM170" s="934" t="s">
        <v>4264</v>
      </c>
      <c r="BN170" s="934" t="s">
        <v>4265</v>
      </c>
      <c r="BO170" s="934" t="s">
        <v>4266</v>
      </c>
      <c r="BP170" s="934" t="s">
        <v>4267</v>
      </c>
      <c r="BQ170" s="934" t="s">
        <v>4268</v>
      </c>
      <c r="BR170" s="934" t="s">
        <v>4269</v>
      </c>
      <c r="BS170" s="934" t="s">
        <v>4270</v>
      </c>
      <c r="BT170" s="934" t="s">
        <v>4271</v>
      </c>
      <c r="BU170" s="934" t="s">
        <v>4272</v>
      </c>
      <c r="BV170" s="934" t="s">
        <v>4273</v>
      </c>
      <c r="BW170" s="934" t="s">
        <v>4274</v>
      </c>
      <c r="BX170" s="934" t="s">
        <v>4275</v>
      </c>
      <c r="BY170" s="934" t="s">
        <v>4276</v>
      </c>
      <c r="BZ170" s="934" t="s">
        <v>4277</v>
      </c>
      <c r="CA170" s="934" t="s">
        <v>4278</v>
      </c>
      <c r="CB170" s="917"/>
      <c r="CC170" s="917"/>
      <c r="CD170" s="917"/>
      <c r="CE170" s="917"/>
      <c r="CF170" s="917"/>
      <c r="CG170" s="917"/>
      <c r="CH170" s="917"/>
      <c r="CI170" s="917"/>
      <c r="CJ170" s="917"/>
      <c r="CK170" s="917"/>
      <c r="CL170" s="917"/>
      <c r="CM170" s="917"/>
      <c r="CN170" s="917"/>
      <c r="CO170" s="917"/>
      <c r="CP170" s="917"/>
      <c r="CQ170" s="917"/>
      <c r="CR170" s="917"/>
      <c r="CS170" s="917"/>
      <c r="CT170" s="917"/>
      <c r="CU170" s="917"/>
      <c r="CV170" s="917"/>
      <c r="CW170" s="917"/>
      <c r="CX170" s="917"/>
      <c r="CY170" s="917"/>
      <c r="CZ170" s="917"/>
      <c r="DA170" s="917"/>
      <c r="DB170" s="917"/>
      <c r="DC170" s="917"/>
      <c r="DD170" s="917"/>
      <c r="DE170" s="917"/>
      <c r="DF170" s="917"/>
      <c r="DG170" s="917"/>
      <c r="DH170" s="917"/>
      <c r="DI170" s="917"/>
      <c r="DJ170" s="917"/>
      <c r="DK170" s="917"/>
      <c r="DL170" s="917"/>
      <c r="DM170" s="917"/>
      <c r="DN170" s="917"/>
      <c r="DO170" s="917"/>
      <c r="DP170" s="917"/>
      <c r="DQ170" s="917"/>
      <c r="DR170" s="917"/>
      <c r="DS170" s="917"/>
      <c r="DT170" s="917"/>
      <c r="DU170" s="917"/>
      <c r="DV170" s="917"/>
      <c r="DW170" s="917"/>
      <c r="DX170" s="917"/>
      <c r="DY170" s="917"/>
      <c r="DZ170" s="917"/>
      <c r="EA170" s="917"/>
      <c r="EB170" s="917"/>
      <c r="EC170" s="917"/>
      <c r="ED170" s="917"/>
      <c r="EE170" s="917"/>
      <c r="EF170" s="917"/>
      <c r="EG170" s="917"/>
      <c r="EH170" s="917"/>
      <c r="EI170" s="917"/>
      <c r="EJ170" s="917"/>
      <c r="EK170" s="917"/>
      <c r="EL170" s="917"/>
      <c r="EM170" s="917"/>
      <c r="EN170" s="917"/>
      <c r="EO170" s="917"/>
    </row>
    <row r="171" spans="2:145" ht="15.65" customHeight="1">
      <c r="B171" s="959" t="s">
        <v>129</v>
      </c>
      <c r="C171" s="867" t="s">
        <v>2504</v>
      </c>
      <c r="D171" s="836" t="s">
        <v>148</v>
      </c>
      <c r="E171" s="836" t="s">
        <v>148</v>
      </c>
      <c r="F171" s="836" t="s">
        <v>4279</v>
      </c>
      <c r="G171" s="836" t="s">
        <v>4280</v>
      </c>
      <c r="H171" s="836" t="s">
        <v>4281</v>
      </c>
      <c r="I171" s="836" t="s">
        <v>4282</v>
      </c>
      <c r="J171" s="1061" t="s">
        <v>4283</v>
      </c>
      <c r="K171" s="854" t="s">
        <v>4284</v>
      </c>
      <c r="L171" s="2780"/>
      <c r="M171" s="1043">
        <v>58</v>
      </c>
      <c r="N171" s="2834" t="s">
        <v>4285</v>
      </c>
      <c r="O171" s="2834"/>
      <c r="P171" s="2834"/>
      <c r="Q171" s="2834"/>
      <c r="R171" s="2835"/>
      <c r="S171" s="1044">
        <v>58</v>
      </c>
      <c r="T171" s="2834" t="s">
        <v>4286</v>
      </c>
      <c r="U171" s="2834"/>
      <c r="V171" s="2834"/>
      <c r="W171" s="2834"/>
      <c r="X171" s="2835"/>
      <c r="AM171" s="401" t="s">
        <v>1447</v>
      </c>
      <c r="AW171" s="856"/>
      <c r="AX171" s="1062" t="s">
        <v>4287</v>
      </c>
      <c r="BA171" s="836" t="s">
        <v>4288</v>
      </c>
      <c r="BC171" s="1059" t="s">
        <v>4289</v>
      </c>
      <c r="BD171" s="402"/>
      <c r="BG171" s="1001"/>
      <c r="BH171" s="927" t="s">
        <v>4290</v>
      </c>
      <c r="BI171" s="934" t="s">
        <v>4291</v>
      </c>
      <c r="BJ171" s="934" t="s">
        <v>4292</v>
      </c>
      <c r="BK171" s="934" t="s">
        <v>4293</v>
      </c>
      <c r="BL171" s="934" t="s">
        <v>4294</v>
      </c>
      <c r="BM171" s="934" t="s">
        <v>4295</v>
      </c>
      <c r="BN171" s="934" t="s">
        <v>4296</v>
      </c>
      <c r="BO171" s="934" t="s">
        <v>4297</v>
      </c>
      <c r="BP171" s="934" t="s">
        <v>4298</v>
      </c>
      <c r="BQ171" s="934" t="s">
        <v>4299</v>
      </c>
      <c r="BR171" s="934" t="s">
        <v>4300</v>
      </c>
      <c r="BS171" s="934" t="s">
        <v>4301</v>
      </c>
      <c r="BT171" s="934" t="s">
        <v>4302</v>
      </c>
      <c r="BU171" s="934" t="s">
        <v>4303</v>
      </c>
      <c r="BV171" s="934" t="s">
        <v>4304</v>
      </c>
      <c r="BW171" s="917"/>
      <c r="BX171" s="917"/>
      <c r="BY171" s="917"/>
      <c r="BZ171" s="917"/>
      <c r="CA171" s="917"/>
      <c r="CB171" s="917"/>
      <c r="CC171" s="917"/>
      <c r="CD171" s="917"/>
      <c r="CE171" s="917"/>
      <c r="CF171" s="917"/>
      <c r="CG171" s="917"/>
      <c r="CH171" s="917"/>
      <c r="CI171" s="917"/>
      <c r="CJ171" s="917"/>
      <c r="CK171" s="917"/>
      <c r="CL171" s="917"/>
      <c r="CM171" s="917"/>
      <c r="CN171" s="917"/>
      <c r="CO171" s="917"/>
      <c r="CP171" s="917"/>
      <c r="CQ171" s="917"/>
      <c r="CR171" s="917"/>
      <c r="CS171" s="917"/>
      <c r="CT171" s="917"/>
      <c r="CU171" s="917"/>
      <c r="CV171" s="917"/>
      <c r="CW171" s="917"/>
      <c r="CX171" s="917"/>
      <c r="CY171" s="917"/>
      <c r="CZ171" s="917"/>
      <c r="DA171" s="917"/>
      <c r="DB171" s="917"/>
      <c r="DC171" s="917"/>
      <c r="DD171" s="917"/>
      <c r="DE171" s="917"/>
      <c r="DF171" s="917"/>
      <c r="DG171" s="917"/>
      <c r="DH171" s="917"/>
      <c r="DI171" s="917"/>
      <c r="DJ171" s="917"/>
      <c r="DK171" s="917"/>
      <c r="DL171" s="917"/>
      <c r="DM171" s="917"/>
      <c r="DN171" s="917"/>
      <c r="DO171" s="917"/>
      <c r="DP171" s="917"/>
      <c r="DQ171" s="917"/>
      <c r="DR171" s="917"/>
      <c r="DS171" s="917"/>
      <c r="DT171" s="917"/>
      <c r="DU171" s="917"/>
      <c r="DV171" s="917"/>
      <c r="DW171" s="917"/>
      <c r="DX171" s="917"/>
      <c r="DY171" s="917"/>
      <c r="DZ171" s="917"/>
      <c r="EA171" s="917"/>
      <c r="EB171" s="917"/>
      <c r="EC171" s="917"/>
      <c r="ED171" s="917"/>
      <c r="EE171" s="917"/>
      <c r="EF171" s="917"/>
      <c r="EG171" s="917"/>
      <c r="EH171" s="917"/>
      <c r="EI171" s="917"/>
      <c r="EJ171" s="917"/>
      <c r="EK171" s="917"/>
      <c r="EL171" s="917"/>
      <c r="EM171" s="917"/>
      <c r="EN171" s="917"/>
      <c r="EO171" s="917"/>
    </row>
    <row r="172" spans="2:145" ht="15.65" customHeight="1">
      <c r="B172" s="959" t="s">
        <v>154</v>
      </c>
      <c r="C172" s="867" t="s">
        <v>3554</v>
      </c>
      <c r="D172" s="836" t="s">
        <v>148</v>
      </c>
      <c r="E172" s="836" t="s">
        <v>148</v>
      </c>
      <c r="F172" s="836" t="s">
        <v>4305</v>
      </c>
      <c r="G172" s="836" t="s">
        <v>4306</v>
      </c>
      <c r="H172" s="836" t="s">
        <v>4306</v>
      </c>
      <c r="I172" s="836" t="s">
        <v>4307</v>
      </c>
      <c r="J172" s="1061" t="s">
        <v>4308</v>
      </c>
      <c r="K172" s="854" t="s">
        <v>4309</v>
      </c>
      <c r="L172" s="2780"/>
      <c r="M172" s="1043">
        <v>59</v>
      </c>
      <c r="N172" s="2834" t="s">
        <v>4310</v>
      </c>
      <c r="O172" s="2834"/>
      <c r="P172" s="2834"/>
      <c r="Q172" s="2834"/>
      <c r="R172" s="2835"/>
      <c r="S172" s="1044">
        <v>59</v>
      </c>
      <c r="T172" s="2834" t="s">
        <v>4311</v>
      </c>
      <c r="U172" s="2834"/>
      <c r="V172" s="2834"/>
      <c r="W172" s="2834"/>
      <c r="X172" s="2835"/>
      <c r="AM172" s="401" t="s">
        <v>1465</v>
      </c>
      <c r="AW172" s="856"/>
      <c r="AX172" s="836" t="s">
        <v>4312</v>
      </c>
      <c r="BA172" s="836" t="s">
        <v>4313</v>
      </c>
      <c r="BC172" s="1059" t="s">
        <v>751</v>
      </c>
      <c r="BD172" s="402"/>
      <c r="BG172" s="1001"/>
      <c r="BH172" s="927" t="s">
        <v>4314</v>
      </c>
      <c r="BI172" s="934" t="s">
        <v>4315</v>
      </c>
      <c r="BJ172" s="934" t="s">
        <v>4316</v>
      </c>
      <c r="BK172" s="934" t="s">
        <v>3668</v>
      </c>
      <c r="BL172" s="934" t="s">
        <v>2576</v>
      </c>
      <c r="BM172" s="934" t="s">
        <v>1417</v>
      </c>
      <c r="BN172" s="934" t="s">
        <v>1225</v>
      </c>
      <c r="BO172" s="934" t="s">
        <v>3364</v>
      </c>
      <c r="BP172" s="934" t="s">
        <v>1226</v>
      </c>
      <c r="BQ172" s="934" t="s">
        <v>4020</v>
      </c>
      <c r="BR172" s="934" t="s">
        <v>4317</v>
      </c>
      <c r="BS172" s="934" t="s">
        <v>4318</v>
      </c>
      <c r="BT172" s="934" t="s">
        <v>4319</v>
      </c>
      <c r="BU172" s="934" t="s">
        <v>4320</v>
      </c>
      <c r="BV172" s="934" t="s">
        <v>4321</v>
      </c>
      <c r="BW172" s="934" t="s">
        <v>1828</v>
      </c>
      <c r="BX172" s="934" t="s">
        <v>4322</v>
      </c>
      <c r="BY172" s="917"/>
      <c r="BZ172" s="917"/>
      <c r="CA172" s="917"/>
      <c r="CB172" s="917"/>
      <c r="CC172" s="917"/>
      <c r="CD172" s="917"/>
      <c r="CE172" s="917"/>
      <c r="CF172" s="917"/>
      <c r="CG172" s="917"/>
      <c r="CH172" s="917"/>
      <c r="CI172" s="917"/>
      <c r="CJ172" s="917"/>
      <c r="CK172" s="917"/>
      <c r="CL172" s="917"/>
      <c r="CM172" s="917"/>
      <c r="CN172" s="917"/>
      <c r="CO172" s="917"/>
      <c r="CP172" s="917"/>
      <c r="CQ172" s="917"/>
      <c r="CR172" s="917"/>
      <c r="CS172" s="917"/>
      <c r="CT172" s="917"/>
      <c r="CU172" s="917"/>
      <c r="CV172" s="917"/>
      <c r="CW172" s="917"/>
      <c r="CX172" s="917"/>
      <c r="CY172" s="917"/>
      <c r="CZ172" s="917"/>
      <c r="DA172" s="917"/>
      <c r="DB172" s="917"/>
      <c r="DC172" s="917"/>
      <c r="DD172" s="917"/>
      <c r="DE172" s="917"/>
      <c r="DF172" s="917"/>
      <c r="DG172" s="917"/>
      <c r="DH172" s="917"/>
      <c r="DI172" s="917"/>
      <c r="DJ172" s="917"/>
      <c r="DK172" s="917"/>
      <c r="DL172" s="917"/>
      <c r="DM172" s="917"/>
      <c r="DN172" s="917"/>
      <c r="DO172" s="917"/>
      <c r="DP172" s="917"/>
      <c r="DQ172" s="917"/>
      <c r="DR172" s="917"/>
      <c r="DS172" s="917"/>
      <c r="DT172" s="917"/>
      <c r="DU172" s="917"/>
      <c r="DV172" s="917"/>
      <c r="DW172" s="917"/>
      <c r="DX172" s="917"/>
      <c r="DY172" s="917"/>
      <c r="DZ172" s="917"/>
      <c r="EA172" s="917"/>
      <c r="EB172" s="917"/>
      <c r="EC172" s="917"/>
      <c r="ED172" s="917"/>
      <c r="EE172" s="917"/>
      <c r="EF172" s="917"/>
      <c r="EG172" s="917"/>
      <c r="EH172" s="917"/>
      <c r="EI172" s="917"/>
      <c r="EJ172" s="917"/>
      <c r="EK172" s="917"/>
      <c r="EL172" s="917"/>
      <c r="EM172" s="917"/>
      <c r="EN172" s="917"/>
      <c r="EO172" s="917"/>
    </row>
    <row r="173" spans="2:145" ht="15.65" customHeight="1">
      <c r="B173" s="959" t="s">
        <v>176</v>
      </c>
      <c r="C173" s="867" t="s">
        <v>2504</v>
      </c>
      <c r="D173" s="836" t="s">
        <v>148</v>
      </c>
      <c r="E173" s="836" t="s">
        <v>148</v>
      </c>
      <c r="F173" s="836" t="s">
        <v>4323</v>
      </c>
      <c r="G173" s="836" t="s">
        <v>4324</v>
      </c>
      <c r="H173" s="836" t="s">
        <v>4325</v>
      </c>
      <c r="I173" s="836" t="s">
        <v>4326</v>
      </c>
      <c r="J173" s="1061" t="s">
        <v>4327</v>
      </c>
      <c r="K173" s="854" t="s">
        <v>4328</v>
      </c>
      <c r="L173" s="2780"/>
      <c r="M173" s="1043">
        <v>60</v>
      </c>
      <c r="N173" s="2834" t="s">
        <v>4329</v>
      </c>
      <c r="O173" s="2834"/>
      <c r="P173" s="2834"/>
      <c r="Q173" s="2834"/>
      <c r="R173" s="2835"/>
      <c r="S173" s="1044">
        <v>60</v>
      </c>
      <c r="T173" s="2834" t="s">
        <v>4330</v>
      </c>
      <c r="U173" s="2834"/>
      <c r="V173" s="2834"/>
      <c r="W173" s="2834"/>
      <c r="X173" s="2835"/>
      <c r="AM173" s="401" t="s">
        <v>1483</v>
      </c>
      <c r="AW173" s="856"/>
      <c r="AX173" s="836" t="s">
        <v>4331</v>
      </c>
      <c r="BC173" s="1059" t="s">
        <v>4332</v>
      </c>
      <c r="BD173" s="402"/>
      <c r="BG173" s="1001"/>
      <c r="BH173" s="927" t="s">
        <v>4333</v>
      </c>
      <c r="BI173" s="934" t="s">
        <v>4334</v>
      </c>
      <c r="BJ173" s="934" t="s">
        <v>4335</v>
      </c>
      <c r="BK173" s="934" t="s">
        <v>4336</v>
      </c>
      <c r="BL173" s="934" t="s">
        <v>4337</v>
      </c>
      <c r="BM173" s="934" t="s">
        <v>4338</v>
      </c>
      <c r="BN173" s="934" t="s">
        <v>4339</v>
      </c>
      <c r="BO173" s="917"/>
      <c r="BP173" s="917"/>
      <c r="BQ173" s="917"/>
      <c r="BR173" s="917"/>
      <c r="BS173" s="917"/>
      <c r="BT173" s="917"/>
      <c r="BU173" s="917"/>
      <c r="BV173" s="917"/>
      <c r="BW173" s="917"/>
      <c r="BX173" s="917"/>
      <c r="BY173" s="917"/>
      <c r="BZ173" s="917"/>
      <c r="CA173" s="917"/>
      <c r="CB173" s="917"/>
      <c r="CC173" s="917"/>
      <c r="CD173" s="917"/>
      <c r="CE173" s="917"/>
      <c r="CF173" s="917"/>
      <c r="CG173" s="917"/>
      <c r="CH173" s="917"/>
      <c r="CI173" s="917"/>
      <c r="CJ173" s="917"/>
      <c r="CK173" s="917"/>
      <c r="CL173" s="917"/>
      <c r="CM173" s="917"/>
      <c r="CN173" s="917"/>
      <c r="CO173" s="917"/>
      <c r="CP173" s="917"/>
      <c r="CQ173" s="917"/>
      <c r="CR173" s="917"/>
      <c r="CS173" s="917"/>
      <c r="CT173" s="917"/>
      <c r="CU173" s="917"/>
      <c r="CV173" s="917"/>
      <c r="CW173" s="917"/>
      <c r="CX173" s="917"/>
      <c r="CY173" s="917"/>
      <c r="CZ173" s="917"/>
      <c r="DA173" s="917"/>
      <c r="DB173" s="917"/>
      <c r="DC173" s="917"/>
      <c r="DD173" s="917"/>
      <c r="DE173" s="917"/>
      <c r="DF173" s="917"/>
      <c r="DG173" s="917"/>
      <c r="DH173" s="917"/>
      <c r="DI173" s="917"/>
      <c r="DJ173" s="917"/>
      <c r="DK173" s="917"/>
      <c r="DL173" s="917"/>
      <c r="DM173" s="917"/>
      <c r="DN173" s="917"/>
      <c r="DO173" s="917"/>
      <c r="DP173" s="917"/>
      <c r="DQ173" s="917"/>
      <c r="DR173" s="917"/>
      <c r="DS173" s="917"/>
      <c r="DT173" s="917"/>
      <c r="DU173" s="917"/>
      <c r="DV173" s="917"/>
      <c r="DW173" s="917"/>
      <c r="DX173" s="917"/>
      <c r="DY173" s="917"/>
      <c r="DZ173" s="917"/>
      <c r="EA173" s="917"/>
      <c r="EB173" s="917"/>
      <c r="EC173" s="917"/>
      <c r="ED173" s="917"/>
      <c r="EE173" s="917"/>
      <c r="EF173" s="917"/>
      <c r="EG173" s="917"/>
      <c r="EH173" s="917"/>
      <c r="EI173" s="917"/>
      <c r="EJ173" s="917"/>
      <c r="EK173" s="917"/>
      <c r="EL173" s="917"/>
      <c r="EM173" s="917"/>
      <c r="EN173" s="917"/>
      <c r="EO173" s="917"/>
    </row>
    <row r="174" spans="2:145" ht="15.65" customHeight="1">
      <c r="B174" s="959" t="s">
        <v>143</v>
      </c>
      <c r="C174" s="867" t="s">
        <v>3554</v>
      </c>
      <c r="D174" s="836" t="s">
        <v>148</v>
      </c>
      <c r="E174" s="836" t="s">
        <v>148</v>
      </c>
      <c r="F174" s="836" t="s">
        <v>4340</v>
      </c>
      <c r="G174" s="836" t="s">
        <v>4341</v>
      </c>
      <c r="H174" s="836" t="s">
        <v>4342</v>
      </c>
      <c r="I174" s="836" t="s">
        <v>4343</v>
      </c>
      <c r="J174" s="1061" t="s">
        <v>4344</v>
      </c>
      <c r="K174" s="854" t="s">
        <v>4345</v>
      </c>
      <c r="L174" s="2780"/>
      <c r="M174" s="1043">
        <v>61</v>
      </c>
      <c r="N174" s="2834" t="s">
        <v>4346</v>
      </c>
      <c r="O174" s="2834"/>
      <c r="P174" s="2834"/>
      <c r="Q174" s="2834"/>
      <c r="R174" s="2835"/>
      <c r="S174" s="1044">
        <v>61</v>
      </c>
      <c r="T174" s="2834" t="s">
        <v>4347</v>
      </c>
      <c r="U174" s="2834"/>
      <c r="V174" s="2834"/>
      <c r="W174" s="2834"/>
      <c r="X174" s="2835"/>
      <c r="AM174" s="401" t="s">
        <v>1499</v>
      </c>
      <c r="AW174" s="856"/>
      <c r="AX174" s="836" t="s">
        <v>4348</v>
      </c>
      <c r="BA174" s="836" t="s">
        <v>4349</v>
      </c>
      <c r="BC174" s="1059" t="s">
        <v>4350</v>
      </c>
      <c r="BD174" s="402"/>
      <c r="BG174" s="1001"/>
      <c r="BH174" s="927" t="s">
        <v>4351</v>
      </c>
      <c r="BI174" s="934" t="s">
        <v>4352</v>
      </c>
      <c r="BJ174" s="934" t="s">
        <v>4353</v>
      </c>
      <c r="BK174" s="934" t="s">
        <v>4354</v>
      </c>
      <c r="BL174" s="934" t="s">
        <v>4355</v>
      </c>
      <c r="BM174" s="934" t="s">
        <v>4356</v>
      </c>
      <c r="BN174" s="934" t="s">
        <v>4357</v>
      </c>
      <c r="BO174" s="934" t="s">
        <v>4358</v>
      </c>
      <c r="BP174" s="934" t="s">
        <v>4359</v>
      </c>
      <c r="BQ174" s="934" t="s">
        <v>4360</v>
      </c>
      <c r="BR174" s="934" t="s">
        <v>4361</v>
      </c>
      <c r="BS174" s="917"/>
      <c r="BT174" s="917"/>
      <c r="BU174" s="917"/>
      <c r="BV174" s="917"/>
      <c r="BW174" s="917"/>
      <c r="BX174" s="917"/>
      <c r="BY174" s="917"/>
      <c r="BZ174" s="917"/>
      <c r="CA174" s="917"/>
      <c r="CB174" s="917"/>
      <c r="CC174" s="917"/>
      <c r="CD174" s="917"/>
      <c r="CE174" s="917"/>
      <c r="CF174" s="917"/>
      <c r="CG174" s="917"/>
      <c r="CH174" s="917"/>
      <c r="CI174" s="917"/>
      <c r="CJ174" s="917"/>
      <c r="CK174" s="917"/>
      <c r="CL174" s="917"/>
      <c r="CM174" s="917"/>
      <c r="CN174" s="917"/>
      <c r="CO174" s="917"/>
      <c r="CP174" s="917"/>
      <c r="CQ174" s="917"/>
      <c r="CR174" s="917"/>
      <c r="CS174" s="917"/>
      <c r="CT174" s="917"/>
      <c r="CU174" s="917"/>
      <c r="CV174" s="917"/>
      <c r="CW174" s="917"/>
      <c r="CX174" s="917"/>
      <c r="CY174" s="917"/>
      <c r="CZ174" s="917"/>
      <c r="DA174" s="917"/>
      <c r="DB174" s="917"/>
      <c r="DC174" s="917"/>
      <c r="DD174" s="917"/>
      <c r="DE174" s="917"/>
      <c r="DF174" s="917"/>
      <c r="DG174" s="917"/>
      <c r="DH174" s="917"/>
      <c r="DI174" s="917"/>
      <c r="DJ174" s="917"/>
      <c r="DK174" s="917"/>
      <c r="DL174" s="917"/>
      <c r="DM174" s="917"/>
      <c r="DN174" s="917"/>
      <c r="DO174" s="917"/>
      <c r="DP174" s="917"/>
      <c r="DQ174" s="917"/>
      <c r="DR174" s="917"/>
      <c r="DS174" s="917"/>
      <c r="DT174" s="917"/>
      <c r="DU174" s="917"/>
      <c r="DV174" s="917"/>
      <c r="DW174" s="917"/>
      <c r="DX174" s="917"/>
      <c r="DY174" s="917"/>
      <c r="DZ174" s="917"/>
      <c r="EA174" s="917"/>
      <c r="EB174" s="917"/>
      <c r="EC174" s="917"/>
      <c r="ED174" s="917"/>
      <c r="EE174" s="917"/>
      <c r="EF174" s="917"/>
      <c r="EG174" s="917"/>
      <c r="EH174" s="917"/>
      <c r="EI174" s="917"/>
      <c r="EJ174" s="917"/>
      <c r="EK174" s="917"/>
      <c r="EL174" s="917"/>
      <c r="EM174" s="917"/>
      <c r="EN174" s="917"/>
      <c r="EO174" s="917"/>
    </row>
    <row r="175" spans="2:145" ht="15.65" customHeight="1">
      <c r="B175" s="959" t="s">
        <v>151</v>
      </c>
      <c r="C175" s="867" t="s">
        <v>3554</v>
      </c>
      <c r="D175" s="836" t="s">
        <v>148</v>
      </c>
      <c r="E175" s="836" t="s">
        <v>148</v>
      </c>
      <c r="F175" s="401" t="s">
        <v>4362</v>
      </c>
      <c r="G175" s="836" t="s">
        <v>4363</v>
      </c>
      <c r="H175" s="836" t="s">
        <v>4364</v>
      </c>
      <c r="I175" s="1061" t="s">
        <v>4365</v>
      </c>
      <c r="J175" s="1061" t="s">
        <v>4366</v>
      </c>
      <c r="K175" s="854" t="s">
        <v>4367</v>
      </c>
      <c r="L175" s="2780"/>
      <c r="M175" s="1043">
        <v>62</v>
      </c>
      <c r="N175" s="2834" t="s">
        <v>4368</v>
      </c>
      <c r="O175" s="2834"/>
      <c r="P175" s="2834"/>
      <c r="Q175" s="2834"/>
      <c r="R175" s="2835"/>
      <c r="S175" s="1044">
        <v>62</v>
      </c>
      <c r="T175" s="2834" t="s">
        <v>4369</v>
      </c>
      <c r="U175" s="2834"/>
      <c r="V175" s="2834"/>
      <c r="W175" s="2834"/>
      <c r="X175" s="2835"/>
      <c r="AM175" s="401" t="s">
        <v>1523</v>
      </c>
      <c r="AW175" s="856"/>
      <c r="AX175" s="836" t="s">
        <v>4370</v>
      </c>
      <c r="BA175" s="836" t="s">
        <v>4371</v>
      </c>
      <c r="BC175" s="1059" t="s">
        <v>4372</v>
      </c>
      <c r="BD175" s="402"/>
      <c r="BG175" s="1001"/>
      <c r="BH175" s="1017" t="s">
        <v>4373</v>
      </c>
      <c r="BI175" s="934" t="s">
        <v>4374</v>
      </c>
      <c r="BJ175" s="934" t="s">
        <v>4375</v>
      </c>
      <c r="BK175" s="934" t="s">
        <v>4376</v>
      </c>
      <c r="BL175" s="934" t="s">
        <v>4377</v>
      </c>
      <c r="BM175" s="934" t="s">
        <v>4378</v>
      </c>
      <c r="BN175" s="934" t="s">
        <v>4379</v>
      </c>
      <c r="BO175" s="934" t="s">
        <v>4380</v>
      </c>
      <c r="BP175" s="934" t="s">
        <v>4381</v>
      </c>
      <c r="BQ175" s="934" t="s">
        <v>4382</v>
      </c>
      <c r="BR175" s="934" t="s">
        <v>4383</v>
      </c>
      <c r="BS175" s="934" t="s">
        <v>4319</v>
      </c>
      <c r="BT175" s="934" t="s">
        <v>4384</v>
      </c>
      <c r="BU175" s="934" t="s">
        <v>4385</v>
      </c>
      <c r="BV175" s="934" t="s">
        <v>4386</v>
      </c>
      <c r="BW175" s="917"/>
      <c r="BX175" s="917"/>
      <c r="BY175" s="917"/>
      <c r="BZ175" s="917"/>
      <c r="CA175" s="917"/>
      <c r="CB175" s="917"/>
      <c r="CC175" s="917"/>
      <c r="CD175" s="917"/>
      <c r="CE175" s="917"/>
      <c r="CF175" s="917"/>
      <c r="CG175" s="917"/>
      <c r="CH175" s="917"/>
      <c r="CI175" s="917"/>
      <c r="CJ175" s="917"/>
      <c r="CK175" s="917"/>
      <c r="CL175" s="917"/>
      <c r="CM175" s="917"/>
      <c r="CN175" s="917"/>
      <c r="CO175" s="917"/>
      <c r="CP175" s="917"/>
      <c r="CQ175" s="917"/>
      <c r="CR175" s="917"/>
      <c r="CS175" s="917"/>
      <c r="CT175" s="917"/>
      <c r="CU175" s="917"/>
      <c r="CV175" s="917"/>
      <c r="CW175" s="917"/>
      <c r="CX175" s="917"/>
      <c r="CY175" s="917"/>
      <c r="CZ175" s="917"/>
      <c r="DA175" s="917"/>
      <c r="DB175" s="917"/>
      <c r="DC175" s="917"/>
      <c r="DD175" s="917"/>
      <c r="DE175" s="917"/>
      <c r="DF175" s="917"/>
      <c r="DG175" s="917"/>
      <c r="DH175" s="917"/>
      <c r="DI175" s="917"/>
      <c r="DJ175" s="917"/>
      <c r="DK175" s="917"/>
      <c r="DL175" s="917"/>
      <c r="DM175" s="917"/>
      <c r="DN175" s="917"/>
      <c r="DO175" s="917"/>
      <c r="DP175" s="917"/>
      <c r="DQ175" s="917"/>
      <c r="DR175" s="917"/>
      <c r="DS175" s="917"/>
      <c r="DT175" s="917"/>
      <c r="DU175" s="917"/>
      <c r="DV175" s="917"/>
      <c r="DW175" s="917"/>
      <c r="DX175" s="917"/>
      <c r="DY175" s="917"/>
      <c r="DZ175" s="917"/>
      <c r="EA175" s="917"/>
      <c r="EB175" s="917"/>
      <c r="EC175" s="917"/>
      <c r="ED175" s="917"/>
      <c r="EE175" s="917"/>
      <c r="EF175" s="917"/>
      <c r="EG175" s="917"/>
      <c r="EH175" s="917"/>
      <c r="EI175" s="917"/>
      <c r="EJ175" s="917"/>
      <c r="EK175" s="917"/>
      <c r="EL175" s="917"/>
      <c r="EM175" s="917"/>
      <c r="EN175" s="917"/>
      <c r="EO175" s="917"/>
    </row>
    <row r="176" spans="2:145" ht="15.65" customHeight="1">
      <c r="B176" s="959" t="s">
        <v>146</v>
      </c>
      <c r="C176" s="867" t="s">
        <v>2481</v>
      </c>
      <c r="D176" s="836" t="s">
        <v>148</v>
      </c>
      <c r="E176" s="836" t="s">
        <v>148</v>
      </c>
      <c r="F176" s="836" t="s">
        <v>4387</v>
      </c>
      <c r="G176" s="836" t="s">
        <v>4388</v>
      </c>
      <c r="H176" s="836" t="s">
        <v>4389</v>
      </c>
      <c r="I176" s="1061" t="s">
        <v>4390</v>
      </c>
      <c r="J176" s="836" t="s">
        <v>4391</v>
      </c>
      <c r="K176" s="854" t="s">
        <v>4392</v>
      </c>
      <c r="L176" s="2780"/>
      <c r="M176" s="1043">
        <v>63</v>
      </c>
      <c r="N176" s="2834" t="s">
        <v>4393</v>
      </c>
      <c r="O176" s="2834"/>
      <c r="P176" s="2834"/>
      <c r="Q176" s="2834"/>
      <c r="R176" s="2835"/>
      <c r="S176" s="1044">
        <v>63</v>
      </c>
      <c r="T176" s="2834" t="s">
        <v>4394</v>
      </c>
      <c r="U176" s="2834"/>
      <c r="V176" s="2834"/>
      <c r="W176" s="2834"/>
      <c r="X176" s="2835"/>
      <c r="AM176" s="401" t="s">
        <v>1551</v>
      </c>
      <c r="AW176" s="856"/>
      <c r="AX176" s="836" t="s">
        <v>4395</v>
      </c>
      <c r="BA176" s="836" t="s">
        <v>4396</v>
      </c>
      <c r="BC176" s="1059" t="s">
        <v>4397</v>
      </c>
      <c r="BD176" s="402"/>
      <c r="BG176" s="1001"/>
      <c r="BH176" s="1017" t="s">
        <v>4398</v>
      </c>
      <c r="BI176" s="934" t="s">
        <v>4399</v>
      </c>
      <c r="BJ176" s="934" t="s">
        <v>4400</v>
      </c>
      <c r="BK176" s="934" t="s">
        <v>4401</v>
      </c>
      <c r="BL176" s="934" t="s">
        <v>663</v>
      </c>
      <c r="BM176" s="934" t="s">
        <v>4402</v>
      </c>
      <c r="BN176" s="934" t="s">
        <v>4403</v>
      </c>
      <c r="BO176" s="934" t="s">
        <v>4404</v>
      </c>
      <c r="BP176" s="934" t="s">
        <v>4405</v>
      </c>
      <c r="BQ176" s="934" t="s">
        <v>4406</v>
      </c>
      <c r="BR176" s="934" t="s">
        <v>4407</v>
      </c>
      <c r="BS176" s="934" t="s">
        <v>4408</v>
      </c>
      <c r="BT176" s="934" t="s">
        <v>4409</v>
      </c>
      <c r="BU176" s="934" t="s">
        <v>4410</v>
      </c>
      <c r="BV176" s="917"/>
      <c r="BW176" s="917"/>
      <c r="BX176" s="917"/>
      <c r="BY176" s="917"/>
      <c r="BZ176" s="917"/>
      <c r="CA176" s="917"/>
      <c r="CB176" s="917"/>
      <c r="CC176" s="917"/>
      <c r="CD176" s="917"/>
      <c r="CE176" s="917"/>
      <c r="CF176" s="917"/>
      <c r="CG176" s="917"/>
      <c r="CH176" s="917"/>
      <c r="CI176" s="917"/>
      <c r="CJ176" s="917"/>
      <c r="CK176" s="917"/>
      <c r="CL176" s="917"/>
      <c r="CM176" s="917"/>
      <c r="CN176" s="917"/>
      <c r="CO176" s="917"/>
      <c r="CP176" s="917"/>
      <c r="CQ176" s="917"/>
      <c r="CR176" s="917"/>
      <c r="CS176" s="917"/>
      <c r="CT176" s="917"/>
      <c r="CU176" s="917"/>
      <c r="CV176" s="917"/>
      <c r="CW176" s="917"/>
      <c r="CX176" s="917"/>
      <c r="CY176" s="917"/>
      <c r="CZ176" s="917"/>
      <c r="DA176" s="917"/>
      <c r="DB176" s="917"/>
      <c r="DC176" s="917"/>
      <c r="DD176" s="917"/>
      <c r="DE176" s="917"/>
      <c r="DF176" s="917"/>
      <c r="DG176" s="917"/>
      <c r="DH176" s="917"/>
      <c r="DI176" s="917"/>
      <c r="DJ176" s="917"/>
      <c r="DK176" s="917"/>
      <c r="DL176" s="917"/>
      <c r="DM176" s="917"/>
      <c r="DN176" s="917"/>
      <c r="DO176" s="917"/>
      <c r="DP176" s="917"/>
      <c r="DQ176" s="917"/>
      <c r="DR176" s="917"/>
      <c r="DS176" s="917"/>
      <c r="DT176" s="917"/>
      <c r="DU176" s="917"/>
      <c r="DV176" s="917"/>
      <c r="DW176" s="917"/>
      <c r="DX176" s="917"/>
      <c r="DY176" s="917"/>
      <c r="DZ176" s="917"/>
      <c r="EA176" s="917"/>
      <c r="EB176" s="917"/>
      <c r="EC176" s="917"/>
      <c r="ED176" s="917"/>
      <c r="EE176" s="917"/>
      <c r="EF176" s="917"/>
      <c r="EG176" s="917"/>
      <c r="EH176" s="917"/>
      <c r="EI176" s="917"/>
      <c r="EJ176" s="917"/>
      <c r="EK176" s="917"/>
      <c r="EL176" s="917"/>
      <c r="EM176" s="917"/>
      <c r="EN176" s="917"/>
      <c r="EO176" s="917"/>
    </row>
    <row r="177" spans="2:145" ht="15.65" customHeight="1">
      <c r="B177" s="959" t="s">
        <v>161</v>
      </c>
      <c r="C177" s="867" t="s">
        <v>2504</v>
      </c>
      <c r="D177" s="836" t="s">
        <v>148</v>
      </c>
      <c r="E177" s="836" t="s">
        <v>148</v>
      </c>
      <c r="F177" s="836" t="s">
        <v>4411</v>
      </c>
      <c r="G177" s="836" t="s">
        <v>4412</v>
      </c>
      <c r="H177" s="1061" t="s">
        <v>4413</v>
      </c>
      <c r="I177" s="1061" t="s">
        <v>4414</v>
      </c>
      <c r="J177" s="836" t="s">
        <v>4415</v>
      </c>
      <c r="K177" s="854" t="s">
        <v>4416</v>
      </c>
      <c r="L177" s="2780"/>
      <c r="M177" s="1043">
        <v>64</v>
      </c>
      <c r="N177" s="2834" t="s">
        <v>4417</v>
      </c>
      <c r="O177" s="2834"/>
      <c r="P177" s="2834"/>
      <c r="Q177" s="2834"/>
      <c r="R177" s="2835"/>
      <c r="S177" s="1044">
        <v>64</v>
      </c>
      <c r="T177" s="2834" t="s">
        <v>4418</v>
      </c>
      <c r="U177" s="2834"/>
      <c r="V177" s="2834"/>
      <c r="W177" s="2834"/>
      <c r="X177" s="2835"/>
      <c r="AM177" s="401" t="s">
        <v>1614</v>
      </c>
      <c r="AW177" s="856"/>
      <c r="AX177" s="1060" t="s">
        <v>4419</v>
      </c>
      <c r="BA177" s="836" t="s">
        <v>4420</v>
      </c>
      <c r="BC177" s="1059" t="s">
        <v>4421</v>
      </c>
      <c r="BD177" s="402"/>
      <c r="BG177" s="1001"/>
      <c r="BH177" s="927" t="s">
        <v>4422</v>
      </c>
      <c r="BI177" s="934" t="s">
        <v>4423</v>
      </c>
      <c r="BJ177" s="934" t="s">
        <v>4424</v>
      </c>
      <c r="BK177" s="934" t="s">
        <v>4425</v>
      </c>
      <c r="BL177" s="934" t="s">
        <v>4426</v>
      </c>
      <c r="BM177" s="934" t="s">
        <v>4427</v>
      </c>
      <c r="BN177" s="934" t="s">
        <v>4428</v>
      </c>
      <c r="BO177" s="917"/>
      <c r="BP177" s="917"/>
      <c r="BQ177" s="917"/>
      <c r="BR177" s="917"/>
      <c r="BS177" s="917"/>
      <c r="BT177" s="917"/>
      <c r="BU177" s="917"/>
      <c r="BV177" s="917"/>
      <c r="BW177" s="917"/>
      <c r="BX177" s="917"/>
      <c r="BY177" s="917"/>
      <c r="BZ177" s="917"/>
      <c r="CA177" s="917"/>
      <c r="CB177" s="917"/>
      <c r="CC177" s="917"/>
      <c r="CD177" s="917"/>
      <c r="CE177" s="917"/>
      <c r="CF177" s="917"/>
      <c r="CG177" s="917"/>
      <c r="CH177" s="917"/>
      <c r="CI177" s="917"/>
      <c r="CJ177" s="917"/>
      <c r="CK177" s="917"/>
      <c r="CL177" s="917"/>
      <c r="CM177" s="917"/>
      <c r="CN177" s="917"/>
      <c r="CO177" s="917"/>
      <c r="CP177" s="917"/>
      <c r="CQ177" s="917"/>
      <c r="CR177" s="917"/>
      <c r="CS177" s="917"/>
      <c r="CT177" s="917"/>
      <c r="CU177" s="917"/>
      <c r="CV177" s="917"/>
      <c r="CW177" s="917"/>
      <c r="CX177" s="917"/>
      <c r="CY177" s="917"/>
      <c r="CZ177" s="917"/>
      <c r="DA177" s="917"/>
      <c r="DB177" s="917"/>
      <c r="DC177" s="917"/>
      <c r="DD177" s="917"/>
      <c r="DE177" s="917"/>
      <c r="DF177" s="917"/>
      <c r="DG177" s="917"/>
      <c r="DH177" s="917"/>
      <c r="DI177" s="917"/>
      <c r="DJ177" s="917"/>
      <c r="DK177" s="917"/>
      <c r="DL177" s="917"/>
      <c r="DM177" s="917"/>
      <c r="DN177" s="917"/>
      <c r="DO177" s="917"/>
      <c r="DP177" s="917"/>
      <c r="DQ177" s="917"/>
      <c r="DR177" s="917"/>
      <c r="DS177" s="917"/>
      <c r="DT177" s="917"/>
      <c r="DU177" s="917"/>
      <c r="DV177" s="917"/>
      <c r="DW177" s="917"/>
      <c r="DX177" s="917"/>
      <c r="DY177" s="917"/>
      <c r="DZ177" s="917"/>
      <c r="EA177" s="917"/>
      <c r="EB177" s="917"/>
      <c r="EC177" s="917"/>
      <c r="ED177" s="917"/>
      <c r="EE177" s="917"/>
      <c r="EF177" s="917"/>
      <c r="EG177" s="917"/>
      <c r="EH177" s="917"/>
      <c r="EI177" s="917"/>
      <c r="EJ177" s="917"/>
      <c r="EK177" s="917"/>
      <c r="EL177" s="917"/>
      <c r="EM177" s="917"/>
      <c r="EN177" s="917"/>
      <c r="EO177" s="917"/>
    </row>
    <row r="178" spans="2:145" ht="15.65" customHeight="1">
      <c r="B178" s="959" t="s">
        <v>162</v>
      </c>
      <c r="C178" s="867" t="s">
        <v>3554</v>
      </c>
      <c r="D178" s="836" t="s">
        <v>3305</v>
      </c>
      <c r="E178" s="836" t="s">
        <v>3306</v>
      </c>
      <c r="F178" s="836" t="s">
        <v>4429</v>
      </c>
      <c r="G178" s="836" t="s">
        <v>3308</v>
      </c>
      <c r="H178" s="836" t="s">
        <v>3309</v>
      </c>
      <c r="I178" s="401" t="s">
        <v>4430</v>
      </c>
      <c r="J178" s="836" t="s">
        <v>4431</v>
      </c>
      <c r="K178" s="854" t="s">
        <v>4432</v>
      </c>
      <c r="L178" s="2780"/>
      <c r="M178" s="1043">
        <v>65</v>
      </c>
      <c r="N178" s="2834" t="s">
        <v>4433</v>
      </c>
      <c r="O178" s="2834"/>
      <c r="P178" s="2834"/>
      <c r="Q178" s="2834"/>
      <c r="R178" s="2835"/>
      <c r="S178" s="1044">
        <v>65</v>
      </c>
      <c r="T178" s="2834" t="s">
        <v>4434</v>
      </c>
      <c r="U178" s="2834"/>
      <c r="V178" s="2834"/>
      <c r="W178" s="2834"/>
      <c r="X178" s="2835"/>
      <c r="AM178" s="401" t="s">
        <v>1633</v>
      </c>
      <c r="AW178" s="856"/>
      <c r="AX178" s="1060" t="s">
        <v>4435</v>
      </c>
      <c r="BA178" s="836" t="s">
        <v>4436</v>
      </c>
      <c r="BC178" s="1059" t="s">
        <v>4437</v>
      </c>
      <c r="BD178" s="402"/>
      <c r="BG178" s="1001"/>
      <c r="BH178" s="927"/>
      <c r="BI178" s="917"/>
      <c r="BJ178" s="917"/>
      <c r="BK178" s="917"/>
      <c r="BL178" s="917"/>
      <c r="BM178" s="917"/>
      <c r="BN178" s="917"/>
      <c r="BO178" s="917"/>
      <c r="BP178" s="917"/>
      <c r="BQ178" s="917"/>
      <c r="BR178" s="917"/>
      <c r="BS178" s="917"/>
      <c r="BT178" s="917"/>
      <c r="BU178" s="917"/>
      <c r="BV178" s="917"/>
      <c r="BW178" s="917"/>
      <c r="BX178" s="917"/>
      <c r="BY178" s="917"/>
      <c r="BZ178" s="917"/>
      <c r="CA178" s="917"/>
      <c r="CB178" s="917"/>
      <c r="CC178" s="917"/>
      <c r="CD178" s="917"/>
      <c r="CE178" s="917"/>
      <c r="CF178" s="917"/>
      <c r="CG178" s="917"/>
      <c r="CH178" s="917"/>
      <c r="CI178" s="917"/>
      <c r="CJ178" s="917"/>
      <c r="CK178" s="917"/>
      <c r="CL178" s="917"/>
      <c r="CM178" s="917"/>
      <c r="CN178" s="917"/>
      <c r="CO178" s="917"/>
      <c r="CP178" s="917"/>
      <c r="CQ178" s="917"/>
      <c r="CR178" s="917"/>
      <c r="CS178" s="917"/>
      <c r="CT178" s="917"/>
      <c r="CU178" s="917"/>
      <c r="CV178" s="917"/>
      <c r="CW178" s="917"/>
      <c r="CX178" s="917"/>
      <c r="CY178" s="917"/>
      <c r="CZ178" s="917"/>
      <c r="DA178" s="917"/>
      <c r="DB178" s="917"/>
      <c r="DC178" s="917"/>
      <c r="DD178" s="917"/>
      <c r="DE178" s="917"/>
      <c r="DF178" s="917"/>
      <c r="DG178" s="917"/>
      <c r="DH178" s="917"/>
      <c r="DI178" s="917"/>
      <c r="DJ178" s="917"/>
      <c r="DK178" s="917"/>
      <c r="DL178" s="917"/>
      <c r="DM178" s="917"/>
      <c r="DN178" s="917"/>
      <c r="DO178" s="917"/>
      <c r="DP178" s="917"/>
      <c r="DQ178" s="917"/>
      <c r="DR178" s="917"/>
      <c r="DS178" s="917"/>
      <c r="DT178" s="917"/>
      <c r="DU178" s="917"/>
      <c r="DV178" s="917"/>
      <c r="DW178" s="917"/>
      <c r="DX178" s="917"/>
      <c r="DY178" s="917"/>
      <c r="DZ178" s="917"/>
      <c r="EA178" s="917"/>
      <c r="EB178" s="917"/>
      <c r="EC178" s="917"/>
      <c r="ED178" s="917"/>
      <c r="EE178" s="917"/>
      <c r="EF178" s="917"/>
      <c r="EG178" s="917"/>
      <c r="EH178" s="917"/>
      <c r="EI178" s="917"/>
      <c r="EJ178" s="917"/>
      <c r="EK178" s="917"/>
      <c r="EL178" s="917"/>
      <c r="EM178" s="917"/>
      <c r="EN178" s="917"/>
      <c r="EO178" s="917"/>
    </row>
    <row r="179" spans="2:145" ht="15.65" customHeight="1">
      <c r="B179" s="959" t="s">
        <v>4438</v>
      </c>
      <c r="C179" s="867" t="s">
        <v>2504</v>
      </c>
      <c r="D179" s="836" t="s">
        <v>2628</v>
      </c>
      <c r="E179" s="836" t="s">
        <v>148</v>
      </c>
      <c r="F179" s="836" t="s">
        <v>4439</v>
      </c>
      <c r="G179" s="836" t="s">
        <v>148</v>
      </c>
      <c r="H179" s="836" t="s">
        <v>148</v>
      </c>
      <c r="I179" s="836" t="s">
        <v>148</v>
      </c>
      <c r="J179" s="836" t="s">
        <v>148</v>
      </c>
      <c r="K179" s="854" t="s">
        <v>148</v>
      </c>
      <c r="L179" s="2780"/>
      <c r="M179" s="1043">
        <v>66</v>
      </c>
      <c r="N179" s="2834" t="s">
        <v>4440</v>
      </c>
      <c r="O179" s="2834"/>
      <c r="P179" s="2834"/>
      <c r="Q179" s="2834"/>
      <c r="R179" s="2835"/>
      <c r="S179" s="1044">
        <v>66</v>
      </c>
      <c r="T179" s="2834" t="s">
        <v>4441</v>
      </c>
      <c r="U179" s="2834"/>
      <c r="V179" s="2834"/>
      <c r="W179" s="2834"/>
      <c r="X179" s="2835"/>
      <c r="AM179" s="401" t="s">
        <v>1653</v>
      </c>
      <c r="AW179" s="856"/>
      <c r="AX179" s="1060" t="s">
        <v>4442</v>
      </c>
      <c r="BA179" s="836" t="s">
        <v>4443</v>
      </c>
      <c r="BC179" s="1059" t="s">
        <v>4444</v>
      </c>
      <c r="BD179" s="854"/>
      <c r="BG179" s="1001"/>
      <c r="BH179" s="1027" t="s">
        <v>4445</v>
      </c>
      <c r="BI179" s="917"/>
      <c r="BJ179" s="917"/>
      <c r="BK179" s="917"/>
      <c r="BL179" s="917"/>
      <c r="BM179" s="917"/>
      <c r="BN179" s="917"/>
      <c r="BO179" s="917"/>
      <c r="BP179" s="917"/>
      <c r="BQ179" s="917"/>
      <c r="BR179" s="917"/>
      <c r="BS179" s="917"/>
      <c r="BT179" s="917"/>
      <c r="BU179" s="917"/>
      <c r="BV179" s="917"/>
      <c r="BW179" s="917"/>
      <c r="BX179" s="917"/>
      <c r="BY179" s="917"/>
      <c r="BZ179" s="917"/>
      <c r="CA179" s="917"/>
      <c r="CB179" s="917"/>
      <c r="CC179" s="917"/>
      <c r="CD179" s="917"/>
      <c r="CE179" s="917"/>
      <c r="CF179" s="917"/>
      <c r="CG179" s="917"/>
      <c r="CH179" s="917"/>
      <c r="CI179" s="917"/>
      <c r="CJ179" s="917"/>
      <c r="CK179" s="917"/>
      <c r="CL179" s="917"/>
      <c r="CM179" s="917"/>
      <c r="CN179" s="917"/>
      <c r="CO179" s="917"/>
      <c r="CP179" s="917"/>
      <c r="CQ179" s="917"/>
      <c r="CR179" s="917"/>
      <c r="CS179" s="917"/>
      <c r="CT179" s="917"/>
      <c r="CU179" s="917"/>
      <c r="CV179" s="917"/>
      <c r="CW179" s="917"/>
      <c r="CX179" s="917"/>
      <c r="CY179" s="917"/>
      <c r="CZ179" s="917"/>
      <c r="DA179" s="917"/>
      <c r="DB179" s="917"/>
      <c r="DC179" s="917"/>
      <c r="DD179" s="917"/>
      <c r="DE179" s="917"/>
      <c r="DF179" s="917"/>
      <c r="DG179" s="917"/>
      <c r="DH179" s="917"/>
      <c r="DI179" s="917"/>
      <c r="DJ179" s="917"/>
      <c r="DK179" s="917"/>
      <c r="DL179" s="917"/>
      <c r="DM179" s="917"/>
      <c r="DN179" s="917"/>
      <c r="DO179" s="917"/>
      <c r="DP179" s="917"/>
      <c r="DQ179" s="917"/>
      <c r="DR179" s="917"/>
      <c r="DS179" s="917"/>
      <c r="DT179" s="917"/>
      <c r="DU179" s="917"/>
      <c r="DV179" s="917"/>
      <c r="DW179" s="917"/>
      <c r="DX179" s="917"/>
      <c r="DY179" s="917"/>
      <c r="DZ179" s="917"/>
      <c r="EA179" s="917"/>
      <c r="EB179" s="917"/>
      <c r="EC179" s="917"/>
      <c r="ED179" s="917"/>
      <c r="EE179" s="917"/>
      <c r="EF179" s="917"/>
      <c r="EG179" s="917"/>
      <c r="EH179" s="917"/>
      <c r="EI179" s="917"/>
      <c r="EJ179" s="917"/>
      <c r="EK179" s="917"/>
      <c r="EL179" s="917"/>
      <c r="EM179" s="917"/>
      <c r="EN179" s="917"/>
      <c r="EO179" s="917"/>
    </row>
    <row r="180" spans="2:145" ht="15.65" customHeight="1">
      <c r="B180" s="959" t="s">
        <v>174</v>
      </c>
      <c r="C180" s="867" t="s">
        <v>2504</v>
      </c>
      <c r="D180" s="836" t="s">
        <v>148</v>
      </c>
      <c r="E180" s="836" t="s">
        <v>148</v>
      </c>
      <c r="F180" s="836" t="s">
        <v>4446</v>
      </c>
      <c r="G180" s="836" t="s">
        <v>4447</v>
      </c>
      <c r="H180" s="836" t="s">
        <v>4448</v>
      </c>
      <c r="I180" s="836" t="s">
        <v>4449</v>
      </c>
      <c r="J180" s="836" t="s">
        <v>4450</v>
      </c>
      <c r="K180" s="854" t="s">
        <v>4451</v>
      </c>
      <c r="L180" s="2780"/>
      <c r="M180" s="1043">
        <v>67</v>
      </c>
      <c r="N180" s="2834" t="s">
        <v>4452</v>
      </c>
      <c r="O180" s="2834"/>
      <c r="P180" s="2834"/>
      <c r="Q180" s="2834"/>
      <c r="R180" s="2835"/>
      <c r="S180" s="1044">
        <v>67</v>
      </c>
      <c r="T180" s="2834" t="s">
        <v>4453</v>
      </c>
      <c r="U180" s="2834"/>
      <c r="V180" s="2834"/>
      <c r="W180" s="2834"/>
      <c r="X180" s="2835"/>
      <c r="AM180" s="401" t="s">
        <v>1711</v>
      </c>
      <c r="AW180" s="856"/>
      <c r="AX180" s="1060" t="s">
        <v>4454</v>
      </c>
      <c r="BA180" s="836" t="s">
        <v>4455</v>
      </c>
      <c r="BC180" s="1059" t="s">
        <v>4456</v>
      </c>
      <c r="BD180" s="402"/>
      <c r="BG180" s="1001"/>
      <c r="BH180" s="927" t="s">
        <v>4457</v>
      </c>
      <c r="BI180" s="934" t="s">
        <v>4458</v>
      </c>
      <c r="BJ180" s="934" t="s">
        <v>4018</v>
      </c>
      <c r="BK180" s="934" t="s">
        <v>4459</v>
      </c>
      <c r="BL180" s="934" t="s">
        <v>4460</v>
      </c>
      <c r="BM180" s="934" t="s">
        <v>4461</v>
      </c>
      <c r="BN180" s="934" t="s">
        <v>4462</v>
      </c>
      <c r="BO180" s="934" t="s">
        <v>4463</v>
      </c>
      <c r="BP180" s="934" t="s">
        <v>4464</v>
      </c>
      <c r="BQ180" s="934" t="s">
        <v>4465</v>
      </c>
      <c r="BR180" s="934" t="s">
        <v>4466</v>
      </c>
      <c r="BS180" s="934" t="s">
        <v>4467</v>
      </c>
      <c r="BT180" s="917"/>
      <c r="BU180" s="917"/>
      <c r="BV180" s="917"/>
      <c r="BW180" s="917"/>
      <c r="BX180" s="917"/>
      <c r="BY180" s="917"/>
      <c r="BZ180" s="917"/>
      <c r="CA180" s="917"/>
      <c r="CB180" s="917"/>
      <c r="CC180" s="917"/>
      <c r="CD180" s="917"/>
      <c r="CE180" s="917"/>
      <c r="CF180" s="917"/>
      <c r="CG180" s="917"/>
      <c r="CH180" s="917"/>
      <c r="CI180" s="917"/>
      <c r="CJ180" s="917"/>
      <c r="CK180" s="917"/>
      <c r="CL180" s="917"/>
      <c r="CM180" s="917"/>
      <c r="CN180" s="917"/>
      <c r="CO180" s="917"/>
      <c r="CP180" s="917"/>
      <c r="CQ180" s="917"/>
      <c r="CR180" s="917"/>
      <c r="CS180" s="917"/>
      <c r="CT180" s="917"/>
      <c r="CU180" s="917"/>
      <c r="CV180" s="917"/>
      <c r="CW180" s="917"/>
      <c r="CX180" s="917"/>
      <c r="CY180" s="917"/>
      <c r="CZ180" s="917"/>
      <c r="DA180" s="917"/>
      <c r="DB180" s="917"/>
      <c r="DC180" s="917"/>
      <c r="DD180" s="917"/>
      <c r="DE180" s="917"/>
      <c r="DF180" s="917"/>
      <c r="DG180" s="917"/>
      <c r="DH180" s="917"/>
      <c r="DI180" s="917"/>
      <c r="DJ180" s="917"/>
      <c r="DK180" s="917"/>
      <c r="DL180" s="917"/>
      <c r="DM180" s="917"/>
      <c r="DN180" s="917"/>
      <c r="DO180" s="917"/>
      <c r="DP180" s="917"/>
      <c r="DQ180" s="917"/>
      <c r="DR180" s="917"/>
      <c r="DS180" s="917"/>
      <c r="DT180" s="917"/>
      <c r="DU180" s="917"/>
      <c r="DV180" s="917"/>
      <c r="DW180" s="917"/>
      <c r="DX180" s="917"/>
      <c r="DY180" s="917"/>
      <c r="DZ180" s="917"/>
      <c r="EA180" s="917"/>
      <c r="EB180" s="917"/>
      <c r="EC180" s="917"/>
      <c r="ED180" s="917"/>
      <c r="EE180" s="917"/>
      <c r="EF180" s="917"/>
      <c r="EG180" s="917"/>
      <c r="EH180" s="917"/>
      <c r="EI180" s="917"/>
      <c r="EJ180" s="917"/>
      <c r="EK180" s="917"/>
      <c r="EL180" s="917"/>
      <c r="EM180" s="917"/>
      <c r="EN180" s="917"/>
      <c r="EO180" s="917"/>
    </row>
    <row r="181" spans="2:145" ht="15.65" customHeight="1">
      <c r="B181" s="959" t="s">
        <v>153</v>
      </c>
      <c r="C181" s="867" t="s">
        <v>3554</v>
      </c>
      <c r="D181" s="836" t="s">
        <v>3305</v>
      </c>
      <c r="E181" s="401" t="s">
        <v>4468</v>
      </c>
      <c r="F181" s="836" t="s">
        <v>4469</v>
      </c>
      <c r="G181" s="836" t="s">
        <v>3308</v>
      </c>
      <c r="H181" s="836" t="s">
        <v>3309</v>
      </c>
      <c r="I181" s="836" t="s">
        <v>4470</v>
      </c>
      <c r="J181" s="836" t="s">
        <v>4471</v>
      </c>
      <c r="K181" s="854" t="s">
        <v>4472</v>
      </c>
      <c r="L181" s="2780"/>
      <c r="M181" s="1043">
        <v>68</v>
      </c>
      <c r="N181" s="2834" t="s">
        <v>4473</v>
      </c>
      <c r="O181" s="2834"/>
      <c r="P181" s="2834"/>
      <c r="Q181" s="2834"/>
      <c r="R181" s="2835"/>
      <c r="S181" s="1044">
        <v>68</v>
      </c>
      <c r="T181" s="2834" t="s">
        <v>4474</v>
      </c>
      <c r="U181" s="2834"/>
      <c r="V181" s="2834"/>
      <c r="W181" s="2834"/>
      <c r="X181" s="2835"/>
      <c r="AM181" s="401" t="s">
        <v>1750</v>
      </c>
      <c r="AW181" s="856"/>
      <c r="AX181" s="1060" t="s">
        <v>4475</v>
      </c>
      <c r="BC181" s="1059" t="s">
        <v>4476</v>
      </c>
      <c r="BD181" s="402"/>
      <c r="BG181" s="1001"/>
      <c r="BH181" s="927" t="s">
        <v>4477</v>
      </c>
      <c r="BI181" s="934" t="s">
        <v>4478</v>
      </c>
      <c r="BJ181" s="934" t="s">
        <v>4479</v>
      </c>
      <c r="BK181" s="934" t="s">
        <v>4480</v>
      </c>
      <c r="BL181" s="934" t="s">
        <v>4481</v>
      </c>
      <c r="BM181" s="934" t="s">
        <v>4482</v>
      </c>
      <c r="BN181" s="934" t="s">
        <v>4483</v>
      </c>
      <c r="BO181" s="934" t="s">
        <v>4484</v>
      </c>
      <c r="BP181" s="934" t="s">
        <v>4485</v>
      </c>
      <c r="BQ181" s="934" t="s">
        <v>4486</v>
      </c>
      <c r="BR181" s="934" t="s">
        <v>4487</v>
      </c>
      <c r="BS181" s="934" t="s">
        <v>4488</v>
      </c>
      <c r="BT181" s="934" t="s">
        <v>4489</v>
      </c>
      <c r="BU181" s="934" t="s">
        <v>4490</v>
      </c>
      <c r="BV181" s="934" t="s">
        <v>4491</v>
      </c>
      <c r="BW181" s="917"/>
      <c r="BX181" s="917"/>
      <c r="BY181" s="917"/>
      <c r="BZ181" s="917"/>
      <c r="CA181" s="917"/>
      <c r="CB181" s="917"/>
      <c r="CC181" s="917"/>
      <c r="CD181" s="917"/>
      <c r="CE181" s="917"/>
      <c r="CF181" s="917"/>
      <c r="CG181" s="917"/>
      <c r="CH181" s="917"/>
      <c r="CI181" s="917"/>
      <c r="CJ181" s="917"/>
      <c r="CK181" s="917"/>
      <c r="CL181" s="917"/>
      <c r="CM181" s="917"/>
      <c r="CN181" s="917"/>
      <c r="CO181" s="917"/>
      <c r="CP181" s="917"/>
      <c r="CQ181" s="917"/>
      <c r="CR181" s="917"/>
      <c r="CS181" s="917"/>
      <c r="CT181" s="917"/>
      <c r="CU181" s="917"/>
      <c r="CV181" s="917"/>
      <c r="CW181" s="917"/>
      <c r="CX181" s="917"/>
      <c r="CY181" s="917"/>
      <c r="CZ181" s="917"/>
      <c r="DA181" s="917"/>
      <c r="DB181" s="917"/>
      <c r="DC181" s="917"/>
      <c r="DD181" s="917"/>
      <c r="DE181" s="917"/>
      <c r="DF181" s="917"/>
      <c r="DG181" s="917"/>
      <c r="DH181" s="917"/>
      <c r="DI181" s="917"/>
      <c r="DJ181" s="917"/>
      <c r="DK181" s="917"/>
      <c r="DL181" s="917"/>
      <c r="DM181" s="917"/>
      <c r="DN181" s="917"/>
      <c r="DO181" s="917"/>
      <c r="DP181" s="917"/>
      <c r="DQ181" s="917"/>
      <c r="DR181" s="917"/>
      <c r="DS181" s="917"/>
      <c r="DT181" s="917"/>
      <c r="DU181" s="917"/>
      <c r="DV181" s="917"/>
      <c r="DW181" s="917"/>
      <c r="DX181" s="917"/>
      <c r="DY181" s="917"/>
      <c r="DZ181" s="917"/>
      <c r="EA181" s="917"/>
      <c r="EB181" s="917"/>
      <c r="EC181" s="917"/>
      <c r="ED181" s="917"/>
      <c r="EE181" s="917"/>
      <c r="EF181" s="917"/>
      <c r="EG181" s="917"/>
      <c r="EH181" s="917"/>
      <c r="EI181" s="917"/>
      <c r="EJ181" s="917"/>
      <c r="EK181" s="917"/>
      <c r="EL181" s="917"/>
      <c r="EM181" s="917"/>
      <c r="EN181" s="917"/>
      <c r="EO181" s="917"/>
    </row>
    <row r="182" spans="2:145" ht="15.65" customHeight="1">
      <c r="B182" s="959" t="s">
        <v>189</v>
      </c>
      <c r="C182" s="867" t="s">
        <v>2481</v>
      </c>
      <c r="D182" s="836" t="s">
        <v>148</v>
      </c>
      <c r="E182" s="836" t="s">
        <v>4492</v>
      </c>
      <c r="F182" s="836" t="s">
        <v>4493</v>
      </c>
      <c r="G182" s="836" t="s">
        <v>4494</v>
      </c>
      <c r="H182" s="836" t="s">
        <v>4495</v>
      </c>
      <c r="I182" s="836" t="s">
        <v>4496</v>
      </c>
      <c r="J182" s="836" t="s">
        <v>4497</v>
      </c>
      <c r="K182" s="854" t="s">
        <v>4498</v>
      </c>
      <c r="L182" s="2780"/>
      <c r="M182" s="1043">
        <v>69</v>
      </c>
      <c r="N182" s="2834" t="s">
        <v>4499</v>
      </c>
      <c r="O182" s="2834"/>
      <c r="P182" s="2834"/>
      <c r="Q182" s="2834"/>
      <c r="R182" s="2835"/>
      <c r="S182" s="1044">
        <v>69</v>
      </c>
      <c r="T182" s="2834" t="s">
        <v>4500</v>
      </c>
      <c r="U182" s="2834"/>
      <c r="V182" s="2834"/>
      <c r="W182" s="2834"/>
      <c r="X182" s="2835"/>
      <c r="AM182" s="401" t="s">
        <v>1783</v>
      </c>
      <c r="AW182" s="856"/>
      <c r="AX182" s="1060" t="s">
        <v>4501</v>
      </c>
      <c r="BA182" s="836" t="s">
        <v>4502</v>
      </c>
      <c r="BC182" s="1059" t="s">
        <v>4503</v>
      </c>
      <c r="BD182" s="402"/>
      <c r="BG182" s="1001"/>
      <c r="BH182" s="927" t="s">
        <v>4504</v>
      </c>
      <c r="BI182" s="934" t="s">
        <v>4505</v>
      </c>
      <c r="BJ182" s="934" t="s">
        <v>4506</v>
      </c>
      <c r="BK182" s="934" t="s">
        <v>4507</v>
      </c>
      <c r="BL182" s="934" t="s">
        <v>4508</v>
      </c>
      <c r="BM182" s="934" t="s">
        <v>4509</v>
      </c>
      <c r="BN182" s="934" t="s">
        <v>4510</v>
      </c>
      <c r="BO182" s="934" t="s">
        <v>4511</v>
      </c>
      <c r="BP182" s="934" t="s">
        <v>4512</v>
      </c>
      <c r="BQ182" s="934" t="s">
        <v>4298</v>
      </c>
      <c r="BR182" s="934" t="s">
        <v>4513</v>
      </c>
      <c r="BS182" s="934" t="s">
        <v>4514</v>
      </c>
      <c r="BT182" s="934" t="s">
        <v>4515</v>
      </c>
      <c r="BU182" s="934" t="s">
        <v>4516</v>
      </c>
      <c r="BV182" s="934" t="s">
        <v>4517</v>
      </c>
      <c r="BW182" s="934" t="s">
        <v>4518</v>
      </c>
      <c r="BX182" s="934" t="s">
        <v>4519</v>
      </c>
      <c r="BY182" s="917"/>
      <c r="BZ182" s="917"/>
      <c r="CA182" s="917"/>
      <c r="CB182" s="917"/>
      <c r="CC182" s="917"/>
      <c r="CD182" s="917"/>
      <c r="CE182" s="917"/>
      <c r="CF182" s="917"/>
      <c r="CG182" s="917"/>
      <c r="CH182" s="917"/>
      <c r="CI182" s="917"/>
      <c r="CJ182" s="917"/>
      <c r="CK182" s="917"/>
      <c r="CL182" s="917"/>
      <c r="CM182" s="917"/>
      <c r="CN182" s="917"/>
      <c r="CO182" s="917"/>
      <c r="CP182" s="917"/>
      <c r="CQ182" s="917"/>
      <c r="CR182" s="917"/>
      <c r="CS182" s="917"/>
      <c r="CT182" s="917"/>
      <c r="CU182" s="917"/>
      <c r="CV182" s="917"/>
      <c r="CW182" s="917"/>
      <c r="CX182" s="917"/>
      <c r="CY182" s="917"/>
      <c r="CZ182" s="917"/>
      <c r="DA182" s="917"/>
      <c r="DB182" s="917"/>
      <c r="DC182" s="917"/>
      <c r="DD182" s="917"/>
      <c r="DE182" s="917"/>
      <c r="DF182" s="917"/>
      <c r="DG182" s="917"/>
      <c r="DH182" s="917"/>
      <c r="DI182" s="917"/>
      <c r="DJ182" s="917"/>
      <c r="DK182" s="917"/>
      <c r="DL182" s="917"/>
      <c r="DM182" s="917"/>
      <c r="DN182" s="917"/>
      <c r="DO182" s="917"/>
      <c r="DP182" s="917"/>
      <c r="DQ182" s="917"/>
      <c r="DR182" s="917"/>
      <c r="DS182" s="917"/>
      <c r="DT182" s="917"/>
      <c r="DU182" s="917"/>
      <c r="DV182" s="917"/>
      <c r="DW182" s="917"/>
      <c r="DX182" s="917"/>
      <c r="DY182" s="917"/>
      <c r="DZ182" s="917"/>
      <c r="EA182" s="917"/>
      <c r="EB182" s="917"/>
      <c r="EC182" s="917"/>
      <c r="ED182" s="917"/>
      <c r="EE182" s="917"/>
      <c r="EF182" s="917"/>
      <c r="EG182" s="917"/>
      <c r="EH182" s="917"/>
      <c r="EI182" s="917"/>
      <c r="EJ182" s="917"/>
      <c r="EK182" s="917"/>
      <c r="EL182" s="917"/>
      <c r="EM182" s="917"/>
      <c r="EN182" s="917"/>
      <c r="EO182" s="917"/>
    </row>
    <row r="183" spans="2:145" ht="15.65" customHeight="1">
      <c r="B183" s="856" t="s">
        <v>2617</v>
      </c>
      <c r="C183" s="867" t="s">
        <v>751</v>
      </c>
      <c r="D183" s="836" t="s">
        <v>751</v>
      </c>
      <c r="E183" s="836" t="s">
        <v>751</v>
      </c>
      <c r="F183" s="836" t="s">
        <v>751</v>
      </c>
      <c r="G183" s="836" t="s">
        <v>751</v>
      </c>
      <c r="H183" s="836" t="s">
        <v>751</v>
      </c>
      <c r="I183" s="836" t="s">
        <v>751</v>
      </c>
      <c r="J183" s="836" t="s">
        <v>751</v>
      </c>
      <c r="K183" s="854" t="s">
        <v>751</v>
      </c>
      <c r="L183" s="2780"/>
      <c r="M183" s="1043">
        <v>70</v>
      </c>
      <c r="N183" s="2834" t="s">
        <v>4520</v>
      </c>
      <c r="O183" s="2834"/>
      <c r="P183" s="2834"/>
      <c r="Q183" s="2834"/>
      <c r="R183" s="2835"/>
      <c r="S183" s="1044">
        <v>70</v>
      </c>
      <c r="T183" s="2834" t="s">
        <v>4521</v>
      </c>
      <c r="U183" s="2834"/>
      <c r="V183" s="2834"/>
      <c r="W183" s="2834"/>
      <c r="X183" s="2835"/>
      <c r="AM183" s="401" t="s">
        <v>1813</v>
      </c>
      <c r="AW183" s="856"/>
      <c r="AX183" s="1060" t="s">
        <v>4522</v>
      </c>
      <c r="BA183" s="836" t="s">
        <v>4523</v>
      </c>
      <c r="BC183" s="1059" t="s">
        <v>4524</v>
      </c>
      <c r="BD183" s="402"/>
      <c r="BG183" s="1001"/>
      <c r="BH183" s="927" t="s">
        <v>4525</v>
      </c>
      <c r="BI183" s="934" t="s">
        <v>4526</v>
      </c>
      <c r="BJ183" s="934" t="s">
        <v>4527</v>
      </c>
      <c r="BK183" s="934" t="s">
        <v>4528</v>
      </c>
      <c r="BL183" s="934" t="s">
        <v>4529</v>
      </c>
      <c r="BM183" s="934" t="s">
        <v>4530</v>
      </c>
      <c r="BN183" s="934" t="s">
        <v>4531</v>
      </c>
      <c r="BO183" s="934" t="s">
        <v>4532</v>
      </c>
      <c r="BP183" s="934" t="s">
        <v>4533</v>
      </c>
      <c r="BQ183" s="934" t="s">
        <v>4534</v>
      </c>
      <c r="BR183" s="934" t="s">
        <v>4535</v>
      </c>
      <c r="BS183" s="934" t="s">
        <v>4020</v>
      </c>
      <c r="BT183" s="917"/>
      <c r="BU183" s="917"/>
      <c r="BV183" s="917"/>
      <c r="BW183" s="917"/>
      <c r="BX183" s="917"/>
      <c r="BY183" s="917"/>
      <c r="BZ183" s="917"/>
      <c r="CA183" s="917"/>
      <c r="CB183" s="917"/>
      <c r="CC183" s="917"/>
      <c r="CD183" s="917"/>
      <c r="CE183" s="917"/>
      <c r="CF183" s="917"/>
      <c r="CG183" s="917"/>
      <c r="CH183" s="917"/>
      <c r="CI183" s="917"/>
      <c r="CJ183" s="917"/>
      <c r="CK183" s="917"/>
      <c r="CL183" s="917"/>
      <c r="CM183" s="917"/>
      <c r="CN183" s="917"/>
      <c r="CO183" s="917"/>
      <c r="CP183" s="917"/>
      <c r="CQ183" s="917"/>
      <c r="CR183" s="917"/>
      <c r="CS183" s="917"/>
      <c r="CT183" s="917"/>
      <c r="CU183" s="917"/>
      <c r="CV183" s="917"/>
      <c r="CW183" s="917"/>
      <c r="CX183" s="917"/>
      <c r="CY183" s="917"/>
      <c r="CZ183" s="917"/>
      <c r="DA183" s="917"/>
      <c r="DB183" s="917"/>
      <c r="DC183" s="917"/>
      <c r="DD183" s="917"/>
      <c r="DE183" s="917"/>
      <c r="DF183" s="917"/>
      <c r="DG183" s="917"/>
      <c r="DH183" s="917"/>
      <c r="DI183" s="917"/>
      <c r="DJ183" s="917"/>
      <c r="DK183" s="917"/>
      <c r="DL183" s="917"/>
      <c r="DM183" s="917"/>
      <c r="DN183" s="917"/>
      <c r="DO183" s="917"/>
      <c r="DP183" s="917"/>
      <c r="DQ183" s="917"/>
      <c r="DR183" s="917"/>
      <c r="DS183" s="917"/>
      <c r="DT183" s="917"/>
      <c r="DU183" s="917"/>
      <c r="DV183" s="917"/>
      <c r="DW183" s="917"/>
      <c r="DX183" s="917"/>
      <c r="DY183" s="917"/>
      <c r="DZ183" s="917"/>
      <c r="EA183" s="917"/>
      <c r="EB183" s="917"/>
      <c r="EC183" s="917"/>
      <c r="ED183" s="917"/>
      <c r="EE183" s="917"/>
      <c r="EF183" s="917"/>
      <c r="EG183" s="917"/>
      <c r="EH183" s="917"/>
      <c r="EI183" s="917"/>
      <c r="EJ183" s="917"/>
      <c r="EK183" s="917"/>
      <c r="EL183" s="917"/>
      <c r="EM183" s="917"/>
      <c r="EN183" s="917"/>
      <c r="EO183" s="917"/>
    </row>
    <row r="184" spans="2:145" ht="15.65" customHeight="1">
      <c r="B184" s="967" t="s">
        <v>4536</v>
      </c>
      <c r="C184" s="867" t="s">
        <v>2504</v>
      </c>
      <c r="D184" s="836" t="s">
        <v>2628</v>
      </c>
      <c r="E184" s="836" t="s">
        <v>148</v>
      </c>
      <c r="F184" s="836" t="s">
        <v>4537</v>
      </c>
      <c r="G184" s="836" t="s">
        <v>4538</v>
      </c>
      <c r="H184" s="836" t="s">
        <v>4539</v>
      </c>
      <c r="I184" s="836" t="s">
        <v>4540</v>
      </c>
      <c r="J184" s="836" t="s">
        <v>4541</v>
      </c>
      <c r="K184" s="854" t="s">
        <v>4542</v>
      </c>
      <c r="L184" s="2780"/>
      <c r="M184" s="1043">
        <v>71</v>
      </c>
      <c r="N184" s="2834" t="s">
        <v>4543</v>
      </c>
      <c r="O184" s="2834"/>
      <c r="P184" s="2834"/>
      <c r="Q184" s="2834"/>
      <c r="R184" s="2835"/>
      <c r="S184" s="1044">
        <v>71</v>
      </c>
      <c r="T184" s="2834" t="s">
        <v>4544</v>
      </c>
      <c r="U184" s="2834"/>
      <c r="V184" s="2834"/>
      <c r="W184" s="2834"/>
      <c r="X184" s="2835"/>
      <c r="AM184" s="401" t="s">
        <v>1834</v>
      </c>
      <c r="AW184" s="856"/>
      <c r="AX184" s="1060" t="s">
        <v>4545</v>
      </c>
      <c r="BA184" s="836" t="s">
        <v>4546</v>
      </c>
      <c r="BC184" s="1059" t="s">
        <v>4547</v>
      </c>
      <c r="BD184" s="402"/>
      <c r="BG184" s="1001"/>
      <c r="BH184" s="927" t="s">
        <v>4548</v>
      </c>
      <c r="BI184" s="934" t="s">
        <v>4549</v>
      </c>
      <c r="BJ184" s="934" t="s">
        <v>4550</v>
      </c>
      <c r="BK184" s="934" t="s">
        <v>4551</v>
      </c>
      <c r="BL184" s="934" t="s">
        <v>4552</v>
      </c>
      <c r="BM184" s="934" t="s">
        <v>4553</v>
      </c>
      <c r="BN184" s="934" t="s">
        <v>4554</v>
      </c>
      <c r="BO184" s="934" t="s">
        <v>4555</v>
      </c>
      <c r="BP184" s="917"/>
      <c r="BQ184" s="917"/>
      <c r="BR184" s="917"/>
      <c r="BS184" s="917"/>
      <c r="BT184" s="917"/>
      <c r="BU184" s="917"/>
      <c r="BV184" s="917"/>
      <c r="BW184" s="917"/>
      <c r="BX184" s="917"/>
      <c r="BY184" s="917"/>
      <c r="BZ184" s="917"/>
      <c r="CA184" s="917"/>
      <c r="CB184" s="917"/>
      <c r="CC184" s="917"/>
      <c r="CD184" s="917"/>
      <c r="CE184" s="917"/>
      <c r="CF184" s="917"/>
      <c r="CG184" s="917"/>
      <c r="CH184" s="917"/>
      <c r="CI184" s="917"/>
      <c r="CJ184" s="917"/>
      <c r="CK184" s="917"/>
      <c r="CL184" s="917"/>
      <c r="CM184" s="917"/>
      <c r="CN184" s="917"/>
      <c r="CO184" s="917"/>
      <c r="CP184" s="917"/>
      <c r="CQ184" s="917"/>
      <c r="CR184" s="917"/>
      <c r="CS184" s="917"/>
      <c r="CT184" s="917"/>
      <c r="CU184" s="917"/>
      <c r="CV184" s="917"/>
      <c r="CW184" s="917"/>
      <c r="CX184" s="917"/>
      <c r="CY184" s="917"/>
      <c r="CZ184" s="917"/>
      <c r="DA184" s="917"/>
      <c r="DB184" s="917"/>
      <c r="DC184" s="917"/>
      <c r="DD184" s="917"/>
      <c r="DE184" s="917"/>
      <c r="DF184" s="917"/>
      <c r="DG184" s="917"/>
      <c r="DH184" s="917"/>
      <c r="DI184" s="917"/>
      <c r="DJ184" s="917"/>
      <c r="DK184" s="917"/>
      <c r="DL184" s="917"/>
      <c r="DM184" s="917"/>
      <c r="DN184" s="917"/>
      <c r="DO184" s="917"/>
      <c r="DP184" s="917"/>
      <c r="DQ184" s="917"/>
      <c r="DR184" s="917"/>
      <c r="DS184" s="917"/>
      <c r="DT184" s="917"/>
      <c r="DU184" s="917"/>
      <c r="DV184" s="917"/>
      <c r="DW184" s="917"/>
      <c r="DX184" s="917"/>
      <c r="DY184" s="917"/>
      <c r="DZ184" s="917"/>
      <c r="EA184" s="917"/>
      <c r="EB184" s="917"/>
      <c r="EC184" s="917"/>
      <c r="ED184" s="917"/>
      <c r="EE184" s="917"/>
      <c r="EF184" s="917"/>
      <c r="EG184" s="917"/>
      <c r="EH184" s="917"/>
      <c r="EI184" s="917"/>
      <c r="EJ184" s="917"/>
      <c r="EK184" s="917"/>
      <c r="EL184" s="917"/>
      <c r="EM184" s="917"/>
      <c r="EN184" s="917"/>
      <c r="EO184" s="917"/>
    </row>
    <row r="185" spans="2:145" ht="15.65" customHeight="1">
      <c r="B185" s="856" t="s">
        <v>4556</v>
      </c>
      <c r="C185" s="867" t="s">
        <v>2504</v>
      </c>
      <c r="D185" s="836" t="s">
        <v>4557</v>
      </c>
      <c r="E185" s="836" t="s">
        <v>148</v>
      </c>
      <c r="F185" s="836" t="s">
        <v>4558</v>
      </c>
      <c r="G185" s="836" t="s">
        <v>4538</v>
      </c>
      <c r="H185" s="836" t="s">
        <v>4539</v>
      </c>
      <c r="I185" s="836" t="s">
        <v>4540</v>
      </c>
      <c r="J185" s="836" t="s">
        <v>4541</v>
      </c>
      <c r="K185" s="854" t="s">
        <v>4542</v>
      </c>
      <c r="L185" s="2780"/>
      <c r="M185" s="1043">
        <v>72</v>
      </c>
      <c r="N185" s="2834" t="s">
        <v>4559</v>
      </c>
      <c r="O185" s="2834"/>
      <c r="P185" s="2834"/>
      <c r="Q185" s="2834"/>
      <c r="R185" s="2835"/>
      <c r="S185" s="1044">
        <v>72</v>
      </c>
      <c r="T185" s="2834" t="s">
        <v>4560</v>
      </c>
      <c r="U185" s="2834"/>
      <c r="V185" s="2834"/>
      <c r="W185" s="2834"/>
      <c r="X185" s="2835"/>
      <c r="AM185" s="401" t="s">
        <v>1856</v>
      </c>
      <c r="AW185" s="856"/>
      <c r="AX185" s="1060" t="s">
        <v>4561</v>
      </c>
      <c r="BA185" s="836" t="s">
        <v>4562</v>
      </c>
      <c r="BC185" s="1059" t="s">
        <v>4563</v>
      </c>
      <c r="BD185" s="402"/>
      <c r="BG185" s="1001"/>
      <c r="BH185" s="927" t="s">
        <v>4564</v>
      </c>
      <c r="BI185" s="934" t="s">
        <v>4565</v>
      </c>
      <c r="BJ185" s="934" t="s">
        <v>4566</v>
      </c>
      <c r="BK185" s="934" t="s">
        <v>4567</v>
      </c>
      <c r="BL185" s="934" t="s">
        <v>4568</v>
      </c>
      <c r="BM185" s="934" t="s">
        <v>4569</v>
      </c>
      <c r="BN185" s="934" t="s">
        <v>4570</v>
      </c>
      <c r="BO185" s="934" t="s">
        <v>4571</v>
      </c>
      <c r="BP185" s="934" t="s">
        <v>4572</v>
      </c>
      <c r="BQ185" s="934" t="s">
        <v>4573</v>
      </c>
      <c r="BR185" s="934" t="s">
        <v>4574</v>
      </c>
      <c r="BS185" s="917"/>
      <c r="BT185" s="917"/>
      <c r="BU185" s="917"/>
      <c r="BV185" s="917"/>
      <c r="BW185" s="917"/>
      <c r="BX185" s="917"/>
      <c r="BY185" s="917"/>
      <c r="BZ185" s="917"/>
      <c r="CA185" s="917"/>
      <c r="CB185" s="917"/>
      <c r="CC185" s="917"/>
      <c r="CD185" s="917"/>
      <c r="CE185" s="917"/>
      <c r="CF185" s="917"/>
      <c r="CG185" s="917"/>
      <c r="CH185" s="917"/>
      <c r="CI185" s="917"/>
      <c r="CJ185" s="917"/>
      <c r="CK185" s="917"/>
      <c r="CL185" s="917"/>
      <c r="CM185" s="917"/>
      <c r="CN185" s="917"/>
      <c r="CO185" s="917"/>
      <c r="CP185" s="917"/>
      <c r="CQ185" s="917"/>
      <c r="CR185" s="917"/>
      <c r="CS185" s="917"/>
      <c r="CT185" s="917"/>
      <c r="CU185" s="917"/>
      <c r="CV185" s="917"/>
      <c r="CW185" s="917"/>
      <c r="CX185" s="917"/>
      <c r="CY185" s="917"/>
      <c r="CZ185" s="917"/>
      <c r="DA185" s="917"/>
      <c r="DB185" s="917"/>
      <c r="DC185" s="917"/>
      <c r="DD185" s="917"/>
      <c r="DE185" s="917"/>
      <c r="DF185" s="917"/>
      <c r="DG185" s="917"/>
      <c r="DH185" s="917"/>
      <c r="DI185" s="917"/>
      <c r="DJ185" s="917"/>
      <c r="DK185" s="917"/>
      <c r="DL185" s="917"/>
      <c r="DM185" s="917"/>
      <c r="DN185" s="917"/>
      <c r="DO185" s="917"/>
      <c r="DP185" s="917"/>
      <c r="DQ185" s="917"/>
      <c r="DR185" s="917"/>
      <c r="DS185" s="917"/>
      <c r="DT185" s="917"/>
      <c r="DU185" s="917"/>
      <c r="DV185" s="917"/>
      <c r="DW185" s="917"/>
      <c r="DX185" s="917"/>
      <c r="DY185" s="917"/>
      <c r="DZ185" s="917"/>
      <c r="EA185" s="917"/>
      <c r="EB185" s="917"/>
      <c r="EC185" s="917"/>
      <c r="ED185" s="917"/>
      <c r="EE185" s="917"/>
      <c r="EF185" s="917"/>
      <c r="EG185" s="917"/>
      <c r="EH185" s="917"/>
      <c r="EI185" s="917"/>
      <c r="EJ185" s="917"/>
      <c r="EK185" s="917"/>
      <c r="EL185" s="917"/>
      <c r="EM185" s="917"/>
      <c r="EN185" s="917"/>
      <c r="EO185" s="917"/>
    </row>
    <row r="186" spans="2:145" ht="15.65" customHeight="1">
      <c r="B186" s="856" t="s">
        <v>4575</v>
      </c>
      <c r="C186" s="867" t="s">
        <v>2504</v>
      </c>
      <c r="D186" s="836" t="s">
        <v>4557</v>
      </c>
      <c r="E186" s="836" t="s">
        <v>148</v>
      </c>
      <c r="F186" s="836" t="s">
        <v>4576</v>
      </c>
      <c r="G186" s="836" t="s">
        <v>4538</v>
      </c>
      <c r="H186" s="836" t="s">
        <v>4539</v>
      </c>
      <c r="I186" s="836" t="s">
        <v>4540</v>
      </c>
      <c r="J186" s="836" t="s">
        <v>4541</v>
      </c>
      <c r="K186" s="854" t="s">
        <v>4542</v>
      </c>
      <c r="L186" s="2780"/>
      <c r="M186" s="1043">
        <v>73</v>
      </c>
      <c r="N186" s="2834" t="s">
        <v>4577</v>
      </c>
      <c r="O186" s="2834"/>
      <c r="P186" s="2834"/>
      <c r="Q186" s="2834"/>
      <c r="R186" s="2835"/>
      <c r="S186" s="1044">
        <v>73</v>
      </c>
      <c r="T186" s="2834" t="s">
        <v>4578</v>
      </c>
      <c r="U186" s="2834"/>
      <c r="V186" s="2834"/>
      <c r="W186" s="2834"/>
      <c r="X186" s="2835"/>
      <c r="AM186" s="401" t="s">
        <v>1864</v>
      </c>
      <c r="AW186" s="856"/>
      <c r="AX186" s="1060" t="s">
        <v>4579</v>
      </c>
      <c r="BC186" s="1059" t="s">
        <v>751</v>
      </c>
      <c r="BD186" s="402"/>
      <c r="BG186" s="1001"/>
      <c r="BH186" s="1017" t="s">
        <v>4580</v>
      </c>
      <c r="BI186" s="934" t="s">
        <v>4581</v>
      </c>
      <c r="BJ186" s="934" t="s">
        <v>1760</v>
      </c>
      <c r="BK186" s="934" t="s">
        <v>3718</v>
      </c>
      <c r="BL186" s="934" t="s">
        <v>1767</v>
      </c>
      <c r="BM186" s="934" t="s">
        <v>3719</v>
      </c>
      <c r="BN186" s="934" t="s">
        <v>4582</v>
      </c>
      <c r="BO186" s="934" t="s">
        <v>3698</v>
      </c>
      <c r="BP186" s="934" t="s">
        <v>4583</v>
      </c>
      <c r="BQ186" s="934" t="s">
        <v>4584</v>
      </c>
      <c r="BR186" s="934" t="s">
        <v>4585</v>
      </c>
      <c r="BS186" s="934" t="s">
        <v>4586</v>
      </c>
      <c r="BT186" s="934" t="s">
        <v>4587</v>
      </c>
      <c r="BU186" s="934" t="s">
        <v>4588</v>
      </c>
      <c r="BV186" s="934" t="s">
        <v>4589</v>
      </c>
      <c r="BW186" s="934" t="s">
        <v>4590</v>
      </c>
      <c r="BX186" s="934" t="s">
        <v>4591</v>
      </c>
      <c r="BY186" s="934" t="s">
        <v>4592</v>
      </c>
      <c r="BZ186" s="934" t="s">
        <v>4593</v>
      </c>
      <c r="CA186" s="934" t="s">
        <v>4594</v>
      </c>
      <c r="CB186" s="934" t="s">
        <v>4595</v>
      </c>
      <c r="CC186" s="934" t="s">
        <v>4596</v>
      </c>
      <c r="CD186" s="934" t="s">
        <v>4597</v>
      </c>
      <c r="CE186" s="934" t="s">
        <v>4598</v>
      </c>
      <c r="CF186" s="934" t="s">
        <v>4599</v>
      </c>
      <c r="CG186" s="934" t="s">
        <v>4600</v>
      </c>
      <c r="CH186" s="934" t="s">
        <v>4601</v>
      </c>
      <c r="CI186" s="934" t="s">
        <v>4602</v>
      </c>
      <c r="CJ186" s="934" t="s">
        <v>4603</v>
      </c>
      <c r="CK186" s="934" t="s">
        <v>4604</v>
      </c>
      <c r="CL186" s="934" t="s">
        <v>4605</v>
      </c>
      <c r="CM186" s="934" t="s">
        <v>4606</v>
      </c>
      <c r="CN186" s="934" t="s">
        <v>4607</v>
      </c>
      <c r="CO186" s="934" t="s">
        <v>4608</v>
      </c>
      <c r="CP186" s="934" t="s">
        <v>4609</v>
      </c>
      <c r="CQ186" s="934" t="s">
        <v>4610</v>
      </c>
      <c r="CR186" s="934" t="s">
        <v>4611</v>
      </c>
      <c r="CS186" s="934" t="s">
        <v>4612</v>
      </c>
      <c r="CT186" s="934" t="s">
        <v>4613</v>
      </c>
      <c r="CU186" s="917"/>
      <c r="CV186" s="917"/>
      <c r="CW186" s="917"/>
      <c r="CX186" s="917"/>
      <c r="CY186" s="917"/>
      <c r="CZ186" s="917"/>
      <c r="DA186" s="917"/>
      <c r="DB186" s="917"/>
      <c r="DC186" s="917"/>
      <c r="DD186" s="917"/>
      <c r="DE186" s="917"/>
      <c r="DF186" s="917"/>
      <c r="DG186" s="917"/>
      <c r="DH186" s="917"/>
      <c r="DI186" s="917"/>
      <c r="DJ186" s="917"/>
      <c r="DK186" s="917"/>
      <c r="DL186" s="917"/>
      <c r="DM186" s="917"/>
      <c r="DN186" s="917"/>
      <c r="DO186" s="917"/>
      <c r="DP186" s="917"/>
      <c r="DQ186" s="917"/>
      <c r="DR186" s="917"/>
      <c r="DS186" s="917"/>
      <c r="DT186" s="917"/>
      <c r="DU186" s="917"/>
      <c r="DV186" s="917"/>
      <c r="DW186" s="917"/>
      <c r="DX186" s="917"/>
      <c r="DY186" s="917"/>
      <c r="DZ186" s="917"/>
      <c r="EA186" s="917"/>
      <c r="EB186" s="917"/>
      <c r="EC186" s="917"/>
      <c r="ED186" s="917"/>
      <c r="EE186" s="917"/>
      <c r="EF186" s="917"/>
      <c r="EG186" s="917"/>
      <c r="EH186" s="917"/>
      <c r="EI186" s="917"/>
      <c r="EJ186" s="917"/>
      <c r="EK186" s="917"/>
      <c r="EL186" s="917"/>
      <c r="EM186" s="917"/>
      <c r="EN186" s="917"/>
      <c r="EO186" s="917"/>
    </row>
    <row r="187" spans="2:145" ht="15.65" customHeight="1">
      <c r="B187" s="856" t="s">
        <v>4614</v>
      </c>
      <c r="C187" s="867" t="s">
        <v>2504</v>
      </c>
      <c r="D187" s="836" t="s">
        <v>4557</v>
      </c>
      <c r="E187" s="836" t="s">
        <v>148</v>
      </c>
      <c r="F187" s="836" t="s">
        <v>4615</v>
      </c>
      <c r="G187" s="836" t="s">
        <v>4538</v>
      </c>
      <c r="H187" s="836" t="s">
        <v>4539</v>
      </c>
      <c r="I187" s="836" t="s">
        <v>4540</v>
      </c>
      <c r="J187" s="836" t="s">
        <v>4541</v>
      </c>
      <c r="K187" s="854" t="s">
        <v>4542</v>
      </c>
      <c r="L187" s="2780"/>
      <c r="M187" s="1043">
        <v>74</v>
      </c>
      <c r="N187" s="2834" t="s">
        <v>4616</v>
      </c>
      <c r="O187" s="2834"/>
      <c r="P187" s="2834"/>
      <c r="Q187" s="2834"/>
      <c r="R187" s="2835"/>
      <c r="S187" s="1044">
        <v>74</v>
      </c>
      <c r="T187" s="2834" t="s">
        <v>4617</v>
      </c>
      <c r="U187" s="2834"/>
      <c r="V187" s="2834"/>
      <c r="W187" s="2834"/>
      <c r="X187" s="2835"/>
      <c r="AM187" s="401" t="s">
        <v>1875</v>
      </c>
      <c r="AW187" s="883"/>
      <c r="AX187" s="1060" t="s">
        <v>4618</v>
      </c>
      <c r="AY187" s="884"/>
      <c r="AZ187" s="884"/>
      <c r="BA187" s="836" t="s">
        <v>4619</v>
      </c>
      <c r="BB187" s="884"/>
      <c r="BC187" s="1059" t="s">
        <v>4620</v>
      </c>
      <c r="BD187" s="417"/>
      <c r="BG187" s="1001"/>
      <c r="BH187" s="927" t="s">
        <v>4621</v>
      </c>
      <c r="BI187" s="934" t="s">
        <v>4622</v>
      </c>
      <c r="BJ187" s="934" t="s">
        <v>3671</v>
      </c>
      <c r="BK187" s="934" t="s">
        <v>4623</v>
      </c>
      <c r="BL187" s="934" t="s">
        <v>4624</v>
      </c>
      <c r="BM187" s="934" t="s">
        <v>4625</v>
      </c>
      <c r="BN187" s="934" t="s">
        <v>4626</v>
      </c>
      <c r="BO187" s="934" t="s">
        <v>4627</v>
      </c>
      <c r="BP187" s="934" t="s">
        <v>4628</v>
      </c>
      <c r="BQ187" s="934" t="s">
        <v>4629</v>
      </c>
      <c r="BR187" s="934" t="s">
        <v>4630</v>
      </c>
      <c r="BS187" s="934" t="s">
        <v>3364</v>
      </c>
      <c r="BT187" s="917"/>
      <c r="BU187" s="917"/>
      <c r="BV187" s="917"/>
      <c r="BW187" s="917"/>
      <c r="BX187" s="917"/>
      <c r="BY187" s="917"/>
      <c r="BZ187" s="917"/>
      <c r="CA187" s="917"/>
      <c r="CB187" s="917"/>
      <c r="CC187" s="917"/>
      <c r="CD187" s="917"/>
      <c r="CE187" s="917"/>
      <c r="CF187" s="917"/>
      <c r="CG187" s="917"/>
      <c r="CH187" s="917"/>
      <c r="CI187" s="917"/>
      <c r="CJ187" s="917"/>
      <c r="CK187" s="917"/>
      <c r="CL187" s="917"/>
      <c r="CM187" s="917"/>
      <c r="CN187" s="917"/>
      <c r="CO187" s="917"/>
      <c r="CP187" s="917"/>
      <c r="CQ187" s="917"/>
      <c r="CR187" s="917"/>
      <c r="CS187" s="917"/>
      <c r="CT187" s="917"/>
      <c r="CU187" s="917"/>
      <c r="CV187" s="917"/>
      <c r="CW187" s="917"/>
      <c r="CX187" s="917"/>
      <c r="CY187" s="917"/>
      <c r="CZ187" s="917"/>
      <c r="DA187" s="917"/>
      <c r="DB187" s="917"/>
      <c r="DC187" s="917"/>
      <c r="DD187" s="917"/>
      <c r="DE187" s="917"/>
      <c r="DF187" s="917"/>
      <c r="DG187" s="917"/>
      <c r="DH187" s="917"/>
      <c r="DI187" s="917"/>
      <c r="DJ187" s="917"/>
      <c r="DK187" s="917"/>
      <c r="DL187" s="917"/>
      <c r="DM187" s="917"/>
      <c r="DN187" s="917"/>
      <c r="DO187" s="917"/>
      <c r="DP187" s="917"/>
      <c r="DQ187" s="917"/>
      <c r="DR187" s="917"/>
      <c r="DS187" s="917"/>
      <c r="DT187" s="917"/>
      <c r="DU187" s="917"/>
      <c r="DV187" s="917"/>
      <c r="DW187" s="917"/>
      <c r="DX187" s="917"/>
      <c r="DY187" s="917"/>
      <c r="DZ187" s="917"/>
      <c r="EA187" s="917"/>
      <c r="EB187" s="917"/>
      <c r="EC187" s="917"/>
      <c r="ED187" s="917"/>
      <c r="EE187" s="917"/>
      <c r="EF187" s="917"/>
      <c r="EG187" s="917"/>
      <c r="EH187" s="917"/>
      <c r="EI187" s="917"/>
      <c r="EJ187" s="917"/>
      <c r="EK187" s="917"/>
      <c r="EL187" s="917"/>
      <c r="EM187" s="917"/>
      <c r="EN187" s="917"/>
      <c r="EO187" s="917"/>
    </row>
    <row r="188" spans="2:145" ht="15.65" customHeight="1">
      <c r="B188" s="856" t="s">
        <v>4631</v>
      </c>
      <c r="C188" s="867" t="s">
        <v>3554</v>
      </c>
      <c r="D188" s="836" t="s">
        <v>4557</v>
      </c>
      <c r="E188" s="836" t="s">
        <v>148</v>
      </c>
      <c r="F188" s="836" t="s">
        <v>4632</v>
      </c>
      <c r="G188" s="836" t="s">
        <v>4538</v>
      </c>
      <c r="H188" s="836" t="s">
        <v>4539</v>
      </c>
      <c r="I188" s="836" t="s">
        <v>4540</v>
      </c>
      <c r="J188" s="836" t="s">
        <v>4541</v>
      </c>
      <c r="K188" s="854" t="s">
        <v>4542</v>
      </c>
      <c r="L188" s="2780"/>
      <c r="M188" s="1043">
        <v>75</v>
      </c>
      <c r="N188" s="2834" t="s">
        <v>4633</v>
      </c>
      <c r="O188" s="2834"/>
      <c r="P188" s="2834"/>
      <c r="Q188" s="2834"/>
      <c r="R188" s="2835"/>
      <c r="S188" s="1044">
        <v>75</v>
      </c>
      <c r="T188" s="2834" t="s">
        <v>4634</v>
      </c>
      <c r="U188" s="2834"/>
      <c r="V188" s="2834"/>
      <c r="W188" s="2834"/>
      <c r="X188" s="2835"/>
      <c r="AM188" s="401" t="s">
        <v>1911</v>
      </c>
      <c r="AX188" s="836" t="s">
        <v>314</v>
      </c>
      <c r="BA188" s="836" t="s">
        <v>4635</v>
      </c>
      <c r="BC188" s="1059" t="s">
        <v>4636</v>
      </c>
      <c r="BD188" s="401"/>
      <c r="BG188" s="1001"/>
      <c r="BH188" s="1017" t="s">
        <v>4637</v>
      </c>
      <c r="BI188" s="934" t="s">
        <v>4638</v>
      </c>
      <c r="BJ188" s="934" t="s">
        <v>1225</v>
      </c>
      <c r="BK188" s="934" t="s">
        <v>2576</v>
      </c>
      <c r="BL188" s="934" t="s">
        <v>1417</v>
      </c>
      <c r="BM188" s="934" t="s">
        <v>4019</v>
      </c>
      <c r="BN188" s="934" t="s">
        <v>670</v>
      </c>
      <c r="BO188" s="934" t="s">
        <v>4639</v>
      </c>
      <c r="BP188" s="934" t="s">
        <v>4020</v>
      </c>
      <c r="BQ188" s="934" t="s">
        <v>4640</v>
      </c>
      <c r="BR188" s="917"/>
      <c r="BS188" s="917"/>
      <c r="BT188" s="917"/>
      <c r="BU188" s="917"/>
      <c r="BV188" s="917"/>
      <c r="BW188" s="917"/>
      <c r="BX188" s="917"/>
      <c r="BY188" s="917"/>
      <c r="BZ188" s="917"/>
      <c r="CA188" s="917"/>
      <c r="CB188" s="917"/>
      <c r="CC188" s="917"/>
      <c r="CD188" s="917"/>
      <c r="CE188" s="917"/>
      <c r="CF188" s="917"/>
      <c r="CG188" s="917"/>
      <c r="CH188" s="917"/>
      <c r="CI188" s="917"/>
      <c r="CJ188" s="917"/>
      <c r="CK188" s="917"/>
      <c r="CL188" s="917"/>
      <c r="CM188" s="917"/>
      <c r="CN188" s="917"/>
      <c r="CO188" s="917"/>
      <c r="CP188" s="917"/>
      <c r="CQ188" s="917"/>
      <c r="CR188" s="917"/>
      <c r="CS188" s="917"/>
      <c r="CT188" s="917"/>
      <c r="CU188" s="917"/>
      <c r="CV188" s="917"/>
      <c r="CW188" s="917"/>
      <c r="CX188" s="917"/>
      <c r="CY188" s="917"/>
      <c r="CZ188" s="917"/>
      <c r="DA188" s="917"/>
      <c r="DB188" s="917"/>
      <c r="DC188" s="917"/>
      <c r="DD188" s="917"/>
      <c r="DE188" s="917"/>
      <c r="DF188" s="917"/>
      <c r="DG188" s="917"/>
      <c r="DH188" s="917"/>
      <c r="DI188" s="917"/>
      <c r="DJ188" s="917"/>
      <c r="DK188" s="917"/>
      <c r="DL188" s="917"/>
      <c r="DM188" s="917"/>
      <c r="DN188" s="917"/>
      <c r="DO188" s="917"/>
      <c r="DP188" s="917"/>
      <c r="DQ188" s="917"/>
      <c r="DR188" s="917"/>
      <c r="DS188" s="917"/>
      <c r="DT188" s="917"/>
      <c r="DU188" s="917"/>
      <c r="DV188" s="917"/>
      <c r="DW188" s="917"/>
      <c r="DX188" s="917"/>
      <c r="DY188" s="917"/>
      <c r="DZ188" s="917"/>
      <c r="EA188" s="917"/>
      <c r="EB188" s="917"/>
      <c r="EC188" s="917"/>
      <c r="ED188" s="917"/>
      <c r="EE188" s="917"/>
      <c r="EF188" s="917"/>
      <c r="EG188" s="917"/>
      <c r="EH188" s="917"/>
      <c r="EI188" s="917"/>
      <c r="EJ188" s="917"/>
      <c r="EK188" s="917"/>
      <c r="EL188" s="917"/>
      <c r="EM188" s="917"/>
      <c r="EN188" s="917"/>
      <c r="EO188" s="917"/>
    </row>
    <row r="189" spans="2:145" ht="15.65" customHeight="1">
      <c r="B189" s="856" t="s">
        <v>4641</v>
      </c>
      <c r="C189" s="867" t="s">
        <v>2504</v>
      </c>
      <c r="D189" s="836" t="s">
        <v>4557</v>
      </c>
      <c r="E189" s="836" t="s">
        <v>148</v>
      </c>
      <c r="F189" s="836" t="s">
        <v>4642</v>
      </c>
      <c r="G189" s="836" t="s">
        <v>4538</v>
      </c>
      <c r="H189" s="836" t="s">
        <v>4539</v>
      </c>
      <c r="I189" s="836" t="s">
        <v>4540</v>
      </c>
      <c r="J189" s="836" t="s">
        <v>4541</v>
      </c>
      <c r="K189" s="854" t="s">
        <v>4542</v>
      </c>
      <c r="L189" s="2780"/>
      <c r="M189" s="1043">
        <v>76</v>
      </c>
      <c r="N189" s="2834" t="s">
        <v>4643</v>
      </c>
      <c r="O189" s="2834"/>
      <c r="P189" s="2834"/>
      <c r="Q189" s="2834"/>
      <c r="R189" s="2835"/>
      <c r="S189" s="1044">
        <v>76</v>
      </c>
      <c r="T189" s="2834" t="s">
        <v>4644</v>
      </c>
      <c r="U189" s="2834"/>
      <c r="V189" s="2834"/>
      <c r="W189" s="2834"/>
      <c r="X189" s="2835"/>
      <c r="AM189" s="401" t="s">
        <v>1935</v>
      </c>
      <c r="BA189" s="836" t="s">
        <v>4645</v>
      </c>
      <c r="BC189" s="1059" t="s">
        <v>4646</v>
      </c>
      <c r="BD189" s="401"/>
      <c r="BG189" s="1001"/>
      <c r="BH189" s="1017" t="s">
        <v>4647</v>
      </c>
      <c r="BI189" s="934" t="s">
        <v>4648</v>
      </c>
      <c r="BJ189" s="934" t="s">
        <v>4649</v>
      </c>
      <c r="BK189" s="934" t="s">
        <v>3364</v>
      </c>
      <c r="BL189" s="934" t="s">
        <v>4650</v>
      </c>
      <c r="BM189" s="934" t="s">
        <v>4651</v>
      </c>
      <c r="BN189" s="934" t="s">
        <v>4652</v>
      </c>
      <c r="BO189" s="934" t="s">
        <v>4653</v>
      </c>
      <c r="BP189" s="934" t="s">
        <v>4654</v>
      </c>
      <c r="BQ189" s="917"/>
      <c r="BR189" s="917"/>
      <c r="BS189" s="917"/>
      <c r="BT189" s="917"/>
      <c r="BU189" s="917"/>
      <c r="BV189" s="917"/>
      <c r="BW189" s="917"/>
      <c r="BX189" s="917"/>
      <c r="BY189" s="917"/>
      <c r="BZ189" s="917"/>
      <c r="CA189" s="917"/>
      <c r="CB189" s="917"/>
      <c r="CC189" s="917"/>
      <c r="CD189" s="917"/>
      <c r="CE189" s="917"/>
      <c r="CF189" s="917"/>
      <c r="CG189" s="917"/>
      <c r="CH189" s="917"/>
      <c r="CI189" s="917"/>
      <c r="CJ189" s="917"/>
      <c r="CK189" s="917"/>
      <c r="CL189" s="917"/>
      <c r="CM189" s="917"/>
      <c r="CN189" s="917"/>
      <c r="CO189" s="917"/>
      <c r="CP189" s="917"/>
      <c r="CQ189" s="917"/>
      <c r="CR189" s="917"/>
      <c r="CS189" s="917"/>
      <c r="CT189" s="917"/>
      <c r="CU189" s="917"/>
      <c r="CV189" s="917"/>
      <c r="CW189" s="917"/>
      <c r="CX189" s="917"/>
      <c r="CY189" s="917"/>
      <c r="CZ189" s="917"/>
      <c r="DA189" s="917"/>
      <c r="DB189" s="917"/>
      <c r="DC189" s="917"/>
      <c r="DD189" s="917"/>
      <c r="DE189" s="917"/>
      <c r="DF189" s="917"/>
      <c r="DG189" s="917"/>
      <c r="DH189" s="917"/>
      <c r="DI189" s="917"/>
      <c r="DJ189" s="917"/>
      <c r="DK189" s="917"/>
      <c r="DL189" s="917"/>
      <c r="DM189" s="917"/>
      <c r="DN189" s="917"/>
      <c r="DO189" s="917"/>
      <c r="DP189" s="917"/>
      <c r="DQ189" s="917"/>
      <c r="DR189" s="917"/>
      <c r="DS189" s="917"/>
      <c r="DT189" s="917"/>
      <c r="DU189" s="917"/>
      <c r="DV189" s="917"/>
      <c r="DW189" s="917"/>
      <c r="DX189" s="917"/>
      <c r="DY189" s="917"/>
      <c r="DZ189" s="917"/>
      <c r="EA189" s="917"/>
      <c r="EB189" s="917"/>
      <c r="EC189" s="917"/>
      <c r="ED189" s="917"/>
      <c r="EE189" s="917"/>
      <c r="EF189" s="917"/>
      <c r="EG189" s="917"/>
      <c r="EH189" s="917"/>
      <c r="EI189" s="917"/>
      <c r="EJ189" s="917"/>
      <c r="EK189" s="917"/>
      <c r="EL189" s="917"/>
      <c r="EM189" s="917"/>
      <c r="EN189" s="917"/>
      <c r="EO189" s="917"/>
    </row>
    <row r="190" spans="2:145" ht="15.65" customHeight="1">
      <c r="B190" s="856" t="s">
        <v>4655</v>
      </c>
      <c r="C190" s="867" t="s">
        <v>2504</v>
      </c>
      <c r="D190" s="836" t="s">
        <v>4557</v>
      </c>
      <c r="E190" s="836" t="s">
        <v>148</v>
      </c>
      <c r="F190" s="836" t="s">
        <v>4656</v>
      </c>
      <c r="G190" s="836" t="s">
        <v>4538</v>
      </c>
      <c r="H190" s="836" t="s">
        <v>4539</v>
      </c>
      <c r="I190" s="836" t="s">
        <v>4540</v>
      </c>
      <c r="J190" s="836" t="s">
        <v>4541</v>
      </c>
      <c r="K190" s="854" t="s">
        <v>4542</v>
      </c>
      <c r="L190" s="2780"/>
      <c r="M190" s="1043">
        <v>77</v>
      </c>
      <c r="N190" s="2834" t="s">
        <v>4657</v>
      </c>
      <c r="O190" s="2834"/>
      <c r="P190" s="2834"/>
      <c r="Q190" s="2834"/>
      <c r="R190" s="2835"/>
      <c r="S190" s="1044">
        <v>77</v>
      </c>
      <c r="T190" s="2834" t="s">
        <v>4658</v>
      </c>
      <c r="U190" s="2834"/>
      <c r="V190" s="2834"/>
      <c r="W190" s="2834"/>
      <c r="X190" s="2835"/>
      <c r="AM190" s="401" t="s">
        <v>1955</v>
      </c>
      <c r="BA190" s="836" t="s">
        <v>4659</v>
      </c>
      <c r="BC190" s="1059" t="s">
        <v>4660</v>
      </c>
      <c r="BD190" s="401"/>
      <c r="BG190" s="1001"/>
      <c r="BH190" s="927" t="s">
        <v>4661</v>
      </c>
      <c r="BI190" s="934" t="s">
        <v>4662</v>
      </c>
      <c r="BJ190" s="934" t="s">
        <v>4663</v>
      </c>
      <c r="BK190" s="934" t="s">
        <v>4664</v>
      </c>
      <c r="BL190" s="934" t="s">
        <v>4665</v>
      </c>
      <c r="BM190" s="934" t="s">
        <v>4666</v>
      </c>
      <c r="BN190" s="934" t="s">
        <v>4667</v>
      </c>
      <c r="BO190" s="934" t="s">
        <v>4668</v>
      </c>
      <c r="BP190" s="934" t="s">
        <v>4669</v>
      </c>
      <c r="BQ190" s="934" t="s">
        <v>4670</v>
      </c>
      <c r="BR190" s="934" t="s">
        <v>4671</v>
      </c>
      <c r="BS190" s="934" t="s">
        <v>4672</v>
      </c>
      <c r="BT190" s="934" t="s">
        <v>4673</v>
      </c>
      <c r="BU190" s="934" t="s">
        <v>4674</v>
      </c>
      <c r="BV190" s="934" t="s">
        <v>4675</v>
      </c>
      <c r="BW190" s="934" t="s">
        <v>4676</v>
      </c>
      <c r="BX190" s="934" t="s">
        <v>4677</v>
      </c>
      <c r="BY190" s="917"/>
      <c r="BZ190" s="917"/>
      <c r="CA190" s="917"/>
      <c r="CB190" s="917"/>
      <c r="CC190" s="917"/>
      <c r="CD190" s="917"/>
      <c r="CE190" s="917"/>
      <c r="CF190" s="917"/>
      <c r="CG190" s="917"/>
      <c r="CH190" s="917"/>
      <c r="CI190" s="917"/>
      <c r="CJ190" s="917"/>
      <c r="CK190" s="917"/>
      <c r="CL190" s="917"/>
      <c r="CM190" s="917"/>
      <c r="CN190" s="917"/>
      <c r="CO190" s="917"/>
      <c r="CP190" s="917"/>
      <c r="CQ190" s="917"/>
      <c r="CR190" s="917"/>
      <c r="CS190" s="917"/>
      <c r="CT190" s="917"/>
      <c r="CU190" s="917"/>
      <c r="CV190" s="917"/>
      <c r="CW190" s="917"/>
      <c r="CX190" s="917"/>
      <c r="CY190" s="917"/>
      <c r="CZ190" s="917"/>
      <c r="DA190" s="917"/>
      <c r="DB190" s="917"/>
      <c r="DC190" s="917"/>
      <c r="DD190" s="917"/>
      <c r="DE190" s="917"/>
      <c r="DF190" s="917"/>
      <c r="DG190" s="917"/>
      <c r="DH190" s="917"/>
      <c r="DI190" s="917"/>
      <c r="DJ190" s="917"/>
      <c r="DK190" s="917"/>
      <c r="DL190" s="917"/>
      <c r="DM190" s="917"/>
      <c r="DN190" s="917"/>
      <c r="DO190" s="917"/>
      <c r="DP190" s="917"/>
      <c r="DQ190" s="917"/>
      <c r="DR190" s="917"/>
      <c r="DS190" s="917"/>
      <c r="DT190" s="917"/>
      <c r="DU190" s="917"/>
      <c r="DV190" s="917"/>
      <c r="DW190" s="917"/>
      <c r="DX190" s="917"/>
      <c r="DY190" s="917"/>
      <c r="DZ190" s="917"/>
      <c r="EA190" s="917"/>
      <c r="EB190" s="917"/>
      <c r="EC190" s="917"/>
      <c r="ED190" s="917"/>
      <c r="EE190" s="917"/>
      <c r="EF190" s="917"/>
      <c r="EG190" s="917"/>
      <c r="EH190" s="917"/>
      <c r="EI190" s="917"/>
      <c r="EJ190" s="917"/>
      <c r="EK190" s="917"/>
      <c r="EL190" s="917"/>
      <c r="EM190" s="917"/>
      <c r="EN190" s="917"/>
      <c r="EO190" s="917"/>
    </row>
    <row r="191" spans="2:145" ht="15.65" customHeight="1">
      <c r="B191" s="856" t="s">
        <v>4678</v>
      </c>
      <c r="C191" s="867" t="s">
        <v>2504</v>
      </c>
      <c r="D191" s="836" t="s">
        <v>4557</v>
      </c>
      <c r="E191" s="836" t="s">
        <v>148</v>
      </c>
      <c r="F191" s="836" t="s">
        <v>4679</v>
      </c>
      <c r="G191" s="836" t="s">
        <v>4538</v>
      </c>
      <c r="H191" s="836" t="s">
        <v>4539</v>
      </c>
      <c r="I191" s="836" t="s">
        <v>4540</v>
      </c>
      <c r="J191" s="836" t="s">
        <v>4541</v>
      </c>
      <c r="K191" s="854" t="s">
        <v>4542</v>
      </c>
      <c r="L191" s="2780"/>
      <c r="M191" s="1043">
        <v>78</v>
      </c>
      <c r="N191" s="2834" t="s">
        <v>4680</v>
      </c>
      <c r="O191" s="2834"/>
      <c r="P191" s="2834"/>
      <c r="Q191" s="2834"/>
      <c r="R191" s="2835"/>
      <c r="S191" s="1044">
        <v>78</v>
      </c>
      <c r="T191" s="2834" t="s">
        <v>4681</v>
      </c>
      <c r="U191" s="2834"/>
      <c r="V191" s="2834"/>
      <c r="W191" s="2834"/>
      <c r="X191" s="2835"/>
      <c r="AM191" s="401" t="s">
        <v>1980</v>
      </c>
      <c r="BA191" s="836" t="s">
        <v>4682</v>
      </c>
      <c r="BC191" s="1059" t="s">
        <v>4683</v>
      </c>
      <c r="BG191" s="1001"/>
      <c r="BH191" s="927" t="s">
        <v>4684</v>
      </c>
      <c r="BI191" s="934" t="s">
        <v>4685</v>
      </c>
      <c r="BJ191" s="934" t="s">
        <v>4686</v>
      </c>
      <c r="BK191" s="934" t="s">
        <v>4687</v>
      </c>
      <c r="BL191" s="934" t="s">
        <v>4688</v>
      </c>
      <c r="BM191" s="917"/>
      <c r="BN191" s="917"/>
      <c r="BO191" s="917"/>
      <c r="BP191" s="917"/>
      <c r="BQ191" s="917"/>
      <c r="BR191" s="917"/>
      <c r="BS191" s="917"/>
      <c r="BT191" s="917"/>
      <c r="BU191" s="917"/>
      <c r="BV191" s="917"/>
      <c r="BW191" s="917"/>
      <c r="BX191" s="917"/>
      <c r="BY191" s="917"/>
      <c r="BZ191" s="917"/>
      <c r="CA191" s="917"/>
      <c r="CB191" s="917"/>
      <c r="CC191" s="917"/>
      <c r="CD191" s="917"/>
      <c r="CE191" s="917"/>
      <c r="CF191" s="917"/>
      <c r="CG191" s="917"/>
      <c r="CH191" s="917"/>
      <c r="CI191" s="917"/>
      <c r="CJ191" s="917"/>
      <c r="CK191" s="917"/>
      <c r="CL191" s="917"/>
      <c r="CM191" s="917"/>
      <c r="CN191" s="917"/>
      <c r="CO191" s="917"/>
      <c r="CP191" s="917"/>
      <c r="CQ191" s="917"/>
      <c r="CR191" s="917"/>
      <c r="CS191" s="917"/>
      <c r="CT191" s="917"/>
      <c r="CU191" s="917"/>
      <c r="CV191" s="917"/>
      <c r="CW191" s="917"/>
      <c r="CX191" s="917"/>
      <c r="CY191" s="917"/>
      <c r="CZ191" s="917"/>
      <c r="DA191" s="917"/>
      <c r="DB191" s="917"/>
      <c r="DC191" s="917"/>
      <c r="DD191" s="917"/>
      <c r="DE191" s="917"/>
      <c r="DF191" s="917"/>
      <c r="DG191" s="917"/>
      <c r="DH191" s="917"/>
      <c r="DI191" s="917"/>
      <c r="DJ191" s="917"/>
      <c r="DK191" s="917"/>
      <c r="DL191" s="917"/>
      <c r="DM191" s="917"/>
      <c r="DN191" s="917"/>
      <c r="DO191" s="917"/>
      <c r="DP191" s="917"/>
      <c r="DQ191" s="917"/>
      <c r="DR191" s="917"/>
      <c r="DS191" s="917"/>
      <c r="DT191" s="917"/>
      <c r="DU191" s="917"/>
      <c r="DV191" s="917"/>
      <c r="DW191" s="917"/>
      <c r="DX191" s="917"/>
      <c r="DY191" s="917"/>
      <c r="DZ191" s="917"/>
      <c r="EA191" s="917"/>
      <c r="EB191" s="917"/>
      <c r="EC191" s="917"/>
      <c r="ED191" s="917"/>
      <c r="EE191" s="917"/>
      <c r="EF191" s="917"/>
      <c r="EG191" s="917"/>
      <c r="EH191" s="917"/>
      <c r="EI191" s="917"/>
      <c r="EJ191" s="917"/>
      <c r="EK191" s="917"/>
      <c r="EL191" s="917"/>
      <c r="EM191" s="917"/>
      <c r="EN191" s="917"/>
      <c r="EO191" s="917"/>
    </row>
    <row r="192" spans="2:145" ht="15.65" customHeight="1">
      <c r="B192" s="856" t="s">
        <v>4689</v>
      </c>
      <c r="C192" s="867" t="s">
        <v>2504</v>
      </c>
      <c r="D192" s="836" t="s">
        <v>4557</v>
      </c>
      <c r="E192" s="836" t="s">
        <v>148</v>
      </c>
      <c r="F192" s="836" t="s">
        <v>4690</v>
      </c>
      <c r="G192" s="836" t="s">
        <v>4538</v>
      </c>
      <c r="H192" s="836" t="s">
        <v>4539</v>
      </c>
      <c r="I192" s="836" t="s">
        <v>4540</v>
      </c>
      <c r="J192" s="836" t="s">
        <v>4541</v>
      </c>
      <c r="K192" s="854" t="s">
        <v>4542</v>
      </c>
      <c r="L192" s="2780"/>
      <c r="M192" s="1043">
        <v>79</v>
      </c>
      <c r="N192" s="2834" t="s">
        <v>4691</v>
      </c>
      <c r="O192" s="2834"/>
      <c r="P192" s="2834"/>
      <c r="Q192" s="2834"/>
      <c r="R192" s="2835"/>
      <c r="S192" s="1044">
        <v>79</v>
      </c>
      <c r="T192" s="2834" t="s">
        <v>4692</v>
      </c>
      <c r="U192" s="2834"/>
      <c r="V192" s="2834"/>
      <c r="W192" s="2834"/>
      <c r="X192" s="2835"/>
      <c r="AM192" s="401" t="s">
        <v>1996</v>
      </c>
      <c r="BA192" s="836" t="s">
        <v>4693</v>
      </c>
      <c r="BC192" s="1059" t="s">
        <v>4694</v>
      </c>
      <c r="BD192" s="401"/>
      <c r="BG192" s="1063"/>
      <c r="BH192" s="927" t="s">
        <v>4695</v>
      </c>
      <c r="BI192" s="1064" t="s">
        <v>4696</v>
      </c>
      <c r="BJ192" s="1064" t="s">
        <v>4697</v>
      </c>
      <c r="BK192" s="1064" t="s">
        <v>4698</v>
      </c>
      <c r="BL192" s="1064" t="s">
        <v>4699</v>
      </c>
      <c r="BM192" s="1064" t="s">
        <v>4700</v>
      </c>
      <c r="BN192" s="1064" t="s">
        <v>4701</v>
      </c>
      <c r="BO192" s="1064" t="s">
        <v>4702</v>
      </c>
      <c r="BP192" s="1064" t="s">
        <v>4072</v>
      </c>
      <c r="BQ192" s="1064" t="s">
        <v>4703</v>
      </c>
      <c r="BR192" s="917"/>
      <c r="BS192" s="917"/>
      <c r="BT192" s="917"/>
      <c r="BU192" s="917"/>
      <c r="BV192" s="917"/>
      <c r="BW192" s="917"/>
      <c r="BX192" s="917"/>
      <c r="BY192" s="917"/>
      <c r="BZ192" s="917"/>
      <c r="CA192" s="917"/>
      <c r="CB192" s="917"/>
      <c r="CC192" s="917"/>
      <c r="CD192" s="917"/>
      <c r="CE192" s="917"/>
      <c r="CF192" s="917"/>
      <c r="CG192" s="917"/>
      <c r="CH192" s="917"/>
      <c r="CI192" s="917"/>
      <c r="CJ192" s="917"/>
      <c r="CK192" s="917"/>
      <c r="CL192" s="917"/>
      <c r="CM192" s="917"/>
      <c r="CN192" s="917"/>
      <c r="CO192" s="917"/>
      <c r="CP192" s="917"/>
      <c r="CQ192" s="917"/>
      <c r="CR192" s="917"/>
      <c r="CS192" s="917"/>
      <c r="CT192" s="917"/>
      <c r="CU192" s="917"/>
      <c r="CV192" s="917"/>
      <c r="CW192" s="917"/>
      <c r="CX192" s="917"/>
      <c r="CY192" s="917"/>
      <c r="CZ192" s="917"/>
      <c r="DA192" s="917"/>
      <c r="DB192" s="917"/>
      <c r="DC192" s="917"/>
      <c r="DD192" s="917"/>
      <c r="DE192" s="917"/>
      <c r="DF192" s="917"/>
      <c r="DG192" s="917"/>
      <c r="DH192" s="917"/>
      <c r="DI192" s="917"/>
      <c r="DJ192" s="917"/>
      <c r="DK192" s="917"/>
      <c r="DL192" s="917"/>
      <c r="DM192" s="917"/>
      <c r="DN192" s="917"/>
      <c r="DO192" s="917"/>
      <c r="DP192" s="917"/>
      <c r="DQ192" s="917"/>
      <c r="DR192" s="917"/>
      <c r="DS192" s="917"/>
      <c r="DT192" s="917"/>
      <c r="DU192" s="917"/>
      <c r="DV192" s="917"/>
      <c r="DW192" s="917"/>
      <c r="DX192" s="917"/>
      <c r="DY192" s="917"/>
      <c r="DZ192" s="917"/>
      <c r="EA192" s="917"/>
      <c r="EB192" s="917"/>
      <c r="EC192" s="917"/>
      <c r="ED192" s="917"/>
      <c r="EE192" s="917"/>
      <c r="EF192" s="917"/>
      <c r="EG192" s="917"/>
      <c r="EH192" s="917"/>
      <c r="EI192" s="917"/>
      <c r="EJ192" s="917"/>
      <c r="EK192" s="917"/>
      <c r="EL192" s="917"/>
      <c r="EM192" s="917"/>
      <c r="EN192" s="917"/>
      <c r="EO192" s="917"/>
    </row>
    <row r="193" spans="2:145" ht="15.65" customHeight="1">
      <c r="B193" s="856" t="s">
        <v>4704</v>
      </c>
      <c r="C193" s="867" t="s">
        <v>2504</v>
      </c>
      <c r="D193" s="836" t="s">
        <v>4557</v>
      </c>
      <c r="E193" s="836" t="s">
        <v>148</v>
      </c>
      <c r="F193" s="836" t="s">
        <v>4705</v>
      </c>
      <c r="G193" s="836" t="s">
        <v>4538</v>
      </c>
      <c r="H193" s="836" t="s">
        <v>4539</v>
      </c>
      <c r="I193" s="836" t="s">
        <v>4540</v>
      </c>
      <c r="J193" s="836" t="s">
        <v>4541</v>
      </c>
      <c r="K193" s="854" t="s">
        <v>4542</v>
      </c>
      <c r="L193" s="2780"/>
      <c r="M193" s="1043">
        <v>80</v>
      </c>
      <c r="N193" s="2834" t="s">
        <v>4706</v>
      </c>
      <c r="O193" s="2834"/>
      <c r="P193" s="2834"/>
      <c r="Q193" s="2834"/>
      <c r="R193" s="2835"/>
      <c r="S193" s="1044">
        <v>80</v>
      </c>
      <c r="T193" s="2834" t="s">
        <v>4707</v>
      </c>
      <c r="U193" s="2834"/>
      <c r="V193" s="2834"/>
      <c r="W193" s="2834"/>
      <c r="X193" s="2835"/>
      <c r="AM193" s="401" t="s">
        <v>2004</v>
      </c>
      <c r="BC193" s="1059" t="s">
        <v>4708</v>
      </c>
      <c r="BD193" s="401"/>
      <c r="BG193" s="1063"/>
      <c r="BI193" s="928"/>
      <c r="BJ193" s="917"/>
      <c r="BK193" s="917"/>
      <c r="BL193" s="917"/>
      <c r="BM193" s="917"/>
      <c r="BN193" s="917"/>
      <c r="BO193" s="917"/>
      <c r="BP193" s="917"/>
      <c r="BQ193" s="917"/>
      <c r="BR193" s="917"/>
      <c r="BS193" s="917"/>
      <c r="BT193" s="917"/>
      <c r="BU193" s="917"/>
      <c r="BV193" s="917"/>
      <c r="BW193" s="917"/>
      <c r="BX193" s="917"/>
      <c r="BY193" s="917"/>
      <c r="BZ193" s="917"/>
      <c r="CA193" s="917"/>
      <c r="CB193" s="917"/>
      <c r="CC193" s="917"/>
      <c r="CD193" s="917"/>
      <c r="CE193" s="917"/>
      <c r="CF193" s="917"/>
      <c r="CG193" s="917"/>
      <c r="CH193" s="917"/>
      <c r="CI193" s="917"/>
      <c r="CJ193" s="917"/>
      <c r="CK193" s="917"/>
      <c r="CL193" s="917"/>
      <c r="CM193" s="917"/>
      <c r="CN193" s="917"/>
      <c r="CO193" s="917"/>
      <c r="CP193" s="917"/>
      <c r="CQ193" s="917"/>
      <c r="CR193" s="917"/>
      <c r="CS193" s="917"/>
      <c r="CT193" s="917"/>
      <c r="CU193" s="917"/>
      <c r="CV193" s="917"/>
      <c r="CW193" s="917"/>
      <c r="CX193" s="917"/>
      <c r="CY193" s="917"/>
      <c r="CZ193" s="917"/>
      <c r="DA193" s="917"/>
      <c r="DB193" s="917"/>
      <c r="DC193" s="917"/>
      <c r="DD193" s="917"/>
      <c r="DE193" s="917"/>
      <c r="DF193" s="917"/>
      <c r="DG193" s="917"/>
      <c r="DH193" s="917"/>
      <c r="DI193" s="917"/>
      <c r="DJ193" s="917"/>
      <c r="DK193" s="917"/>
      <c r="DL193" s="917"/>
      <c r="DM193" s="917"/>
      <c r="DN193" s="917"/>
      <c r="DO193" s="917"/>
      <c r="DP193" s="917"/>
      <c r="DQ193" s="917"/>
      <c r="DR193" s="917"/>
      <c r="DS193" s="917"/>
      <c r="DT193" s="917"/>
      <c r="DU193" s="917"/>
      <c r="DV193" s="917"/>
      <c r="DW193" s="917"/>
      <c r="DX193" s="917"/>
      <c r="DY193" s="917"/>
      <c r="DZ193" s="917"/>
      <c r="EA193" s="917"/>
      <c r="EB193" s="917"/>
      <c r="EC193" s="917"/>
      <c r="ED193" s="917"/>
      <c r="EE193" s="917"/>
      <c r="EF193" s="917"/>
      <c r="EG193" s="917"/>
      <c r="EH193" s="917"/>
      <c r="EI193" s="917"/>
      <c r="EJ193" s="917"/>
      <c r="EK193" s="917"/>
      <c r="EL193" s="917"/>
      <c r="EM193" s="917"/>
      <c r="EN193" s="917"/>
      <c r="EO193" s="917"/>
    </row>
    <row r="194" spans="2:145" ht="15.65" customHeight="1">
      <c r="B194" s="856" t="s">
        <v>4709</v>
      </c>
      <c r="C194" s="867" t="s">
        <v>2504</v>
      </c>
      <c r="D194" s="836" t="s">
        <v>4557</v>
      </c>
      <c r="E194" s="836" t="s">
        <v>148</v>
      </c>
      <c r="F194" s="836" t="s">
        <v>4710</v>
      </c>
      <c r="G194" s="836" t="s">
        <v>4538</v>
      </c>
      <c r="H194" s="836" t="s">
        <v>4539</v>
      </c>
      <c r="I194" s="836" t="s">
        <v>4540</v>
      </c>
      <c r="J194" s="836" t="s">
        <v>4541</v>
      </c>
      <c r="K194" s="854" t="s">
        <v>4542</v>
      </c>
      <c r="L194" s="2780"/>
      <c r="M194" s="1043">
        <v>81</v>
      </c>
      <c r="N194" s="2834" t="s">
        <v>4711</v>
      </c>
      <c r="O194" s="2834"/>
      <c r="P194" s="2834"/>
      <c r="Q194" s="2834"/>
      <c r="R194" s="2835"/>
      <c r="S194" s="1044">
        <v>81</v>
      </c>
      <c r="T194" s="2834" t="s">
        <v>4712</v>
      </c>
      <c r="U194" s="2834"/>
      <c r="V194" s="2834"/>
      <c r="W194" s="2834"/>
      <c r="X194" s="2835"/>
      <c r="AM194" s="401" t="s">
        <v>2014</v>
      </c>
      <c r="BA194" s="836" t="s">
        <v>4713</v>
      </c>
      <c r="BC194" s="1059" t="s">
        <v>4714</v>
      </c>
      <c r="BD194" s="401"/>
      <c r="BG194" s="1063"/>
      <c r="BH194" s="1027" t="s">
        <v>4715</v>
      </c>
      <c r="BI194" s="928"/>
      <c r="BJ194" s="917"/>
      <c r="BK194" s="917"/>
      <c r="BL194" s="917"/>
      <c r="BM194" s="917"/>
      <c r="BN194" s="917"/>
      <c r="BO194" s="917"/>
      <c r="BP194" s="917"/>
      <c r="BQ194" s="917"/>
      <c r="BR194" s="917"/>
      <c r="BS194" s="917"/>
      <c r="BT194" s="917"/>
      <c r="BU194" s="917"/>
      <c r="BV194" s="917"/>
      <c r="BW194" s="917"/>
      <c r="BX194" s="917"/>
      <c r="BY194" s="917"/>
      <c r="BZ194" s="917"/>
      <c r="CA194" s="917"/>
      <c r="CB194" s="917"/>
      <c r="CC194" s="917"/>
      <c r="CD194" s="917"/>
      <c r="CE194" s="917"/>
      <c r="CF194" s="917"/>
      <c r="CG194" s="917"/>
      <c r="CH194" s="917"/>
      <c r="CI194" s="917"/>
      <c r="CJ194" s="917"/>
      <c r="CK194" s="917"/>
      <c r="CL194" s="917"/>
      <c r="CM194" s="917"/>
      <c r="CN194" s="917"/>
      <c r="CO194" s="917"/>
      <c r="CP194" s="917"/>
      <c r="CQ194" s="917"/>
      <c r="CR194" s="917"/>
      <c r="CS194" s="917"/>
      <c r="CT194" s="917"/>
      <c r="CU194" s="917"/>
      <c r="CV194" s="917"/>
      <c r="CW194" s="917"/>
      <c r="CX194" s="917"/>
      <c r="CY194" s="917"/>
      <c r="CZ194" s="917"/>
      <c r="DA194" s="917"/>
      <c r="DB194" s="917"/>
      <c r="DC194" s="917"/>
      <c r="DD194" s="917"/>
      <c r="DE194" s="917"/>
      <c r="DF194" s="917"/>
      <c r="DG194" s="917"/>
      <c r="DH194" s="917"/>
      <c r="DI194" s="917"/>
      <c r="DJ194" s="917"/>
      <c r="DK194" s="917"/>
      <c r="DL194" s="917"/>
      <c r="DM194" s="917"/>
      <c r="DN194" s="917"/>
      <c r="DO194" s="917"/>
      <c r="DP194" s="917"/>
      <c r="DQ194" s="917"/>
      <c r="DR194" s="917"/>
      <c r="DS194" s="917"/>
      <c r="DT194" s="917"/>
      <c r="DU194" s="917"/>
      <c r="DV194" s="917"/>
      <c r="DW194" s="917"/>
      <c r="DX194" s="917"/>
      <c r="DY194" s="917"/>
      <c r="DZ194" s="917"/>
      <c r="EA194" s="917"/>
      <c r="EB194" s="917"/>
      <c r="EC194" s="917"/>
      <c r="ED194" s="917"/>
      <c r="EE194" s="917"/>
      <c r="EF194" s="917"/>
      <c r="EG194" s="917"/>
      <c r="EH194" s="917"/>
      <c r="EI194" s="917"/>
      <c r="EJ194" s="917"/>
      <c r="EK194" s="917"/>
      <c r="EL194" s="917"/>
      <c r="EM194" s="917"/>
      <c r="EN194" s="917"/>
      <c r="EO194" s="917"/>
    </row>
    <row r="195" spans="2:145" ht="15.65" customHeight="1">
      <c r="B195" s="856" t="s">
        <v>4716</v>
      </c>
      <c r="C195" s="867" t="s">
        <v>2504</v>
      </c>
      <c r="D195" s="836" t="s">
        <v>4557</v>
      </c>
      <c r="E195" s="836" t="s">
        <v>148</v>
      </c>
      <c r="F195" s="836" t="s">
        <v>4717</v>
      </c>
      <c r="G195" s="836" t="s">
        <v>4538</v>
      </c>
      <c r="H195" s="836" t="s">
        <v>4539</v>
      </c>
      <c r="I195" s="836" t="s">
        <v>4540</v>
      </c>
      <c r="J195" s="836" t="s">
        <v>4541</v>
      </c>
      <c r="K195" s="854" t="s">
        <v>4542</v>
      </c>
      <c r="L195" s="2780"/>
      <c r="M195" s="1043">
        <v>82</v>
      </c>
      <c r="N195" s="2834" t="s">
        <v>4718</v>
      </c>
      <c r="O195" s="2834"/>
      <c r="P195" s="2834"/>
      <c r="Q195" s="2834"/>
      <c r="R195" s="2835"/>
      <c r="S195" s="1044">
        <v>82</v>
      </c>
      <c r="T195" s="2834" t="s">
        <v>4719</v>
      </c>
      <c r="U195" s="2834"/>
      <c r="V195" s="2834"/>
      <c r="W195" s="2834"/>
      <c r="X195" s="2835"/>
      <c r="AM195" s="401" t="s">
        <v>2026</v>
      </c>
      <c r="BA195" s="836" t="s">
        <v>4720</v>
      </c>
      <c r="BC195" s="1059" t="s">
        <v>4721</v>
      </c>
      <c r="BD195" s="401"/>
      <c r="BG195" s="1001"/>
      <c r="BH195" s="927" t="s">
        <v>4722</v>
      </c>
      <c r="BI195" s="934" t="s">
        <v>4723</v>
      </c>
      <c r="BJ195" s="934" t="s">
        <v>4724</v>
      </c>
      <c r="BK195" s="934" t="s">
        <v>4725</v>
      </c>
      <c r="BL195" s="934" t="s">
        <v>4726</v>
      </c>
      <c r="BM195" s="934" t="s">
        <v>4727</v>
      </c>
      <c r="BN195" s="934" t="s">
        <v>4728</v>
      </c>
      <c r="BO195" s="934" t="s">
        <v>4729</v>
      </c>
      <c r="BP195" s="934" t="s">
        <v>4730</v>
      </c>
      <c r="BQ195" s="934" t="s">
        <v>4731</v>
      </c>
      <c r="BR195" s="934" t="s">
        <v>4732</v>
      </c>
      <c r="BS195" s="934" t="s">
        <v>4733</v>
      </c>
      <c r="BT195" s="934" t="s">
        <v>4734</v>
      </c>
      <c r="BU195" s="934" t="s">
        <v>4735</v>
      </c>
      <c r="BV195" s="934" t="s">
        <v>4736</v>
      </c>
      <c r="BW195" s="917"/>
      <c r="BX195" s="917"/>
      <c r="BY195" s="917"/>
      <c r="BZ195" s="917"/>
      <c r="CA195" s="917"/>
      <c r="CB195" s="917"/>
      <c r="CC195" s="917"/>
      <c r="CD195" s="917"/>
      <c r="CE195" s="917"/>
      <c r="CF195" s="917"/>
      <c r="CG195" s="917"/>
      <c r="CH195" s="917"/>
      <c r="CI195" s="917"/>
      <c r="CJ195" s="917"/>
      <c r="CK195" s="917"/>
      <c r="CL195" s="917"/>
      <c r="CM195" s="917"/>
      <c r="CN195" s="917"/>
      <c r="CO195" s="917"/>
      <c r="CP195" s="917"/>
      <c r="CQ195" s="917"/>
      <c r="CR195" s="917"/>
      <c r="CS195" s="917"/>
      <c r="CT195" s="917"/>
      <c r="CU195" s="917"/>
      <c r="CV195" s="917"/>
      <c r="CW195" s="917"/>
      <c r="CX195" s="917"/>
      <c r="CY195" s="917"/>
      <c r="CZ195" s="917"/>
      <c r="DA195" s="917"/>
      <c r="DB195" s="917"/>
      <c r="DC195" s="917"/>
      <c r="DD195" s="917"/>
      <c r="DE195" s="917"/>
      <c r="DF195" s="917"/>
      <c r="DG195" s="917"/>
      <c r="DH195" s="917"/>
      <c r="DI195" s="917"/>
      <c r="DJ195" s="917"/>
      <c r="DK195" s="917"/>
      <c r="DL195" s="917"/>
      <c r="DM195" s="917"/>
      <c r="DN195" s="917"/>
      <c r="DO195" s="917"/>
      <c r="DP195" s="917"/>
      <c r="DQ195" s="917"/>
      <c r="DR195" s="917"/>
      <c r="DS195" s="917"/>
      <c r="DT195" s="917"/>
      <c r="DU195" s="917"/>
      <c r="DV195" s="917"/>
      <c r="DW195" s="917"/>
      <c r="DX195" s="917"/>
      <c r="DY195" s="917"/>
      <c r="DZ195" s="917"/>
      <c r="EA195" s="917"/>
      <c r="EB195" s="917"/>
      <c r="EC195" s="917"/>
      <c r="ED195" s="917"/>
      <c r="EE195" s="917"/>
      <c r="EF195" s="917"/>
      <c r="EG195" s="917"/>
      <c r="EH195" s="917"/>
      <c r="EI195" s="917"/>
      <c r="EJ195" s="917"/>
      <c r="EK195" s="917"/>
      <c r="EL195" s="917"/>
      <c r="EM195" s="917"/>
      <c r="EN195" s="917"/>
      <c r="EO195" s="917"/>
    </row>
    <row r="196" spans="2:145" ht="15.65" customHeight="1">
      <c r="B196" s="856" t="s">
        <v>4737</v>
      </c>
      <c r="C196" s="867" t="s">
        <v>2504</v>
      </c>
      <c r="D196" s="836" t="s">
        <v>4557</v>
      </c>
      <c r="E196" s="836" t="s">
        <v>148</v>
      </c>
      <c r="F196" s="836" t="s">
        <v>4738</v>
      </c>
      <c r="G196" s="836" t="s">
        <v>4538</v>
      </c>
      <c r="H196" s="836" t="s">
        <v>4539</v>
      </c>
      <c r="I196" s="836" t="s">
        <v>4540</v>
      </c>
      <c r="J196" s="836" t="s">
        <v>4541</v>
      </c>
      <c r="K196" s="854" t="s">
        <v>4542</v>
      </c>
      <c r="L196" s="2780"/>
      <c r="M196" s="1043">
        <v>83</v>
      </c>
      <c r="N196" s="2834" t="s">
        <v>4739</v>
      </c>
      <c r="O196" s="2834"/>
      <c r="P196" s="2834"/>
      <c r="Q196" s="2834"/>
      <c r="R196" s="2835"/>
      <c r="S196" s="1044">
        <v>83</v>
      </c>
      <c r="T196" s="2834" t="s">
        <v>4740</v>
      </c>
      <c r="U196" s="2834"/>
      <c r="V196" s="2834"/>
      <c r="W196" s="2834"/>
      <c r="X196" s="2835"/>
      <c r="AM196" s="401" t="s">
        <v>2048</v>
      </c>
      <c r="BA196" s="836" t="s">
        <v>4741</v>
      </c>
      <c r="BC196" s="1059" t="s">
        <v>4742</v>
      </c>
      <c r="BD196" s="401"/>
      <c r="BG196" s="1001"/>
      <c r="BH196" s="927" t="s">
        <v>4743</v>
      </c>
      <c r="BI196" s="934" t="s">
        <v>4744</v>
      </c>
      <c r="BJ196" s="934" t="s">
        <v>4745</v>
      </c>
      <c r="BK196" s="934" t="s">
        <v>4332</v>
      </c>
      <c r="BL196" s="934" t="s">
        <v>4746</v>
      </c>
      <c r="BM196" s="934" t="s">
        <v>4747</v>
      </c>
      <c r="BN196" s="934" t="s">
        <v>4748</v>
      </c>
      <c r="BO196" s="934" t="s">
        <v>4749</v>
      </c>
      <c r="BP196" s="934" t="s">
        <v>4750</v>
      </c>
      <c r="BQ196" s="934" t="s">
        <v>4751</v>
      </c>
      <c r="BR196" s="934" t="s">
        <v>4752</v>
      </c>
      <c r="BS196" s="934" t="s">
        <v>4753</v>
      </c>
      <c r="BT196" s="934" t="s">
        <v>4754</v>
      </c>
      <c r="BU196" s="934" t="s">
        <v>4755</v>
      </c>
      <c r="BV196" s="934" t="s">
        <v>4756</v>
      </c>
      <c r="BW196" s="934" t="s">
        <v>4757</v>
      </c>
      <c r="BX196" s="934" t="s">
        <v>4758</v>
      </c>
      <c r="BY196" s="934" t="s">
        <v>4759</v>
      </c>
      <c r="BZ196" s="934" t="s">
        <v>4036</v>
      </c>
      <c r="CA196" s="934" t="s">
        <v>4760</v>
      </c>
      <c r="CB196" s="934" t="s">
        <v>4761</v>
      </c>
      <c r="CC196" s="934" t="s">
        <v>4762</v>
      </c>
      <c r="CD196" s="934" t="s">
        <v>4763</v>
      </c>
      <c r="CE196" s="934" t="s">
        <v>4764</v>
      </c>
      <c r="CF196" s="934" t="s">
        <v>4765</v>
      </c>
      <c r="CG196" s="934" t="s">
        <v>4766</v>
      </c>
      <c r="CH196" s="934" t="s">
        <v>4767</v>
      </c>
      <c r="CI196" s="934" t="s">
        <v>4768</v>
      </c>
      <c r="CJ196" s="934" t="s">
        <v>4769</v>
      </c>
      <c r="CK196" s="934" t="s">
        <v>4770</v>
      </c>
      <c r="CL196" s="934" t="s">
        <v>4620</v>
      </c>
      <c r="CM196" s="934" t="s">
        <v>4771</v>
      </c>
      <c r="CN196" s="934" t="s">
        <v>4772</v>
      </c>
      <c r="CO196" s="934" t="s">
        <v>4773</v>
      </c>
      <c r="CP196" s="934" t="s">
        <v>4774</v>
      </c>
      <c r="CQ196" s="934" t="s">
        <v>4775</v>
      </c>
      <c r="CR196" s="934" t="s">
        <v>4776</v>
      </c>
      <c r="CS196" s="934" t="s">
        <v>4777</v>
      </c>
      <c r="CT196" s="934" t="s">
        <v>4778</v>
      </c>
      <c r="CU196" s="934" t="s">
        <v>4779</v>
      </c>
      <c r="CV196" s="934" t="s">
        <v>4780</v>
      </c>
      <c r="CW196" s="934" t="s">
        <v>4781</v>
      </c>
      <c r="CX196" s="934" t="s">
        <v>4782</v>
      </c>
      <c r="CY196" s="934" t="s">
        <v>4783</v>
      </c>
      <c r="CZ196" s="934" t="s">
        <v>4784</v>
      </c>
      <c r="DA196" s="934" t="s">
        <v>4785</v>
      </c>
      <c r="DB196" s="934" t="s">
        <v>4786</v>
      </c>
      <c r="DC196" s="934" t="s">
        <v>4787</v>
      </c>
      <c r="DD196" s="934" t="s">
        <v>4788</v>
      </c>
      <c r="DE196" s="945" t="s">
        <v>4789</v>
      </c>
      <c r="DF196" s="945" t="s">
        <v>4790</v>
      </c>
      <c r="DG196" s="934" t="s">
        <v>4791</v>
      </c>
      <c r="DH196" s="917"/>
      <c r="DI196" s="917"/>
      <c r="DJ196" s="917"/>
      <c r="DK196" s="917"/>
      <c r="DL196" s="917"/>
      <c r="DM196" s="917"/>
      <c r="DN196" s="917"/>
      <c r="DO196" s="917"/>
      <c r="DP196" s="917"/>
      <c r="DQ196" s="917"/>
      <c r="DR196" s="917"/>
      <c r="DS196" s="917"/>
      <c r="DT196" s="917"/>
      <c r="DU196" s="917"/>
      <c r="DV196" s="917"/>
      <c r="DW196" s="917"/>
      <c r="DX196" s="917"/>
      <c r="DY196" s="917"/>
      <c r="DZ196" s="917"/>
      <c r="EA196" s="917"/>
      <c r="EB196" s="917"/>
      <c r="EC196" s="917"/>
      <c r="ED196" s="917"/>
      <c r="EE196" s="917"/>
      <c r="EF196" s="917"/>
      <c r="EG196" s="917"/>
      <c r="EH196" s="917"/>
      <c r="EI196" s="917"/>
      <c r="EJ196" s="917"/>
      <c r="EK196" s="917"/>
      <c r="EL196" s="917"/>
      <c r="EM196" s="917"/>
      <c r="EN196" s="917"/>
      <c r="EO196" s="917"/>
    </row>
    <row r="197" spans="2:145" ht="15.65" customHeight="1">
      <c r="B197" s="856" t="s">
        <v>4792</v>
      </c>
      <c r="C197" s="867" t="s">
        <v>2504</v>
      </c>
      <c r="D197" s="836" t="s">
        <v>4557</v>
      </c>
      <c r="E197" s="836" t="s">
        <v>148</v>
      </c>
      <c r="F197" s="836" t="s">
        <v>4793</v>
      </c>
      <c r="G197" s="836" t="s">
        <v>4538</v>
      </c>
      <c r="H197" s="836" t="s">
        <v>4539</v>
      </c>
      <c r="I197" s="836" t="s">
        <v>4540</v>
      </c>
      <c r="J197" s="836" t="s">
        <v>4541</v>
      </c>
      <c r="K197" s="854" t="s">
        <v>4542</v>
      </c>
      <c r="L197" s="2780"/>
      <c r="M197" s="1043">
        <v>84</v>
      </c>
      <c r="N197" s="2834" t="s">
        <v>4794</v>
      </c>
      <c r="O197" s="2834"/>
      <c r="P197" s="2834"/>
      <c r="Q197" s="2834"/>
      <c r="R197" s="2835"/>
      <c r="S197" s="1044">
        <v>84</v>
      </c>
      <c r="T197" s="2834" t="s">
        <v>4795</v>
      </c>
      <c r="U197" s="2834"/>
      <c r="V197" s="2834"/>
      <c r="W197" s="2834"/>
      <c r="X197" s="2835"/>
      <c r="AM197" s="401" t="s">
        <v>2083</v>
      </c>
      <c r="BA197" s="836" t="s">
        <v>4796</v>
      </c>
      <c r="BC197" s="1059" t="s">
        <v>4797</v>
      </c>
      <c r="BD197" s="401"/>
      <c r="BG197" s="1001"/>
      <c r="BH197" s="927" t="s">
        <v>4798</v>
      </c>
      <c r="BI197" s="934" t="s">
        <v>4799</v>
      </c>
      <c r="BJ197" s="934" t="s">
        <v>4800</v>
      </c>
      <c r="BK197" s="934" t="s">
        <v>4801</v>
      </c>
      <c r="BL197" s="934" t="s">
        <v>4802</v>
      </c>
      <c r="BM197" s="934" t="s">
        <v>4803</v>
      </c>
      <c r="BN197" s="934" t="s">
        <v>4804</v>
      </c>
      <c r="BO197" s="934" t="s">
        <v>4805</v>
      </c>
      <c r="BP197" s="934" t="s">
        <v>4806</v>
      </c>
      <c r="BQ197" s="934" t="s">
        <v>4807</v>
      </c>
      <c r="BR197" s="934" t="s">
        <v>4808</v>
      </c>
      <c r="BS197" s="934" t="s">
        <v>4809</v>
      </c>
      <c r="BT197" s="934" t="s">
        <v>4810</v>
      </c>
      <c r="BU197" s="934" t="s">
        <v>4811</v>
      </c>
      <c r="BV197" s="934" t="s">
        <v>4812</v>
      </c>
      <c r="BW197" s="934" t="s">
        <v>4813</v>
      </c>
      <c r="BX197" s="934" t="s">
        <v>4814</v>
      </c>
      <c r="BY197" s="934" t="s">
        <v>4815</v>
      </c>
      <c r="BZ197" s="934" t="s">
        <v>4816</v>
      </c>
      <c r="CA197" s="934" t="s">
        <v>4817</v>
      </c>
      <c r="CB197" s="934" t="s">
        <v>4818</v>
      </c>
      <c r="CC197" s="934" t="s">
        <v>4819</v>
      </c>
      <c r="CD197" s="934" t="s">
        <v>4820</v>
      </c>
      <c r="CE197" s="934" t="s">
        <v>4821</v>
      </c>
      <c r="CF197" s="934" t="s">
        <v>4822</v>
      </c>
      <c r="CG197" s="934" t="s">
        <v>4823</v>
      </c>
      <c r="CH197" s="934" t="s">
        <v>4824</v>
      </c>
      <c r="CI197" s="934" t="s">
        <v>4825</v>
      </c>
      <c r="CJ197" s="934" t="s">
        <v>4826</v>
      </c>
      <c r="CK197" s="934" t="s">
        <v>4827</v>
      </c>
      <c r="CL197" s="934" t="s">
        <v>4828</v>
      </c>
      <c r="CM197" s="934" t="s">
        <v>4829</v>
      </c>
      <c r="CN197" s="934" t="s">
        <v>4830</v>
      </c>
      <c r="CO197" s="934" t="s">
        <v>4831</v>
      </c>
      <c r="CP197" s="917"/>
      <c r="CQ197" s="917"/>
      <c r="CR197" s="917"/>
      <c r="CS197" s="917"/>
      <c r="CT197" s="917"/>
      <c r="CU197" s="917"/>
      <c r="CV197" s="917"/>
      <c r="CW197" s="917"/>
      <c r="CX197" s="917"/>
      <c r="CY197" s="917"/>
      <c r="CZ197" s="917"/>
      <c r="DA197" s="917"/>
      <c r="DB197" s="917"/>
      <c r="DC197" s="917"/>
      <c r="DD197" s="917"/>
      <c r="DE197" s="917"/>
      <c r="DF197" s="917"/>
      <c r="DG197" s="917"/>
      <c r="DH197" s="917"/>
      <c r="DI197" s="917"/>
      <c r="DJ197" s="917"/>
      <c r="DK197" s="917"/>
      <c r="DL197" s="917"/>
      <c r="DM197" s="917"/>
      <c r="DN197" s="917"/>
      <c r="DO197" s="917"/>
      <c r="DP197" s="917"/>
      <c r="DQ197" s="917"/>
      <c r="DR197" s="917"/>
      <c r="DS197" s="917"/>
      <c r="DT197" s="917"/>
      <c r="DU197" s="917"/>
      <c r="DV197" s="917"/>
      <c r="DW197" s="917"/>
      <c r="DX197" s="917"/>
      <c r="DY197" s="917"/>
      <c r="DZ197" s="917"/>
      <c r="EA197" s="917"/>
      <c r="EB197" s="917"/>
      <c r="EC197" s="917"/>
      <c r="ED197" s="917"/>
      <c r="EE197" s="917"/>
      <c r="EF197" s="917"/>
      <c r="EG197" s="917"/>
      <c r="EH197" s="917"/>
      <c r="EI197" s="917"/>
      <c r="EJ197" s="917"/>
      <c r="EK197" s="917"/>
      <c r="EL197" s="917"/>
      <c r="EM197" s="917"/>
      <c r="EN197" s="917"/>
      <c r="EO197" s="917"/>
    </row>
    <row r="198" spans="2:145" ht="15.65" customHeight="1">
      <c r="B198" s="856" t="s">
        <v>2617</v>
      </c>
      <c r="C198" s="867" t="s">
        <v>751</v>
      </c>
      <c r="D198" s="836" t="s">
        <v>751</v>
      </c>
      <c r="E198" s="836" t="s">
        <v>751</v>
      </c>
      <c r="F198" s="836" t="s">
        <v>751</v>
      </c>
      <c r="G198" s="836" t="s">
        <v>751</v>
      </c>
      <c r="H198" s="836" t="s">
        <v>751</v>
      </c>
      <c r="I198" s="836" t="s">
        <v>751</v>
      </c>
      <c r="J198" s="836" t="s">
        <v>751</v>
      </c>
      <c r="K198" s="854" t="s">
        <v>751</v>
      </c>
      <c r="L198" s="2780"/>
      <c r="M198" s="1043">
        <v>85</v>
      </c>
      <c r="N198" s="2834" t="s">
        <v>4832</v>
      </c>
      <c r="O198" s="2834"/>
      <c r="P198" s="2834"/>
      <c r="Q198" s="2834"/>
      <c r="R198" s="2835"/>
      <c r="S198" s="1044">
        <v>85</v>
      </c>
      <c r="T198" s="2834" t="s">
        <v>4833</v>
      </c>
      <c r="U198" s="2834"/>
      <c r="V198" s="2834"/>
      <c r="W198" s="2834"/>
      <c r="X198" s="2835"/>
      <c r="AM198" s="401" t="s">
        <v>2114</v>
      </c>
      <c r="BA198" s="836" t="s">
        <v>4834</v>
      </c>
      <c r="BC198" s="1059" t="s">
        <v>4835</v>
      </c>
      <c r="BG198" s="1001"/>
      <c r="BH198" s="927" t="s">
        <v>4836</v>
      </c>
      <c r="BI198" s="934" t="s">
        <v>4837</v>
      </c>
      <c r="BJ198" s="934" t="s">
        <v>4838</v>
      </c>
      <c r="BK198" s="934" t="s">
        <v>4839</v>
      </c>
      <c r="BL198" s="934" t="s">
        <v>4840</v>
      </c>
      <c r="BM198" s="934" t="s">
        <v>4841</v>
      </c>
      <c r="BN198" s="934" t="s">
        <v>4842</v>
      </c>
      <c r="BO198" s="934" t="s">
        <v>4843</v>
      </c>
      <c r="BP198" s="934" t="s">
        <v>4844</v>
      </c>
      <c r="BQ198" s="934" t="s">
        <v>4845</v>
      </c>
      <c r="BR198" s="934" t="s">
        <v>4846</v>
      </c>
      <c r="BS198" s="934" t="s">
        <v>4847</v>
      </c>
      <c r="BT198" s="934" t="s">
        <v>4848</v>
      </c>
      <c r="BU198" s="934" t="s">
        <v>4849</v>
      </c>
      <c r="BV198" s="934" t="s">
        <v>4850</v>
      </c>
      <c r="BW198" s="934" t="s">
        <v>4851</v>
      </c>
      <c r="BX198" s="934" t="s">
        <v>4852</v>
      </c>
      <c r="BY198" s="934" t="s">
        <v>4853</v>
      </c>
      <c r="BZ198" s="934" t="s">
        <v>4854</v>
      </c>
      <c r="CA198" s="934" t="s">
        <v>4855</v>
      </c>
      <c r="CB198" s="934" t="s">
        <v>4856</v>
      </c>
      <c r="CC198" s="934" t="s">
        <v>4857</v>
      </c>
      <c r="CD198" s="917"/>
      <c r="CE198" s="917"/>
      <c r="CF198" s="917"/>
      <c r="CG198" s="917"/>
      <c r="CH198" s="917"/>
      <c r="CI198" s="917"/>
      <c r="CJ198" s="917"/>
      <c r="CK198" s="917"/>
      <c r="CL198" s="917"/>
      <c r="CM198" s="917"/>
      <c r="CN198" s="917"/>
      <c r="CO198" s="917"/>
      <c r="CP198" s="917"/>
      <c r="CQ198" s="917"/>
      <c r="CR198" s="917"/>
      <c r="CS198" s="917"/>
      <c r="CT198" s="917"/>
      <c r="CU198" s="917"/>
      <c r="CV198" s="917"/>
      <c r="CW198" s="917"/>
      <c r="CX198" s="917"/>
      <c r="CY198" s="917"/>
      <c r="CZ198" s="917"/>
      <c r="DA198" s="917"/>
      <c r="DB198" s="917"/>
      <c r="DC198" s="917"/>
      <c r="DD198" s="917"/>
      <c r="DE198" s="917"/>
      <c r="DF198" s="917"/>
      <c r="DG198" s="917"/>
      <c r="DH198" s="917"/>
      <c r="DI198" s="917"/>
      <c r="DJ198" s="917"/>
      <c r="DK198" s="917"/>
      <c r="DL198" s="917"/>
      <c r="DM198" s="917"/>
      <c r="DN198" s="917"/>
      <c r="DO198" s="917"/>
      <c r="DP198" s="917"/>
      <c r="DQ198" s="917"/>
      <c r="DR198" s="917"/>
      <c r="DS198" s="917"/>
      <c r="DT198" s="917"/>
      <c r="DU198" s="917"/>
      <c r="DV198" s="917"/>
      <c r="DW198" s="917"/>
      <c r="DX198" s="917"/>
      <c r="DY198" s="917"/>
      <c r="DZ198" s="917"/>
      <c r="EA198" s="917"/>
      <c r="EB198" s="917"/>
      <c r="EC198" s="917"/>
      <c r="ED198" s="917"/>
      <c r="EE198" s="917"/>
      <c r="EF198" s="917"/>
      <c r="EG198" s="917"/>
      <c r="EH198" s="917"/>
      <c r="EI198" s="917"/>
      <c r="EJ198" s="917"/>
      <c r="EK198" s="917"/>
      <c r="EL198" s="917"/>
      <c r="EM198" s="917"/>
      <c r="EN198" s="917"/>
      <c r="EO198" s="917"/>
    </row>
    <row r="199" spans="2:145" ht="15.65" customHeight="1">
      <c r="B199" s="959" t="s">
        <v>134</v>
      </c>
      <c r="C199" s="867" t="s">
        <v>3554</v>
      </c>
      <c r="D199" s="836" t="s">
        <v>148</v>
      </c>
      <c r="E199" s="836" t="s">
        <v>4858</v>
      </c>
      <c r="F199" s="836" t="s">
        <v>4859</v>
      </c>
      <c r="G199" s="836" t="s">
        <v>4860</v>
      </c>
      <c r="H199" s="836" t="s">
        <v>4861</v>
      </c>
      <c r="I199" s="401" t="s">
        <v>4862</v>
      </c>
      <c r="J199" s="401" t="s">
        <v>4863</v>
      </c>
      <c r="K199" s="854" t="s">
        <v>4864</v>
      </c>
      <c r="L199" s="2780"/>
      <c r="M199" s="1043">
        <v>86</v>
      </c>
      <c r="N199" s="2834" t="s">
        <v>4865</v>
      </c>
      <c r="O199" s="2834"/>
      <c r="P199" s="2834"/>
      <c r="Q199" s="2834"/>
      <c r="R199" s="2835"/>
      <c r="S199" s="1044">
        <v>86</v>
      </c>
      <c r="T199" s="2834" t="s">
        <v>4866</v>
      </c>
      <c r="U199" s="2834"/>
      <c r="V199" s="2834"/>
      <c r="W199" s="2834"/>
      <c r="X199" s="2835"/>
      <c r="AM199" s="401" t="s">
        <v>2132</v>
      </c>
      <c r="BA199" s="836" t="s">
        <v>4867</v>
      </c>
      <c r="BC199" s="1059" t="s">
        <v>751</v>
      </c>
      <c r="BD199" s="401"/>
      <c r="BG199" s="1001"/>
      <c r="BH199" s="927" t="s">
        <v>4868</v>
      </c>
      <c r="BI199" s="934" t="s">
        <v>4869</v>
      </c>
      <c r="BJ199" s="934" t="s">
        <v>4870</v>
      </c>
      <c r="BK199" s="934" t="s">
        <v>4871</v>
      </c>
      <c r="BL199" s="934" t="s">
        <v>4872</v>
      </c>
      <c r="BM199" s="934" t="s">
        <v>4873</v>
      </c>
      <c r="BN199" s="934" t="s">
        <v>4874</v>
      </c>
      <c r="BO199" s="934" t="s">
        <v>4875</v>
      </c>
      <c r="BP199" s="917"/>
      <c r="BQ199" s="917"/>
      <c r="BR199" s="917"/>
      <c r="BS199" s="917"/>
      <c r="BT199" s="917"/>
      <c r="BU199" s="917"/>
      <c r="BV199" s="917"/>
      <c r="BW199" s="917"/>
      <c r="BX199" s="917"/>
      <c r="BY199" s="917"/>
      <c r="BZ199" s="917"/>
      <c r="CA199" s="917"/>
      <c r="CB199" s="917"/>
      <c r="CC199" s="917"/>
      <c r="CD199" s="917"/>
      <c r="CE199" s="917"/>
      <c r="CF199" s="917"/>
      <c r="CG199" s="917"/>
      <c r="CH199" s="917"/>
      <c r="CI199" s="917"/>
      <c r="CJ199" s="917"/>
      <c r="CK199" s="917"/>
      <c r="CL199" s="917"/>
      <c r="CM199" s="917"/>
      <c r="CN199" s="917"/>
      <c r="CO199" s="917"/>
      <c r="CP199" s="917"/>
      <c r="CQ199" s="917"/>
      <c r="CR199" s="917"/>
      <c r="CS199" s="917"/>
      <c r="CT199" s="917"/>
      <c r="CU199" s="917"/>
      <c r="CV199" s="917"/>
      <c r="CW199" s="917"/>
      <c r="CX199" s="917"/>
      <c r="CY199" s="917"/>
      <c r="CZ199" s="917"/>
      <c r="DA199" s="917"/>
      <c r="DB199" s="917"/>
      <c r="DC199" s="917"/>
      <c r="DD199" s="917"/>
      <c r="DE199" s="917"/>
      <c r="DF199" s="917"/>
      <c r="DG199" s="917"/>
      <c r="DH199" s="917"/>
      <c r="DI199" s="917"/>
      <c r="DJ199" s="917"/>
      <c r="DK199" s="917"/>
      <c r="DL199" s="917"/>
      <c r="DM199" s="917"/>
      <c r="DN199" s="917"/>
      <c r="DO199" s="917"/>
      <c r="DP199" s="917"/>
      <c r="DQ199" s="917"/>
      <c r="DR199" s="917"/>
      <c r="DS199" s="917"/>
      <c r="DT199" s="917"/>
      <c r="DU199" s="917"/>
      <c r="DV199" s="917"/>
      <c r="DW199" s="917"/>
      <c r="DX199" s="917"/>
      <c r="DY199" s="917"/>
      <c r="DZ199" s="917"/>
      <c r="EA199" s="917"/>
      <c r="EB199" s="917"/>
      <c r="EC199" s="917"/>
      <c r="ED199" s="917"/>
      <c r="EE199" s="917"/>
      <c r="EF199" s="917"/>
      <c r="EG199" s="917"/>
      <c r="EH199" s="917"/>
      <c r="EI199" s="917"/>
      <c r="EJ199" s="917"/>
      <c r="EK199" s="917"/>
      <c r="EL199" s="917"/>
      <c r="EM199" s="917"/>
      <c r="EN199" s="917"/>
      <c r="EO199" s="917"/>
    </row>
    <row r="200" spans="2:145" ht="15.65" customHeight="1">
      <c r="B200" s="959" t="s">
        <v>144</v>
      </c>
      <c r="C200" s="867" t="s">
        <v>3676</v>
      </c>
      <c r="D200" s="836" t="s">
        <v>148</v>
      </c>
      <c r="E200" s="836" t="s">
        <v>4876</v>
      </c>
      <c r="F200" s="836" t="s">
        <v>4877</v>
      </c>
      <c r="G200" s="836" t="s">
        <v>4878</v>
      </c>
      <c r="H200" s="836" t="s">
        <v>4879</v>
      </c>
      <c r="I200" s="836" t="s">
        <v>4880</v>
      </c>
      <c r="J200" s="836" t="s">
        <v>4881</v>
      </c>
      <c r="K200" s="854" t="s">
        <v>4882</v>
      </c>
      <c r="L200" s="2780"/>
      <c r="M200" s="1043">
        <v>87</v>
      </c>
      <c r="N200" s="2834" t="s">
        <v>4883</v>
      </c>
      <c r="O200" s="2834"/>
      <c r="P200" s="2834"/>
      <c r="Q200" s="2834"/>
      <c r="R200" s="2835"/>
      <c r="S200" s="1044">
        <v>87</v>
      </c>
      <c r="T200" s="2834" t="s">
        <v>4884</v>
      </c>
      <c r="U200" s="2834"/>
      <c r="V200" s="2834"/>
      <c r="W200" s="2834"/>
      <c r="X200" s="2835"/>
      <c r="AM200" s="401" t="s">
        <v>2151</v>
      </c>
      <c r="BA200" s="836" t="s">
        <v>4885</v>
      </c>
      <c r="BC200" s="1059" t="s">
        <v>4886</v>
      </c>
      <c r="BD200" s="401"/>
      <c r="BG200" s="1001"/>
      <c r="BH200" s="927" t="s">
        <v>4887</v>
      </c>
      <c r="BI200" s="934" t="s">
        <v>4888</v>
      </c>
      <c r="BJ200" s="934" t="s">
        <v>4889</v>
      </c>
      <c r="BK200" s="934" t="s">
        <v>4890</v>
      </c>
      <c r="BL200" s="934" t="s">
        <v>4891</v>
      </c>
      <c r="BM200" s="934" t="s">
        <v>4892</v>
      </c>
      <c r="BN200" s="934" t="s">
        <v>4893</v>
      </c>
      <c r="BO200" s="934" t="s">
        <v>4894</v>
      </c>
      <c r="BP200" s="934" t="s">
        <v>4895</v>
      </c>
      <c r="BQ200" s="934" t="s">
        <v>4896</v>
      </c>
      <c r="BR200" s="934" t="s">
        <v>4897</v>
      </c>
      <c r="BS200" s="934" t="s">
        <v>4898</v>
      </c>
      <c r="BT200" s="934" t="s">
        <v>4899</v>
      </c>
      <c r="BU200" s="934" t="s">
        <v>4900</v>
      </c>
      <c r="BV200" s="934" t="s">
        <v>4901</v>
      </c>
      <c r="BW200" s="917"/>
      <c r="BX200" s="917"/>
      <c r="BY200" s="917"/>
      <c r="BZ200" s="917"/>
      <c r="CA200" s="917"/>
      <c r="CB200" s="917"/>
      <c r="CC200" s="917"/>
      <c r="CD200" s="917"/>
      <c r="CE200" s="917"/>
      <c r="CF200" s="917"/>
      <c r="CG200" s="917"/>
      <c r="CH200" s="917"/>
      <c r="CI200" s="917"/>
      <c r="CJ200" s="917"/>
      <c r="CK200" s="917"/>
      <c r="CL200" s="917"/>
      <c r="CM200" s="917"/>
      <c r="CN200" s="917"/>
      <c r="CO200" s="917"/>
      <c r="CP200" s="917"/>
      <c r="CQ200" s="917"/>
      <c r="CR200" s="917"/>
      <c r="CS200" s="917"/>
      <c r="CT200" s="917"/>
      <c r="CU200" s="917"/>
      <c r="CV200" s="917"/>
      <c r="CW200" s="917"/>
      <c r="CX200" s="917"/>
      <c r="CY200" s="917"/>
      <c r="CZ200" s="917"/>
      <c r="DA200" s="917"/>
      <c r="DB200" s="917"/>
      <c r="DC200" s="917"/>
      <c r="DD200" s="917"/>
      <c r="DE200" s="917"/>
      <c r="DF200" s="917"/>
      <c r="DG200" s="917"/>
      <c r="DH200" s="917"/>
      <c r="DI200" s="917"/>
      <c r="DJ200" s="917"/>
      <c r="DK200" s="917"/>
      <c r="DL200" s="917"/>
      <c r="DM200" s="917"/>
      <c r="DN200" s="917"/>
      <c r="DO200" s="917"/>
      <c r="DP200" s="917"/>
      <c r="DQ200" s="917"/>
      <c r="DR200" s="917"/>
      <c r="DS200" s="917"/>
      <c r="DT200" s="917"/>
      <c r="DU200" s="917"/>
      <c r="DV200" s="917"/>
      <c r="DW200" s="917"/>
      <c r="DX200" s="917"/>
      <c r="DY200" s="917"/>
      <c r="DZ200" s="917"/>
      <c r="EA200" s="917"/>
      <c r="EB200" s="917"/>
      <c r="EC200" s="917"/>
      <c r="ED200" s="917"/>
      <c r="EE200" s="917"/>
      <c r="EF200" s="917"/>
      <c r="EG200" s="917"/>
      <c r="EH200" s="917"/>
      <c r="EI200" s="917"/>
      <c r="EJ200" s="917"/>
      <c r="EK200" s="917"/>
      <c r="EL200" s="917"/>
      <c r="EM200" s="917"/>
      <c r="EN200" s="917"/>
      <c r="EO200" s="917"/>
    </row>
    <row r="201" spans="2:145" ht="15.65" customHeight="1">
      <c r="B201" s="959" t="s">
        <v>136</v>
      </c>
      <c r="C201" s="867" t="s">
        <v>3318</v>
      </c>
      <c r="D201" s="836" t="s">
        <v>148</v>
      </c>
      <c r="E201" s="836" t="s">
        <v>4902</v>
      </c>
      <c r="F201" s="836" t="s">
        <v>4903</v>
      </c>
      <c r="G201" s="836" t="s">
        <v>4904</v>
      </c>
      <c r="H201" s="836" t="s">
        <v>4905</v>
      </c>
      <c r="I201" s="836" t="s">
        <v>4906</v>
      </c>
      <c r="J201" s="836" t="s">
        <v>4907</v>
      </c>
      <c r="K201" s="854" t="s">
        <v>4908</v>
      </c>
      <c r="L201" s="2780"/>
      <c r="M201" s="1043">
        <v>88</v>
      </c>
      <c r="N201" s="2834" t="s">
        <v>4909</v>
      </c>
      <c r="O201" s="2834"/>
      <c r="P201" s="2834"/>
      <c r="Q201" s="2834"/>
      <c r="R201" s="2835"/>
      <c r="S201" s="1044">
        <v>88</v>
      </c>
      <c r="T201" s="2834" t="s">
        <v>4910</v>
      </c>
      <c r="U201" s="2834"/>
      <c r="V201" s="2834"/>
      <c r="W201" s="2834"/>
      <c r="X201" s="2835"/>
      <c r="AM201" s="401" t="s">
        <v>2166</v>
      </c>
      <c r="BA201" s="836" t="s">
        <v>4911</v>
      </c>
      <c r="BC201" s="1059" t="s">
        <v>4912</v>
      </c>
      <c r="BD201" s="401"/>
      <c r="BG201" s="1001"/>
      <c r="BH201" s="927" t="s">
        <v>4913</v>
      </c>
      <c r="BI201" s="934" t="s">
        <v>4914</v>
      </c>
      <c r="BJ201" s="934" t="s">
        <v>4915</v>
      </c>
      <c r="BK201" s="934" t="s">
        <v>4916</v>
      </c>
      <c r="BL201" s="934" t="s">
        <v>4917</v>
      </c>
      <c r="BM201" s="934" t="s">
        <v>4918</v>
      </c>
      <c r="BN201" s="934" t="s">
        <v>4919</v>
      </c>
      <c r="BO201" s="934" t="s">
        <v>4920</v>
      </c>
      <c r="BP201" s="934" t="s">
        <v>4921</v>
      </c>
      <c r="BQ201" s="934" t="s">
        <v>4922</v>
      </c>
      <c r="BR201" s="934" t="s">
        <v>4923</v>
      </c>
      <c r="BS201" s="934" t="s">
        <v>4893</v>
      </c>
      <c r="BT201" s="934" t="s">
        <v>4924</v>
      </c>
      <c r="BU201" s="934" t="s">
        <v>4925</v>
      </c>
      <c r="BV201" s="934" t="s">
        <v>4926</v>
      </c>
      <c r="BW201" s="934" t="s">
        <v>4927</v>
      </c>
      <c r="BX201" s="934" t="s">
        <v>4928</v>
      </c>
      <c r="BY201" s="934" t="s">
        <v>4929</v>
      </c>
      <c r="BZ201" s="934" t="s">
        <v>4930</v>
      </c>
      <c r="CA201" s="934" t="s">
        <v>4931</v>
      </c>
      <c r="CB201" s="934" t="s">
        <v>4932</v>
      </c>
      <c r="CC201" s="934" t="s">
        <v>4933</v>
      </c>
      <c r="CD201" s="917"/>
      <c r="CE201" s="917"/>
      <c r="CF201" s="917"/>
      <c r="CG201" s="917"/>
      <c r="CH201" s="917"/>
      <c r="CI201" s="917"/>
      <c r="CJ201" s="917"/>
      <c r="CK201" s="917"/>
      <c r="CL201" s="917"/>
      <c r="CM201" s="917"/>
      <c r="CN201" s="917"/>
      <c r="CO201" s="917"/>
      <c r="CP201" s="917"/>
      <c r="CQ201" s="917"/>
      <c r="CR201" s="917"/>
      <c r="CS201" s="917"/>
      <c r="CT201" s="917"/>
      <c r="CU201" s="917"/>
      <c r="CV201" s="917"/>
      <c r="CW201" s="917"/>
      <c r="CX201" s="917"/>
      <c r="CY201" s="917"/>
      <c r="CZ201" s="917"/>
      <c r="DA201" s="917"/>
      <c r="DB201" s="917"/>
      <c r="DC201" s="917"/>
      <c r="DD201" s="917"/>
      <c r="DE201" s="917"/>
      <c r="DF201" s="917"/>
      <c r="DG201" s="917"/>
      <c r="DH201" s="917"/>
      <c r="DI201" s="917"/>
      <c r="DJ201" s="917"/>
      <c r="DK201" s="917"/>
      <c r="DL201" s="917"/>
      <c r="DM201" s="917"/>
      <c r="DN201" s="917"/>
      <c r="DO201" s="917"/>
      <c r="DP201" s="917"/>
      <c r="DQ201" s="917"/>
      <c r="DR201" s="917"/>
      <c r="DS201" s="917"/>
      <c r="DT201" s="917"/>
      <c r="DU201" s="917"/>
      <c r="DV201" s="917"/>
      <c r="DW201" s="917"/>
      <c r="DX201" s="917"/>
      <c r="DY201" s="917"/>
      <c r="DZ201" s="917"/>
      <c r="EA201" s="917"/>
      <c r="EB201" s="917"/>
      <c r="EC201" s="917"/>
      <c r="ED201" s="917"/>
      <c r="EE201" s="917"/>
      <c r="EF201" s="917"/>
      <c r="EG201" s="917"/>
      <c r="EH201" s="917"/>
      <c r="EI201" s="917"/>
      <c r="EJ201" s="917"/>
      <c r="EK201" s="917"/>
      <c r="EL201" s="917"/>
      <c r="EM201" s="917"/>
      <c r="EN201" s="917"/>
      <c r="EO201" s="917"/>
    </row>
    <row r="202" spans="2:145" ht="15.65" customHeight="1">
      <c r="B202" s="959" t="s">
        <v>2163</v>
      </c>
      <c r="C202" s="867" t="s">
        <v>3554</v>
      </c>
      <c r="D202" s="836" t="s">
        <v>2628</v>
      </c>
      <c r="E202" s="836" t="s">
        <v>4934</v>
      </c>
      <c r="F202" s="836" t="s">
        <v>4935</v>
      </c>
      <c r="G202" s="836" t="s">
        <v>4936</v>
      </c>
      <c r="H202" s="836" t="s">
        <v>4937</v>
      </c>
      <c r="I202" s="836" t="s">
        <v>4938</v>
      </c>
      <c r="J202" s="836" t="s">
        <v>4939</v>
      </c>
      <c r="K202" s="1065" t="s">
        <v>4940</v>
      </c>
      <c r="L202" s="2780"/>
      <c r="M202" s="1043">
        <v>89</v>
      </c>
      <c r="N202" s="2834" t="s">
        <v>4941</v>
      </c>
      <c r="O202" s="2834"/>
      <c r="P202" s="2834"/>
      <c r="Q202" s="2834"/>
      <c r="R202" s="2835"/>
      <c r="S202" s="1044">
        <v>89</v>
      </c>
      <c r="T202" s="2834" t="s">
        <v>4942</v>
      </c>
      <c r="U202" s="2834"/>
      <c r="V202" s="2834"/>
      <c r="W202" s="2834"/>
      <c r="X202" s="2835"/>
      <c r="AM202" s="401" t="s">
        <v>2175</v>
      </c>
      <c r="BA202" s="836" t="s">
        <v>4943</v>
      </c>
      <c r="BC202" s="1059" t="s">
        <v>4944</v>
      </c>
      <c r="BD202" s="401"/>
      <c r="BG202" s="1001"/>
      <c r="BH202" s="927" t="s">
        <v>4945</v>
      </c>
      <c r="BI202" s="934" t="s">
        <v>4946</v>
      </c>
      <c r="BJ202" s="934" t="s">
        <v>4947</v>
      </c>
      <c r="BK202" s="934" t="s">
        <v>4948</v>
      </c>
      <c r="BL202" s="934" t="s">
        <v>4949</v>
      </c>
      <c r="BM202" s="934" t="s">
        <v>4950</v>
      </c>
      <c r="BN202" s="934" t="s">
        <v>4951</v>
      </c>
      <c r="BO202" s="934" t="s">
        <v>4952</v>
      </c>
      <c r="BP202" s="934" t="s">
        <v>4953</v>
      </c>
      <c r="BQ202" s="934" t="s">
        <v>4954</v>
      </c>
      <c r="BR202" s="934" t="s">
        <v>4955</v>
      </c>
      <c r="BS202" s="934" t="s">
        <v>4956</v>
      </c>
      <c r="BT202" s="934" t="s">
        <v>4957</v>
      </c>
      <c r="BU202" s="934" t="s">
        <v>4958</v>
      </c>
      <c r="BV202" s="917"/>
      <c r="BW202" s="917"/>
      <c r="BX202" s="917"/>
      <c r="BY202" s="917"/>
      <c r="BZ202" s="917"/>
      <c r="CA202" s="917"/>
      <c r="CB202" s="917"/>
      <c r="CC202" s="917"/>
      <c r="CD202" s="917"/>
      <c r="CE202" s="917"/>
      <c r="CF202" s="917"/>
      <c r="CG202" s="917"/>
      <c r="CH202" s="917"/>
      <c r="CI202" s="917"/>
      <c r="CJ202" s="917"/>
      <c r="CK202" s="917"/>
      <c r="CL202" s="917"/>
      <c r="CM202" s="917"/>
      <c r="CN202" s="917"/>
      <c r="CO202" s="917"/>
      <c r="CP202" s="917"/>
      <c r="CQ202" s="917"/>
      <c r="CR202" s="917"/>
      <c r="CS202" s="917"/>
      <c r="CT202" s="917"/>
      <c r="CU202" s="917"/>
      <c r="CV202" s="917"/>
      <c r="CW202" s="917"/>
      <c r="CX202" s="917"/>
      <c r="CY202" s="917"/>
      <c r="CZ202" s="917"/>
      <c r="DA202" s="917"/>
      <c r="DB202" s="917"/>
      <c r="DC202" s="917"/>
      <c r="DD202" s="917"/>
      <c r="DE202" s="917"/>
      <c r="DF202" s="917"/>
      <c r="DG202" s="917"/>
      <c r="DH202" s="917"/>
      <c r="DI202" s="917"/>
      <c r="DJ202" s="917"/>
      <c r="DK202" s="917"/>
      <c r="DL202" s="917"/>
      <c r="DM202" s="917"/>
      <c r="DN202" s="917"/>
      <c r="DO202" s="917"/>
      <c r="DP202" s="917"/>
      <c r="DQ202" s="917"/>
      <c r="DR202" s="917"/>
      <c r="DS202" s="917"/>
      <c r="DT202" s="917"/>
      <c r="DU202" s="917"/>
      <c r="DV202" s="917"/>
      <c r="DW202" s="917"/>
      <c r="DX202" s="917"/>
      <c r="DY202" s="917"/>
      <c r="DZ202" s="917"/>
      <c r="EA202" s="917"/>
      <c r="EB202" s="917"/>
      <c r="EC202" s="917"/>
      <c r="ED202" s="917"/>
      <c r="EE202" s="917"/>
      <c r="EF202" s="917"/>
      <c r="EG202" s="917"/>
      <c r="EH202" s="917"/>
      <c r="EI202" s="917"/>
      <c r="EJ202" s="917"/>
      <c r="EK202" s="917"/>
      <c r="EL202" s="917"/>
      <c r="EM202" s="917"/>
      <c r="EN202" s="917"/>
      <c r="EO202" s="917"/>
    </row>
    <row r="203" spans="2:145" ht="15.65" customHeight="1">
      <c r="B203" s="959" t="s">
        <v>172</v>
      </c>
      <c r="C203" s="867" t="s">
        <v>3318</v>
      </c>
      <c r="D203" s="836" t="s">
        <v>148</v>
      </c>
      <c r="E203" s="836" t="s">
        <v>4959</v>
      </c>
      <c r="F203" s="836" t="s">
        <v>4960</v>
      </c>
      <c r="G203" s="836" t="s">
        <v>4961</v>
      </c>
      <c r="H203" s="836" t="s">
        <v>4962</v>
      </c>
      <c r="I203" s="836" t="s">
        <v>4963</v>
      </c>
      <c r="J203" s="836" t="s">
        <v>4964</v>
      </c>
      <c r="K203" s="854" t="s">
        <v>4965</v>
      </c>
      <c r="L203" s="2780"/>
      <c r="M203" s="1043">
        <v>90</v>
      </c>
      <c r="N203" s="2834" t="s">
        <v>4966</v>
      </c>
      <c r="O203" s="2834"/>
      <c r="P203" s="2834"/>
      <c r="Q203" s="2834"/>
      <c r="R203" s="2835"/>
      <c r="S203" s="1044">
        <v>90</v>
      </c>
      <c r="T203" s="2834" t="s">
        <v>4967</v>
      </c>
      <c r="U203" s="2834"/>
      <c r="V203" s="2834"/>
      <c r="W203" s="2834"/>
      <c r="X203" s="2835"/>
      <c r="AM203" s="401" t="s">
        <v>2184</v>
      </c>
      <c r="BA203" s="836" t="s">
        <v>4968</v>
      </c>
      <c r="BC203" s="1059" t="s">
        <v>4969</v>
      </c>
      <c r="BG203" s="1001"/>
      <c r="BH203" s="927" t="s">
        <v>4970</v>
      </c>
      <c r="BI203" s="934" t="s">
        <v>4971</v>
      </c>
      <c r="BJ203" s="934" t="s">
        <v>4972</v>
      </c>
      <c r="BK203" s="934" t="s">
        <v>4973</v>
      </c>
      <c r="BL203" s="934" t="s">
        <v>4974</v>
      </c>
      <c r="BM203" s="934" t="s">
        <v>4975</v>
      </c>
      <c r="BN203" s="934" t="s">
        <v>4976</v>
      </c>
      <c r="BO203" s="934" t="s">
        <v>4977</v>
      </c>
      <c r="BP203" s="934" t="s">
        <v>4978</v>
      </c>
      <c r="BQ203" s="934" t="s">
        <v>4979</v>
      </c>
      <c r="BR203" s="934" t="s">
        <v>4980</v>
      </c>
      <c r="BS203" s="917"/>
      <c r="BT203" s="917"/>
      <c r="BU203" s="917"/>
      <c r="BV203" s="917"/>
      <c r="BW203" s="917"/>
      <c r="BX203" s="917"/>
      <c r="BY203" s="917"/>
      <c r="BZ203" s="917"/>
      <c r="CA203" s="917"/>
      <c r="CB203" s="917"/>
      <c r="CC203" s="917"/>
      <c r="CD203" s="917"/>
      <c r="CE203" s="917"/>
      <c r="CF203" s="917"/>
      <c r="CG203" s="917"/>
      <c r="CH203" s="917"/>
      <c r="CI203" s="917"/>
      <c r="CJ203" s="917"/>
      <c r="CK203" s="917"/>
      <c r="CL203" s="917"/>
      <c r="CM203" s="917"/>
      <c r="CN203" s="917"/>
      <c r="CO203" s="917"/>
      <c r="CP203" s="917"/>
      <c r="CQ203" s="917"/>
      <c r="CR203" s="917"/>
      <c r="CS203" s="917"/>
      <c r="CT203" s="917"/>
      <c r="CU203" s="917"/>
      <c r="CV203" s="917"/>
      <c r="CW203" s="917"/>
      <c r="CX203" s="917"/>
      <c r="CY203" s="917"/>
      <c r="CZ203" s="917"/>
      <c r="DA203" s="917"/>
      <c r="DB203" s="917"/>
      <c r="DC203" s="917"/>
      <c r="DD203" s="917"/>
      <c r="DE203" s="917"/>
      <c r="DF203" s="917"/>
      <c r="DG203" s="917"/>
      <c r="DH203" s="917"/>
      <c r="DI203" s="917"/>
      <c r="DJ203" s="917"/>
      <c r="DK203" s="917"/>
      <c r="DL203" s="917"/>
      <c r="DM203" s="917"/>
      <c r="DN203" s="917"/>
      <c r="DO203" s="917"/>
      <c r="DP203" s="917"/>
      <c r="DQ203" s="917"/>
      <c r="DR203" s="917"/>
      <c r="DS203" s="917"/>
      <c r="DT203" s="917"/>
      <c r="DU203" s="917"/>
      <c r="DV203" s="917"/>
      <c r="DW203" s="917"/>
      <c r="DX203" s="917"/>
      <c r="DY203" s="917"/>
      <c r="DZ203" s="917"/>
      <c r="EA203" s="917"/>
      <c r="EB203" s="917"/>
      <c r="EC203" s="917"/>
      <c r="ED203" s="917"/>
      <c r="EE203" s="917"/>
      <c r="EF203" s="917"/>
      <c r="EG203" s="917"/>
      <c r="EH203" s="917"/>
      <c r="EI203" s="917"/>
      <c r="EJ203" s="917"/>
      <c r="EK203" s="917"/>
      <c r="EL203" s="917"/>
      <c r="EM203" s="917"/>
      <c r="EN203" s="917"/>
      <c r="EO203" s="917"/>
    </row>
    <row r="204" spans="2:145" ht="15.65" customHeight="1">
      <c r="B204" s="959" t="s">
        <v>206</v>
      </c>
      <c r="C204" s="867" t="s">
        <v>3318</v>
      </c>
      <c r="D204" s="836" t="s">
        <v>148</v>
      </c>
      <c r="E204" s="836" t="s">
        <v>4981</v>
      </c>
      <c r="F204" s="836" t="s">
        <v>4982</v>
      </c>
      <c r="G204" s="1061" t="s">
        <v>4983</v>
      </c>
      <c r="H204" s="836" t="s">
        <v>4984</v>
      </c>
      <c r="I204" s="836" t="s">
        <v>4985</v>
      </c>
      <c r="J204" s="836" t="s">
        <v>4986</v>
      </c>
      <c r="K204" s="854" t="s">
        <v>4987</v>
      </c>
      <c r="L204" s="2780"/>
      <c r="M204" s="1043">
        <v>91</v>
      </c>
      <c r="N204" s="2834" t="s">
        <v>4988</v>
      </c>
      <c r="O204" s="2834"/>
      <c r="P204" s="2834"/>
      <c r="Q204" s="2834"/>
      <c r="R204" s="2835"/>
      <c r="S204" s="1044">
        <v>91</v>
      </c>
      <c r="T204" s="2834" t="s">
        <v>4989</v>
      </c>
      <c r="U204" s="2834"/>
      <c r="V204" s="2834"/>
      <c r="W204" s="2834"/>
      <c r="X204" s="2835"/>
      <c r="AM204" s="401" t="s">
        <v>2207</v>
      </c>
      <c r="BA204" s="836" t="s">
        <v>4990</v>
      </c>
      <c r="BC204" s="1059" t="s">
        <v>4991</v>
      </c>
      <c r="BD204" s="401"/>
      <c r="BG204" s="1001"/>
      <c r="BH204" s="927" t="s">
        <v>4992</v>
      </c>
      <c r="BI204" s="934" t="s">
        <v>4993</v>
      </c>
      <c r="BJ204" s="934" t="s">
        <v>4994</v>
      </c>
      <c r="BK204" s="934" t="s">
        <v>4995</v>
      </c>
      <c r="BL204" s="934" t="s">
        <v>4996</v>
      </c>
      <c r="BM204" s="934" t="s">
        <v>4916</v>
      </c>
      <c r="BN204" s="934" t="s">
        <v>4997</v>
      </c>
      <c r="BO204" s="934" t="s">
        <v>4998</v>
      </c>
      <c r="BP204" s="934" t="s">
        <v>4999</v>
      </c>
      <c r="BQ204" s="934" t="s">
        <v>5000</v>
      </c>
      <c r="BR204" s="934" t="s">
        <v>5001</v>
      </c>
      <c r="BS204" s="934" t="s">
        <v>5002</v>
      </c>
      <c r="BT204" s="934" t="s">
        <v>5003</v>
      </c>
      <c r="BU204" s="934" t="s">
        <v>5004</v>
      </c>
      <c r="BV204" s="934" t="s">
        <v>5005</v>
      </c>
      <c r="BW204" s="917"/>
      <c r="BX204" s="917"/>
      <c r="BY204" s="917"/>
      <c r="BZ204" s="917"/>
      <c r="CA204" s="917"/>
      <c r="CB204" s="917"/>
      <c r="CC204" s="917"/>
      <c r="CD204" s="917"/>
      <c r="CE204" s="917"/>
      <c r="CF204" s="917"/>
      <c r="CG204" s="917"/>
      <c r="CH204" s="917"/>
      <c r="CI204" s="917"/>
      <c r="CJ204" s="917"/>
      <c r="CK204" s="917"/>
      <c r="CL204" s="917"/>
      <c r="CM204" s="917"/>
      <c r="CN204" s="917"/>
      <c r="CO204" s="917"/>
      <c r="CP204" s="917"/>
      <c r="CQ204" s="917"/>
      <c r="CR204" s="917"/>
      <c r="CS204" s="917"/>
      <c r="CT204" s="917"/>
      <c r="CU204" s="917"/>
      <c r="CV204" s="917"/>
      <c r="CW204" s="917"/>
      <c r="CX204" s="917"/>
      <c r="CY204" s="917"/>
      <c r="CZ204" s="917"/>
      <c r="DA204" s="917"/>
      <c r="DB204" s="917"/>
      <c r="DC204" s="917"/>
      <c r="DD204" s="917"/>
      <c r="DE204" s="917"/>
      <c r="DF204" s="917"/>
      <c r="DG204" s="917"/>
      <c r="DH204" s="917"/>
      <c r="DI204" s="917"/>
      <c r="DJ204" s="917"/>
      <c r="DK204" s="917"/>
      <c r="DL204" s="917"/>
      <c r="DM204" s="917"/>
      <c r="DN204" s="917"/>
      <c r="DO204" s="917"/>
      <c r="DP204" s="917"/>
      <c r="DQ204" s="917"/>
      <c r="DR204" s="917"/>
      <c r="DS204" s="917"/>
      <c r="DT204" s="917"/>
      <c r="DU204" s="917"/>
      <c r="DV204" s="917"/>
      <c r="DW204" s="917"/>
      <c r="DX204" s="917"/>
      <c r="DY204" s="917"/>
      <c r="DZ204" s="917"/>
      <c r="EA204" s="917"/>
      <c r="EB204" s="917"/>
      <c r="EC204" s="917"/>
      <c r="ED204" s="917"/>
      <c r="EE204" s="917"/>
      <c r="EF204" s="917"/>
      <c r="EG204" s="917"/>
      <c r="EH204" s="917"/>
      <c r="EI204" s="917"/>
      <c r="EJ204" s="917"/>
      <c r="EK204" s="917"/>
      <c r="EL204" s="917"/>
      <c r="EM204" s="917"/>
      <c r="EN204" s="917"/>
      <c r="EO204" s="917"/>
    </row>
    <row r="205" spans="2:145" ht="15.65" customHeight="1">
      <c r="B205" s="959" t="s">
        <v>147</v>
      </c>
      <c r="C205" s="867" t="s">
        <v>3554</v>
      </c>
      <c r="D205" s="836" t="s">
        <v>148</v>
      </c>
      <c r="E205" s="836" t="s">
        <v>5006</v>
      </c>
      <c r="F205" s="836" t="s">
        <v>5007</v>
      </c>
      <c r="G205" s="836" t="s">
        <v>5008</v>
      </c>
      <c r="H205" s="836" t="s">
        <v>5009</v>
      </c>
      <c r="I205" s="836" t="s">
        <v>5010</v>
      </c>
      <c r="J205" s="836" t="s">
        <v>5011</v>
      </c>
      <c r="K205" s="854" t="s">
        <v>5012</v>
      </c>
      <c r="L205" s="2780"/>
      <c r="M205" s="1043">
        <v>92</v>
      </c>
      <c r="N205" s="2834" t="s">
        <v>5013</v>
      </c>
      <c r="O205" s="2834"/>
      <c r="P205" s="2834"/>
      <c r="Q205" s="2834"/>
      <c r="R205" s="2835"/>
      <c r="S205" s="1044">
        <v>92</v>
      </c>
      <c r="T205" s="2834" t="s">
        <v>5014</v>
      </c>
      <c r="U205" s="2834"/>
      <c r="V205" s="2834"/>
      <c r="W205" s="2834"/>
      <c r="X205" s="2835"/>
      <c r="AM205" s="401" t="s">
        <v>2224</v>
      </c>
      <c r="BA205" s="836" t="s">
        <v>5015</v>
      </c>
      <c r="BC205" s="1059" t="s">
        <v>5016</v>
      </c>
      <c r="BD205" s="401"/>
      <c r="BG205" s="1001"/>
      <c r="BH205" s="1017" t="s">
        <v>2146</v>
      </c>
      <c r="BI205" s="928" t="s">
        <v>5017</v>
      </c>
      <c r="BJ205" s="917"/>
      <c r="BK205" s="917"/>
      <c r="BL205" s="917"/>
      <c r="BM205" s="917"/>
      <c r="BN205" s="917"/>
      <c r="BO205" s="917"/>
      <c r="BP205" s="917"/>
      <c r="BQ205" s="917"/>
      <c r="BR205" s="917"/>
      <c r="BS205" s="917"/>
      <c r="BT205" s="917"/>
      <c r="BU205" s="917"/>
      <c r="BV205" s="917"/>
      <c r="BW205" s="917"/>
      <c r="BX205" s="917"/>
      <c r="BY205" s="917"/>
      <c r="BZ205" s="917"/>
      <c r="CA205" s="917"/>
      <c r="CB205" s="917"/>
      <c r="CC205" s="917"/>
      <c r="CD205" s="917"/>
      <c r="CE205" s="917"/>
      <c r="CF205" s="917"/>
      <c r="CG205" s="917"/>
      <c r="CH205" s="917"/>
      <c r="CI205" s="917"/>
      <c r="CJ205" s="917"/>
      <c r="CK205" s="917"/>
      <c r="CL205" s="917"/>
      <c r="CM205" s="917"/>
      <c r="CN205" s="917"/>
      <c r="CO205" s="917"/>
      <c r="CP205" s="917"/>
      <c r="CQ205" s="917"/>
      <c r="CR205" s="917"/>
      <c r="CS205" s="917"/>
      <c r="CT205" s="917"/>
      <c r="CU205" s="917"/>
      <c r="CV205" s="917"/>
      <c r="CW205" s="917"/>
      <c r="CX205" s="917"/>
      <c r="CY205" s="917"/>
      <c r="CZ205" s="917"/>
      <c r="DA205" s="917"/>
      <c r="DB205" s="917"/>
      <c r="DC205" s="917"/>
      <c r="DD205" s="917"/>
      <c r="DE205" s="917"/>
      <c r="DF205" s="917"/>
      <c r="DG205" s="917"/>
      <c r="DH205" s="917"/>
      <c r="DI205" s="917"/>
      <c r="DJ205" s="917"/>
      <c r="DK205" s="917"/>
      <c r="DL205" s="917"/>
      <c r="DM205" s="917"/>
      <c r="DN205" s="917"/>
      <c r="DO205" s="917"/>
      <c r="DP205" s="917"/>
      <c r="DQ205" s="917"/>
      <c r="DR205" s="917"/>
      <c r="DS205" s="917"/>
      <c r="DT205" s="917"/>
      <c r="DU205" s="917"/>
      <c r="DV205" s="917"/>
      <c r="DW205" s="917"/>
      <c r="DX205" s="917"/>
      <c r="DY205" s="917"/>
      <c r="DZ205" s="917"/>
      <c r="EA205" s="917"/>
      <c r="EB205" s="917"/>
      <c r="EC205" s="917"/>
      <c r="ED205" s="917"/>
      <c r="EE205" s="917"/>
      <c r="EF205" s="917"/>
      <c r="EG205" s="917"/>
      <c r="EH205" s="917"/>
      <c r="EI205" s="917"/>
      <c r="EJ205" s="917"/>
      <c r="EK205" s="917"/>
      <c r="EL205" s="917"/>
      <c r="EM205" s="917"/>
      <c r="EN205" s="917"/>
      <c r="EO205" s="917"/>
    </row>
    <row r="206" spans="2:145" ht="15.65" customHeight="1">
      <c r="B206" s="967" t="s">
        <v>191</v>
      </c>
      <c r="C206" s="867" t="s">
        <v>2481</v>
      </c>
      <c r="D206" s="836" t="s">
        <v>5018</v>
      </c>
      <c r="E206" s="836" t="s">
        <v>148</v>
      </c>
      <c r="F206" s="836" t="s">
        <v>5019</v>
      </c>
      <c r="G206" s="836" t="s">
        <v>5020</v>
      </c>
      <c r="H206" s="836" t="s">
        <v>5021</v>
      </c>
      <c r="I206" s="836" t="s">
        <v>5022</v>
      </c>
      <c r="J206" s="1011" t="s">
        <v>5023</v>
      </c>
      <c r="K206" s="854" t="s">
        <v>5024</v>
      </c>
      <c r="L206" s="2780"/>
      <c r="M206" s="1043">
        <v>93</v>
      </c>
      <c r="N206" s="2834" t="s">
        <v>5025</v>
      </c>
      <c r="O206" s="2834"/>
      <c r="P206" s="2834"/>
      <c r="Q206" s="2834"/>
      <c r="R206" s="2835"/>
      <c r="S206" s="1044">
        <v>93</v>
      </c>
      <c r="T206" s="2834" t="s">
        <v>5026</v>
      </c>
      <c r="U206" s="2834"/>
      <c r="V206" s="2834"/>
      <c r="W206" s="2834"/>
      <c r="X206" s="2835"/>
      <c r="AM206" s="401" t="s">
        <v>2244</v>
      </c>
      <c r="BC206" s="1059" t="s">
        <v>5027</v>
      </c>
      <c r="BD206" s="401"/>
      <c r="BG206" s="1001"/>
      <c r="BH206" s="1017" t="s">
        <v>5028</v>
      </c>
      <c r="BI206" s="928" t="s">
        <v>5029</v>
      </c>
      <c r="BJ206" s="917"/>
      <c r="BK206" s="917"/>
      <c r="BL206" s="917"/>
      <c r="BM206" s="917"/>
      <c r="BN206" s="917"/>
      <c r="BO206" s="917"/>
      <c r="BP206" s="917"/>
      <c r="BQ206" s="917"/>
      <c r="BR206" s="917"/>
      <c r="BS206" s="917"/>
      <c r="BT206" s="917"/>
      <c r="BU206" s="917"/>
      <c r="BV206" s="917"/>
      <c r="BW206" s="917"/>
      <c r="BX206" s="917"/>
      <c r="BY206" s="917"/>
      <c r="BZ206" s="917"/>
      <c r="CA206" s="917"/>
      <c r="CB206" s="917"/>
      <c r="CC206" s="917"/>
      <c r="CD206" s="917"/>
      <c r="CE206" s="917"/>
      <c r="CF206" s="917"/>
      <c r="CG206" s="917"/>
      <c r="CH206" s="917"/>
      <c r="CI206" s="917"/>
      <c r="CJ206" s="917"/>
      <c r="CK206" s="917"/>
      <c r="CL206" s="917"/>
      <c r="CM206" s="917"/>
      <c r="CN206" s="917"/>
      <c r="CO206" s="917"/>
      <c r="CP206" s="917"/>
      <c r="CQ206" s="917"/>
      <c r="CR206" s="917"/>
      <c r="CS206" s="917"/>
      <c r="CT206" s="917"/>
      <c r="CU206" s="917"/>
      <c r="CV206" s="917"/>
      <c r="CW206" s="917"/>
      <c r="CX206" s="917"/>
      <c r="CY206" s="917"/>
      <c r="CZ206" s="917"/>
      <c r="DA206" s="917"/>
      <c r="DB206" s="917"/>
      <c r="DC206" s="917"/>
      <c r="DD206" s="917"/>
      <c r="DE206" s="917"/>
      <c r="DF206" s="917"/>
      <c r="DG206" s="917"/>
      <c r="DH206" s="917"/>
      <c r="DI206" s="917"/>
      <c r="DJ206" s="917"/>
      <c r="DK206" s="917"/>
      <c r="DL206" s="917"/>
      <c r="DM206" s="917"/>
      <c r="DN206" s="917"/>
      <c r="DO206" s="917"/>
      <c r="DP206" s="917"/>
      <c r="DQ206" s="917"/>
      <c r="DR206" s="917"/>
      <c r="DS206" s="917"/>
      <c r="DT206" s="917"/>
      <c r="DU206" s="917"/>
      <c r="DV206" s="917"/>
      <c r="DW206" s="917"/>
      <c r="DX206" s="917"/>
      <c r="DY206" s="917"/>
      <c r="DZ206" s="917"/>
      <c r="EA206" s="917"/>
      <c r="EB206" s="917"/>
      <c r="EC206" s="917"/>
      <c r="ED206" s="917"/>
      <c r="EE206" s="917"/>
      <c r="EF206" s="917"/>
      <c r="EG206" s="917"/>
      <c r="EH206" s="917"/>
      <c r="EI206" s="917"/>
      <c r="EJ206" s="917"/>
      <c r="EK206" s="917"/>
      <c r="EL206" s="917"/>
      <c r="EM206" s="917"/>
      <c r="EN206" s="917"/>
      <c r="EO206" s="917"/>
    </row>
    <row r="207" spans="2:145" ht="15.65" customHeight="1">
      <c r="B207" s="967" t="s">
        <v>193</v>
      </c>
      <c r="C207" s="867" t="s">
        <v>2504</v>
      </c>
      <c r="D207" s="836" t="s">
        <v>5018</v>
      </c>
      <c r="E207" s="836" t="s">
        <v>148</v>
      </c>
      <c r="F207" s="836" t="s">
        <v>5030</v>
      </c>
      <c r="G207" s="836" t="s">
        <v>5031</v>
      </c>
      <c r="H207" s="836" t="s">
        <v>5032</v>
      </c>
      <c r="I207" s="836" t="s">
        <v>5033</v>
      </c>
      <c r="J207" s="836" t="s">
        <v>5034</v>
      </c>
      <c r="K207" s="854" t="s">
        <v>5035</v>
      </c>
      <c r="L207" s="2780"/>
      <c r="M207" s="1043">
        <v>94</v>
      </c>
      <c r="N207" s="2834" t="s">
        <v>5036</v>
      </c>
      <c r="O207" s="2834"/>
      <c r="P207" s="2834"/>
      <c r="Q207" s="2834"/>
      <c r="R207" s="2835"/>
      <c r="S207" s="1044">
        <v>94</v>
      </c>
      <c r="T207" s="2834" t="s">
        <v>5037</v>
      </c>
      <c r="U207" s="2834"/>
      <c r="V207" s="2834"/>
      <c r="W207" s="2834"/>
      <c r="X207" s="2835"/>
      <c r="AM207" s="401" t="s">
        <v>2261</v>
      </c>
      <c r="BA207" s="836" t="s">
        <v>5038</v>
      </c>
      <c r="BC207" s="1059" t="s">
        <v>5039</v>
      </c>
      <c r="BD207" s="401"/>
      <c r="BG207" s="1001"/>
      <c r="BH207" s="1017" t="s">
        <v>5040</v>
      </c>
      <c r="BI207" s="934" t="s">
        <v>5041</v>
      </c>
      <c r="BJ207" s="917"/>
      <c r="BK207" s="917"/>
      <c r="BL207" s="917"/>
      <c r="BM207" s="917"/>
      <c r="BN207" s="917"/>
      <c r="BO207" s="917"/>
      <c r="BP207" s="917"/>
      <c r="BQ207" s="917"/>
      <c r="BR207" s="917"/>
      <c r="BS207" s="917"/>
      <c r="BT207" s="917"/>
      <c r="BU207" s="917"/>
      <c r="BV207" s="917"/>
      <c r="BW207" s="917"/>
      <c r="BX207" s="917"/>
      <c r="BY207" s="917"/>
      <c r="BZ207" s="917"/>
      <c r="CA207" s="917"/>
      <c r="CB207" s="917"/>
      <c r="CC207" s="917"/>
      <c r="CD207" s="917"/>
      <c r="CE207" s="917"/>
      <c r="CF207" s="917"/>
      <c r="CG207" s="917"/>
      <c r="CH207" s="917"/>
      <c r="CI207" s="917"/>
      <c r="CJ207" s="917"/>
      <c r="CK207" s="917"/>
      <c r="CL207" s="917"/>
      <c r="CM207" s="917"/>
      <c r="CN207" s="917"/>
      <c r="CO207" s="917"/>
      <c r="CP207" s="917"/>
      <c r="CQ207" s="917"/>
      <c r="CR207" s="917"/>
      <c r="CS207" s="917"/>
      <c r="CT207" s="917"/>
      <c r="CU207" s="917"/>
      <c r="CV207" s="917"/>
      <c r="CW207" s="917"/>
      <c r="CX207" s="917"/>
      <c r="CY207" s="917"/>
      <c r="CZ207" s="917"/>
      <c r="DA207" s="917"/>
      <c r="DB207" s="917"/>
      <c r="DC207" s="917"/>
      <c r="DD207" s="917"/>
      <c r="DE207" s="917"/>
      <c r="DF207" s="917"/>
      <c r="DG207" s="917"/>
      <c r="DH207" s="917"/>
      <c r="DI207" s="917"/>
      <c r="DJ207" s="917"/>
      <c r="DK207" s="917"/>
      <c r="DL207" s="917"/>
      <c r="DM207" s="917"/>
      <c r="DN207" s="917"/>
      <c r="DO207" s="917"/>
      <c r="DP207" s="917"/>
      <c r="DQ207" s="917"/>
      <c r="DR207" s="917"/>
      <c r="DS207" s="917"/>
      <c r="DT207" s="917"/>
      <c r="DU207" s="917"/>
      <c r="DV207" s="917"/>
      <c r="DW207" s="917"/>
      <c r="DX207" s="917"/>
      <c r="DY207" s="917"/>
      <c r="DZ207" s="917"/>
      <c r="EA207" s="917"/>
      <c r="EB207" s="917"/>
      <c r="EC207" s="917"/>
      <c r="ED207" s="917"/>
      <c r="EE207" s="917"/>
      <c r="EF207" s="917"/>
      <c r="EG207" s="917"/>
      <c r="EH207" s="917"/>
      <c r="EI207" s="917"/>
      <c r="EJ207" s="917"/>
      <c r="EK207" s="917"/>
      <c r="EL207" s="917"/>
      <c r="EM207" s="917"/>
      <c r="EN207" s="917"/>
      <c r="EO207" s="917"/>
    </row>
    <row r="208" spans="2:145" ht="15.65" customHeight="1">
      <c r="B208" s="967" t="s">
        <v>163</v>
      </c>
      <c r="C208" s="867" t="s">
        <v>2504</v>
      </c>
      <c r="D208" s="836" t="s">
        <v>5018</v>
      </c>
      <c r="E208" s="836" t="s">
        <v>148</v>
      </c>
      <c r="F208" s="836" t="s">
        <v>5042</v>
      </c>
      <c r="G208" s="836" t="s">
        <v>5043</v>
      </c>
      <c r="H208" s="1061" t="s">
        <v>5044</v>
      </c>
      <c r="I208" s="836" t="s">
        <v>5045</v>
      </c>
      <c r="J208" s="836" t="s">
        <v>5046</v>
      </c>
      <c r="K208" s="854" t="s">
        <v>5047</v>
      </c>
      <c r="L208" s="2780"/>
      <c r="M208" s="1043">
        <v>95</v>
      </c>
      <c r="N208" s="2834" t="s">
        <v>5048</v>
      </c>
      <c r="O208" s="2834"/>
      <c r="P208" s="2834"/>
      <c r="Q208" s="2834"/>
      <c r="R208" s="2835"/>
      <c r="S208" s="1044">
        <v>95</v>
      </c>
      <c r="T208" s="2834" t="s">
        <v>5049</v>
      </c>
      <c r="U208" s="2834"/>
      <c r="V208" s="2834"/>
      <c r="W208" s="2834"/>
      <c r="X208" s="2835"/>
      <c r="AM208" s="401" t="s">
        <v>2330</v>
      </c>
      <c r="BA208" s="836" t="s">
        <v>5050</v>
      </c>
      <c r="BC208" s="1059" t="s">
        <v>5051</v>
      </c>
      <c r="BD208" s="401"/>
      <c r="BG208" s="1001"/>
      <c r="BH208" s="1017"/>
      <c r="BI208" s="928"/>
      <c r="BJ208" s="917"/>
      <c r="BK208" s="917"/>
      <c r="BL208" s="917"/>
      <c r="BM208" s="917"/>
      <c r="BN208" s="917"/>
      <c r="BO208" s="917"/>
      <c r="BP208" s="917"/>
      <c r="BQ208" s="917"/>
      <c r="BR208" s="917"/>
      <c r="BS208" s="917"/>
      <c r="BT208" s="917"/>
      <c r="BU208" s="917"/>
      <c r="BV208" s="917"/>
      <c r="BW208" s="917"/>
      <c r="BX208" s="917"/>
      <c r="BY208" s="917"/>
      <c r="BZ208" s="917"/>
      <c r="CA208" s="917"/>
      <c r="CB208" s="917"/>
      <c r="CC208" s="917"/>
      <c r="CD208" s="917"/>
      <c r="CE208" s="917"/>
      <c r="CF208" s="917"/>
      <c r="CG208" s="917"/>
      <c r="CH208" s="917"/>
      <c r="CI208" s="917"/>
      <c r="CJ208" s="917"/>
      <c r="CK208" s="917"/>
      <c r="CL208" s="917"/>
      <c r="CM208" s="917"/>
      <c r="CN208" s="917"/>
      <c r="CO208" s="917"/>
      <c r="CP208" s="917"/>
      <c r="CQ208" s="917"/>
      <c r="CR208" s="917"/>
      <c r="CS208" s="917"/>
      <c r="CT208" s="917"/>
      <c r="CU208" s="917"/>
      <c r="CV208" s="917"/>
      <c r="CW208" s="917"/>
      <c r="CX208" s="917"/>
      <c r="CY208" s="917"/>
      <c r="CZ208" s="917"/>
      <c r="DA208" s="917"/>
      <c r="DB208" s="917"/>
      <c r="DC208" s="917"/>
      <c r="DD208" s="917"/>
      <c r="DE208" s="917"/>
      <c r="DF208" s="917"/>
      <c r="DG208" s="917"/>
      <c r="DH208" s="917"/>
      <c r="DI208" s="917"/>
      <c r="DJ208" s="917"/>
      <c r="DK208" s="917"/>
      <c r="DL208" s="917"/>
      <c r="DM208" s="917"/>
      <c r="DN208" s="917"/>
      <c r="DO208" s="917"/>
      <c r="DP208" s="917"/>
      <c r="DQ208" s="917"/>
      <c r="DR208" s="917"/>
      <c r="DS208" s="917"/>
      <c r="DT208" s="917"/>
      <c r="DU208" s="917"/>
      <c r="DV208" s="917"/>
      <c r="DW208" s="917"/>
      <c r="DX208" s="917"/>
      <c r="DY208" s="917"/>
      <c r="DZ208" s="917"/>
      <c r="EA208" s="917"/>
      <c r="EB208" s="917"/>
      <c r="EC208" s="917"/>
      <c r="ED208" s="917"/>
      <c r="EE208" s="917"/>
      <c r="EF208" s="917"/>
      <c r="EG208" s="917"/>
      <c r="EH208" s="917"/>
      <c r="EI208" s="917"/>
      <c r="EJ208" s="917"/>
      <c r="EK208" s="917"/>
      <c r="EL208" s="917"/>
      <c r="EM208" s="917"/>
      <c r="EN208" s="917"/>
      <c r="EO208" s="917"/>
    </row>
    <row r="209" spans="2:145" ht="15.65" customHeight="1">
      <c r="B209" s="967" t="s">
        <v>196</v>
      </c>
      <c r="C209" s="867" t="s">
        <v>2504</v>
      </c>
      <c r="D209" s="836" t="s">
        <v>5018</v>
      </c>
      <c r="E209" s="836" t="s">
        <v>5052</v>
      </c>
      <c r="F209" s="836" t="s">
        <v>5053</v>
      </c>
      <c r="G209" s="836" t="s">
        <v>5054</v>
      </c>
      <c r="H209" s="836" t="s">
        <v>5055</v>
      </c>
      <c r="I209" s="836" t="s">
        <v>5056</v>
      </c>
      <c r="J209" s="836" t="s">
        <v>5057</v>
      </c>
      <c r="K209" s="854" t="s">
        <v>5058</v>
      </c>
      <c r="L209" s="2780"/>
      <c r="M209" s="1043">
        <v>96</v>
      </c>
      <c r="N209" s="2834" t="s">
        <v>5059</v>
      </c>
      <c r="O209" s="2834"/>
      <c r="P209" s="2834"/>
      <c r="Q209" s="2834"/>
      <c r="R209" s="2835"/>
      <c r="S209" s="1044">
        <v>96</v>
      </c>
      <c r="T209" s="2834" t="s">
        <v>5060</v>
      </c>
      <c r="U209" s="2834"/>
      <c r="V209" s="2834"/>
      <c r="W209" s="2834"/>
      <c r="X209" s="2835"/>
      <c r="AM209" s="401" t="s">
        <v>2363</v>
      </c>
      <c r="BA209" s="836" t="s">
        <v>5061</v>
      </c>
      <c r="BC209" s="1059" t="s">
        <v>751</v>
      </c>
      <c r="BD209" s="401"/>
      <c r="BG209" s="1001"/>
      <c r="BH209" s="1027" t="s">
        <v>5062</v>
      </c>
      <c r="BI209" s="928"/>
      <c r="BJ209" s="917"/>
      <c r="BK209" s="917"/>
      <c r="BL209" s="917"/>
      <c r="BM209" s="917"/>
      <c r="BN209" s="917"/>
      <c r="BO209" s="917"/>
      <c r="BP209" s="917"/>
      <c r="BQ209" s="917"/>
      <c r="BR209" s="917"/>
      <c r="BS209" s="917"/>
      <c r="BT209" s="917"/>
      <c r="BU209" s="917"/>
      <c r="BV209" s="917"/>
      <c r="BW209" s="917"/>
      <c r="BX209" s="917"/>
      <c r="BY209" s="917"/>
      <c r="BZ209" s="917"/>
      <c r="CA209" s="917"/>
      <c r="CB209" s="917"/>
      <c r="CC209" s="917"/>
      <c r="CD209" s="917"/>
      <c r="CE209" s="917"/>
      <c r="CF209" s="917"/>
      <c r="CG209" s="917"/>
      <c r="CH209" s="917"/>
      <c r="CI209" s="917"/>
      <c r="CJ209" s="917"/>
      <c r="CK209" s="917"/>
      <c r="CL209" s="917"/>
      <c r="CM209" s="917"/>
      <c r="CN209" s="917"/>
      <c r="CO209" s="917"/>
      <c r="CP209" s="917"/>
      <c r="CQ209" s="917"/>
      <c r="CR209" s="917"/>
      <c r="CS209" s="917"/>
      <c r="CT209" s="917"/>
      <c r="CU209" s="917"/>
      <c r="CV209" s="917"/>
      <c r="CW209" s="917"/>
      <c r="CX209" s="917"/>
      <c r="CY209" s="917"/>
      <c r="CZ209" s="917"/>
      <c r="DA209" s="917"/>
      <c r="DB209" s="917"/>
      <c r="DC209" s="917"/>
      <c r="DD209" s="917"/>
      <c r="DE209" s="917"/>
      <c r="DF209" s="917"/>
      <c r="DG209" s="917"/>
      <c r="DH209" s="917"/>
      <c r="DI209" s="917"/>
      <c r="DJ209" s="917"/>
      <c r="DK209" s="917"/>
      <c r="DL209" s="917"/>
      <c r="DM209" s="917"/>
      <c r="DN209" s="917"/>
      <c r="DO209" s="917"/>
      <c r="DP209" s="917"/>
      <c r="DQ209" s="917"/>
      <c r="DR209" s="917"/>
      <c r="DS209" s="917"/>
      <c r="DT209" s="917"/>
      <c r="DU209" s="917"/>
      <c r="DV209" s="917"/>
      <c r="DW209" s="917"/>
      <c r="DX209" s="917"/>
      <c r="DY209" s="917"/>
      <c r="DZ209" s="917"/>
      <c r="EA209" s="917"/>
      <c r="EB209" s="917"/>
      <c r="EC209" s="917"/>
      <c r="ED209" s="917"/>
      <c r="EE209" s="917"/>
      <c r="EF209" s="917"/>
      <c r="EG209" s="917"/>
      <c r="EH209" s="917"/>
      <c r="EI209" s="917"/>
      <c r="EJ209" s="917"/>
      <c r="EK209" s="917"/>
      <c r="EL209" s="917"/>
      <c r="EM209" s="917"/>
      <c r="EN209" s="917"/>
      <c r="EO209" s="917"/>
    </row>
    <row r="210" spans="2:145" ht="15.65" customHeight="1">
      <c r="B210" s="967" t="s">
        <v>198</v>
      </c>
      <c r="C210" s="867" t="s">
        <v>2504</v>
      </c>
      <c r="D210" s="836" t="s">
        <v>5018</v>
      </c>
      <c r="E210" s="836" t="s">
        <v>5063</v>
      </c>
      <c r="F210" s="836" t="s">
        <v>5064</v>
      </c>
      <c r="G210" s="836" t="s">
        <v>148</v>
      </c>
      <c r="H210" s="836" t="s">
        <v>148</v>
      </c>
      <c r="I210" s="836" t="s">
        <v>5065</v>
      </c>
      <c r="J210" s="836" t="s">
        <v>5066</v>
      </c>
      <c r="K210" s="854" t="s">
        <v>5067</v>
      </c>
      <c r="L210" s="2780"/>
      <c r="M210" s="1043">
        <v>97</v>
      </c>
      <c r="N210" s="2834" t="s">
        <v>5068</v>
      </c>
      <c r="O210" s="2834"/>
      <c r="P210" s="2834"/>
      <c r="Q210" s="2834"/>
      <c r="R210" s="2835"/>
      <c r="S210" s="1044">
        <v>97</v>
      </c>
      <c r="T210" s="2834" t="s">
        <v>5069</v>
      </c>
      <c r="U210" s="2834"/>
      <c r="V210" s="2834"/>
      <c r="W210" s="2834"/>
      <c r="X210" s="2835"/>
      <c r="AM210" s="401" t="s">
        <v>2388</v>
      </c>
      <c r="BA210" s="836" t="s">
        <v>5070</v>
      </c>
      <c r="BC210" s="1059" t="s">
        <v>4773</v>
      </c>
      <c r="BD210" s="401"/>
      <c r="BG210" s="1001"/>
      <c r="BH210" s="927" t="s">
        <v>5071</v>
      </c>
      <c r="BI210" s="934" t="s">
        <v>5072</v>
      </c>
      <c r="BJ210" s="934" t="s">
        <v>5073</v>
      </c>
      <c r="BK210" s="934" t="s">
        <v>5074</v>
      </c>
      <c r="BL210" s="934" t="s">
        <v>4149</v>
      </c>
      <c r="BM210" s="934" t="s">
        <v>5075</v>
      </c>
      <c r="BN210" s="934" t="s">
        <v>5076</v>
      </c>
      <c r="BO210" s="934" t="s">
        <v>5077</v>
      </c>
      <c r="BP210" s="934" t="s">
        <v>5078</v>
      </c>
      <c r="BQ210" s="934" t="s">
        <v>5079</v>
      </c>
      <c r="BR210" s="934" t="s">
        <v>5080</v>
      </c>
      <c r="BS210" s="934" t="s">
        <v>5081</v>
      </c>
      <c r="BT210" s="934" t="s">
        <v>5082</v>
      </c>
      <c r="BU210" s="934" t="s">
        <v>5083</v>
      </c>
      <c r="BV210" s="934" t="s">
        <v>5084</v>
      </c>
      <c r="BW210" s="934" t="s">
        <v>5085</v>
      </c>
      <c r="BX210" s="934" t="s">
        <v>5086</v>
      </c>
      <c r="BY210" s="934" t="s">
        <v>5087</v>
      </c>
      <c r="BZ210" s="934" t="s">
        <v>5088</v>
      </c>
      <c r="CA210" s="934" t="s">
        <v>5089</v>
      </c>
      <c r="CB210" s="934" t="s">
        <v>5090</v>
      </c>
      <c r="CC210" s="934" t="s">
        <v>5091</v>
      </c>
      <c r="CD210" s="934" t="s">
        <v>5092</v>
      </c>
      <c r="CE210" s="934" t="s">
        <v>5093</v>
      </c>
      <c r="CF210" s="934" t="s">
        <v>5094</v>
      </c>
      <c r="CG210" s="934" t="s">
        <v>5095</v>
      </c>
      <c r="CH210" s="934" t="s">
        <v>5096</v>
      </c>
      <c r="CI210" s="934" t="s">
        <v>5097</v>
      </c>
      <c r="CJ210" s="934" t="s">
        <v>5098</v>
      </c>
      <c r="CK210" s="917"/>
      <c r="CL210" s="917"/>
      <c r="CM210" s="917"/>
      <c r="CN210" s="917"/>
      <c r="CO210" s="917"/>
      <c r="CP210" s="917"/>
      <c r="CQ210" s="917"/>
      <c r="CR210" s="917"/>
      <c r="CS210" s="917"/>
      <c r="CT210" s="917"/>
      <c r="CU210" s="917"/>
      <c r="CV210" s="917"/>
      <c r="CW210" s="917"/>
      <c r="CX210" s="917"/>
      <c r="CY210" s="917"/>
      <c r="CZ210" s="917"/>
      <c r="DA210" s="917"/>
      <c r="DB210" s="917"/>
      <c r="DC210" s="917"/>
      <c r="DD210" s="917"/>
      <c r="DE210" s="917"/>
      <c r="DF210" s="917"/>
      <c r="DG210" s="917"/>
      <c r="DH210" s="917"/>
      <c r="DI210" s="917"/>
      <c r="DJ210" s="917"/>
      <c r="DK210" s="917"/>
      <c r="DL210" s="917"/>
      <c r="DM210" s="917"/>
      <c r="DN210" s="917"/>
      <c r="DO210" s="917"/>
      <c r="DP210" s="917"/>
      <c r="DQ210" s="917"/>
      <c r="DR210" s="917"/>
      <c r="DS210" s="917"/>
      <c r="DT210" s="917"/>
      <c r="DU210" s="917"/>
      <c r="DV210" s="917"/>
      <c r="DW210" s="917"/>
      <c r="DX210" s="917"/>
      <c r="DY210" s="917"/>
      <c r="DZ210" s="917"/>
      <c r="EA210" s="917"/>
      <c r="EB210" s="917"/>
      <c r="EC210" s="917"/>
      <c r="ED210" s="917"/>
      <c r="EE210" s="917"/>
      <c r="EF210" s="917"/>
      <c r="EG210" s="917"/>
      <c r="EH210" s="917"/>
      <c r="EI210" s="917"/>
      <c r="EJ210" s="917"/>
      <c r="EK210" s="917"/>
      <c r="EL210" s="917"/>
      <c r="EM210" s="917"/>
      <c r="EN210" s="917"/>
      <c r="EO210" s="917"/>
    </row>
    <row r="211" spans="2:145" ht="15.65" customHeight="1">
      <c r="B211" s="967" t="s">
        <v>204</v>
      </c>
      <c r="C211" s="867" t="s">
        <v>2504</v>
      </c>
      <c r="D211" s="836" t="s">
        <v>5099</v>
      </c>
      <c r="E211" s="836" t="s">
        <v>148</v>
      </c>
      <c r="F211" s="836" t="s">
        <v>5100</v>
      </c>
      <c r="G211" s="836" t="s">
        <v>5101</v>
      </c>
      <c r="H211" s="836" t="s">
        <v>5102</v>
      </c>
      <c r="I211" s="836" t="s">
        <v>3610</v>
      </c>
      <c r="J211" s="836" t="s">
        <v>148</v>
      </c>
      <c r="K211" s="854" t="s">
        <v>148</v>
      </c>
      <c r="L211" s="2780"/>
      <c r="M211" s="1043">
        <v>98</v>
      </c>
      <c r="N211" s="2834" t="s">
        <v>5103</v>
      </c>
      <c r="O211" s="2834"/>
      <c r="P211" s="2834"/>
      <c r="Q211" s="2834"/>
      <c r="R211" s="2835"/>
      <c r="S211" s="1044">
        <v>98</v>
      </c>
      <c r="T211" s="2834" t="s">
        <v>5104</v>
      </c>
      <c r="U211" s="2834"/>
      <c r="V211" s="2834"/>
      <c r="W211" s="2834"/>
      <c r="X211" s="2835"/>
      <c r="AM211" s="401" t="s">
        <v>2396</v>
      </c>
      <c r="BA211" s="836" t="s">
        <v>314</v>
      </c>
      <c r="BC211" s="1059" t="s">
        <v>5105</v>
      </c>
      <c r="BD211" s="401"/>
      <c r="BG211" s="1001"/>
      <c r="BH211" s="927" t="s">
        <v>5106</v>
      </c>
      <c r="BI211" s="934" t="s">
        <v>5107</v>
      </c>
      <c r="BJ211" s="934" t="s">
        <v>5108</v>
      </c>
      <c r="BK211" s="934" t="s">
        <v>5109</v>
      </c>
      <c r="BL211" s="934" t="s">
        <v>5110</v>
      </c>
      <c r="BM211" s="934" t="s">
        <v>5111</v>
      </c>
      <c r="BN211" s="934" t="s">
        <v>5112</v>
      </c>
      <c r="BO211" s="934" t="s">
        <v>5113</v>
      </c>
      <c r="BP211" s="934" t="s">
        <v>5114</v>
      </c>
      <c r="BQ211" s="934" t="s">
        <v>5115</v>
      </c>
      <c r="BR211" s="934" t="s">
        <v>5116</v>
      </c>
      <c r="BS211" s="934" t="s">
        <v>5117</v>
      </c>
      <c r="BT211" s="934" t="s">
        <v>5118</v>
      </c>
      <c r="BU211" s="934" t="s">
        <v>5119</v>
      </c>
      <c r="BV211" s="934" t="s">
        <v>5120</v>
      </c>
      <c r="BW211" s="934" t="s">
        <v>5121</v>
      </c>
      <c r="BX211" s="934" t="s">
        <v>5122</v>
      </c>
      <c r="BY211" s="934" t="s">
        <v>5123</v>
      </c>
      <c r="BZ211" s="934" t="s">
        <v>5124</v>
      </c>
      <c r="CA211" s="934" t="s">
        <v>5125</v>
      </c>
      <c r="CB211" s="934" t="s">
        <v>5126</v>
      </c>
      <c r="CC211" s="934" t="s">
        <v>5127</v>
      </c>
      <c r="CD211" s="934" t="s">
        <v>5128</v>
      </c>
      <c r="CE211" s="934" t="s">
        <v>5129</v>
      </c>
      <c r="CF211" s="934" t="s">
        <v>5130</v>
      </c>
      <c r="CG211" s="934" t="s">
        <v>5131</v>
      </c>
      <c r="CH211" s="917"/>
      <c r="CI211" s="917"/>
      <c r="CJ211" s="917"/>
      <c r="CK211" s="917"/>
      <c r="CL211" s="917"/>
      <c r="CM211" s="917"/>
      <c r="CN211" s="917"/>
      <c r="CO211" s="917"/>
      <c r="CP211" s="917"/>
      <c r="CQ211" s="917"/>
      <c r="CR211" s="917"/>
      <c r="CS211" s="917"/>
      <c r="CT211" s="917"/>
      <c r="CU211" s="917"/>
      <c r="CV211" s="917"/>
      <c r="CW211" s="917"/>
      <c r="CX211" s="917"/>
      <c r="CY211" s="917"/>
      <c r="CZ211" s="917"/>
      <c r="DA211" s="917"/>
      <c r="DB211" s="917"/>
      <c r="DC211" s="917"/>
      <c r="DD211" s="917"/>
      <c r="DE211" s="917"/>
      <c r="DF211" s="917"/>
      <c r="DG211" s="917"/>
      <c r="DH211" s="917"/>
      <c r="DI211" s="917"/>
      <c r="DJ211" s="917"/>
      <c r="DK211" s="917"/>
      <c r="DL211" s="917"/>
      <c r="DM211" s="917"/>
      <c r="DN211" s="917"/>
      <c r="DO211" s="917"/>
      <c r="DP211" s="917"/>
      <c r="DQ211" s="917"/>
      <c r="DR211" s="917"/>
      <c r="DS211" s="917"/>
      <c r="DT211" s="917"/>
      <c r="DU211" s="917"/>
      <c r="DV211" s="917"/>
      <c r="DW211" s="917"/>
      <c r="DX211" s="917"/>
      <c r="DY211" s="917"/>
      <c r="DZ211" s="917"/>
      <c r="EA211" s="917"/>
      <c r="EB211" s="917"/>
      <c r="EC211" s="917"/>
      <c r="ED211" s="917"/>
      <c r="EE211" s="917"/>
      <c r="EF211" s="917"/>
      <c r="EG211" s="917"/>
      <c r="EH211" s="917"/>
      <c r="EI211" s="917"/>
      <c r="EJ211" s="917"/>
      <c r="EK211" s="917"/>
      <c r="EL211" s="917"/>
      <c r="EM211" s="917"/>
      <c r="EN211" s="917"/>
      <c r="EO211" s="917"/>
    </row>
    <row r="212" spans="2:145" ht="15.65" customHeight="1">
      <c r="B212" s="967" t="s">
        <v>177</v>
      </c>
      <c r="C212" s="867" t="s">
        <v>2504</v>
      </c>
      <c r="D212" s="836" t="s">
        <v>5132</v>
      </c>
      <c r="E212" s="836" t="s">
        <v>148</v>
      </c>
      <c r="F212" s="401" t="s">
        <v>5133</v>
      </c>
      <c r="G212" s="836" t="s">
        <v>148</v>
      </c>
      <c r="H212" s="836" t="s">
        <v>148</v>
      </c>
      <c r="I212" s="836" t="s">
        <v>148</v>
      </c>
      <c r="J212" s="836" t="s">
        <v>148</v>
      </c>
      <c r="K212" s="854" t="s">
        <v>148</v>
      </c>
      <c r="L212" s="2780"/>
      <c r="M212" s="1043">
        <v>99</v>
      </c>
      <c r="N212" s="2834" t="s">
        <v>5134</v>
      </c>
      <c r="O212" s="2834"/>
      <c r="P212" s="2834"/>
      <c r="Q212" s="2834"/>
      <c r="R212" s="2835"/>
      <c r="S212" s="1044">
        <v>99</v>
      </c>
      <c r="T212" s="2834" t="s">
        <v>5135</v>
      </c>
      <c r="U212" s="2834"/>
      <c r="V212" s="2834"/>
      <c r="W212" s="2834"/>
      <c r="X212" s="2835"/>
      <c r="AM212" s="401" t="s">
        <v>2406</v>
      </c>
      <c r="BC212" s="1059" t="s">
        <v>5136</v>
      </c>
      <c r="BD212" s="401"/>
      <c r="BG212" s="1001"/>
      <c r="BH212" s="927" t="s">
        <v>5137</v>
      </c>
      <c r="BI212" s="934" t="s">
        <v>5138</v>
      </c>
      <c r="BJ212" s="934" t="s">
        <v>5139</v>
      </c>
      <c r="BK212" s="934" t="s">
        <v>5140</v>
      </c>
      <c r="BL212" s="934" t="s">
        <v>5141</v>
      </c>
      <c r="BM212" s="934" t="s">
        <v>5142</v>
      </c>
      <c r="BN212" s="934" t="s">
        <v>5143</v>
      </c>
      <c r="BO212" s="934" t="s">
        <v>5144</v>
      </c>
      <c r="BP212" s="934" t="s">
        <v>5145</v>
      </c>
      <c r="BQ212" s="934" t="s">
        <v>5146</v>
      </c>
      <c r="BR212" s="934" t="s">
        <v>5147</v>
      </c>
      <c r="BS212" s="934" t="s">
        <v>5148</v>
      </c>
      <c r="BT212" s="917"/>
      <c r="BU212" s="917"/>
      <c r="BV212" s="917"/>
      <c r="BW212" s="917"/>
      <c r="BX212" s="917"/>
      <c r="BY212" s="917"/>
      <c r="BZ212" s="917"/>
      <c r="CA212" s="917"/>
      <c r="CB212" s="917"/>
      <c r="CC212" s="917"/>
      <c r="CD212" s="917"/>
      <c r="CE212" s="917"/>
      <c r="CF212" s="917"/>
      <c r="CG212" s="917"/>
      <c r="CH212" s="917"/>
      <c r="CI212" s="917"/>
      <c r="CJ212" s="917"/>
      <c r="CK212" s="917"/>
      <c r="CL212" s="917"/>
      <c r="CM212" s="917"/>
      <c r="CN212" s="917"/>
      <c r="CO212" s="917"/>
      <c r="CP212" s="917"/>
      <c r="CQ212" s="917"/>
      <c r="CR212" s="917"/>
      <c r="CS212" s="917"/>
      <c r="CT212" s="917"/>
      <c r="CU212" s="917"/>
      <c r="CV212" s="917"/>
      <c r="CW212" s="917"/>
      <c r="CX212" s="917"/>
      <c r="CY212" s="917"/>
      <c r="CZ212" s="917"/>
      <c r="DA212" s="917"/>
      <c r="DB212" s="917"/>
      <c r="DC212" s="917"/>
      <c r="DD212" s="917"/>
      <c r="DE212" s="917"/>
      <c r="DF212" s="917"/>
      <c r="DG212" s="917"/>
      <c r="DH212" s="917"/>
      <c r="DI212" s="917"/>
      <c r="DJ212" s="917"/>
      <c r="DK212" s="917"/>
      <c r="DL212" s="917"/>
      <c r="DM212" s="917"/>
      <c r="DN212" s="917"/>
      <c r="DO212" s="917"/>
      <c r="DP212" s="917"/>
      <c r="DQ212" s="917"/>
      <c r="DR212" s="917"/>
      <c r="DS212" s="917"/>
      <c r="DT212" s="917"/>
      <c r="DU212" s="917"/>
      <c r="DV212" s="917"/>
      <c r="DW212" s="917"/>
      <c r="DX212" s="917"/>
      <c r="DY212" s="917"/>
      <c r="DZ212" s="917"/>
      <c r="EA212" s="917"/>
      <c r="EB212" s="917"/>
      <c r="EC212" s="917"/>
      <c r="ED212" s="917"/>
      <c r="EE212" s="917"/>
      <c r="EF212" s="917"/>
      <c r="EG212" s="917"/>
      <c r="EH212" s="917"/>
      <c r="EI212" s="917"/>
      <c r="EJ212" s="917"/>
      <c r="EK212" s="917"/>
      <c r="EL212" s="917"/>
      <c r="EM212" s="917"/>
      <c r="EN212" s="917"/>
      <c r="EO212" s="917"/>
    </row>
    <row r="213" spans="2:145" ht="15.65" customHeight="1">
      <c r="B213" s="883">
        <f>人物卡!X108</f>
        <v>0</v>
      </c>
      <c r="C213" s="1066">
        <f>人物卡!AD108</f>
        <v>0</v>
      </c>
      <c r="D213" s="884" t="s">
        <v>5149</v>
      </c>
      <c r="E213" s="884" t="s">
        <v>751</v>
      </c>
      <c r="F213" s="884" t="str">
        <f>IF(ISBLANK(人物卡!AD111),"",人物卡!AD111)</f>
        <v>基础值</v>
      </c>
      <c r="G213" s="884" t="s">
        <v>751</v>
      </c>
      <c r="H213" s="884" t="s">
        <v>751</v>
      </c>
      <c r="I213" s="884" t="s">
        <v>751</v>
      </c>
      <c r="J213" s="884" t="s">
        <v>751</v>
      </c>
      <c r="K213" s="885" t="s">
        <v>751</v>
      </c>
      <c r="L213" s="2780"/>
      <c r="M213" s="1043">
        <v>100</v>
      </c>
      <c r="N213" s="2834" t="s">
        <v>5150</v>
      </c>
      <c r="O213" s="2834"/>
      <c r="P213" s="2834"/>
      <c r="Q213" s="2834"/>
      <c r="R213" s="2835"/>
      <c r="S213" s="1044">
        <v>100</v>
      </c>
      <c r="T213" s="2834" t="s">
        <v>5151</v>
      </c>
      <c r="U213" s="2834"/>
      <c r="V213" s="2834"/>
      <c r="W213" s="2834"/>
      <c r="X213" s="2835"/>
      <c r="BC213" s="1059" t="s">
        <v>5152</v>
      </c>
      <c r="BD213" s="401"/>
      <c r="BG213" s="1001"/>
      <c r="BH213" s="927" t="s">
        <v>5153</v>
      </c>
      <c r="BI213" s="934" t="s">
        <v>5154</v>
      </c>
      <c r="BJ213" s="934" t="s">
        <v>5155</v>
      </c>
      <c r="BK213" s="934" t="s">
        <v>5156</v>
      </c>
      <c r="BL213" s="934" t="s">
        <v>5157</v>
      </c>
      <c r="BM213" s="934" t="s">
        <v>5158</v>
      </c>
      <c r="BN213" s="934" t="s">
        <v>5159</v>
      </c>
      <c r="BO213" s="934" t="s">
        <v>5160</v>
      </c>
      <c r="BP213" s="934" t="s">
        <v>5161</v>
      </c>
      <c r="BQ213" s="934" t="s">
        <v>5162</v>
      </c>
      <c r="BR213" s="934" t="s">
        <v>5163</v>
      </c>
      <c r="BS213" s="917"/>
      <c r="BT213" s="917"/>
      <c r="BU213" s="917"/>
      <c r="BV213" s="917"/>
      <c r="BW213" s="917"/>
      <c r="BX213" s="917"/>
      <c r="BY213" s="917"/>
      <c r="BZ213" s="917"/>
      <c r="CA213" s="917"/>
      <c r="CB213" s="917"/>
      <c r="CC213" s="917"/>
      <c r="CD213" s="917"/>
      <c r="CE213" s="917"/>
      <c r="CF213" s="917"/>
      <c r="CG213" s="917"/>
      <c r="CH213" s="917"/>
      <c r="CI213" s="917"/>
      <c r="CJ213" s="917"/>
      <c r="CK213" s="917"/>
      <c r="CL213" s="917"/>
      <c r="CM213" s="917"/>
      <c r="CN213" s="917"/>
      <c r="CO213" s="917"/>
      <c r="CP213" s="917"/>
      <c r="CQ213" s="917"/>
      <c r="CR213" s="917"/>
      <c r="CS213" s="917"/>
      <c r="CT213" s="917"/>
      <c r="CU213" s="917"/>
      <c r="CV213" s="917"/>
      <c r="CW213" s="917"/>
      <c r="CX213" s="917"/>
      <c r="CY213" s="917"/>
      <c r="CZ213" s="917"/>
      <c r="DA213" s="917"/>
      <c r="DB213" s="917"/>
      <c r="DC213" s="917"/>
      <c r="DD213" s="917"/>
      <c r="DE213" s="917"/>
      <c r="DF213" s="917"/>
      <c r="DG213" s="917"/>
      <c r="DH213" s="917"/>
      <c r="DI213" s="917"/>
      <c r="DJ213" s="917"/>
      <c r="DK213" s="917"/>
      <c r="DL213" s="917"/>
      <c r="DM213" s="917"/>
      <c r="DN213" s="917"/>
      <c r="DO213" s="917"/>
      <c r="DP213" s="917"/>
      <c r="DQ213" s="917"/>
      <c r="DR213" s="917"/>
      <c r="DS213" s="917"/>
      <c r="DT213" s="917"/>
      <c r="DU213" s="917"/>
      <c r="DV213" s="917"/>
      <c r="DW213" s="917"/>
      <c r="DX213" s="917"/>
      <c r="DY213" s="917"/>
      <c r="DZ213" s="917"/>
      <c r="EA213" s="917"/>
      <c r="EB213" s="917"/>
      <c r="EC213" s="917"/>
      <c r="ED213" s="917"/>
      <c r="EE213" s="917"/>
      <c r="EF213" s="917"/>
      <c r="EG213" s="917"/>
      <c r="EH213" s="917"/>
      <c r="EI213" s="917"/>
      <c r="EJ213" s="917"/>
      <c r="EK213" s="917"/>
      <c r="EL213" s="917"/>
      <c r="EM213" s="917"/>
      <c r="EN213" s="917"/>
      <c r="EO213" s="917"/>
    </row>
    <row r="214" spans="2:145" ht="15.65" customHeight="1">
      <c r="B214" s="401" t="s">
        <v>5164</v>
      </c>
      <c r="C214" s="836">
        <v>0</v>
      </c>
      <c r="D214" s="836">
        <v>0</v>
      </c>
      <c r="E214" s="836">
        <v>0</v>
      </c>
      <c r="F214" s="836">
        <v>0</v>
      </c>
      <c r="G214" s="836">
        <v>0</v>
      </c>
      <c r="H214" s="836">
        <v>0</v>
      </c>
      <c r="I214" s="836">
        <v>0</v>
      </c>
      <c r="J214" s="836">
        <v>0</v>
      </c>
      <c r="K214" s="836">
        <v>0</v>
      </c>
      <c r="L214" s="2780"/>
      <c r="M214" s="1043"/>
      <c r="N214" s="2834" t="s">
        <v>5165</v>
      </c>
      <c r="O214" s="2834"/>
      <c r="P214" s="2834"/>
      <c r="Q214" s="2834"/>
      <c r="R214" s="2835"/>
      <c r="S214" s="1038"/>
      <c r="T214" s="2836"/>
      <c r="U214" s="2836"/>
      <c r="V214" s="2836"/>
      <c r="W214" s="2836"/>
      <c r="X214" s="2837"/>
      <c r="BC214" s="1059" t="s">
        <v>5166</v>
      </c>
      <c r="BD214" s="401"/>
      <c r="BG214" s="1001"/>
      <c r="BH214" s="1017" t="s">
        <v>5167</v>
      </c>
      <c r="BI214" s="934" t="s">
        <v>5168</v>
      </c>
      <c r="BJ214" s="917"/>
      <c r="BK214" s="917"/>
      <c r="BL214" s="917"/>
      <c r="BM214" s="917"/>
      <c r="BN214" s="917"/>
      <c r="BO214" s="917"/>
      <c r="BP214" s="917"/>
      <c r="BQ214" s="917"/>
      <c r="BR214" s="917"/>
      <c r="BS214" s="917"/>
      <c r="BT214" s="917"/>
      <c r="BU214" s="917"/>
      <c r="BV214" s="917"/>
      <c r="BW214" s="917"/>
      <c r="BX214" s="917"/>
      <c r="BY214" s="917"/>
      <c r="BZ214" s="917"/>
      <c r="CA214" s="917"/>
      <c r="CB214" s="917"/>
      <c r="CC214" s="917"/>
      <c r="CD214" s="917"/>
      <c r="CE214" s="917"/>
      <c r="CF214" s="917"/>
      <c r="CG214" s="917"/>
      <c r="CH214" s="917"/>
      <c r="CI214" s="917"/>
      <c r="CJ214" s="917"/>
      <c r="CK214" s="917"/>
      <c r="CL214" s="917"/>
      <c r="CM214" s="917"/>
      <c r="CN214" s="917"/>
      <c r="CO214" s="917"/>
      <c r="CP214" s="917"/>
      <c r="CQ214" s="917"/>
      <c r="CR214" s="917"/>
      <c r="CS214" s="917"/>
      <c r="CT214" s="917"/>
      <c r="CU214" s="917"/>
      <c r="CV214" s="917"/>
      <c r="CW214" s="917"/>
      <c r="CX214" s="917"/>
      <c r="CY214" s="917"/>
      <c r="CZ214" s="917"/>
      <c r="DA214" s="917"/>
      <c r="DB214" s="917"/>
      <c r="DC214" s="917"/>
      <c r="DD214" s="917"/>
      <c r="DE214" s="917"/>
      <c r="DF214" s="917"/>
      <c r="DG214" s="917"/>
      <c r="DH214" s="917"/>
      <c r="DI214" s="917"/>
      <c r="DJ214" s="917"/>
      <c r="DK214" s="917"/>
      <c r="DL214" s="917"/>
      <c r="DM214" s="917"/>
      <c r="DN214" s="917"/>
      <c r="DO214" s="917"/>
      <c r="DP214" s="917"/>
      <c r="DQ214" s="917"/>
      <c r="DR214" s="917"/>
      <c r="DS214" s="917"/>
      <c r="DT214" s="917"/>
      <c r="DU214" s="917"/>
      <c r="DV214" s="917"/>
      <c r="DW214" s="917"/>
      <c r="DX214" s="917"/>
      <c r="DY214" s="917"/>
      <c r="DZ214" s="917"/>
      <c r="EA214" s="917"/>
      <c r="EB214" s="917"/>
      <c r="EC214" s="917"/>
      <c r="ED214" s="917"/>
      <c r="EE214" s="917"/>
      <c r="EF214" s="917"/>
      <c r="EG214" s="917"/>
      <c r="EH214" s="917"/>
      <c r="EI214" s="917"/>
      <c r="EJ214" s="917"/>
      <c r="EK214" s="917"/>
      <c r="EL214" s="917"/>
      <c r="EM214" s="917"/>
      <c r="EN214" s="917"/>
      <c r="EO214" s="917"/>
    </row>
    <row r="215" spans="2:145" ht="15.65" customHeight="1">
      <c r="M215" s="1067"/>
      <c r="N215" s="2838" t="s">
        <v>5169</v>
      </c>
      <c r="O215" s="2838"/>
      <c r="P215" s="2838"/>
      <c r="Q215" s="2838"/>
      <c r="R215" s="2839"/>
      <c r="S215" s="1068"/>
      <c r="T215" s="2840"/>
      <c r="U215" s="2840"/>
      <c r="V215" s="2840"/>
      <c r="W215" s="2840"/>
      <c r="X215" s="2841"/>
      <c r="BC215" s="1059" t="s">
        <v>5170</v>
      </c>
      <c r="BG215" s="1023"/>
      <c r="BH215" s="927" t="s">
        <v>5171</v>
      </c>
      <c r="BI215" s="955" t="s">
        <v>5172</v>
      </c>
      <c r="BJ215" s="955" t="s">
        <v>5173</v>
      </c>
      <c r="BK215" s="955" t="s">
        <v>5076</v>
      </c>
      <c r="BL215" s="955" t="s">
        <v>5174</v>
      </c>
      <c r="BM215" s="955" t="s">
        <v>5175</v>
      </c>
      <c r="BN215" s="955" t="s">
        <v>5176</v>
      </c>
      <c r="BO215" s="955" t="s">
        <v>5177</v>
      </c>
      <c r="BP215" s="955" t="s">
        <v>5178</v>
      </c>
      <c r="BQ215" s="955" t="s">
        <v>5179</v>
      </c>
      <c r="BR215" s="955" t="s">
        <v>5180</v>
      </c>
      <c r="BS215" s="955" t="s">
        <v>5181</v>
      </c>
      <c r="BT215" s="955" t="s">
        <v>5182</v>
      </c>
      <c r="BU215" s="955" t="s">
        <v>5183</v>
      </c>
      <c r="BV215" s="955" t="s">
        <v>5184</v>
      </c>
      <c r="BW215" s="955" t="s">
        <v>5185</v>
      </c>
      <c r="BX215" s="955" t="s">
        <v>5186</v>
      </c>
      <c r="BY215" s="955" t="s">
        <v>5187</v>
      </c>
      <c r="BZ215" s="955" t="s">
        <v>5188</v>
      </c>
      <c r="CA215" s="955" t="s">
        <v>5189</v>
      </c>
      <c r="CB215" s="917"/>
      <c r="CC215" s="917"/>
      <c r="CD215" s="917"/>
      <c r="CE215" s="917"/>
      <c r="CF215" s="917"/>
      <c r="CG215" s="917"/>
      <c r="CH215" s="917"/>
      <c r="CI215" s="917"/>
      <c r="CJ215" s="917"/>
      <c r="CK215" s="917"/>
      <c r="CL215" s="917"/>
      <c r="CM215" s="917"/>
      <c r="CN215" s="917"/>
      <c r="CO215" s="917"/>
      <c r="CP215" s="917"/>
      <c r="CQ215" s="917"/>
      <c r="CR215" s="917"/>
      <c r="CS215" s="917"/>
      <c r="CT215" s="917"/>
      <c r="CU215" s="917"/>
      <c r="CV215" s="917"/>
      <c r="CW215" s="917"/>
      <c r="CX215" s="917"/>
      <c r="CY215" s="917"/>
      <c r="CZ215" s="917"/>
      <c r="DA215" s="917"/>
      <c r="DB215" s="917"/>
      <c r="DC215" s="917"/>
      <c r="DD215" s="917"/>
      <c r="DE215" s="917"/>
      <c r="DF215" s="917"/>
      <c r="DG215" s="917"/>
      <c r="DH215" s="917"/>
      <c r="DI215" s="917"/>
      <c r="DJ215" s="917"/>
      <c r="DK215" s="917"/>
      <c r="DL215" s="917"/>
      <c r="DM215" s="917"/>
      <c r="DN215" s="917"/>
      <c r="DO215" s="917"/>
      <c r="DP215" s="917"/>
      <c r="DQ215" s="917"/>
      <c r="DR215" s="917"/>
      <c r="DS215" s="917"/>
      <c r="DT215" s="917"/>
      <c r="DU215" s="917"/>
      <c r="DV215" s="917"/>
      <c r="DW215" s="917"/>
      <c r="DX215" s="917"/>
      <c r="DY215" s="917"/>
      <c r="DZ215" s="917"/>
      <c r="EA215" s="917"/>
      <c r="EB215" s="917"/>
      <c r="EC215" s="917"/>
      <c r="ED215" s="917"/>
      <c r="EE215" s="917"/>
      <c r="EF215" s="917"/>
      <c r="EG215" s="917"/>
      <c r="EH215" s="917"/>
      <c r="EI215" s="917"/>
      <c r="EJ215" s="917"/>
      <c r="EK215" s="917"/>
      <c r="EL215" s="917"/>
      <c r="EM215" s="917"/>
      <c r="EN215" s="917"/>
      <c r="EO215" s="917"/>
    </row>
    <row r="216" spans="2:145" ht="17">
      <c r="BC216" s="1059" t="s">
        <v>5190</v>
      </c>
      <c r="BD216" s="401"/>
      <c r="BG216" s="1023"/>
      <c r="BH216" s="927" t="s">
        <v>5191</v>
      </c>
      <c r="BI216" s="934" t="s">
        <v>5192</v>
      </c>
      <c r="BJ216" s="934" t="s">
        <v>5193</v>
      </c>
      <c r="BK216" s="934" t="s">
        <v>5194</v>
      </c>
      <c r="BL216" s="934" t="s">
        <v>5195</v>
      </c>
      <c r="BM216" s="934" t="s">
        <v>5196</v>
      </c>
      <c r="BN216" s="934" t="s">
        <v>5197</v>
      </c>
      <c r="BO216" s="934" t="s">
        <v>5198</v>
      </c>
      <c r="BP216" s="934" t="s">
        <v>5199</v>
      </c>
      <c r="BQ216" s="934" t="s">
        <v>5200</v>
      </c>
      <c r="BR216" s="934" t="s">
        <v>5201</v>
      </c>
      <c r="BS216" s="934" t="s">
        <v>5202</v>
      </c>
      <c r="BT216" s="934" t="s">
        <v>5203</v>
      </c>
      <c r="BU216" s="934" t="s">
        <v>5204</v>
      </c>
      <c r="BV216" s="934" t="s">
        <v>5205</v>
      </c>
      <c r="BW216" s="934" t="s">
        <v>5206</v>
      </c>
      <c r="BX216" s="934" t="s">
        <v>5207</v>
      </c>
      <c r="BY216" s="934" t="s">
        <v>5208</v>
      </c>
      <c r="BZ216" s="934" t="s">
        <v>5209</v>
      </c>
      <c r="CA216" s="934" t="s">
        <v>5210</v>
      </c>
      <c r="CB216" s="934" t="s">
        <v>5211</v>
      </c>
      <c r="CC216" s="934" t="s">
        <v>5212</v>
      </c>
      <c r="CD216" s="934" t="s">
        <v>5213</v>
      </c>
      <c r="CE216" s="934" t="s">
        <v>5214</v>
      </c>
      <c r="CF216" s="934" t="s">
        <v>5215</v>
      </c>
      <c r="CG216" s="917"/>
      <c r="CH216" s="917"/>
      <c r="CI216" s="917"/>
      <c r="CJ216" s="917"/>
      <c r="CK216" s="917"/>
      <c r="CL216" s="917"/>
      <c r="CM216" s="917"/>
      <c r="CN216" s="917"/>
      <c r="CO216" s="917"/>
      <c r="CP216" s="917"/>
      <c r="CQ216" s="917"/>
      <c r="CR216" s="917"/>
      <c r="CS216" s="917"/>
      <c r="CT216" s="917"/>
      <c r="CU216" s="917"/>
      <c r="CV216" s="917"/>
      <c r="CW216" s="917"/>
      <c r="CX216" s="917"/>
      <c r="CY216" s="917"/>
      <c r="CZ216" s="917"/>
      <c r="DA216" s="917"/>
      <c r="DB216" s="917"/>
      <c r="DC216" s="917"/>
      <c r="DD216" s="917"/>
      <c r="DE216" s="917"/>
      <c r="DF216" s="917"/>
      <c r="DG216" s="917"/>
      <c r="DH216" s="917"/>
      <c r="DI216" s="917"/>
      <c r="DJ216" s="917"/>
      <c r="DK216" s="917"/>
      <c r="DL216" s="917"/>
      <c r="DM216" s="917"/>
      <c r="DN216" s="917"/>
      <c r="DO216" s="917"/>
      <c r="DP216" s="917"/>
      <c r="DQ216" s="917"/>
      <c r="DR216" s="917"/>
      <c r="DS216" s="917"/>
      <c r="DT216" s="917"/>
      <c r="DU216" s="917"/>
      <c r="DV216" s="917"/>
      <c r="DW216" s="917"/>
      <c r="DX216" s="917"/>
      <c r="DY216" s="917"/>
      <c r="DZ216" s="917"/>
      <c r="EA216" s="917"/>
      <c r="EB216" s="917"/>
      <c r="EC216" s="917"/>
      <c r="ED216" s="917"/>
      <c r="EE216" s="917"/>
      <c r="EF216" s="917"/>
      <c r="EG216" s="917"/>
      <c r="EH216" s="917"/>
      <c r="EI216" s="917"/>
      <c r="EJ216" s="917"/>
      <c r="EK216" s="917"/>
      <c r="EL216" s="917"/>
      <c r="EM216" s="917"/>
      <c r="EN216" s="917"/>
      <c r="EO216" s="917"/>
    </row>
    <row r="217" spans="2:145" ht="17">
      <c r="M217" s="2820" t="s">
        <v>2627</v>
      </c>
      <c r="N217" s="2821"/>
      <c r="O217" s="2820" t="s">
        <v>4536</v>
      </c>
      <c r="P217" s="2821"/>
      <c r="Q217" s="2822" t="s">
        <v>3818</v>
      </c>
      <c r="R217" s="2823"/>
      <c r="S217" s="2824" t="s">
        <v>4438</v>
      </c>
      <c r="T217" s="2823"/>
      <c r="U217" s="2825" t="s">
        <v>223</v>
      </c>
      <c r="V217" s="2826"/>
      <c r="BC217" s="1059" t="s">
        <v>5216</v>
      </c>
      <c r="BD217" s="401"/>
      <c r="BG217" s="1001"/>
      <c r="BH217" s="1069" t="s">
        <v>5217</v>
      </c>
      <c r="BI217" s="934" t="s">
        <v>5218</v>
      </c>
      <c r="BJ217" s="934" t="s">
        <v>5219</v>
      </c>
      <c r="BK217" s="934" t="s">
        <v>5220</v>
      </c>
      <c r="BL217" s="934" t="s">
        <v>5221</v>
      </c>
      <c r="BM217" s="934" t="s">
        <v>4893</v>
      </c>
      <c r="BN217" s="934" t="s">
        <v>5222</v>
      </c>
      <c r="BO217" s="934" t="s">
        <v>5223</v>
      </c>
      <c r="BP217" s="934" t="s">
        <v>5224</v>
      </c>
      <c r="BQ217" s="934" t="s">
        <v>4979</v>
      </c>
      <c r="BR217" s="934" t="s">
        <v>5225</v>
      </c>
      <c r="BS217" s="917"/>
      <c r="BT217" s="917"/>
      <c r="BU217" s="917"/>
      <c r="BV217" s="917"/>
      <c r="BW217" s="917"/>
      <c r="BX217" s="917"/>
      <c r="BY217" s="917"/>
      <c r="BZ217" s="917"/>
      <c r="CA217" s="917"/>
      <c r="CB217" s="917"/>
      <c r="CC217" s="917"/>
      <c r="CD217" s="917"/>
      <c r="CE217" s="917"/>
      <c r="CF217" s="917"/>
      <c r="CG217" s="917"/>
      <c r="CH217" s="917"/>
      <c r="CI217" s="917"/>
      <c r="CJ217" s="917"/>
      <c r="CK217" s="917"/>
      <c r="CL217" s="917"/>
      <c r="CM217" s="917"/>
      <c r="CN217" s="917"/>
      <c r="CO217" s="917"/>
      <c r="CP217" s="917"/>
      <c r="CQ217" s="917"/>
      <c r="CR217" s="917"/>
      <c r="CS217" s="917"/>
      <c r="CT217" s="917"/>
      <c r="CU217" s="917"/>
      <c r="CV217" s="917"/>
      <c r="CW217" s="917"/>
      <c r="CX217" s="917"/>
      <c r="CY217" s="917"/>
      <c r="CZ217" s="917"/>
      <c r="DA217" s="917"/>
      <c r="DB217" s="917"/>
      <c r="DC217" s="917"/>
      <c r="DD217" s="917"/>
      <c r="DE217" s="917"/>
      <c r="DF217" s="917"/>
      <c r="DG217" s="917"/>
      <c r="DH217" s="917"/>
      <c r="DI217" s="917"/>
      <c r="DJ217" s="917"/>
      <c r="DK217" s="917"/>
      <c r="DL217" s="917"/>
      <c r="DM217" s="917"/>
      <c r="DN217" s="917"/>
      <c r="DO217" s="917"/>
      <c r="DP217" s="917"/>
      <c r="DQ217" s="917"/>
      <c r="DR217" s="917"/>
      <c r="DS217" s="917"/>
      <c r="DT217" s="917"/>
      <c r="DU217" s="917"/>
      <c r="DV217" s="917"/>
      <c r="DW217" s="917"/>
      <c r="DX217" s="917"/>
      <c r="DY217" s="917"/>
      <c r="DZ217" s="917"/>
      <c r="EA217" s="917"/>
      <c r="EB217" s="917"/>
      <c r="EC217" s="917"/>
      <c r="ED217" s="917"/>
      <c r="EE217" s="917"/>
      <c r="EF217" s="917"/>
      <c r="EG217" s="917"/>
      <c r="EH217" s="917"/>
      <c r="EI217" s="917"/>
      <c r="EJ217" s="917"/>
      <c r="EK217" s="917"/>
      <c r="EL217" s="917"/>
      <c r="EM217" s="917"/>
      <c r="EN217" s="917"/>
      <c r="EO217" s="917"/>
    </row>
    <row r="218" spans="2:145" ht="17">
      <c r="M218" s="1070" t="s">
        <v>21</v>
      </c>
      <c r="N218" s="1071" t="s">
        <v>304</v>
      </c>
      <c r="O218" s="1070" t="s">
        <v>21</v>
      </c>
      <c r="P218" s="1071" t="s">
        <v>304</v>
      </c>
      <c r="Q218" s="1070" t="s">
        <v>21</v>
      </c>
      <c r="R218" s="1072" t="s">
        <v>304</v>
      </c>
      <c r="S218" s="1073" t="s">
        <v>21</v>
      </c>
      <c r="T218" s="1074" t="s">
        <v>304</v>
      </c>
      <c r="U218" s="1075" t="s">
        <v>21</v>
      </c>
      <c r="V218" s="1072" t="s">
        <v>304</v>
      </c>
      <c r="BC218" s="1059" t="s">
        <v>5226</v>
      </c>
      <c r="BD218" s="401"/>
      <c r="BG218" s="1001"/>
      <c r="BH218" s="1069" t="s">
        <v>5227</v>
      </c>
      <c r="BI218" s="934" t="s">
        <v>5228</v>
      </c>
      <c r="BJ218" s="934" t="s">
        <v>5229</v>
      </c>
      <c r="BK218" s="934" t="s">
        <v>5230</v>
      </c>
      <c r="BL218" s="934" t="s">
        <v>5231</v>
      </c>
      <c r="BM218" s="934" t="s">
        <v>5126</v>
      </c>
      <c r="BN218" s="934" t="s">
        <v>5232</v>
      </c>
      <c r="BO218" s="934" t="s">
        <v>5233</v>
      </c>
      <c r="BP218" s="934" t="s">
        <v>5234</v>
      </c>
      <c r="BQ218" s="934" t="s">
        <v>5235</v>
      </c>
      <c r="BR218" s="934" t="s">
        <v>5236</v>
      </c>
      <c r="BS218" s="934" t="s">
        <v>5237</v>
      </c>
      <c r="BT218" s="934" t="s">
        <v>5238</v>
      </c>
      <c r="BU218" s="934" t="s">
        <v>5239</v>
      </c>
      <c r="BV218" s="934" t="s">
        <v>5240</v>
      </c>
      <c r="BW218" s="934" t="s">
        <v>5241</v>
      </c>
      <c r="BX218" s="934" t="s">
        <v>5242</v>
      </c>
      <c r="BY218" s="934" t="s">
        <v>5243</v>
      </c>
      <c r="BZ218" s="934" t="s">
        <v>5244</v>
      </c>
      <c r="CA218" s="934" t="s">
        <v>5245</v>
      </c>
      <c r="CB218" s="934" t="s">
        <v>5246</v>
      </c>
      <c r="CC218" s="934" t="s">
        <v>5247</v>
      </c>
      <c r="CD218" s="934" t="s">
        <v>5248</v>
      </c>
      <c r="CE218" s="934" t="s">
        <v>5249</v>
      </c>
      <c r="CF218" s="934" t="s">
        <v>5250</v>
      </c>
      <c r="CG218" s="934" t="s">
        <v>5251</v>
      </c>
      <c r="CH218" s="934" t="s">
        <v>5252</v>
      </c>
      <c r="CI218" s="934" t="s">
        <v>5253</v>
      </c>
      <c r="CJ218" s="934" t="s">
        <v>5254</v>
      </c>
      <c r="CK218" s="917"/>
      <c r="CL218" s="917"/>
      <c r="CM218" s="917"/>
      <c r="CN218" s="917"/>
      <c r="CO218" s="917"/>
      <c r="CP218" s="917"/>
      <c r="CQ218" s="917"/>
      <c r="CR218" s="917"/>
      <c r="CS218" s="917"/>
      <c r="CT218" s="917"/>
      <c r="CU218" s="917"/>
      <c r="CV218" s="917"/>
      <c r="CW218" s="917"/>
      <c r="CX218" s="917"/>
      <c r="CY218" s="917"/>
      <c r="CZ218" s="917"/>
      <c r="DA218" s="917"/>
      <c r="DB218" s="917"/>
      <c r="DC218" s="917"/>
      <c r="DD218" s="917"/>
      <c r="DE218" s="917"/>
      <c r="DF218" s="917"/>
      <c r="DG218" s="917"/>
      <c r="DH218" s="917"/>
      <c r="DI218" s="917"/>
      <c r="DJ218" s="917"/>
      <c r="DK218" s="917"/>
      <c r="DL218" s="917"/>
      <c r="DM218" s="917"/>
      <c r="DN218" s="917"/>
      <c r="DO218" s="917"/>
      <c r="DP218" s="917"/>
      <c r="DQ218" s="917"/>
      <c r="DR218" s="917"/>
      <c r="DS218" s="917"/>
      <c r="DT218" s="917"/>
      <c r="DU218" s="917"/>
      <c r="DV218" s="917"/>
      <c r="DW218" s="917"/>
      <c r="DX218" s="917"/>
      <c r="DY218" s="917"/>
      <c r="DZ218" s="917"/>
      <c r="EA218" s="917"/>
      <c r="EB218" s="917"/>
      <c r="EC218" s="917"/>
      <c r="ED218" s="917"/>
      <c r="EE218" s="917"/>
      <c r="EF218" s="917"/>
      <c r="EG218" s="917"/>
      <c r="EH218" s="917"/>
      <c r="EI218" s="917"/>
      <c r="EJ218" s="917"/>
      <c r="EK218" s="917"/>
      <c r="EL218" s="917"/>
      <c r="EM218" s="917"/>
      <c r="EN218" s="917"/>
      <c r="EO218" s="917"/>
    </row>
    <row r="219" spans="2:145" ht="19" customHeight="1">
      <c r="M219" s="1076" t="s">
        <v>2642</v>
      </c>
      <c r="N219" s="978">
        <v>5</v>
      </c>
      <c r="O219" s="1076" t="s">
        <v>4556</v>
      </c>
      <c r="P219" s="978">
        <v>1</v>
      </c>
      <c r="Q219" s="1077" t="s">
        <v>211</v>
      </c>
      <c r="R219" s="1078">
        <v>20</v>
      </c>
      <c r="S219" s="1079" t="s">
        <v>5255</v>
      </c>
      <c r="T219" s="1080">
        <v>1</v>
      </c>
      <c r="U219" s="1081" t="s">
        <v>209</v>
      </c>
      <c r="V219" s="1082">
        <v>25</v>
      </c>
      <c r="Z219" s="2827" t="s">
        <v>5256</v>
      </c>
      <c r="AA219" s="2827"/>
      <c r="AB219" s="2827"/>
      <c r="AC219" s="2827"/>
      <c r="AD219" s="2827"/>
      <c r="AE219" s="2827"/>
      <c r="AF219" s="2827"/>
      <c r="AG219" s="2827"/>
      <c r="AH219" s="2827"/>
      <c r="BC219" s="1059" t="s">
        <v>751</v>
      </c>
      <c r="BD219" s="401"/>
      <c r="BG219" s="1001"/>
      <c r="BH219" s="1069" t="s">
        <v>5257</v>
      </c>
      <c r="BI219" s="934" t="s">
        <v>5258</v>
      </c>
      <c r="BJ219" s="934" t="s">
        <v>5259</v>
      </c>
      <c r="BK219" s="934" t="s">
        <v>5260</v>
      </c>
      <c r="BL219" s="934" t="s">
        <v>5261</v>
      </c>
      <c r="BM219" s="934" t="s">
        <v>5262</v>
      </c>
      <c r="BN219" s="934" t="s">
        <v>5263</v>
      </c>
      <c r="BO219" s="934" t="s">
        <v>5264</v>
      </c>
      <c r="BP219" s="934" t="s">
        <v>5265</v>
      </c>
      <c r="BQ219" s="934" t="s">
        <v>5266</v>
      </c>
      <c r="BR219" s="934" t="s">
        <v>5267</v>
      </c>
      <c r="BS219" s="934" t="s">
        <v>5268</v>
      </c>
      <c r="BT219" s="934" t="s">
        <v>5269</v>
      </c>
      <c r="BU219" s="934" t="s">
        <v>5270</v>
      </c>
      <c r="BV219" s="934" t="s">
        <v>5271</v>
      </c>
      <c r="BW219" s="917"/>
      <c r="BX219" s="917"/>
      <c r="BY219" s="917"/>
      <c r="BZ219" s="917"/>
      <c r="CA219" s="917"/>
      <c r="CB219" s="917"/>
      <c r="CC219" s="917"/>
      <c r="CD219" s="917"/>
      <c r="CE219" s="917"/>
      <c r="CF219" s="917"/>
      <c r="CG219" s="917"/>
      <c r="CH219" s="917"/>
      <c r="CI219" s="917"/>
      <c r="CJ219" s="917"/>
      <c r="CK219" s="917"/>
      <c r="CL219" s="917"/>
      <c r="CM219" s="917"/>
      <c r="CN219" s="917"/>
      <c r="CO219" s="917"/>
      <c r="CP219" s="917"/>
      <c r="CQ219" s="917"/>
      <c r="CR219" s="917"/>
      <c r="CS219" s="917"/>
      <c r="CT219" s="917"/>
      <c r="CU219" s="917"/>
      <c r="CV219" s="917"/>
      <c r="CW219" s="917"/>
      <c r="CX219" s="917"/>
      <c r="CY219" s="917"/>
      <c r="CZ219" s="917"/>
      <c r="DA219" s="917"/>
      <c r="DB219" s="917"/>
      <c r="DC219" s="917"/>
      <c r="DD219" s="917"/>
      <c r="DE219" s="917"/>
      <c r="DF219" s="917"/>
      <c r="DG219" s="917"/>
      <c r="DH219" s="917"/>
      <c r="DI219" s="917"/>
      <c r="DJ219" s="917"/>
      <c r="DK219" s="917"/>
      <c r="DL219" s="917"/>
      <c r="DM219" s="917"/>
      <c r="DN219" s="917"/>
      <c r="DO219" s="917"/>
      <c r="DP219" s="917"/>
      <c r="DQ219" s="917"/>
      <c r="DR219" s="917"/>
      <c r="DS219" s="917"/>
      <c r="DT219" s="917"/>
      <c r="DU219" s="917"/>
      <c r="DV219" s="917"/>
      <c r="DW219" s="917"/>
      <c r="DX219" s="917"/>
      <c r="DY219" s="917"/>
      <c r="DZ219" s="917"/>
      <c r="EA219" s="917"/>
      <c r="EB219" s="917"/>
      <c r="EC219" s="917"/>
      <c r="ED219" s="917"/>
      <c r="EE219" s="917"/>
      <c r="EF219" s="917"/>
      <c r="EG219" s="917"/>
      <c r="EH219" s="917"/>
      <c r="EI219" s="917"/>
      <c r="EJ219" s="917"/>
      <c r="EK219" s="917"/>
      <c r="EL219" s="917"/>
      <c r="EM219" s="917"/>
      <c r="EN219" s="917"/>
      <c r="EO219" s="917"/>
    </row>
    <row r="220" spans="2:145" ht="18" customHeight="1">
      <c r="M220" s="1077" t="s">
        <v>2652</v>
      </c>
      <c r="N220" s="1084">
        <v>5</v>
      </c>
      <c r="O220" s="1077" t="s">
        <v>4575</v>
      </c>
      <c r="P220" s="1084">
        <v>1</v>
      </c>
      <c r="Q220" s="1076" t="s">
        <v>3817</v>
      </c>
      <c r="R220" s="1082">
        <v>25</v>
      </c>
      <c r="S220" s="1085" t="s">
        <v>5272</v>
      </c>
      <c r="T220" s="1086">
        <v>1</v>
      </c>
      <c r="U220" s="1081" t="s">
        <v>3635</v>
      </c>
      <c r="V220" s="1082">
        <v>5</v>
      </c>
      <c r="Z220" s="905"/>
      <c r="AA220" s="850"/>
      <c r="AJ220" s="1049"/>
      <c r="BC220" s="1059" t="s">
        <v>4760</v>
      </c>
      <c r="BD220" s="401"/>
      <c r="BG220" s="1001"/>
      <c r="BH220" s="1069" t="s">
        <v>5273</v>
      </c>
      <c r="BI220" s="934" t="s">
        <v>5274</v>
      </c>
      <c r="BJ220" s="934" t="s">
        <v>5275</v>
      </c>
      <c r="BK220" s="934" t="s">
        <v>5276</v>
      </c>
      <c r="BL220" s="934" t="s">
        <v>5277</v>
      </c>
      <c r="BM220" s="934" t="s">
        <v>5278</v>
      </c>
      <c r="BN220" s="934" t="s">
        <v>5082</v>
      </c>
      <c r="BO220" s="934" t="s">
        <v>5279</v>
      </c>
      <c r="BP220" s="934" t="s">
        <v>5280</v>
      </c>
      <c r="BQ220" s="934" t="s">
        <v>5281</v>
      </c>
      <c r="BR220" s="934" t="s">
        <v>5282</v>
      </c>
      <c r="BS220" s="934" t="s">
        <v>5283</v>
      </c>
      <c r="BT220" s="934" t="s">
        <v>5284</v>
      </c>
      <c r="BU220" s="934" t="s">
        <v>5285</v>
      </c>
      <c r="BV220" s="934" t="s">
        <v>5286</v>
      </c>
      <c r="BW220" s="934" t="s">
        <v>5287</v>
      </c>
      <c r="BX220" s="934" t="s">
        <v>5288</v>
      </c>
      <c r="BY220" s="934" t="s">
        <v>5289</v>
      </c>
      <c r="BZ220" s="934" t="s">
        <v>5290</v>
      </c>
      <c r="CA220" s="934" t="s">
        <v>5291</v>
      </c>
      <c r="CB220" s="934" t="s">
        <v>4979</v>
      </c>
      <c r="CC220" s="934" t="s">
        <v>5292</v>
      </c>
      <c r="CD220" s="934" t="s">
        <v>5293</v>
      </c>
      <c r="CE220" s="934" t="s">
        <v>5294</v>
      </c>
      <c r="CF220" s="934" t="s">
        <v>5295</v>
      </c>
      <c r="CG220" s="917"/>
      <c r="CH220" s="917"/>
      <c r="CI220" s="917"/>
      <c r="CJ220" s="917"/>
      <c r="CK220" s="917"/>
      <c r="CL220" s="917"/>
      <c r="CM220" s="917"/>
      <c r="CN220" s="917"/>
      <c r="CO220" s="917"/>
      <c r="CP220" s="917"/>
      <c r="CQ220" s="917"/>
      <c r="CR220" s="917"/>
      <c r="CS220" s="917"/>
      <c r="CT220" s="917"/>
      <c r="CU220" s="917"/>
      <c r="CV220" s="917"/>
      <c r="CW220" s="917"/>
      <c r="CX220" s="917"/>
      <c r="CY220" s="917"/>
      <c r="CZ220" s="917"/>
      <c r="DA220" s="917"/>
      <c r="DB220" s="917"/>
      <c r="DC220" s="917"/>
      <c r="DD220" s="917"/>
      <c r="DE220" s="917"/>
      <c r="DF220" s="917"/>
      <c r="DG220" s="917"/>
      <c r="DH220" s="917"/>
      <c r="DI220" s="917"/>
      <c r="DJ220" s="917"/>
      <c r="DK220" s="917"/>
      <c r="DL220" s="917"/>
      <c r="DM220" s="917"/>
      <c r="DN220" s="917"/>
      <c r="DO220" s="917"/>
      <c r="DP220" s="917"/>
      <c r="DQ220" s="917"/>
      <c r="DR220" s="917"/>
      <c r="DS220" s="917"/>
      <c r="DT220" s="917"/>
      <c r="DU220" s="917"/>
      <c r="DV220" s="917"/>
      <c r="DW220" s="917"/>
      <c r="DX220" s="917"/>
      <c r="DY220" s="917"/>
      <c r="DZ220" s="917"/>
      <c r="EA220" s="917"/>
      <c r="EB220" s="917"/>
      <c r="EC220" s="917"/>
      <c r="ED220" s="917"/>
      <c r="EE220" s="917"/>
      <c r="EF220" s="917"/>
      <c r="EG220" s="917"/>
      <c r="EH220" s="917"/>
      <c r="EI220" s="917"/>
      <c r="EJ220" s="917"/>
      <c r="EK220" s="917"/>
      <c r="EL220" s="917"/>
      <c r="EM220" s="917"/>
      <c r="EN220" s="917"/>
      <c r="EO220" s="917"/>
    </row>
    <row r="221" spans="2:145" ht="18" customHeight="1">
      <c r="M221" s="1076" t="s">
        <v>2731</v>
      </c>
      <c r="N221" s="978">
        <v>5</v>
      </c>
      <c r="O221" s="1076" t="s">
        <v>4614</v>
      </c>
      <c r="P221" s="978">
        <v>1</v>
      </c>
      <c r="Q221" s="1077" t="s">
        <v>3848</v>
      </c>
      <c r="R221" s="1078">
        <v>15</v>
      </c>
      <c r="S221" s="1087" t="str">
        <f>IF(ISBLANK(人物卡!X108),"",人物卡!X108)</f>
        <v/>
      </c>
      <c r="T221" s="1086" t="str">
        <f>IF(ISBLANK(人物卡!AD108),"",人物卡!AD108)</f>
        <v/>
      </c>
      <c r="U221" s="1088" t="s">
        <v>3655</v>
      </c>
      <c r="V221" s="1078">
        <v>10</v>
      </c>
      <c r="Z221" s="2828" t="s">
        <v>5296</v>
      </c>
      <c r="AA221" s="2829"/>
      <c r="AB221" s="2800"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连贫穷都够不上的人才能够叫做身无分文。住所：大概只有睡大街。旅行：步行，扒车或逃票上火车轮船。</v>
      </c>
      <c r="AC221" s="2801"/>
      <c r="AD221" s="1089" t="s">
        <v>5297</v>
      </c>
      <c r="AE221" s="2830" t="s">
        <v>5298</v>
      </c>
      <c r="AF221" s="2831"/>
      <c r="AG221" s="2832"/>
      <c r="BC221" s="1059" t="s">
        <v>5299</v>
      </c>
      <c r="BD221" s="401"/>
      <c r="BG221" s="1001"/>
      <c r="BH221" s="1069" t="s">
        <v>5300</v>
      </c>
      <c r="BI221" s="934" t="s">
        <v>5301</v>
      </c>
      <c r="BJ221" s="934" t="s">
        <v>670</v>
      </c>
      <c r="BK221" s="934" t="s">
        <v>5302</v>
      </c>
      <c r="BL221" s="934" t="s">
        <v>5303</v>
      </c>
      <c r="BM221" s="934" t="s">
        <v>5304</v>
      </c>
      <c r="BN221" s="934" t="s">
        <v>5305</v>
      </c>
      <c r="BO221" s="934" t="s">
        <v>5306</v>
      </c>
      <c r="BP221" s="934" t="s">
        <v>5082</v>
      </c>
      <c r="BQ221" s="934" t="s">
        <v>5307</v>
      </c>
      <c r="BR221" s="934" t="s">
        <v>5308</v>
      </c>
      <c r="BS221" s="934" t="s">
        <v>5309</v>
      </c>
      <c r="BT221" s="934" t="s">
        <v>5287</v>
      </c>
      <c r="BU221" s="934" t="s">
        <v>5310</v>
      </c>
      <c r="BV221" s="934" t="s">
        <v>5311</v>
      </c>
      <c r="BW221" s="917"/>
      <c r="BX221" s="917"/>
      <c r="BY221" s="917"/>
      <c r="BZ221" s="917"/>
      <c r="CA221" s="917"/>
      <c r="CB221" s="917"/>
      <c r="CC221" s="917"/>
      <c r="CD221" s="917"/>
      <c r="CE221" s="917"/>
      <c r="CF221" s="917"/>
      <c r="CG221" s="917"/>
      <c r="CH221" s="917"/>
      <c r="CI221" s="917"/>
      <c r="CJ221" s="917"/>
      <c r="CK221" s="917"/>
      <c r="CL221" s="917"/>
      <c r="CM221" s="917"/>
      <c r="CN221" s="917"/>
      <c r="CO221" s="917"/>
      <c r="CP221" s="917"/>
      <c r="CQ221" s="917"/>
      <c r="CR221" s="917"/>
      <c r="CS221" s="917"/>
      <c r="CT221" s="917"/>
      <c r="CU221" s="917"/>
      <c r="CV221" s="917"/>
      <c r="CW221" s="917"/>
      <c r="CX221" s="917"/>
      <c r="CY221" s="917"/>
      <c r="CZ221" s="917"/>
      <c r="DA221" s="917"/>
      <c r="DB221" s="917"/>
      <c r="DC221" s="917"/>
      <c r="DD221" s="917"/>
      <c r="DE221" s="917"/>
      <c r="DF221" s="917"/>
      <c r="DG221" s="917"/>
      <c r="DH221" s="917"/>
      <c r="DI221" s="917"/>
      <c r="DJ221" s="917"/>
      <c r="DK221" s="917"/>
      <c r="DL221" s="917"/>
      <c r="DM221" s="917"/>
      <c r="DN221" s="917"/>
      <c r="DO221" s="917"/>
      <c r="DP221" s="917"/>
      <c r="DQ221" s="917"/>
      <c r="DR221" s="917"/>
      <c r="DS221" s="917"/>
      <c r="DT221" s="917"/>
      <c r="DU221" s="917"/>
      <c r="DV221" s="917"/>
      <c r="DW221" s="917"/>
      <c r="DX221" s="917"/>
      <c r="DY221" s="917"/>
      <c r="DZ221" s="917"/>
      <c r="EA221" s="917"/>
      <c r="EB221" s="917"/>
      <c r="EC221" s="917"/>
      <c r="ED221" s="917"/>
      <c r="EE221" s="917"/>
      <c r="EF221" s="917"/>
      <c r="EG221" s="917"/>
      <c r="EH221" s="917"/>
      <c r="EI221" s="917"/>
      <c r="EJ221" s="917"/>
      <c r="EK221" s="917"/>
      <c r="EL221" s="917"/>
      <c r="EM221" s="917"/>
      <c r="EN221" s="917"/>
      <c r="EO221" s="917"/>
    </row>
    <row r="222" spans="2:145" ht="18" customHeight="1">
      <c r="M222" s="1077" t="s">
        <v>2742</v>
      </c>
      <c r="N222" s="1084">
        <v>5</v>
      </c>
      <c r="O222" s="1077" t="s">
        <v>4631</v>
      </c>
      <c r="P222" s="1084">
        <v>1</v>
      </c>
      <c r="Q222" s="1076" t="s">
        <v>3888</v>
      </c>
      <c r="R222" s="1082">
        <v>15</v>
      </c>
      <c r="T222" s="1090"/>
      <c r="U222" s="1081" t="s">
        <v>3753</v>
      </c>
      <c r="V222" s="1082">
        <v>10</v>
      </c>
      <c r="Z222" s="2819" t="s">
        <v>150</v>
      </c>
      <c r="AA222" s="2833"/>
      <c r="AB222" s="2783"/>
      <c r="AC222" s="2802"/>
      <c r="AD222" s="854">
        <f>人物卡!BQ33</f>
        <v>0</v>
      </c>
      <c r="AE222" s="1083"/>
      <c r="AF222" s="1083" t="s">
        <v>5312</v>
      </c>
      <c r="AG222" s="1091">
        <v>1920</v>
      </c>
      <c r="BC222" s="1059" t="s">
        <v>5313</v>
      </c>
      <c r="BD222" s="401"/>
      <c r="BG222" s="1023"/>
      <c r="BH222" s="1069" t="s">
        <v>5314</v>
      </c>
      <c r="BI222" s="955" t="s">
        <v>5315</v>
      </c>
      <c r="BJ222" s="955" t="s">
        <v>5316</v>
      </c>
      <c r="BK222" s="955" t="s">
        <v>5317</v>
      </c>
      <c r="BL222" s="955" t="s">
        <v>5318</v>
      </c>
      <c r="BM222" s="955" t="s">
        <v>5319</v>
      </c>
      <c r="BN222" s="955" t="s">
        <v>5320</v>
      </c>
      <c r="BO222" s="955" t="s">
        <v>5321</v>
      </c>
      <c r="BP222" s="955" t="s">
        <v>5322</v>
      </c>
      <c r="BQ222" s="955" t="s">
        <v>5323</v>
      </c>
      <c r="BR222" s="955" t="s">
        <v>5324</v>
      </c>
      <c r="BS222" s="955" t="s">
        <v>5325</v>
      </c>
      <c r="BT222" s="955" t="s">
        <v>5326</v>
      </c>
      <c r="BU222" s="955" t="s">
        <v>5327</v>
      </c>
      <c r="BV222" s="955" t="s">
        <v>5328</v>
      </c>
      <c r="BW222" s="917"/>
      <c r="BX222" s="917"/>
      <c r="BY222" s="917"/>
      <c r="BZ222" s="917"/>
      <c r="CA222" s="917"/>
      <c r="CB222" s="917"/>
      <c r="CC222" s="917"/>
      <c r="CD222" s="917"/>
      <c r="CE222" s="917"/>
      <c r="CF222" s="917"/>
      <c r="CG222" s="917"/>
      <c r="CH222" s="917"/>
      <c r="CI222" s="917"/>
      <c r="CJ222" s="917"/>
      <c r="CK222" s="917"/>
      <c r="CL222" s="917"/>
      <c r="CM222" s="917"/>
      <c r="CN222" s="917"/>
      <c r="CO222" s="917"/>
      <c r="CP222" s="917"/>
      <c r="CQ222" s="917"/>
      <c r="CR222" s="917"/>
      <c r="CS222" s="917"/>
      <c r="CT222" s="917"/>
      <c r="CU222" s="917"/>
      <c r="CV222" s="917"/>
      <c r="CW222" s="917"/>
      <c r="CX222" s="917"/>
      <c r="CY222" s="917"/>
      <c r="CZ222" s="917"/>
      <c r="DA222" s="917"/>
      <c r="DB222" s="917"/>
      <c r="DC222" s="917"/>
      <c r="DD222" s="917"/>
      <c r="DE222" s="917"/>
      <c r="DF222" s="917"/>
      <c r="DG222" s="917"/>
      <c r="DH222" s="917"/>
      <c r="DI222" s="917"/>
      <c r="DJ222" s="917"/>
      <c r="DK222" s="917"/>
      <c r="DL222" s="917"/>
      <c r="DM222" s="917"/>
      <c r="DN222" s="917"/>
      <c r="DO222" s="917"/>
      <c r="DP222" s="917"/>
      <c r="DQ222" s="917"/>
      <c r="DR222" s="917"/>
      <c r="DS222" s="917"/>
      <c r="DT222" s="917"/>
      <c r="DU222" s="917"/>
      <c r="DV222" s="917"/>
      <c r="DW222" s="917"/>
      <c r="DX222" s="917"/>
      <c r="DY222" s="917"/>
      <c r="DZ222" s="917"/>
      <c r="EA222" s="917"/>
      <c r="EB222" s="917"/>
      <c r="EC222" s="917"/>
      <c r="ED222" s="917"/>
      <c r="EE222" s="917"/>
      <c r="EF222" s="917"/>
      <c r="EG222" s="917"/>
      <c r="EH222" s="917"/>
      <c r="EI222" s="917"/>
      <c r="EJ222" s="917"/>
      <c r="EK222" s="917"/>
      <c r="EL222" s="917"/>
      <c r="EM222" s="917"/>
      <c r="EN222" s="917"/>
      <c r="EO222" s="917"/>
    </row>
    <row r="223" spans="2:145" ht="18" customHeight="1">
      <c r="M223" s="1076" t="s">
        <v>2753</v>
      </c>
      <c r="N223" s="978">
        <v>5</v>
      </c>
      <c r="O223" s="1076" t="s">
        <v>4641</v>
      </c>
      <c r="P223" s="978">
        <v>1</v>
      </c>
      <c r="Q223" s="1077" t="s">
        <v>3887</v>
      </c>
      <c r="R223" s="1078">
        <v>10</v>
      </c>
      <c r="T223" s="1090"/>
      <c r="U223" s="1088" t="s">
        <v>3744</v>
      </c>
      <c r="V223" s="1078">
        <v>15</v>
      </c>
      <c r="Z223" s="2805" t="str">
        <f>AD222&amp;"%/"&amp;AD223&amp;"%/"&amp;AD224&amp;"%"</f>
        <v>0%/0%/0%</v>
      </c>
      <c r="AA223" s="2806"/>
      <c r="AB223" s="2783"/>
      <c r="AC223" s="2802"/>
      <c r="AD223" s="854">
        <f>人物卡!BS33</f>
        <v>0</v>
      </c>
      <c r="AE223" s="1002" t="s">
        <v>249</v>
      </c>
      <c r="AF223" s="836" t="str">
        <f>VLOOKUP(AF226,Z243:AC263,2,FALSE)</f>
        <v>0.5</v>
      </c>
      <c r="AG223" s="854" t="str">
        <f>VLOOKUP(AF226,AE243:AH263,2,FALSE)</f>
        <v>0.5</v>
      </c>
      <c r="BC223" s="1059" t="s">
        <v>5329</v>
      </c>
      <c r="BG223" s="1023"/>
      <c r="BH223" s="1092" t="s">
        <v>5330</v>
      </c>
      <c r="BI223" s="934" t="s">
        <v>5331</v>
      </c>
      <c r="BJ223" s="917"/>
      <c r="BK223" s="917"/>
      <c r="BL223" s="917"/>
      <c r="BM223" s="917"/>
      <c r="BN223" s="917"/>
      <c r="BO223" s="917"/>
      <c r="BP223" s="917"/>
      <c r="BQ223" s="917"/>
      <c r="BR223" s="917"/>
      <c r="BS223" s="917"/>
      <c r="BT223" s="917"/>
      <c r="BU223" s="917"/>
      <c r="BV223" s="917"/>
      <c r="BW223" s="917"/>
      <c r="BX223" s="917"/>
      <c r="BY223" s="917"/>
      <c r="BZ223" s="917"/>
      <c r="CA223" s="917"/>
      <c r="CB223" s="917"/>
      <c r="CC223" s="917"/>
      <c r="CD223" s="917"/>
      <c r="CE223" s="917"/>
      <c r="CF223" s="917"/>
      <c r="CG223" s="917"/>
      <c r="CH223" s="917"/>
      <c r="CI223" s="917"/>
      <c r="CJ223" s="917"/>
      <c r="CK223" s="917"/>
      <c r="CL223" s="917"/>
      <c r="CM223" s="917"/>
      <c r="CN223" s="917"/>
      <c r="CO223" s="917"/>
      <c r="CP223" s="917"/>
      <c r="CQ223" s="917"/>
      <c r="CR223" s="917"/>
      <c r="CS223" s="917"/>
      <c r="CT223" s="917"/>
      <c r="CU223" s="917"/>
      <c r="CV223" s="917"/>
      <c r="CW223" s="917"/>
      <c r="CX223" s="917"/>
      <c r="CY223" s="917"/>
      <c r="CZ223" s="917"/>
      <c r="DA223" s="917"/>
      <c r="DB223" s="917"/>
      <c r="DC223" s="917"/>
      <c r="DD223" s="917"/>
      <c r="DE223" s="917"/>
      <c r="DF223" s="917"/>
      <c r="DG223" s="917"/>
      <c r="DH223" s="917"/>
      <c r="DI223" s="917"/>
      <c r="DJ223" s="917"/>
      <c r="DK223" s="917"/>
      <c r="DL223" s="917"/>
      <c r="DM223" s="917"/>
      <c r="DN223" s="917"/>
      <c r="DO223" s="917"/>
      <c r="DP223" s="917"/>
      <c r="DQ223" s="917"/>
      <c r="DR223" s="917"/>
      <c r="DS223" s="917"/>
      <c r="DT223" s="917"/>
      <c r="DU223" s="917"/>
      <c r="DV223" s="917"/>
      <c r="DW223" s="917"/>
      <c r="DX223" s="917"/>
      <c r="DY223" s="917"/>
      <c r="DZ223" s="917"/>
      <c r="EA223" s="917"/>
      <c r="EB223" s="917"/>
      <c r="EC223" s="917"/>
      <c r="ED223" s="917"/>
      <c r="EE223" s="917"/>
      <c r="EF223" s="917"/>
      <c r="EG223" s="917"/>
      <c r="EH223" s="917"/>
      <c r="EI223" s="917"/>
      <c r="EJ223" s="917"/>
      <c r="EK223" s="917"/>
      <c r="EL223" s="917"/>
      <c r="EM223" s="917"/>
      <c r="EN223" s="917"/>
      <c r="EO223" s="917"/>
    </row>
    <row r="224" spans="2:145" ht="18" customHeight="1">
      <c r="M224" s="1077" t="s">
        <v>2767</v>
      </c>
      <c r="N224" s="1084">
        <v>5</v>
      </c>
      <c r="O224" s="1077" t="s">
        <v>4655</v>
      </c>
      <c r="P224" s="1084">
        <v>1</v>
      </c>
      <c r="Q224" s="1076" t="s">
        <v>3938</v>
      </c>
      <c r="R224" s="1082">
        <v>10</v>
      </c>
      <c r="T224" s="1090"/>
      <c r="U224" s="1088" t="s">
        <v>3675</v>
      </c>
      <c r="V224" s="1078">
        <v>15</v>
      </c>
      <c r="Z224" s="2807" t="s">
        <v>248</v>
      </c>
      <c r="AA224" s="2808"/>
      <c r="AB224" s="2783"/>
      <c r="AC224" s="2802"/>
      <c r="AD224" s="885">
        <f>人物卡!BU33</f>
        <v>0</v>
      </c>
      <c r="AE224" s="1002" t="s">
        <v>5332</v>
      </c>
      <c r="AF224" s="836" t="str">
        <f>VLOOKUP(AF226,Z243:AC263,3,FALSE)</f>
        <v>0.5</v>
      </c>
      <c r="AG224" s="854" t="str">
        <f>VLOOKUP(AF226,AE243:AH263,3,FALSE)</f>
        <v>0.5</v>
      </c>
      <c r="BC224" s="1059" t="s">
        <v>5333</v>
      </c>
      <c r="BG224" s="1023"/>
      <c r="BH224" s="1092" t="s">
        <v>5334</v>
      </c>
      <c r="BI224" s="1064" t="s">
        <v>5335</v>
      </c>
      <c r="BJ224" s="917"/>
      <c r="BK224" s="917"/>
      <c r="BL224" s="917"/>
      <c r="BM224" s="917"/>
      <c r="BN224" s="917"/>
      <c r="BO224" s="917"/>
      <c r="BP224" s="917"/>
      <c r="BQ224" s="917"/>
      <c r="BR224" s="917"/>
      <c r="BS224" s="917"/>
      <c r="BT224" s="917"/>
      <c r="BU224" s="917"/>
      <c r="BV224" s="917"/>
      <c r="BW224" s="917"/>
      <c r="BX224" s="917"/>
      <c r="BY224" s="917"/>
      <c r="BZ224" s="917"/>
      <c r="CA224" s="917"/>
      <c r="CB224" s="917"/>
      <c r="CC224" s="917"/>
      <c r="CD224" s="917"/>
      <c r="CE224" s="917"/>
      <c r="CF224" s="917"/>
      <c r="CG224" s="917"/>
      <c r="CH224" s="917"/>
      <c r="CI224" s="917"/>
      <c r="CJ224" s="917"/>
      <c r="CK224" s="917"/>
      <c r="CL224" s="917"/>
      <c r="CM224" s="917"/>
      <c r="CN224" s="917"/>
      <c r="CO224" s="917"/>
      <c r="CP224" s="917"/>
      <c r="CQ224" s="917"/>
      <c r="CR224" s="917"/>
      <c r="CS224" s="917"/>
      <c r="CT224" s="917"/>
      <c r="CU224" s="917"/>
      <c r="CV224" s="917"/>
      <c r="CW224" s="917"/>
      <c r="CX224" s="917"/>
      <c r="CY224" s="917"/>
      <c r="CZ224" s="917"/>
      <c r="DA224" s="917"/>
      <c r="DB224" s="917"/>
      <c r="DC224" s="917"/>
      <c r="DD224" s="917"/>
      <c r="DE224" s="917"/>
      <c r="DF224" s="917"/>
      <c r="DG224" s="917"/>
      <c r="DH224" s="917"/>
      <c r="DI224" s="917"/>
      <c r="DJ224" s="917"/>
      <c r="DK224" s="917"/>
      <c r="DL224" s="917"/>
      <c r="DM224" s="917"/>
      <c r="DN224" s="917"/>
      <c r="DO224" s="917"/>
      <c r="DP224" s="917"/>
      <c r="DQ224" s="917"/>
      <c r="DR224" s="917"/>
      <c r="DS224" s="917"/>
      <c r="DT224" s="917"/>
      <c r="DU224" s="917"/>
      <c r="DV224" s="917"/>
      <c r="DW224" s="917"/>
      <c r="DX224" s="917"/>
      <c r="DY224" s="917"/>
      <c r="DZ224" s="917"/>
      <c r="EA224" s="917"/>
      <c r="EB224" s="917"/>
      <c r="EC224" s="917"/>
      <c r="ED224" s="917"/>
      <c r="EE224" s="917"/>
      <c r="EF224" s="917"/>
      <c r="EG224" s="917"/>
      <c r="EH224" s="917"/>
      <c r="EI224" s="917"/>
      <c r="EJ224" s="917"/>
      <c r="EK224" s="917"/>
      <c r="EL224" s="917"/>
      <c r="EM224" s="917"/>
      <c r="EN224" s="917"/>
      <c r="EO224" s="917"/>
    </row>
    <row r="225" spans="13:145" ht="18" customHeight="1">
      <c r="M225" s="1076" t="s">
        <v>2790</v>
      </c>
      <c r="N225" s="978">
        <v>5</v>
      </c>
      <c r="O225" s="1076" t="s">
        <v>4678</v>
      </c>
      <c r="P225" s="978">
        <v>1</v>
      </c>
      <c r="Q225" s="1093" t="s">
        <v>3965</v>
      </c>
      <c r="R225" s="1094">
        <v>10</v>
      </c>
      <c r="T225" s="1090"/>
      <c r="U225" s="1081" t="s">
        <v>3708</v>
      </c>
      <c r="V225" s="1082">
        <v>20</v>
      </c>
      <c r="Z225" s="2809" t="str">
        <f>LOOKUP(AD222,{0,1,10,50,90,99},{"身无分文","贫穷","标准","小康","富裕","富豪"})</f>
        <v>身无分文</v>
      </c>
      <c r="AA225" s="2810"/>
      <c r="AB225" s="2783"/>
      <c r="AC225" s="2802"/>
      <c r="AE225" s="1095" t="s">
        <v>250</v>
      </c>
      <c r="AF225" s="884" t="str">
        <f>VLOOKUP(AF226,Z243:AC263,4,FALSE)</f>
        <v>没有</v>
      </c>
      <c r="AG225" s="885" t="str">
        <f>VLOOKUP(AF226,AE243:AH263,4,FALSE)</f>
        <v>没有</v>
      </c>
      <c r="BC225" s="1059" t="s">
        <v>5336</v>
      </c>
      <c r="BG225" s="1023"/>
      <c r="BI225" s="928"/>
      <c r="BJ225" s="917"/>
      <c r="BK225" s="917"/>
      <c r="BL225" s="917"/>
      <c r="BM225" s="917"/>
      <c r="BN225" s="917"/>
      <c r="BO225" s="917"/>
      <c r="BP225" s="917"/>
      <c r="BQ225" s="917"/>
      <c r="BR225" s="917"/>
      <c r="BS225" s="917"/>
      <c r="BT225" s="917"/>
      <c r="BU225" s="917"/>
      <c r="BV225" s="917"/>
      <c r="BW225" s="917"/>
      <c r="BX225" s="917"/>
      <c r="BY225" s="917"/>
      <c r="BZ225" s="917"/>
      <c r="CA225" s="917"/>
      <c r="CB225" s="917"/>
      <c r="CC225" s="917"/>
      <c r="CD225" s="917"/>
      <c r="CE225" s="917"/>
      <c r="CF225" s="917"/>
      <c r="CG225" s="917"/>
      <c r="CH225" s="917"/>
      <c r="CI225" s="917"/>
      <c r="CJ225" s="917"/>
      <c r="CK225" s="917"/>
      <c r="CL225" s="917"/>
      <c r="CM225" s="917"/>
      <c r="CN225" s="917"/>
      <c r="CO225" s="917"/>
      <c r="CP225" s="917"/>
      <c r="CQ225" s="917"/>
      <c r="CR225" s="917"/>
      <c r="CS225" s="917"/>
      <c r="CT225" s="917"/>
      <c r="CU225" s="917"/>
      <c r="CV225" s="917"/>
      <c r="CW225" s="917"/>
      <c r="CX225" s="917"/>
      <c r="CY225" s="917"/>
      <c r="CZ225" s="917"/>
      <c r="DA225" s="917"/>
      <c r="DB225" s="917"/>
      <c r="DC225" s="917"/>
      <c r="DD225" s="917"/>
      <c r="DE225" s="917"/>
      <c r="DF225" s="917"/>
      <c r="DG225" s="917"/>
      <c r="DH225" s="917"/>
      <c r="DI225" s="917"/>
      <c r="DJ225" s="917"/>
      <c r="DK225" s="917"/>
      <c r="DL225" s="917"/>
      <c r="DM225" s="917"/>
      <c r="DN225" s="917"/>
      <c r="DO225" s="917"/>
      <c r="DP225" s="917"/>
      <c r="DQ225" s="917"/>
      <c r="DR225" s="917"/>
      <c r="DS225" s="917"/>
      <c r="DT225" s="917"/>
      <c r="DU225" s="917"/>
      <c r="DV225" s="917"/>
      <c r="DW225" s="917"/>
      <c r="DX225" s="917"/>
      <c r="DY225" s="917"/>
      <c r="DZ225" s="917"/>
      <c r="EA225" s="917"/>
      <c r="EB225" s="917"/>
      <c r="EC225" s="917"/>
      <c r="ED225" s="917"/>
      <c r="EE225" s="917"/>
      <c r="EF225" s="917"/>
      <c r="EG225" s="917"/>
      <c r="EH225" s="917"/>
      <c r="EI225" s="917"/>
      <c r="EJ225" s="917"/>
      <c r="EK225" s="917"/>
      <c r="EL225" s="917"/>
      <c r="EM225" s="917"/>
      <c r="EN225" s="917"/>
      <c r="EO225" s="917"/>
    </row>
    <row r="226" spans="13:145" ht="18" customHeight="1">
      <c r="M226" s="1077" t="s">
        <v>2816</v>
      </c>
      <c r="N226" s="1084">
        <v>5</v>
      </c>
      <c r="O226" s="1077" t="s">
        <v>4689</v>
      </c>
      <c r="P226" s="1084">
        <v>1</v>
      </c>
      <c r="Q226" s="1093" t="str">
        <f>IF(ISBLANK(人物卡!X108),"",人物卡!X108)</f>
        <v/>
      </c>
      <c r="R226" s="1096" t="str">
        <f>IF(ISBLANK(人物卡!AD108),"",人物卡!AD108)</f>
        <v/>
      </c>
      <c r="T226" s="1090"/>
      <c r="U226" s="1097" t="s">
        <v>3773</v>
      </c>
      <c r="V226" s="1098">
        <v>20</v>
      </c>
      <c r="Z226" s="2811" t="s">
        <v>249</v>
      </c>
      <c r="AA226" s="2812"/>
      <c r="AB226" s="2783"/>
      <c r="AC226" s="2802"/>
      <c r="AE226" s="1099" t="s">
        <v>5337</v>
      </c>
      <c r="AF226" s="888" t="str">
        <f>人物卡!BR77</f>
        <v>美元</v>
      </c>
      <c r="BC226" s="1059" t="s">
        <v>751</v>
      </c>
      <c r="BG226" s="1023"/>
      <c r="BI226" s="928"/>
      <c r="BJ226" s="917"/>
      <c r="BK226" s="917"/>
      <c r="BL226" s="917"/>
      <c r="BM226" s="917"/>
      <c r="BN226" s="917"/>
      <c r="BO226" s="917"/>
      <c r="BP226" s="917"/>
      <c r="BQ226" s="917"/>
      <c r="BR226" s="917"/>
      <c r="BS226" s="917"/>
      <c r="BT226" s="917"/>
      <c r="BU226" s="917"/>
      <c r="BV226" s="917"/>
      <c r="BW226" s="917"/>
      <c r="BX226" s="917"/>
      <c r="BY226" s="917"/>
      <c r="BZ226" s="917"/>
      <c r="CA226" s="917"/>
      <c r="CB226" s="917"/>
      <c r="CC226" s="917"/>
      <c r="CD226" s="917"/>
      <c r="CE226" s="917"/>
      <c r="CF226" s="917"/>
      <c r="CG226" s="917"/>
      <c r="CH226" s="917"/>
      <c r="CI226" s="917"/>
      <c r="CJ226" s="917"/>
      <c r="CK226" s="917"/>
      <c r="CL226" s="917"/>
      <c r="CM226" s="917"/>
      <c r="CN226" s="917"/>
      <c r="CO226" s="917"/>
      <c r="CP226" s="917"/>
      <c r="CQ226" s="917"/>
      <c r="CR226" s="917"/>
      <c r="CS226" s="917"/>
      <c r="CT226" s="917"/>
      <c r="CU226" s="917"/>
      <c r="CV226" s="917"/>
      <c r="CW226" s="917"/>
      <c r="CX226" s="917"/>
      <c r="CY226" s="917"/>
      <c r="CZ226" s="917"/>
      <c r="DA226" s="917"/>
      <c r="DB226" s="917"/>
      <c r="DC226" s="917"/>
      <c r="DD226" s="917"/>
      <c r="DE226" s="917"/>
      <c r="DF226" s="917"/>
      <c r="DG226" s="917"/>
      <c r="DH226" s="917"/>
      <c r="DI226" s="917"/>
      <c r="DJ226" s="917"/>
      <c r="DK226" s="917"/>
      <c r="DL226" s="917"/>
      <c r="DM226" s="917"/>
      <c r="DN226" s="917"/>
      <c r="DO226" s="917"/>
      <c r="DP226" s="917"/>
      <c r="DQ226" s="917"/>
      <c r="DR226" s="917"/>
      <c r="DS226" s="917"/>
      <c r="DT226" s="917"/>
      <c r="DU226" s="917"/>
      <c r="DV226" s="917"/>
      <c r="DW226" s="917"/>
      <c r="DX226" s="917"/>
      <c r="DY226" s="917"/>
      <c r="DZ226" s="917"/>
      <c r="EA226" s="917"/>
      <c r="EB226" s="917"/>
      <c r="EC226" s="917"/>
      <c r="ED226" s="917"/>
      <c r="EE226" s="917"/>
      <c r="EF226" s="917"/>
      <c r="EG226" s="917"/>
      <c r="EH226" s="917"/>
      <c r="EI226" s="917"/>
      <c r="EJ226" s="917"/>
      <c r="EK226" s="917"/>
      <c r="EL226" s="917"/>
      <c r="EM226" s="917"/>
      <c r="EN226" s="917"/>
      <c r="EO226" s="917"/>
    </row>
    <row r="227" spans="13:145" ht="18" customHeight="1">
      <c r="M227" s="1076" t="s">
        <v>2838</v>
      </c>
      <c r="N227" s="978">
        <v>5</v>
      </c>
      <c r="O227" s="1076" t="s">
        <v>4704</v>
      </c>
      <c r="P227" s="1082">
        <v>1</v>
      </c>
      <c r="Q227" s="1090"/>
      <c r="T227" s="1090"/>
      <c r="U227" s="836" t="s">
        <v>3790</v>
      </c>
      <c r="V227" s="836">
        <v>1</v>
      </c>
      <c r="Z227" s="2813"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0.5</v>
      </c>
      <c r="AA227" s="2814"/>
      <c r="AB227" s="2783"/>
      <c r="AC227" s="2802"/>
      <c r="AE227" s="1100" t="s">
        <v>5338</v>
      </c>
      <c r="AF227" s="849" t="str">
        <f>人物卡!BL10</f>
        <v>1920s</v>
      </c>
      <c r="BC227" s="1059" t="s">
        <v>4753</v>
      </c>
      <c r="BG227" s="1023"/>
      <c r="BI227" s="928"/>
    </row>
    <row r="228" spans="13:145" ht="18" customHeight="1">
      <c r="M228" s="1077" t="s">
        <v>2862</v>
      </c>
      <c r="N228" s="1084">
        <v>5</v>
      </c>
      <c r="O228" s="1077" t="s">
        <v>4709</v>
      </c>
      <c r="P228" s="1078">
        <v>1</v>
      </c>
      <c r="Q228" s="1090"/>
      <c r="T228" s="1090"/>
      <c r="U228" s="1101" t="str">
        <f>IF(ISBLANK(人物卡!X108),"",人物卡!X108)</f>
        <v/>
      </c>
      <c r="V228" s="1096" t="str">
        <f>IF(ISBLANK(人物卡!AD108),"",人物卡!AD108)</f>
        <v/>
      </c>
      <c r="Z228" s="2815" t="s">
        <v>250</v>
      </c>
      <c r="AA228" s="2816"/>
      <c r="AB228" s="2783"/>
      <c r="AC228" s="2802"/>
      <c r="AE228" s="2768" t="s">
        <v>5339</v>
      </c>
      <c r="AF228" s="2769"/>
      <c r="AG228" s="2770"/>
      <c r="BC228" s="1059" t="s">
        <v>5340</v>
      </c>
      <c r="BG228" s="1023"/>
      <c r="BI228" s="928"/>
    </row>
    <row r="229" spans="13:145" ht="18" customHeight="1">
      <c r="M229" s="1076" t="s">
        <v>2882</v>
      </c>
      <c r="N229" s="978">
        <v>5</v>
      </c>
      <c r="O229" s="1076" t="s">
        <v>4716</v>
      </c>
      <c r="P229" s="1082">
        <v>1</v>
      </c>
      <c r="Q229" s="1090"/>
      <c r="T229" s="1090"/>
      <c r="U229" s="978"/>
      <c r="V229" s="978"/>
      <c r="Z229" s="2817" t="str">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没有</v>
      </c>
      <c r="AA229" s="2818"/>
      <c r="AB229" s="2783"/>
      <c r="AC229" s="2802"/>
      <c r="AE229" s="1102" t="s">
        <v>249</v>
      </c>
      <c r="AF229" s="1103" t="s">
        <v>5332</v>
      </c>
      <c r="AG229" s="1104" t="s">
        <v>250</v>
      </c>
      <c r="BC229" s="1059" t="s">
        <v>5341</v>
      </c>
      <c r="BG229" s="1023"/>
      <c r="BI229" s="928"/>
    </row>
    <row r="230" spans="13:145" ht="18" customHeight="1">
      <c r="M230" s="1077" t="s">
        <v>2894</v>
      </c>
      <c r="N230" s="1084">
        <v>5</v>
      </c>
      <c r="O230" s="1077" t="s">
        <v>4737</v>
      </c>
      <c r="P230" s="1078">
        <v>1</v>
      </c>
      <c r="Q230" s="1090"/>
      <c r="T230" s="1090"/>
      <c r="U230" s="978"/>
      <c r="V230" s="978"/>
      <c r="Z230" s="2819" t="s">
        <v>251</v>
      </c>
      <c r="AA230" s="2816"/>
      <c r="AB230" s="2783"/>
      <c r="AC230" s="2802"/>
      <c r="AE230" s="883" t="str">
        <f>IF(AF227="1920s",AG223,IF(AF227="现代",AF223,IF(AF227="其他","——")))</f>
        <v>0.5</v>
      </c>
      <c r="AF230" s="884" t="str">
        <f>IF(AF227="1920s",AG224,IF(AF227="现代",AF224,IF(AF227="其他","——")))</f>
        <v>0.5</v>
      </c>
      <c r="AG230" s="885" t="str">
        <f>IF(AF227="1920s",AG225,IF(AF227="现代",AF225,IF(AF227="其他","——")))</f>
        <v>没有</v>
      </c>
      <c r="BC230" s="1059" t="s">
        <v>5342</v>
      </c>
      <c r="BG230" s="1023"/>
      <c r="BI230" s="928"/>
    </row>
    <row r="231" spans="13:145" ht="18" customHeight="1">
      <c r="M231" s="1076" t="s">
        <v>2924</v>
      </c>
      <c r="N231" s="978">
        <v>5</v>
      </c>
      <c r="O231" s="1093" t="s">
        <v>4792</v>
      </c>
      <c r="P231" s="1094">
        <v>1</v>
      </c>
      <c r="Q231" s="1090"/>
      <c r="T231" s="1090"/>
      <c r="U231" s="978"/>
      <c r="V231" s="978"/>
      <c r="Z231" s="2766" t="str">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0.5</v>
      </c>
      <c r="AA231" s="2767"/>
      <c r="AB231" s="2803"/>
      <c r="AC231" s="2804"/>
      <c r="AE231" s="1105">
        <f>ABS(AE230)</f>
        <v>0.5</v>
      </c>
      <c r="AF231" s="1105">
        <f>ABS(AF230)</f>
        <v>0.5</v>
      </c>
      <c r="AG231" s="1105">
        <f>IF(AG230="没有",0,ABS(AG230))</f>
        <v>0</v>
      </c>
      <c r="BC231" s="1059" t="s">
        <v>5343</v>
      </c>
      <c r="BG231" s="1023"/>
      <c r="BI231" s="928"/>
    </row>
    <row r="232" spans="13:145" ht="18" customHeight="1">
      <c r="M232" s="1077" t="s">
        <v>2955</v>
      </c>
      <c r="N232" s="1084">
        <v>5</v>
      </c>
      <c r="O232" s="1093" t="str">
        <f>IF(ISBLANK(人物卡!X108),"",人物卡!X108)</f>
        <v/>
      </c>
      <c r="P232" s="1096" t="str">
        <f>IF(ISBLANK(人物卡!AD108),"",人物卡!AD108)</f>
        <v/>
      </c>
      <c r="Q232" s="1090"/>
      <c r="T232" s="1090"/>
      <c r="U232" s="978"/>
      <c r="V232" s="978"/>
      <c r="AE232" s="2768" t="s">
        <v>5344</v>
      </c>
      <c r="AF232" s="2769"/>
      <c r="AG232" s="2770"/>
      <c r="BC232" s="1059" t="s">
        <v>4746</v>
      </c>
      <c r="BG232" s="1023"/>
      <c r="BI232" s="934"/>
    </row>
    <row r="233" spans="13:145" ht="18" customHeight="1">
      <c r="M233" s="1076" t="s">
        <v>2985</v>
      </c>
      <c r="N233" s="1082">
        <v>5</v>
      </c>
      <c r="Q233" s="1090"/>
      <c r="T233" s="1090"/>
      <c r="Z233" s="2768" t="s">
        <v>5345</v>
      </c>
      <c r="AA233" s="2769"/>
      <c r="AB233" s="2769"/>
      <c r="AC233" s="2770"/>
      <c r="AE233" s="1102" t="s">
        <v>249</v>
      </c>
      <c r="AF233" s="1103" t="s">
        <v>5332</v>
      </c>
      <c r="AG233" s="1104" t="s">
        <v>250</v>
      </c>
      <c r="BC233" s="1059" t="s">
        <v>5346</v>
      </c>
      <c r="BG233" s="1023"/>
    </row>
    <row r="234" spans="13:145" ht="18" customHeight="1">
      <c r="M234" s="1077" t="s">
        <v>3009</v>
      </c>
      <c r="N234" s="1078">
        <v>5</v>
      </c>
      <c r="Q234" s="1090"/>
      <c r="R234" s="1106"/>
      <c r="Z234" s="968"/>
      <c r="AA234" s="1103" t="s">
        <v>249</v>
      </c>
      <c r="AB234" s="1103" t="s">
        <v>5332</v>
      </c>
      <c r="AC234" s="1104" t="s">
        <v>250</v>
      </c>
      <c r="AE234" s="883" t="str">
        <f>AE230/10000&amp;"万"</f>
        <v>0.00005万</v>
      </c>
      <c r="AF234" s="884" t="str">
        <f>AF230/10000&amp;"万"</f>
        <v>0.00005万</v>
      </c>
      <c r="AG234" s="885" t="str">
        <f>IF(AG230="没有","没有",AG230/10000&amp;"万")</f>
        <v>没有</v>
      </c>
      <c r="BC234" s="1059" t="s">
        <v>5347</v>
      </c>
      <c r="BG234" s="1023"/>
    </row>
    <row r="235" spans="13:145" ht="18" customHeight="1">
      <c r="M235" s="1076" t="s">
        <v>3043</v>
      </c>
      <c r="N235" s="1082">
        <v>5</v>
      </c>
      <c r="Q235" s="1090"/>
      <c r="R235" s="1106"/>
      <c r="S235" s="1107"/>
      <c r="T235" s="1090"/>
      <c r="Z235" s="968" t="s">
        <v>5344</v>
      </c>
      <c r="AA235" s="836">
        <f>IF((AE231&gt;=AA237),1,0)</f>
        <v>0</v>
      </c>
      <c r="AB235" s="836">
        <f>IF(AF231&gt;=AA237,1,0)</f>
        <v>0</v>
      </c>
      <c r="AC235" s="854">
        <f>IF(AG231&gt;=AA237,1,0)</f>
        <v>0</v>
      </c>
      <c r="AE235" s="2768" t="s">
        <v>5348</v>
      </c>
      <c r="AF235" s="2769"/>
      <c r="AG235" s="2770"/>
      <c r="BC235" s="1059" t="s">
        <v>751</v>
      </c>
      <c r="BG235" s="1023"/>
    </row>
    <row r="236" spans="13:145" ht="18" customHeight="1">
      <c r="M236" s="1077" t="s">
        <v>3077</v>
      </c>
      <c r="N236" s="1078">
        <v>5</v>
      </c>
      <c r="Q236" s="1090"/>
      <c r="R236" s="1106"/>
      <c r="S236" s="1107"/>
      <c r="X236" s="1108"/>
      <c r="Z236" s="971" t="s">
        <v>5348</v>
      </c>
      <c r="AA236" s="884">
        <f>IF(AE231&gt;=AC237,1,0)</f>
        <v>0</v>
      </c>
      <c r="AB236" s="884">
        <f>IF(AF231&gt;=AC237,1,0)</f>
        <v>0</v>
      </c>
      <c r="AC236" s="885">
        <f>IF(AG231&gt;=AC237,1,0)</f>
        <v>0</v>
      </c>
      <c r="AE236" s="1102" t="s">
        <v>249</v>
      </c>
      <c r="AF236" s="1103" t="s">
        <v>5332</v>
      </c>
      <c r="AG236" s="1104" t="s">
        <v>250</v>
      </c>
      <c r="BC236" s="1059" t="s">
        <v>4749</v>
      </c>
      <c r="BG236" s="1001"/>
    </row>
    <row r="237" spans="13:145" ht="18" customHeight="1">
      <c r="M237" s="1076" t="s">
        <v>3089</v>
      </c>
      <c r="N237" s="1082">
        <v>5</v>
      </c>
      <c r="Q237" s="1090"/>
      <c r="R237" s="1106"/>
      <c r="S237" s="1107"/>
      <c r="AA237" s="1105">
        <v>10000</v>
      </c>
      <c r="AC237" s="1109">
        <v>100000000</v>
      </c>
      <c r="AE237" s="883" t="str">
        <f>AE230/100000000&amp;"亿"</f>
        <v>0.000000005亿</v>
      </c>
      <c r="AF237" s="884" t="str">
        <f>AF230/100000000&amp;"亿"</f>
        <v>0.000000005亿</v>
      </c>
      <c r="AG237" s="885" t="str">
        <f>IF(AG230="没有","没有",AG230/100000000&amp;"亿")</f>
        <v>没有</v>
      </c>
      <c r="BC237" s="1059" t="s">
        <v>5349</v>
      </c>
      <c r="BG237" s="1001"/>
    </row>
    <row r="238" spans="13:145" ht="18" customHeight="1">
      <c r="M238" s="1077" t="s">
        <v>3103</v>
      </c>
      <c r="N238" s="1078">
        <v>5</v>
      </c>
      <c r="Q238" s="1090"/>
      <c r="R238" s="1106"/>
      <c r="S238" s="1107"/>
      <c r="AE238" s="2768" t="s">
        <v>492</v>
      </c>
      <c r="AF238" s="2769"/>
      <c r="AG238" s="2770"/>
      <c r="BC238" s="1059" t="s">
        <v>5350</v>
      </c>
      <c r="BG238" s="1001"/>
    </row>
    <row r="239" spans="13:145" ht="18" customHeight="1">
      <c r="M239" s="1076" t="s">
        <v>3131</v>
      </c>
      <c r="N239" s="1082">
        <v>5</v>
      </c>
      <c r="Q239" s="1090"/>
      <c r="R239" s="1106"/>
      <c r="S239" s="1107"/>
      <c r="AE239" s="1102" t="s">
        <v>249</v>
      </c>
      <c r="AF239" s="1103" t="s">
        <v>5332</v>
      </c>
      <c r="AG239" s="1104" t="s">
        <v>250</v>
      </c>
      <c r="BC239" s="1059" t="s">
        <v>5351</v>
      </c>
      <c r="BG239" s="1001"/>
    </row>
    <row r="240" spans="13:145" ht="18" customHeight="1">
      <c r="M240" s="1077" t="s">
        <v>3164</v>
      </c>
      <c r="N240" s="1078">
        <v>5</v>
      </c>
      <c r="Q240" s="1090"/>
      <c r="R240" s="1106"/>
      <c r="S240" s="1107"/>
      <c r="AE240" s="883" t="str">
        <f>IF(AF227="其他",AE230,IF(AA236=1,AE237,IF(AA235=1,AE234,AE230)))</f>
        <v>0.5</v>
      </c>
      <c r="AF240" s="884" t="str">
        <f>IF(AF227="其他",AE230,IF(AB236=1,AF237,IF(AB235=1,AF234,AF230)))</f>
        <v>0.5</v>
      </c>
      <c r="AG240" s="885" t="str">
        <f>IF(AF227="其他",AE230,IF(AC236=1,AG237,IF(AC235=1,AG234,AG230)))</f>
        <v>没有</v>
      </c>
      <c r="BC240" s="1059" t="s">
        <v>751</v>
      </c>
      <c r="BG240" s="1001"/>
    </row>
    <row r="241" spans="13:59" ht="18" customHeight="1">
      <c r="M241" s="1076" t="s">
        <v>3185</v>
      </c>
      <c r="N241" s="1082">
        <v>5</v>
      </c>
      <c r="Q241" s="1090"/>
      <c r="R241" s="1106"/>
      <c r="S241" s="1107"/>
      <c r="Z241" s="2771" t="s">
        <v>5352</v>
      </c>
      <c r="AA241" s="2772"/>
      <c r="AB241" s="2772"/>
      <c r="AC241" s="2772"/>
      <c r="AD241" s="2772"/>
      <c r="AE241" s="2772"/>
      <c r="AF241" s="2772"/>
      <c r="AG241" s="2773"/>
      <c r="BC241" s="1059" t="s">
        <v>4750</v>
      </c>
      <c r="BG241" s="1001"/>
    </row>
    <row r="242" spans="13:59" ht="18" customHeight="1">
      <c r="M242" s="1110" t="s">
        <v>3206</v>
      </c>
      <c r="N242" s="882">
        <v>5</v>
      </c>
      <c r="Q242" s="1090"/>
      <c r="R242" s="1106"/>
      <c r="Z242" s="1111"/>
      <c r="AA242" s="999" t="s">
        <v>249</v>
      </c>
      <c r="AB242" s="999" t="s">
        <v>5332</v>
      </c>
      <c r="AC242" s="999" t="s">
        <v>250</v>
      </c>
      <c r="AD242" s="1112"/>
      <c r="AE242" s="1113"/>
      <c r="AF242" s="999" t="s">
        <v>249</v>
      </c>
      <c r="AG242" s="999" t="s">
        <v>5332</v>
      </c>
      <c r="AH242" s="1000" t="s">
        <v>250</v>
      </c>
      <c r="BC242" s="1059" t="s">
        <v>5353</v>
      </c>
      <c r="BG242" s="1001"/>
    </row>
    <row r="243" spans="13:59" ht="18" customHeight="1">
      <c r="M243" s="1076" t="s">
        <v>3238</v>
      </c>
      <c r="N243" s="854">
        <v>5</v>
      </c>
      <c r="Q243" s="1090"/>
      <c r="R243" s="1106"/>
      <c r="S243" s="1107"/>
      <c r="Z243" s="886" t="s">
        <v>63</v>
      </c>
      <c r="AA243" s="887" t="str">
        <f>Z227</f>
        <v>0.5</v>
      </c>
      <c r="AB243" s="887" t="str">
        <f>Z231</f>
        <v>0.5</v>
      </c>
      <c r="AC243" s="887" t="str">
        <f>Z229</f>
        <v>没有</v>
      </c>
      <c r="AD243" s="887"/>
      <c r="AE243" s="886" t="s">
        <v>63</v>
      </c>
      <c r="AF243" s="887" t="str">
        <f>Z227</f>
        <v>0.5</v>
      </c>
      <c r="AG243" s="887" t="str">
        <f>Z231</f>
        <v>0.5</v>
      </c>
      <c r="AH243" s="888" t="str">
        <f>Z229</f>
        <v>没有</v>
      </c>
      <c r="BC243" s="1059" t="s">
        <v>5354</v>
      </c>
      <c r="BG243" s="1001"/>
    </row>
    <row r="244" spans="13:59" ht="18" customHeight="1">
      <c r="M244" s="1110" t="s">
        <v>3255</v>
      </c>
      <c r="N244" s="882">
        <v>5</v>
      </c>
      <c r="Q244" s="1090"/>
      <c r="R244" s="1106"/>
      <c r="S244" s="1107"/>
      <c r="Z244" s="856" t="s">
        <v>5355</v>
      </c>
      <c r="AE244" s="856" t="s">
        <v>5356</v>
      </c>
      <c r="AH244" s="854"/>
      <c r="BC244" s="1059" t="s">
        <v>751</v>
      </c>
      <c r="BG244" s="1001"/>
    </row>
    <row r="245" spans="13:59" ht="18" customHeight="1">
      <c r="M245" s="1076" t="s">
        <v>3278</v>
      </c>
      <c r="N245" s="854">
        <v>5</v>
      </c>
      <c r="Q245" s="1090"/>
      <c r="R245" s="1106"/>
      <c r="S245" s="1107"/>
      <c r="Z245" s="1114" t="s">
        <v>5357</v>
      </c>
      <c r="AA245" s="1115">
        <f>Z227*AD245</f>
        <v>3.5150000000000001</v>
      </c>
      <c r="AB245" s="1115">
        <f>Z231*AD245</f>
        <v>3.5150000000000001</v>
      </c>
      <c r="AC245" s="1115" t="str">
        <f>IF(Z229="没有","没有",Z229*AD245)</f>
        <v>没有</v>
      </c>
      <c r="AD245" s="836">
        <v>7.03</v>
      </c>
      <c r="AE245" s="1114" t="s">
        <v>5357</v>
      </c>
      <c r="AF245" s="1116">
        <f t="shared" ref="AF245:AH245" si="5">AA245</f>
        <v>3.5150000000000001</v>
      </c>
      <c r="AG245" s="1116">
        <f t="shared" si="5"/>
        <v>3.5150000000000001</v>
      </c>
      <c r="AH245" s="1117" t="str">
        <f t="shared" si="5"/>
        <v>没有</v>
      </c>
      <c r="BC245" s="1059" t="s">
        <v>4754</v>
      </c>
      <c r="BG245" s="1001"/>
    </row>
    <row r="246" spans="13:59" ht="18" customHeight="1">
      <c r="M246" s="1118" t="s">
        <v>3289</v>
      </c>
      <c r="N246" s="1119">
        <v>5</v>
      </c>
      <c r="Z246" s="1102" t="s">
        <v>5358</v>
      </c>
      <c r="AA246" s="1116">
        <f>附表!Z227*AD246</f>
        <v>3.915</v>
      </c>
      <c r="AB246" s="1116">
        <f>附表!Z231*AD246</f>
        <v>3.915</v>
      </c>
      <c r="AC246" s="1116" t="str">
        <f>IF(Z229="没有","没有",Z229*AD246)</f>
        <v>没有</v>
      </c>
      <c r="AD246" s="836">
        <v>7.83</v>
      </c>
      <c r="AE246" s="1102" t="s">
        <v>5358</v>
      </c>
      <c r="AF246" s="1116">
        <f t="shared" ref="AF246:AH246" si="6">AA246</f>
        <v>3.915</v>
      </c>
      <c r="AG246" s="1116">
        <f t="shared" si="6"/>
        <v>3.915</v>
      </c>
      <c r="AH246" s="1117" t="str">
        <f t="shared" si="6"/>
        <v>没有</v>
      </c>
      <c r="BC246" s="1059" t="s">
        <v>5359</v>
      </c>
    </row>
    <row r="247" spans="13:59" ht="18" customHeight="1">
      <c r="M247" s="1120" t="str">
        <f>IF(ISBLANK(人物卡!X108),"",人物卡!X108)</f>
        <v/>
      </c>
      <c r="N247" s="885" t="str">
        <f>IF(ISBLANK(人物卡!AD108),"",人物卡!AD108)</f>
        <v/>
      </c>
      <c r="Z247" s="1121" t="s">
        <v>5360</v>
      </c>
      <c r="AA247" s="1116">
        <f>Z227*AD247</f>
        <v>15.67</v>
      </c>
      <c r="AB247" s="1116">
        <f>Z231*AD247</f>
        <v>15.67</v>
      </c>
      <c r="AC247" s="1116" t="str">
        <f>IF(Z229="没有","没有",Z229*AD247)</f>
        <v>没有</v>
      </c>
      <c r="AD247" s="836">
        <v>31.34</v>
      </c>
      <c r="AE247" s="1121" t="s">
        <v>5360</v>
      </c>
      <c r="AF247" s="1116">
        <f t="shared" ref="AF247:AH247" si="7">AA247</f>
        <v>15.67</v>
      </c>
      <c r="AG247" s="1116">
        <f t="shared" si="7"/>
        <v>15.67</v>
      </c>
      <c r="AH247" s="1117" t="str">
        <f t="shared" si="7"/>
        <v>没有</v>
      </c>
      <c r="BC247" s="1059" t="s">
        <v>5361</v>
      </c>
    </row>
    <row r="248" spans="13:59" ht="18" customHeight="1">
      <c r="Z248" s="1121" t="s">
        <v>5362</v>
      </c>
      <c r="AA248" s="1115">
        <f>Z227*AD248</f>
        <v>54.44</v>
      </c>
      <c r="AB248" s="1115">
        <f>Z231*AD248</f>
        <v>54.44</v>
      </c>
      <c r="AC248" s="1115" t="str">
        <f>IF(Z229="没有","没有",Z229*AD248)</f>
        <v>没有</v>
      </c>
      <c r="AD248" s="836">
        <v>108.88</v>
      </c>
      <c r="AE248" s="1121" t="s">
        <v>5362</v>
      </c>
      <c r="AF248" s="1116">
        <f t="shared" ref="AF248:AH248" si="8">AA248</f>
        <v>54.44</v>
      </c>
      <c r="AG248" s="1116">
        <f t="shared" si="8"/>
        <v>54.44</v>
      </c>
      <c r="AH248" s="1117" t="str">
        <f t="shared" si="8"/>
        <v>没有</v>
      </c>
      <c r="BC248" s="1059" t="s">
        <v>751</v>
      </c>
    </row>
    <row r="249" spans="13:59" ht="18" customHeight="1">
      <c r="Z249" s="1121" t="s">
        <v>5363</v>
      </c>
      <c r="AA249" s="1116">
        <f>Z227*AD249</f>
        <v>586.70500000000004</v>
      </c>
      <c r="AB249" s="1116">
        <f>Z231*AD249</f>
        <v>586.70500000000004</v>
      </c>
      <c r="AC249" s="1116" t="str">
        <f>IF(Z229="没有","没有",Z229*AD249)</f>
        <v>没有</v>
      </c>
      <c r="AD249" s="838">
        <v>1173.4100000000001</v>
      </c>
      <c r="AE249" s="1121" t="s">
        <v>5363</v>
      </c>
      <c r="AF249" s="1116">
        <f t="shared" ref="AF249:AH249" si="9">AA249</f>
        <v>586.70500000000004</v>
      </c>
      <c r="AG249" s="1116">
        <f t="shared" si="9"/>
        <v>586.70500000000004</v>
      </c>
      <c r="AH249" s="1117" t="str">
        <f t="shared" si="9"/>
        <v>没有</v>
      </c>
      <c r="BC249" s="1059" t="s">
        <v>5364</v>
      </c>
    </row>
    <row r="250" spans="13:59" ht="18" customHeight="1">
      <c r="Z250" s="1121" t="s">
        <v>5365</v>
      </c>
      <c r="AA250" s="1115">
        <f>Z227*AD250</f>
        <v>15.115</v>
      </c>
      <c r="AB250" s="1115">
        <f>Z231*AD250</f>
        <v>15.115</v>
      </c>
      <c r="AC250" s="1115" t="str">
        <f>IF(Z229="没有","没有",Z229*AD250)</f>
        <v>没有</v>
      </c>
      <c r="AD250" s="836">
        <v>30.23</v>
      </c>
      <c r="AE250" s="1121" t="s">
        <v>5365</v>
      </c>
      <c r="AF250" s="1116">
        <f t="shared" ref="AF250:AH250" si="10">AA250</f>
        <v>15.115</v>
      </c>
      <c r="AG250" s="1116">
        <f t="shared" si="10"/>
        <v>15.115</v>
      </c>
      <c r="AH250" s="1117" t="str">
        <f t="shared" si="10"/>
        <v>没有</v>
      </c>
      <c r="BC250" s="1059" t="s">
        <v>5366</v>
      </c>
    </row>
    <row r="251" spans="13:59" ht="18" customHeight="1">
      <c r="Z251" s="1102" t="s">
        <v>5367</v>
      </c>
      <c r="AA251" s="1115">
        <f>Z227*AD251</f>
        <v>0.68500000000000005</v>
      </c>
      <c r="AB251" s="1115">
        <f>Z231*AD251</f>
        <v>0.68500000000000005</v>
      </c>
      <c r="AC251" s="1115" t="str">
        <f>IF(Z229="没有","没有",Z229*AD251)</f>
        <v>没有</v>
      </c>
      <c r="AD251" s="838">
        <v>1.37</v>
      </c>
      <c r="AE251" s="1102" t="s">
        <v>5367</v>
      </c>
      <c r="AF251" s="1116">
        <f t="shared" ref="AF251:AH251" si="11">AA251</f>
        <v>0.68500000000000005</v>
      </c>
      <c r="AG251" s="1116">
        <f t="shared" si="11"/>
        <v>0.68500000000000005</v>
      </c>
      <c r="AH251" s="1117" t="str">
        <f t="shared" si="11"/>
        <v>没有</v>
      </c>
      <c r="BC251" s="1059" t="s">
        <v>5368</v>
      </c>
    </row>
    <row r="252" spans="13:59" ht="18" customHeight="1">
      <c r="Z252" s="856" t="s">
        <v>5369</v>
      </c>
      <c r="AE252" s="856" t="s">
        <v>5370</v>
      </c>
      <c r="AH252" s="854"/>
      <c r="BC252" s="1059" t="s">
        <v>751</v>
      </c>
    </row>
    <row r="253" spans="13:59" ht="18" customHeight="1">
      <c r="Z253" s="1102" t="s">
        <v>5371</v>
      </c>
      <c r="AA253" s="1116">
        <f>附表!Z227*AD253</f>
        <v>0.45500000000000002</v>
      </c>
      <c r="AB253" s="1116">
        <f>附表!Z231*AD253</f>
        <v>0.45500000000000002</v>
      </c>
      <c r="AC253" s="1116" t="str">
        <f>IF(Z229="没有","没有",Z229*AD253)</f>
        <v>没有</v>
      </c>
      <c r="AD253" s="836">
        <v>0.91</v>
      </c>
      <c r="AE253" s="1102" t="s">
        <v>5371</v>
      </c>
      <c r="AF253" s="1116">
        <f t="shared" ref="AF253:AH253" si="12">AA253</f>
        <v>0.45500000000000002</v>
      </c>
      <c r="AG253" s="1116">
        <f t="shared" si="12"/>
        <v>0.45500000000000002</v>
      </c>
      <c r="AH253" s="1117" t="str">
        <f t="shared" si="12"/>
        <v>没有</v>
      </c>
      <c r="AI253" s="1122"/>
      <c r="BC253" s="1059" t="s">
        <v>4036</v>
      </c>
    </row>
    <row r="254" spans="13:59" ht="18" customHeight="1">
      <c r="Z254" s="1121" t="s">
        <v>5372</v>
      </c>
      <c r="AA254" s="1116">
        <f>附表!Z227*AD254</f>
        <v>0.39</v>
      </c>
      <c r="AB254" s="1116">
        <f>附表!Z231*AD254</f>
        <v>0.39</v>
      </c>
      <c r="AC254" s="1116" t="str">
        <f>IF(Z229="没有","没有",Z229*AD254)</f>
        <v>没有</v>
      </c>
      <c r="AD254" s="836">
        <v>0.78</v>
      </c>
      <c r="AE254" s="1121" t="s">
        <v>5372</v>
      </c>
      <c r="AF254" s="1116">
        <f t="shared" ref="AF254:AH254" si="13">AA254</f>
        <v>0.39</v>
      </c>
      <c r="AG254" s="1116">
        <f t="shared" si="13"/>
        <v>0.39</v>
      </c>
      <c r="AH254" s="1117" t="str">
        <f t="shared" si="13"/>
        <v>没有</v>
      </c>
      <c r="BC254" s="1059" t="s">
        <v>5373</v>
      </c>
    </row>
    <row r="255" spans="13:59" ht="18" customHeight="1">
      <c r="Z255" s="1121" t="s">
        <v>5374</v>
      </c>
      <c r="AA255" s="1116">
        <f>附表!Z227*AD255</f>
        <v>31.95</v>
      </c>
      <c r="AB255" s="1116">
        <f>附表!Z231*AD255</f>
        <v>31.95</v>
      </c>
      <c r="AC255" s="1116" t="str">
        <f>IF(Z229="没有","没有",Z229*AD255)</f>
        <v>没有</v>
      </c>
      <c r="AD255" s="1123">
        <v>63.9</v>
      </c>
      <c r="AE255" s="1121" t="s">
        <v>5374</v>
      </c>
      <c r="AF255" s="1116">
        <f t="shared" ref="AF255:AH255" si="14">AA255</f>
        <v>31.95</v>
      </c>
      <c r="AG255" s="1116">
        <f t="shared" si="14"/>
        <v>31.95</v>
      </c>
      <c r="AH255" s="1117" t="str">
        <f t="shared" si="14"/>
        <v>没有</v>
      </c>
      <c r="BC255" s="1059" t="s">
        <v>5375</v>
      </c>
    </row>
    <row r="256" spans="13:59" ht="18" customHeight="1">
      <c r="Z256" s="856" t="s">
        <v>5376</v>
      </c>
      <c r="AE256" s="856" t="s">
        <v>5377</v>
      </c>
      <c r="AH256" s="854"/>
      <c r="BC256" s="1059" t="s">
        <v>5378</v>
      </c>
    </row>
    <row r="257" spans="26:56" ht="18" customHeight="1">
      <c r="Z257" s="1102" t="s">
        <v>5379</v>
      </c>
      <c r="AA257" s="1116">
        <f>Z227*AD257</f>
        <v>0.66500000000000004</v>
      </c>
      <c r="AB257" s="1116">
        <f>Z231*AD257</f>
        <v>0.66500000000000004</v>
      </c>
      <c r="AC257" s="1116" t="str">
        <f>IF(Z229="没有","没有",Z229*AD257)</f>
        <v>没有</v>
      </c>
      <c r="AD257" s="838">
        <v>1.33</v>
      </c>
      <c r="AE257" s="1102" t="s">
        <v>5379</v>
      </c>
      <c r="AF257" s="1116">
        <f t="shared" ref="AF257:AH257" si="15">AA257</f>
        <v>0.66500000000000004</v>
      </c>
      <c r="AG257" s="1116">
        <f t="shared" si="15"/>
        <v>0.66500000000000004</v>
      </c>
      <c r="AH257" s="1117" t="str">
        <f t="shared" si="15"/>
        <v>没有</v>
      </c>
      <c r="BC257" s="1059" t="s">
        <v>5380</v>
      </c>
    </row>
    <row r="258" spans="26:56" ht="18" customHeight="1">
      <c r="Z258" s="1102" t="s">
        <v>5381</v>
      </c>
      <c r="AA258" s="1115">
        <f>Z227*AD258</f>
        <v>9.6999999999999993</v>
      </c>
      <c r="AB258" s="1115">
        <f>Z231*AD258</f>
        <v>9.6999999999999993</v>
      </c>
      <c r="AC258" s="1115" t="str">
        <f>IF(Z229="没有","没有",Z229*AD258)</f>
        <v>没有</v>
      </c>
      <c r="AD258" s="1124">
        <v>19.399999999999999</v>
      </c>
      <c r="AE258" s="1102" t="s">
        <v>5381</v>
      </c>
      <c r="AF258" s="1116">
        <f t="shared" ref="AF258:AH258" si="16">AA258</f>
        <v>9.6999999999999993</v>
      </c>
      <c r="AG258" s="1116">
        <f t="shared" si="16"/>
        <v>9.6999999999999993</v>
      </c>
      <c r="AH258" s="1117" t="str">
        <f t="shared" si="16"/>
        <v>没有</v>
      </c>
      <c r="BC258" s="1059" t="s">
        <v>751</v>
      </c>
    </row>
    <row r="259" spans="26:56" ht="18" customHeight="1">
      <c r="Z259" s="1121" t="s">
        <v>5382</v>
      </c>
      <c r="AA259" s="1115">
        <f>Z227*AD259</f>
        <v>2.0150000000000001</v>
      </c>
      <c r="AB259" s="1115">
        <f>Z231*AD259</f>
        <v>2.0150000000000001</v>
      </c>
      <c r="AC259" s="1115" t="str">
        <f>IF(Z229="没有","没有",Z229*AD259)</f>
        <v>没有</v>
      </c>
      <c r="AD259" s="836">
        <v>4.03</v>
      </c>
      <c r="AE259" s="1121" t="s">
        <v>5382</v>
      </c>
      <c r="AF259" s="1116">
        <f t="shared" ref="AF259:AH259" si="17">AA259</f>
        <v>2.0150000000000001</v>
      </c>
      <c r="AG259" s="1116">
        <f t="shared" si="17"/>
        <v>2.0150000000000001</v>
      </c>
      <c r="AH259" s="1117" t="str">
        <f t="shared" si="17"/>
        <v>没有</v>
      </c>
      <c r="BC259" s="1059" t="s">
        <v>4764</v>
      </c>
    </row>
    <row r="260" spans="26:56" ht="18" customHeight="1">
      <c r="Z260" s="856" t="s">
        <v>5383</v>
      </c>
      <c r="AE260" s="856" t="s">
        <v>1548</v>
      </c>
      <c r="AH260" s="854"/>
      <c r="BC260" s="1059" t="s">
        <v>5384</v>
      </c>
    </row>
    <row r="261" spans="26:56" ht="18" customHeight="1">
      <c r="Z261" s="1102" t="s">
        <v>5385</v>
      </c>
      <c r="AA261" s="1115">
        <f>Z227*AD261</f>
        <v>0.74</v>
      </c>
      <c r="AB261" s="1115">
        <f>Z231*AD261</f>
        <v>0.74</v>
      </c>
      <c r="AC261" s="1115" t="str">
        <f>IF(Z229="没有","没有",Z229*AD261)</f>
        <v>没有</v>
      </c>
      <c r="AD261" s="836">
        <v>1.48</v>
      </c>
      <c r="AE261" s="1102" t="s">
        <v>5385</v>
      </c>
      <c r="AF261" s="1116">
        <f t="shared" ref="AF261:AH261" si="18">AA261</f>
        <v>0.74</v>
      </c>
      <c r="AG261" s="1116">
        <f t="shared" si="18"/>
        <v>0.74</v>
      </c>
      <c r="AH261" s="1117" t="str">
        <f t="shared" si="18"/>
        <v>没有</v>
      </c>
      <c r="BC261" s="1059" t="s">
        <v>5386</v>
      </c>
    </row>
    <row r="262" spans="26:56" ht="18" customHeight="1">
      <c r="Z262" s="1102" t="s">
        <v>5387</v>
      </c>
      <c r="AA262" s="1115">
        <f>Z227*AD262</f>
        <v>7.3849999999999998</v>
      </c>
      <c r="AB262" s="1115">
        <f>Z231*AD262</f>
        <v>7.3849999999999998</v>
      </c>
      <c r="AC262" s="1115" t="str">
        <f>IF(Z229="没有","没有",Z229*AD262)</f>
        <v>没有</v>
      </c>
      <c r="AD262" s="838">
        <v>14.77</v>
      </c>
      <c r="AE262" s="1102" t="s">
        <v>5387</v>
      </c>
      <c r="AF262" s="1116">
        <f t="shared" ref="AF262:AH262" si="19">AA262</f>
        <v>7.3849999999999998</v>
      </c>
      <c r="AG262" s="1116">
        <f t="shared" si="19"/>
        <v>7.3849999999999998</v>
      </c>
      <c r="AH262" s="1117" t="str">
        <f t="shared" si="19"/>
        <v>没有</v>
      </c>
      <c r="BC262" s="1059" t="s">
        <v>751</v>
      </c>
    </row>
    <row r="263" spans="26:56" ht="18" customHeight="1">
      <c r="Z263" s="1125" t="str">
        <f>IF(ISBLANK(人物卡!X133),"",人物卡!X133)</f>
        <v/>
      </c>
      <c r="AA263" s="1126">
        <f>Z227*AD263</f>
        <v>0</v>
      </c>
      <c r="AB263" s="1126">
        <f>Z231*AD263</f>
        <v>0</v>
      </c>
      <c r="AC263" s="1126" t="str">
        <f>IF(Z229="没有","没有",Z229*AD263)</f>
        <v>没有</v>
      </c>
      <c r="AD263" s="1007">
        <f>人物卡!AB133</f>
        <v>0</v>
      </c>
      <c r="AE263" s="1125" t="str">
        <f>IF(ISBLANK(人物卡!X133),"",人物卡!X133)</f>
        <v/>
      </c>
      <c r="AF263" s="1127">
        <f>AA263/20</f>
        <v>0</v>
      </c>
      <c r="AG263" s="1127">
        <f>AB263/20</f>
        <v>0</v>
      </c>
      <c r="AH263" s="1128" t="str">
        <f>AC263</f>
        <v>没有</v>
      </c>
      <c r="BC263" s="1059" t="s">
        <v>4761</v>
      </c>
    </row>
    <row r="264" spans="26:56" ht="18" customHeight="1">
      <c r="BC264" s="1059" t="s">
        <v>5388</v>
      </c>
    </row>
    <row r="265" spans="26:56" ht="18" customHeight="1">
      <c r="BC265" s="1059" t="s">
        <v>5389</v>
      </c>
    </row>
    <row r="266" spans="26:56" ht="18" customHeight="1">
      <c r="BC266" s="1059" t="s">
        <v>5390</v>
      </c>
      <c r="BD266" s="401"/>
    </row>
    <row r="267" spans="26:56" ht="18" customHeight="1">
      <c r="AA267" s="838"/>
      <c r="AB267" s="838"/>
      <c r="AC267" s="838"/>
      <c r="AD267" s="838"/>
      <c r="AF267" s="838"/>
      <c r="AG267" s="838"/>
      <c r="AH267" s="838"/>
      <c r="AI267" s="838"/>
      <c r="BC267" s="1059" t="s">
        <v>751</v>
      </c>
      <c r="BD267" s="401"/>
    </row>
    <row r="268" spans="26:56" ht="18" customHeight="1">
      <c r="BC268" s="1059" t="s">
        <v>4776</v>
      </c>
      <c r="BD268" s="401"/>
    </row>
    <row r="269" spans="26:56" ht="18" customHeight="1">
      <c r="AA269" s="838"/>
      <c r="AB269" s="838"/>
      <c r="AC269" s="838"/>
      <c r="AD269" s="838"/>
      <c r="AE269" s="838"/>
      <c r="AF269" s="838"/>
      <c r="AG269" s="838"/>
      <c r="AH269" s="838"/>
      <c r="AI269" s="838"/>
      <c r="AM269" s="401"/>
      <c r="BC269" s="1059" t="s">
        <v>5391</v>
      </c>
      <c r="BD269" s="401"/>
    </row>
    <row r="270" spans="26:56" ht="18" customHeight="1">
      <c r="AA270" s="838"/>
      <c r="AB270" s="838"/>
      <c r="AC270" s="838"/>
      <c r="AD270" s="838"/>
      <c r="AE270" s="838"/>
      <c r="AF270" s="838"/>
      <c r="AG270" s="838"/>
      <c r="AH270" s="838"/>
      <c r="AI270" s="838"/>
      <c r="BC270" s="1059" t="s">
        <v>5392</v>
      </c>
      <c r="BD270" s="401"/>
    </row>
    <row r="271" spans="26:56" ht="18" customHeight="1">
      <c r="AA271" s="838"/>
      <c r="AB271" s="838"/>
      <c r="AC271" s="838"/>
      <c r="AD271" s="838"/>
      <c r="AF271" s="838"/>
      <c r="AG271" s="838"/>
      <c r="AH271" s="838"/>
      <c r="AI271" s="838"/>
      <c r="BC271" s="1059" t="s">
        <v>5393</v>
      </c>
      <c r="BD271" s="401"/>
    </row>
    <row r="272" spans="26:56" ht="18" customHeight="1">
      <c r="AA272" s="1129"/>
      <c r="AB272" s="838"/>
      <c r="AC272" s="838"/>
      <c r="AD272" s="838"/>
      <c r="AF272" s="1129"/>
      <c r="AG272" s="838"/>
      <c r="AH272" s="838"/>
      <c r="AI272" s="838"/>
      <c r="BC272" s="1059" t="s">
        <v>751</v>
      </c>
      <c r="BD272" s="401"/>
    </row>
    <row r="273" spans="27:55" ht="18" customHeight="1">
      <c r="AA273" s="838"/>
      <c r="AB273" s="838"/>
      <c r="AC273" s="838"/>
      <c r="AD273" s="838"/>
      <c r="AF273" s="838"/>
      <c r="AG273" s="838"/>
      <c r="AH273" s="838"/>
      <c r="AI273" s="838"/>
      <c r="BC273" s="1059" t="s">
        <v>4780</v>
      </c>
    </row>
    <row r="274" spans="27:55" ht="18" customHeight="1">
      <c r="AA274" s="1129"/>
      <c r="AB274" s="838"/>
      <c r="AC274" s="838"/>
      <c r="AD274" s="838"/>
      <c r="AF274" s="1129"/>
      <c r="AG274" s="838"/>
      <c r="AH274" s="838"/>
      <c r="AI274" s="838"/>
      <c r="BC274" s="1059" t="s">
        <v>5394</v>
      </c>
    </row>
    <row r="275" spans="27:55" ht="18" customHeight="1">
      <c r="BC275" s="1059" t="s">
        <v>5395</v>
      </c>
    </row>
    <row r="276" spans="27:55" ht="18" customHeight="1">
      <c r="BC276" s="1059" t="s">
        <v>751</v>
      </c>
    </row>
    <row r="277" spans="27:55" ht="18" customHeight="1">
      <c r="BC277" s="1059" t="s">
        <v>4787</v>
      </c>
    </row>
    <row r="278" spans="27:55" ht="18" customHeight="1">
      <c r="BC278" s="1059" t="s">
        <v>5396</v>
      </c>
    </row>
    <row r="279" spans="27:55" ht="18" customHeight="1">
      <c r="BC279" s="1059" t="s">
        <v>5397</v>
      </c>
    </row>
    <row r="280" spans="27:55" ht="18" customHeight="1">
      <c r="BC280" s="1059" t="s">
        <v>751</v>
      </c>
    </row>
    <row r="281" spans="27:55" ht="18" customHeight="1">
      <c r="BC281" s="1059" t="s">
        <v>5398</v>
      </c>
    </row>
    <row r="282" spans="27:55" ht="18" customHeight="1">
      <c r="BC282" s="1059" t="s">
        <v>5399</v>
      </c>
    </row>
    <row r="283" spans="27:55" ht="18" customHeight="1">
      <c r="BC283" s="1059" t="s">
        <v>751</v>
      </c>
    </row>
    <row r="284" spans="27:55" ht="18" customHeight="1">
      <c r="BC284" s="1059" t="s">
        <v>4758</v>
      </c>
    </row>
    <row r="285" spans="27:55" ht="18" customHeight="1">
      <c r="BC285" s="1059" t="s">
        <v>5400</v>
      </c>
    </row>
    <row r="286" spans="27:55" ht="18" customHeight="1">
      <c r="BC286" s="1059" t="s">
        <v>751</v>
      </c>
    </row>
    <row r="287" spans="27:55" ht="18" customHeight="1">
      <c r="BC287" s="1059" t="s">
        <v>5401</v>
      </c>
    </row>
    <row r="288" spans="27:55" ht="18" customHeight="1">
      <c r="BC288" s="1059" t="s">
        <v>5402</v>
      </c>
    </row>
    <row r="289" spans="55:55" ht="18" customHeight="1">
      <c r="BC289" s="1059" t="s">
        <v>751</v>
      </c>
    </row>
    <row r="290" spans="55:55" ht="18" customHeight="1">
      <c r="BC290" s="1059" t="s">
        <v>4762</v>
      </c>
    </row>
    <row r="291" spans="55:55" ht="18" customHeight="1">
      <c r="BC291" s="1059" t="s">
        <v>5403</v>
      </c>
    </row>
    <row r="292" spans="55:55" ht="18" customHeight="1">
      <c r="BC292" s="1059" t="s">
        <v>751</v>
      </c>
    </row>
    <row r="293" spans="55:55" ht="18" customHeight="1">
      <c r="BC293" s="1059" t="s">
        <v>4769</v>
      </c>
    </row>
    <row r="294" spans="55:55" ht="18" customHeight="1">
      <c r="BC294" s="1059" t="s">
        <v>5404</v>
      </c>
    </row>
    <row r="295" spans="55:55" ht="18" customHeight="1">
      <c r="BC295" s="1059" t="s">
        <v>751</v>
      </c>
    </row>
    <row r="296" spans="55:55" ht="18" customHeight="1">
      <c r="BC296" s="1059" t="s">
        <v>5405</v>
      </c>
    </row>
    <row r="297" spans="55:55" ht="18" customHeight="1">
      <c r="BC297" s="1059" t="s">
        <v>5406</v>
      </c>
    </row>
    <row r="298" spans="55:55" ht="18" customHeight="1">
      <c r="BC298" s="1059" t="s">
        <v>751</v>
      </c>
    </row>
    <row r="299" spans="55:55" ht="18" customHeight="1">
      <c r="BC299" s="1059" t="s">
        <v>4774</v>
      </c>
    </row>
    <row r="300" spans="55:55" ht="18" customHeight="1">
      <c r="BC300" s="1059" t="s">
        <v>5407</v>
      </c>
    </row>
    <row r="301" spans="55:55" ht="18" customHeight="1">
      <c r="BC301" s="1059" t="s">
        <v>751</v>
      </c>
    </row>
    <row r="302" spans="55:55" ht="18" customHeight="1">
      <c r="BC302" s="1059" t="s">
        <v>4775</v>
      </c>
    </row>
    <row r="303" spans="55:55" ht="18" customHeight="1">
      <c r="BC303" s="1059" t="s">
        <v>5408</v>
      </c>
    </row>
    <row r="304" spans="55:55" ht="18" customHeight="1">
      <c r="BC304" s="1059" t="s">
        <v>751</v>
      </c>
    </row>
    <row r="305" spans="55:55" ht="18" customHeight="1">
      <c r="BC305" s="1059" t="s">
        <v>4785</v>
      </c>
    </row>
    <row r="306" spans="55:55" ht="18" customHeight="1">
      <c r="BC306" s="1059" t="s">
        <v>5409</v>
      </c>
    </row>
    <row r="307" spans="55:55" ht="18" customHeight="1">
      <c r="BC307" s="1059" t="s">
        <v>751</v>
      </c>
    </row>
    <row r="308" spans="55:55" ht="18" customHeight="1">
      <c r="BC308" s="1059" t="s">
        <v>751</v>
      </c>
    </row>
    <row r="309" spans="55:55" ht="18" customHeight="1">
      <c r="BC309" s="1059" t="s">
        <v>5410</v>
      </c>
    </row>
    <row r="310" spans="55:55" ht="18" customHeight="1">
      <c r="BC310" s="1059" t="s">
        <v>5411</v>
      </c>
    </row>
    <row r="311" spans="55:55" ht="18" customHeight="1">
      <c r="BC311" s="1059" t="s">
        <v>5412</v>
      </c>
    </row>
    <row r="312" spans="55:55" ht="18" customHeight="1">
      <c r="BC312" s="1059" t="s">
        <v>5413</v>
      </c>
    </row>
    <row r="313" spans="55:55" ht="18" customHeight="1">
      <c r="BC313" s="1059" t="s">
        <v>5414</v>
      </c>
    </row>
    <row r="314" spans="55:55" ht="18" customHeight="1">
      <c r="BC314" s="1059" t="s">
        <v>5415</v>
      </c>
    </row>
    <row r="315" spans="55:55" ht="18" customHeight="1">
      <c r="BC315" s="1059" t="s">
        <v>5416</v>
      </c>
    </row>
    <row r="316" spans="55:55" ht="18" customHeight="1">
      <c r="BC316" s="1059" t="s">
        <v>5417</v>
      </c>
    </row>
    <row r="317" spans="55:55" ht="18" customHeight="1">
      <c r="BC317" s="1059" t="s">
        <v>5418</v>
      </c>
    </row>
    <row r="318" spans="55:55" ht="18" customHeight="1">
      <c r="BC318" s="1059" t="s">
        <v>5419</v>
      </c>
    </row>
    <row r="319" spans="55:55" ht="18" customHeight="1">
      <c r="BC319" s="1059" t="s">
        <v>5420</v>
      </c>
    </row>
    <row r="320" spans="55:55" ht="18" customHeight="1">
      <c r="BC320" s="1059" t="s">
        <v>5421</v>
      </c>
    </row>
    <row r="321" spans="55:55" ht="18" customHeight="1">
      <c r="BC321" s="1059" t="s">
        <v>5422</v>
      </c>
    </row>
    <row r="322" spans="55:55" ht="18" customHeight="1">
      <c r="BC322" s="1059" t="s">
        <v>5423</v>
      </c>
    </row>
    <row r="323" spans="55:55" ht="18" customHeight="1">
      <c r="BC323" s="1059" t="s">
        <v>5424</v>
      </c>
    </row>
    <row r="324" spans="55:55">
      <c r="BC324" s="1059" t="s">
        <v>5425</v>
      </c>
    </row>
    <row r="325" spans="55:55">
      <c r="BC325" s="1059" t="s">
        <v>5426</v>
      </c>
    </row>
    <row r="326" spans="55:55">
      <c r="BC326" s="1059" t="s">
        <v>751</v>
      </c>
    </row>
    <row r="327" spans="55:55">
      <c r="BC327" s="1059" t="s">
        <v>5427</v>
      </c>
    </row>
    <row r="328" spans="55:55">
      <c r="BC328" s="1059" t="s">
        <v>5428</v>
      </c>
    </row>
    <row r="329" spans="55:55">
      <c r="BC329" s="1059" t="s">
        <v>5429</v>
      </c>
    </row>
    <row r="330" spans="55:55">
      <c r="BC330" s="1059" t="s">
        <v>5430</v>
      </c>
    </row>
    <row r="331" spans="55:55">
      <c r="BC331" s="1059" t="s">
        <v>5431</v>
      </c>
    </row>
    <row r="332" spans="55:55">
      <c r="BC332" s="1059" t="s">
        <v>5432</v>
      </c>
    </row>
    <row r="333" spans="55:55">
      <c r="BC333" s="1059" t="s">
        <v>5433</v>
      </c>
    </row>
    <row r="334" spans="55:55">
      <c r="BC334" s="1059" t="s">
        <v>5434</v>
      </c>
    </row>
    <row r="335" spans="55:55">
      <c r="BC335" s="1059" t="s">
        <v>5435</v>
      </c>
    </row>
    <row r="336" spans="55:55">
      <c r="BC336" s="1059" t="s">
        <v>751</v>
      </c>
    </row>
    <row r="337" spans="55:55">
      <c r="BC337" s="1059" t="s">
        <v>5436</v>
      </c>
    </row>
    <row r="338" spans="55:55">
      <c r="BC338" s="1059" t="s">
        <v>5437</v>
      </c>
    </row>
    <row r="339" spans="55:55">
      <c r="BC339" s="1059" t="s">
        <v>5438</v>
      </c>
    </row>
    <row r="340" spans="55:55">
      <c r="BC340" s="1059" t="s">
        <v>5439</v>
      </c>
    </row>
    <row r="341" spans="55:55">
      <c r="BC341" s="1059" t="s">
        <v>751</v>
      </c>
    </row>
    <row r="342" spans="55:55">
      <c r="BC342" s="1059" t="s">
        <v>5440</v>
      </c>
    </row>
    <row r="343" spans="55:55">
      <c r="BC343" s="1059" t="s">
        <v>5441</v>
      </c>
    </row>
    <row r="344" spans="55:55">
      <c r="BC344" s="1059" t="s">
        <v>5442</v>
      </c>
    </row>
    <row r="345" spans="55:55">
      <c r="BC345" s="1059" t="s">
        <v>5443</v>
      </c>
    </row>
    <row r="346" spans="55:55">
      <c r="BC346" s="1059" t="s">
        <v>5444</v>
      </c>
    </row>
    <row r="347" spans="55:55">
      <c r="BC347" s="1059" t="s">
        <v>5445</v>
      </c>
    </row>
    <row r="348" spans="55:55">
      <c r="BC348" s="1059" t="s">
        <v>5446</v>
      </c>
    </row>
    <row r="349" spans="55:55">
      <c r="BC349" s="1059" t="s">
        <v>751</v>
      </c>
    </row>
    <row r="350" spans="55:55">
      <c r="BC350" s="1059" t="s">
        <v>5447</v>
      </c>
    </row>
    <row r="351" spans="55:55">
      <c r="BC351" s="1059" t="s">
        <v>5448</v>
      </c>
    </row>
    <row r="352" spans="55:55">
      <c r="BC352" s="1059" t="s">
        <v>5449</v>
      </c>
    </row>
    <row r="353" spans="55:55">
      <c r="BC353" s="1059" t="s">
        <v>5450</v>
      </c>
    </row>
    <row r="354" spans="55:55">
      <c r="BC354" s="1059" t="s">
        <v>5451</v>
      </c>
    </row>
    <row r="355" spans="55:55">
      <c r="BC355" s="1059" t="s">
        <v>5452</v>
      </c>
    </row>
    <row r="356" spans="55:55">
      <c r="BC356" s="1059" t="s">
        <v>5453</v>
      </c>
    </row>
    <row r="357" spans="55:55">
      <c r="BC357" s="1059" t="s">
        <v>751</v>
      </c>
    </row>
    <row r="358" spans="55:55">
      <c r="BC358" s="1059" t="s">
        <v>5454</v>
      </c>
    </row>
    <row r="359" spans="55:55">
      <c r="BC359" s="1059" t="s">
        <v>5455</v>
      </c>
    </row>
    <row r="360" spans="55:55">
      <c r="BC360" s="1059" t="s">
        <v>5456</v>
      </c>
    </row>
    <row r="361" spans="55:55">
      <c r="BC361" s="1059" t="s">
        <v>751</v>
      </c>
    </row>
    <row r="362" spans="55:55">
      <c r="BC362" s="1059" t="s">
        <v>5457</v>
      </c>
    </row>
    <row r="363" spans="55:55">
      <c r="BC363" s="1059" t="s">
        <v>5458</v>
      </c>
    </row>
    <row r="364" spans="55:55">
      <c r="BC364" s="1059" t="s">
        <v>5459</v>
      </c>
    </row>
    <row r="365" spans="55:55">
      <c r="BC365" s="1059" t="s">
        <v>5460</v>
      </c>
    </row>
    <row r="366" spans="55:55">
      <c r="BC366" s="1059" t="s">
        <v>751</v>
      </c>
    </row>
    <row r="367" spans="55:55">
      <c r="BC367" s="1059" t="s">
        <v>5461</v>
      </c>
    </row>
    <row r="368" spans="55:55">
      <c r="BC368" s="1059" t="s">
        <v>5462</v>
      </c>
    </row>
    <row r="369" spans="55:55">
      <c r="BC369" s="1059" t="s">
        <v>751</v>
      </c>
    </row>
    <row r="370" spans="55:55">
      <c r="BC370" s="1059" t="s">
        <v>5463</v>
      </c>
    </row>
    <row r="371" spans="55:55">
      <c r="BC371" s="1059" t="s">
        <v>5464</v>
      </c>
    </row>
    <row r="372" spans="55:55">
      <c r="BC372" s="1059" t="s">
        <v>5465</v>
      </c>
    </row>
    <row r="373" spans="55:55">
      <c r="BC373" s="1059" t="s">
        <v>5466</v>
      </c>
    </row>
    <row r="374" spans="55:55">
      <c r="BC374" s="1059" t="s">
        <v>751</v>
      </c>
    </row>
    <row r="375" spans="55:55">
      <c r="BC375" s="1059" t="s">
        <v>5467</v>
      </c>
    </row>
    <row r="376" spans="55:55">
      <c r="BC376" s="1059" t="s">
        <v>5468</v>
      </c>
    </row>
    <row r="377" spans="55:55">
      <c r="BC377" s="1059" t="s">
        <v>751</v>
      </c>
    </row>
    <row r="378" spans="55:55">
      <c r="BC378" s="1059" t="s">
        <v>5469</v>
      </c>
    </row>
    <row r="379" spans="55:55">
      <c r="BC379" s="1059" t="s">
        <v>5470</v>
      </c>
    </row>
    <row r="380" spans="55:55">
      <c r="BC380" s="1059" t="s">
        <v>5471</v>
      </c>
    </row>
    <row r="381" spans="55:55">
      <c r="BC381" s="1059" t="s">
        <v>5472</v>
      </c>
    </row>
    <row r="382" spans="55:55">
      <c r="BC382" s="1059" t="s">
        <v>5473</v>
      </c>
    </row>
    <row r="383" spans="55:55">
      <c r="BC383" s="1059" t="s">
        <v>5474</v>
      </c>
    </row>
    <row r="384" spans="55:55">
      <c r="BC384" s="1059" t="s">
        <v>5475</v>
      </c>
    </row>
    <row r="385" spans="55:55">
      <c r="BC385" s="1059" t="s">
        <v>5476</v>
      </c>
    </row>
    <row r="386" spans="55:55">
      <c r="BC386" s="1059" t="s">
        <v>751</v>
      </c>
    </row>
    <row r="387" spans="55:55">
      <c r="BC387" s="1059" t="s">
        <v>5477</v>
      </c>
    </row>
    <row r="388" spans="55:55">
      <c r="BC388" s="1059" t="s">
        <v>5478</v>
      </c>
    </row>
    <row r="389" spans="55:55">
      <c r="BC389" s="1059" t="s">
        <v>5479</v>
      </c>
    </row>
    <row r="390" spans="55:55">
      <c r="BC390" s="1059" t="s">
        <v>5480</v>
      </c>
    </row>
    <row r="391" spans="55:55">
      <c r="BC391" s="1059" t="s">
        <v>5481</v>
      </c>
    </row>
    <row r="392" spans="55:55">
      <c r="BC392" s="1059" t="s">
        <v>5482</v>
      </c>
    </row>
    <row r="393" spans="55:55">
      <c r="BC393" s="1059" t="s">
        <v>5483</v>
      </c>
    </row>
    <row r="394" spans="55:55">
      <c r="BC394" s="1059" t="s">
        <v>751</v>
      </c>
    </row>
    <row r="395" spans="55:55">
      <c r="BC395" s="1059" t="s">
        <v>5484</v>
      </c>
    </row>
    <row r="396" spans="55:55">
      <c r="BC396" s="1059" t="s">
        <v>5485</v>
      </c>
    </row>
    <row r="397" spans="55:55">
      <c r="BC397" s="1059" t="s">
        <v>751</v>
      </c>
    </row>
    <row r="398" spans="55:55">
      <c r="BC398" s="1059" t="s">
        <v>5486</v>
      </c>
    </row>
    <row r="399" spans="55:55">
      <c r="BC399" s="1059" t="s">
        <v>5487</v>
      </c>
    </row>
    <row r="400" spans="55:55">
      <c r="BC400" s="1059" t="s">
        <v>5488</v>
      </c>
    </row>
    <row r="401" spans="55:55">
      <c r="BC401" s="1059" t="s">
        <v>751</v>
      </c>
    </row>
    <row r="402" spans="55:55">
      <c r="BC402" s="1059" t="s">
        <v>5489</v>
      </c>
    </row>
    <row r="403" spans="55:55">
      <c r="BC403" s="1059" t="s">
        <v>5490</v>
      </c>
    </row>
    <row r="404" spans="55:55">
      <c r="BC404" s="1059" t="s">
        <v>5491</v>
      </c>
    </row>
    <row r="405" spans="55:55">
      <c r="BC405" s="1059" t="s">
        <v>5472</v>
      </c>
    </row>
    <row r="406" spans="55:55">
      <c r="BC406" s="1059" t="s">
        <v>751</v>
      </c>
    </row>
    <row r="407" spans="55:55">
      <c r="BC407" s="1059" t="s">
        <v>5492</v>
      </c>
    </row>
    <row r="408" spans="55:55">
      <c r="BC408" s="1059" t="s">
        <v>5493</v>
      </c>
    </row>
    <row r="409" spans="55:55">
      <c r="BC409" s="1059" t="s">
        <v>751</v>
      </c>
    </row>
    <row r="410" spans="55:55">
      <c r="BC410" s="1059" t="s">
        <v>5494</v>
      </c>
    </row>
    <row r="411" spans="55:55">
      <c r="BC411" s="1059" t="s">
        <v>5495</v>
      </c>
    </row>
    <row r="412" spans="55:55">
      <c r="BC412" s="1059" t="s">
        <v>751</v>
      </c>
    </row>
    <row r="413" spans="55:55">
      <c r="BC413" s="1059" t="s">
        <v>5496</v>
      </c>
    </row>
    <row r="414" spans="55:55">
      <c r="BC414" s="1059" t="s">
        <v>5497</v>
      </c>
    </row>
    <row r="415" spans="55:55">
      <c r="BC415" s="1059" t="s">
        <v>5482</v>
      </c>
    </row>
    <row r="416" spans="55:55">
      <c r="BC416" s="1059" t="s">
        <v>5498</v>
      </c>
    </row>
    <row r="417" spans="55:55">
      <c r="BC417" s="1059" t="s">
        <v>5499</v>
      </c>
    </row>
    <row r="418" spans="55:55">
      <c r="BC418" s="1059" t="s">
        <v>751</v>
      </c>
    </row>
    <row r="419" spans="55:55">
      <c r="BC419" s="1059" t="s">
        <v>5500</v>
      </c>
    </row>
    <row r="420" spans="55:55">
      <c r="BC420" s="1059" t="s">
        <v>5501</v>
      </c>
    </row>
    <row r="421" spans="55:55">
      <c r="BC421" s="1059" t="s">
        <v>5502</v>
      </c>
    </row>
    <row r="422" spans="55:55">
      <c r="BC422" s="1059" t="s">
        <v>751</v>
      </c>
    </row>
    <row r="423" spans="55:55">
      <c r="BC423" s="1059" t="s">
        <v>5503</v>
      </c>
    </row>
    <row r="424" spans="55:55">
      <c r="BC424" s="1059" t="s">
        <v>5504</v>
      </c>
    </row>
    <row r="425" spans="55:55">
      <c r="BC425" s="1059" t="s">
        <v>5505</v>
      </c>
    </row>
    <row r="426" spans="55:55">
      <c r="BC426" s="1059" t="s">
        <v>5506</v>
      </c>
    </row>
    <row r="427" spans="55:55">
      <c r="BC427" s="1059" t="s">
        <v>751</v>
      </c>
    </row>
    <row r="428" spans="55:55">
      <c r="BC428" s="1059" t="s">
        <v>5507</v>
      </c>
    </row>
    <row r="429" spans="55:55">
      <c r="BC429" s="1059" t="s">
        <v>5508</v>
      </c>
    </row>
    <row r="430" spans="55:55">
      <c r="BC430" s="1059" t="s">
        <v>5509</v>
      </c>
    </row>
    <row r="431" spans="55:55">
      <c r="BC431" s="1059" t="s">
        <v>5510</v>
      </c>
    </row>
    <row r="432" spans="55:55">
      <c r="BC432" s="1059" t="s">
        <v>5511</v>
      </c>
    </row>
    <row r="433" spans="55:55">
      <c r="BC433" s="1059" t="s">
        <v>5512</v>
      </c>
    </row>
    <row r="434" spans="55:55">
      <c r="BC434" s="1059" t="s">
        <v>5513</v>
      </c>
    </row>
    <row r="435" spans="55:55">
      <c r="BC435" s="1059" t="s">
        <v>5514</v>
      </c>
    </row>
    <row r="436" spans="55:55">
      <c r="BC436" s="1059" t="s">
        <v>751</v>
      </c>
    </row>
    <row r="437" spans="55:55">
      <c r="BC437" s="1059" t="s">
        <v>5515</v>
      </c>
    </row>
    <row r="438" spans="55:55">
      <c r="BC438" s="1059" t="s">
        <v>5516</v>
      </c>
    </row>
    <row r="439" spans="55:55">
      <c r="BC439" s="1059" t="s">
        <v>5517</v>
      </c>
    </row>
    <row r="440" spans="55:55">
      <c r="BC440" s="1059" t="s">
        <v>5518</v>
      </c>
    </row>
    <row r="441" spans="55:55">
      <c r="BC441" s="1059" t="s">
        <v>5519</v>
      </c>
    </row>
    <row r="442" spans="55:55">
      <c r="BC442" s="1059" t="s">
        <v>5520</v>
      </c>
    </row>
    <row r="443" spans="55:55">
      <c r="BC443" s="1059" t="s">
        <v>751</v>
      </c>
    </row>
    <row r="444" spans="55:55">
      <c r="BC444" s="1059" t="s">
        <v>5521</v>
      </c>
    </row>
    <row r="445" spans="55:55">
      <c r="BC445" s="1059" t="s">
        <v>5522</v>
      </c>
    </row>
    <row r="446" spans="55:55">
      <c r="BC446" s="1059" t="s">
        <v>5523</v>
      </c>
    </row>
    <row r="447" spans="55:55">
      <c r="BC447" s="1059" t="s">
        <v>5524</v>
      </c>
    </row>
    <row r="448" spans="55:55">
      <c r="BC448" s="1059" t="s">
        <v>5525</v>
      </c>
    </row>
    <row r="449" spans="55:55">
      <c r="BC449" s="1059" t="s">
        <v>751</v>
      </c>
    </row>
    <row r="450" spans="55:55">
      <c r="BC450" s="1059" t="s">
        <v>5526</v>
      </c>
    </row>
    <row r="451" spans="55:55">
      <c r="BC451" s="1059" t="s">
        <v>5527</v>
      </c>
    </row>
    <row r="452" spans="55:55">
      <c r="BC452" s="1059" t="s">
        <v>751</v>
      </c>
    </row>
    <row r="453" spans="55:55">
      <c r="BC453" s="1059" t="s">
        <v>5528</v>
      </c>
    </row>
    <row r="454" spans="55:55">
      <c r="BC454" s="1059" t="s">
        <v>5529</v>
      </c>
    </row>
    <row r="455" spans="55:55">
      <c r="BC455" s="1059" t="s">
        <v>751</v>
      </c>
    </row>
    <row r="456" spans="55:55">
      <c r="BC456" s="1059" t="s">
        <v>5530</v>
      </c>
    </row>
    <row r="457" spans="55:55">
      <c r="BC457" s="1059" t="s">
        <v>5531</v>
      </c>
    </row>
    <row r="458" spans="55:55">
      <c r="BC458" s="1059" t="s">
        <v>5532</v>
      </c>
    </row>
    <row r="459" spans="55:55">
      <c r="BC459" s="1059" t="s">
        <v>5533</v>
      </c>
    </row>
    <row r="460" spans="55:55">
      <c r="BC460" s="1059" t="s">
        <v>5534</v>
      </c>
    </row>
    <row r="461" spans="55:55">
      <c r="BC461" s="1059" t="s">
        <v>5535</v>
      </c>
    </row>
    <row r="462" spans="55:55">
      <c r="BC462" s="1059" t="s">
        <v>5536</v>
      </c>
    </row>
    <row r="463" spans="55:55">
      <c r="BC463" s="1059" t="s">
        <v>5537</v>
      </c>
    </row>
    <row r="464" spans="55:55">
      <c r="BC464" s="1059" t="s">
        <v>751</v>
      </c>
    </row>
    <row r="465" spans="55:55">
      <c r="BC465" s="1059" t="s">
        <v>5538</v>
      </c>
    </row>
    <row r="466" spans="55:55">
      <c r="BC466" s="1059" t="s">
        <v>5539</v>
      </c>
    </row>
    <row r="467" spans="55:55">
      <c r="BC467" s="1059" t="s">
        <v>5499</v>
      </c>
    </row>
    <row r="468" spans="55:55">
      <c r="BC468" s="1059" t="s">
        <v>751</v>
      </c>
    </row>
    <row r="469" spans="55:55">
      <c r="BC469" s="1059" t="s">
        <v>5540</v>
      </c>
    </row>
    <row r="470" spans="55:55">
      <c r="BC470" s="1059" t="s">
        <v>5541</v>
      </c>
    </row>
    <row r="471" spans="55:55">
      <c r="BC471" s="1059" t="s">
        <v>5474</v>
      </c>
    </row>
    <row r="472" spans="55:55">
      <c r="BC472" s="1059" t="s">
        <v>751</v>
      </c>
    </row>
    <row r="473" spans="55:55">
      <c r="BC473" s="1059" t="s">
        <v>5542</v>
      </c>
    </row>
    <row r="474" spans="55:55">
      <c r="BC474" s="1059" t="s">
        <v>4527</v>
      </c>
    </row>
    <row r="475" spans="55:55">
      <c r="BC475" s="1059" t="s">
        <v>5543</v>
      </c>
    </row>
    <row r="476" spans="55:55">
      <c r="BC476" s="1059" t="s">
        <v>5544</v>
      </c>
    </row>
    <row r="477" spans="55:55">
      <c r="BC477" s="1059" t="s">
        <v>5545</v>
      </c>
    </row>
    <row r="478" spans="55:55">
      <c r="BC478" s="1059" t="s">
        <v>5546</v>
      </c>
    </row>
    <row r="479" spans="55:55">
      <c r="BC479" s="1059" t="s">
        <v>751</v>
      </c>
    </row>
    <row r="480" spans="55:55">
      <c r="BC480" s="1059" t="s">
        <v>5547</v>
      </c>
    </row>
    <row r="481" spans="55:55">
      <c r="BC481" s="1059" t="s">
        <v>5548</v>
      </c>
    </row>
    <row r="482" spans="55:55">
      <c r="BC482" s="1059" t="s">
        <v>751</v>
      </c>
    </row>
    <row r="483" spans="55:55">
      <c r="BC483" s="1059" t="s">
        <v>5549</v>
      </c>
    </row>
    <row r="484" spans="55:55">
      <c r="BC484" s="1059" t="s">
        <v>5550</v>
      </c>
    </row>
    <row r="485" spans="55:55">
      <c r="BC485" s="1059" t="s">
        <v>751</v>
      </c>
    </row>
    <row r="486" spans="55:55">
      <c r="BC486" s="1059" t="s">
        <v>5551</v>
      </c>
    </row>
    <row r="487" spans="55:55">
      <c r="BC487" s="1059" t="s">
        <v>5552</v>
      </c>
    </row>
    <row r="488" spans="55:55">
      <c r="BC488" s="1059" t="s">
        <v>5553</v>
      </c>
    </row>
    <row r="489" spans="55:55">
      <c r="BC489" s="1059" t="s">
        <v>5554</v>
      </c>
    </row>
    <row r="490" spans="55:55">
      <c r="BC490" s="1130" t="s">
        <v>5555</v>
      </c>
    </row>
    <row r="491" spans="55:55">
      <c r="BC491" s="836" t="s">
        <v>314</v>
      </c>
    </row>
  </sheetData>
  <protectedRanges>
    <protectedRange sqref="M5:M7 H8:L8 G3:G8" name="技能表以上"/>
    <protectedRange sqref="X90:X95" name="技能表以上_1_1"/>
    <protectedRange sqref="X81:X82 X87:X88 Z99 X87:Y98 X87:Y98 X84:Y90 X88:Y90" name="技能表以上_10"/>
    <protectedRange sqref="Y91:Y97" name="技能表以上_1_2"/>
    <protectedRange sqref="X91:X97" name="技能表以上_1_1_3"/>
  </protectedRanges>
  <mergeCells count="315">
    <mergeCell ref="AJ1:AL1"/>
    <mergeCell ref="B2:E2"/>
    <mergeCell ref="S2:AI2"/>
    <mergeCell ref="N3:P3"/>
    <mergeCell ref="C9:E9"/>
    <mergeCell ref="Y13:AB13"/>
    <mergeCell ref="O15:Q15"/>
    <mergeCell ref="B18:G18"/>
    <mergeCell ref="E19:G19"/>
    <mergeCell ref="AK4:AK9"/>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BA14:BA23"/>
    <mergeCell ref="E34:K34"/>
    <mergeCell ref="I36:M36"/>
    <mergeCell ref="BB36:BE36"/>
    <mergeCell ref="C38:E38"/>
    <mergeCell ref="S39:V39"/>
    <mergeCell ref="S40:V40"/>
    <mergeCell ref="S41:V41"/>
    <mergeCell ref="S42:V42"/>
    <mergeCell ref="S43:V43"/>
    <mergeCell ref="S44:V44"/>
    <mergeCell ref="E52:G52"/>
    <mergeCell ref="H52:I52"/>
    <mergeCell ref="J52:K52"/>
    <mergeCell ref="BB53:BD53"/>
    <mergeCell ref="M58:N58"/>
    <mergeCell ref="K68:N68"/>
    <mergeCell ref="O70:Q70"/>
    <mergeCell ref="D75:H75"/>
    <mergeCell ref="AV38:AV47"/>
    <mergeCell ref="AA67:AC70"/>
    <mergeCell ref="AA62:AC65"/>
    <mergeCell ref="AA56:AC59"/>
    <mergeCell ref="D76:H76"/>
    <mergeCell ref="D78:H78"/>
    <mergeCell ref="K78:M78"/>
    <mergeCell ref="D79:G79"/>
    <mergeCell ref="H79:I79"/>
    <mergeCell ref="K80:Q80"/>
    <mergeCell ref="K82:L82"/>
    <mergeCell ref="K89:O89"/>
    <mergeCell ref="J92:K92"/>
    <mergeCell ref="M92:Q92"/>
    <mergeCell ref="N106:Q106"/>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N205:R205"/>
    <mergeCell ref="T205:X205"/>
    <mergeCell ref="N206:R206"/>
    <mergeCell ref="T206:X206"/>
    <mergeCell ref="N207:R207"/>
    <mergeCell ref="T207:X207"/>
    <mergeCell ref="N208:R208"/>
    <mergeCell ref="T208:X208"/>
    <mergeCell ref="N209:R209"/>
    <mergeCell ref="T209:X209"/>
    <mergeCell ref="N210:R210"/>
    <mergeCell ref="T210:X210"/>
    <mergeCell ref="N211:R211"/>
    <mergeCell ref="T211:X211"/>
    <mergeCell ref="N212:R212"/>
    <mergeCell ref="T212:X212"/>
    <mergeCell ref="N213:R213"/>
    <mergeCell ref="T213:X213"/>
    <mergeCell ref="N214:R214"/>
    <mergeCell ref="T214:X214"/>
    <mergeCell ref="N215:R215"/>
    <mergeCell ref="T215:X215"/>
    <mergeCell ref="M217:N217"/>
    <mergeCell ref="O217:P217"/>
    <mergeCell ref="Q217:R217"/>
    <mergeCell ref="S217:T217"/>
    <mergeCell ref="U217:V217"/>
    <mergeCell ref="Z219:AH219"/>
    <mergeCell ref="Z221:AA221"/>
    <mergeCell ref="AE221:AG221"/>
    <mergeCell ref="Z222:AA222"/>
    <mergeCell ref="Z223:AA223"/>
    <mergeCell ref="Z224:AA224"/>
    <mergeCell ref="Z225:AA225"/>
    <mergeCell ref="Z226:AA226"/>
    <mergeCell ref="Z227:AA227"/>
    <mergeCell ref="Z228:AA228"/>
    <mergeCell ref="AE228:AG228"/>
    <mergeCell ref="Z229:AA229"/>
    <mergeCell ref="Z230:AA230"/>
    <mergeCell ref="Z231:AA231"/>
    <mergeCell ref="AE232:AG232"/>
    <mergeCell ref="Z233:AC233"/>
    <mergeCell ref="AE235:AG235"/>
    <mergeCell ref="AE238:AG238"/>
    <mergeCell ref="Z241:AG241"/>
    <mergeCell ref="A3:A4"/>
    <mergeCell ref="B3:B4"/>
    <mergeCell ref="C3:C4"/>
    <mergeCell ref="L94:L214"/>
    <mergeCell ref="AA34:AA44"/>
    <mergeCell ref="AC34:AC44"/>
    <mergeCell ref="AD40:AD44"/>
    <mergeCell ref="AF22:AF31"/>
    <mergeCell ref="AG22:AG31"/>
    <mergeCell ref="S24:V35"/>
    <mergeCell ref="S37:V38"/>
    <mergeCell ref="S46:V61"/>
    <mergeCell ref="E53:I58"/>
    <mergeCell ref="J53:K58"/>
    <mergeCell ref="S63:V74"/>
    <mergeCell ref="S76:V87"/>
    <mergeCell ref="AB221:AC231"/>
    <mergeCell ref="AA50:AC54"/>
  </mergeCells>
  <phoneticPr fontId="282" type="noConversion"/>
  <conditionalFormatting sqref="BH4">
    <cfRule type="expression" dxfId="22" priority="2">
      <formula>"人物卡!$F$5=1"</formula>
    </cfRule>
  </conditionalFormatting>
  <conditionalFormatting sqref="S10">
    <cfRule type="expression" dxfId="21" priority="4">
      <formula>"人物卡!$F$5=1"</formula>
    </cfRule>
  </conditionalFormatting>
  <conditionalFormatting sqref="S12">
    <cfRule type="expression" dxfId="20" priority="1">
      <formula>"人物卡!$F$5=1"</formula>
    </cfRule>
  </conditionalFormatting>
  <conditionalFormatting sqref="AJ1 S11 S4:S9">
    <cfRule type="expression" dxfId="19" priority="5">
      <formula>"人物卡!$F$5=1"</formula>
    </cfRule>
  </conditionalFormatting>
  <conditionalFormatting sqref="AK10:AK11 BH5:BH8">
    <cfRule type="expression" dxfId="18" priority="3">
      <formula>"人物卡!$F$5=1"</formula>
    </cfRule>
  </conditionalFormatting>
  <dataValidations count="120">
    <dataValidation errorStyle="warning" allowBlank="1" sqref="G14:O14" xr:uid="{00000000-0002-0000-01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100-000001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100-000002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100-000003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100-000004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100-000005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1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100-000007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100-000008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100-000009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100-00000A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100-00000B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100-00000C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100-00000D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100-00000E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100-00000F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100-000010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100-000011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100-000012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100-00001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100-00001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100-000015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100-000016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100-00001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100-000018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100-000019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100-00001A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100-00001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100-00001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100-00001D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100-00001E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100-00001F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100-000020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100-000021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100-00002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100-000023000000}"/>
    <dataValidation allowBlank="1" showInputMessage="1" showErrorMessage="1" promptTitle="Psychology (10%)" prompt="对所有人来说都很通用的察觉方面的技能，允许使用者研究个人并且形成对于其他某人动机和人格的了解。" sqref="X72" xr:uid="{00000000-0002-0000-0100-000024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100-000025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100-000026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100-000027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100-00002800000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100-000029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100-00002A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100-00002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100-00002C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100-00002D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100-00002E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100-00002F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100-00003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100-000031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100-000032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100-000033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100-000034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100-000035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100-000036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100-000037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100-000038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100-000039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100-00003A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100-00003B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100-00003C000000}"/>
    <dataValidation allowBlank="1" showInputMessage="1" showErrorMessage="1" promptTitle="Whip (05%)" prompt="套索以及鞭子。" sqref="U220" xr:uid="{00000000-0002-0000-0100-00003D000000}"/>
    <dataValidation allowBlank="1" showInputMessage="1" showErrorMessage="1" promptTitle="Photography (05%)" prompt="（这里写不下了所以写进批注）" sqref="M221" xr:uid="{00000000-0002-0000-0100-00003E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100-00003F000000}"/>
    <dataValidation allowBlank="1" showInputMessage="1" showErrorMessage="1" promptTitle="Submachine Gun (15%)" prompt="当用任何自动手枪或者冲锋枪开火时使用这个技能；同样也用于突击步枪的全自动模式。" sqref="Q221" xr:uid="{00000000-0002-0000-0100-000040000000}"/>
    <dataValidation allowBlank="1" showInputMessage="1" showErrorMessage="1" promptTitle="Chainsaw (10%)" prompt="第一个以汽油为能源，大量生产的电锯出现于 1927 年；然而，也存在着一些早期版本。" sqref="U221" xr:uid="{00000000-0002-0000-0100-000041000000}"/>
    <dataValidation allowBlank="1" sqref="AB221 AB226:AB227" xr:uid="{00000000-0002-0000-0100-000042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100-000043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100-000044000000}"/>
    <dataValidation allowBlank="1" showInputMessage="1" showErrorMessage="1" promptTitle="Bow (15%)" prompt="用来使用弓以及弩，包括从中世纪的长弓到现代，高性能的复合弓。" sqref="Q222" xr:uid="{00000000-0002-0000-0100-000045000000}"/>
    <dataValidation allowBlank="1" showInputMessage="1" showErrorMessage="1" promptTitle="Flail (10%)" prompt="双节棍，钉锤，以及相似的中世纪兵器。" sqref="U222" xr:uid="{00000000-0002-0000-0100-000046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100-000047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100-000048000000}"/>
    <dataValidation allowBlank="1" showInputMessage="1" showErrorMessage="1" promptTitle="Flamethrower (10%)" prompt="- 喷射出一连串点燃的可燃烧液体或者气体的武器。_x000a_- 可以被操作者携带或者架设在交通工具上。" sqref="Q223" xr:uid="{00000000-0002-0000-0100-000049000000}"/>
    <dataValidation allowBlank="1" showInputMessage="1" showErrorMessage="1" promptTitle="Garrote (15%)" prompt="任何长度的材料被用于绞死对方。需要受害者进行一个战技检定来逃脱，否则就要遭受每轮 1D6 的伤害。" sqref="U223" xr:uid="{00000000-0002-0000-0100-00004A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100-00004B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100-00004C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100-00004D000000}"/>
    <dataValidation allowBlank="1" showInputMessage="1" showErrorMessage="1" promptTitle="Axe (15%)" prompt="- 当使用大型的木斧时使用这个技能。_x000a_- 短柄小斧则可以用基础的斗殴技能；_x000a_- 如果投掷出去，使用投掷技能。" sqref="U224" xr:uid="{00000000-0002-0000-0100-00004E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100-00004F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100-000050000000}"/>
    <dataValidation allowBlank="1" showInputMessage="1" showErrorMessage="1" promptTitle="Heavy Weapons (10%)" prompt="用于使用枪榴弹发射器，反坦克火箭炮等等。" sqref="Q225" xr:uid="{00000000-0002-0000-0100-000051000000}"/>
    <dataValidation allowBlank="1" showInputMessage="1" showErrorMessage="1" promptTitle="Sword (20%)" prompt="所有的长度超过两英尺（半米）的剑器。" sqref="U225" xr:uid="{00000000-0002-0000-0100-000052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100-000053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100-000054000000}"/>
    <dataValidation allowBlank="1" showInputMessage="1" showErrorMessage="1" promptTitle="Spear (20%)" prompt="长枪或者投矛。如果投掷，使用投掷技能。" sqref="U226" xr:uid="{00000000-0002-0000-0100-000055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100-000056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100-000057000000}"/>
    <dataValidation allowBlank="1" showInputMessage="1" showErrorMessage="1" promptTitle="Hairdressing (05%)" prompt="理发师可以使用剪刀等工具帮他人理发，如果要给自己理发建议困难鉴定。该技能偏向于RP，请自行扮演。" sqref="M228" xr:uid="{00000000-0002-0000-0100-000058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100-000059000000}"/>
    <dataValidation allowBlank="1" showInputMessage="1" showErrorMessage="1" prompt="这是你所有资产加起来的总和。_x000a_包括房屋汽车家具等等等等。" sqref="Z228:AA228" xr:uid="{00000000-0002-0000-0100-00005A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100-00005B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100-00005C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100-00005D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100-00005E000000}"/>
    <dataValidation allowBlank="1" showInputMessage="1" showErrorMessage="1" promptTitle="提示" prompt="现金单位自行更换" sqref="Z230:AA230" xr:uid="{00000000-0002-0000-0100-00005F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100-000060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100-000061000000}"/>
    <dataValidation allowBlank="1" showInputMessage="1" showErrorMessage="1" promptTitle="Fishing (05%)" prompt="技艺者可以使用鱼竿、鱼叉、渔网等工具进行捕鱼。大成功说不定能钓到美人鱼上钩喔。" sqref="M232" xr:uid="{00000000-0002-0000-0100-000062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100-000063000000}"/>
    <dataValidation allowBlank="1" showInputMessage="1" showErrorMessage="1" promptTitle="Terracotta (05%)" prompt="使用者可以用来伪造陶瓷器，或者能理解某些陶瓷器的烧制过程。或许在某些时候（荒野求生）能有所帮助吧。" sqref="M234" xr:uid="{00000000-0002-0000-0100-000064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100-000065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100-000066000000}"/>
    <dataValidation allowBlank="1" showInputMessage="1" showErrorMessage="1" promptTitle="提示" prompt="以下汇率的时间为2018年10月" sqref="X236 Z241:AC241 AI253" xr:uid="{00000000-0002-0000-0100-000067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100-000068000000}"/>
    <dataValidation allowBlank="1" showInputMessage="1" showErrorMessage="1" promptTitle="Technical Drawing (05%)" prompt="技术制图，主要是建筑师凭此设计建筑的说法（自行脑补，以下省略XX字）" sqref="M238" xr:uid="{00000000-0002-0000-0100-000069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100-00006A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100-00006B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100-00006C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100-00006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M243" xr:uid="{00000000-0002-0000-0100-00006E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100-00006F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100-000070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100-000071000000}"/>
    <dataValidation allowBlank="1" showErrorMessage="1" sqref="B159:B184 B198:B212 A153:B158" xr:uid="{00000000-0002-0000-0100-000072000000}"/>
    <dataValidation allowBlank="1" showInputMessage="1" showErrorMessage="1" sqref="S4:S12" xr:uid="{00000000-0002-0000-0100-000073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100-000074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1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1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100-000077000000}"/>
  </dataValidations>
  <pageMargins left="0.75" right="0.75" top="1" bottom="1" header="0.51180555555555596" footer="0.51180555555555596"/>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Z155"/>
  <sheetViews>
    <sheetView workbookViewId="0">
      <selection activeCell="D5" sqref="D5:F6"/>
    </sheetView>
  </sheetViews>
  <sheetFormatPr defaultColWidth="3.6328125" defaultRowHeight="14" outlineLevelRow="1" outlineLevelCol="1"/>
  <cols>
    <col min="1" max="52" width="3.6328125" customWidth="1"/>
    <col min="53" max="101" width="3.6328125" customWidth="1" outlineLevel="1"/>
    <col min="102" max="102" width="3.6328125" customWidth="1"/>
  </cols>
  <sheetData>
    <row r="2" spans="2:101" ht="14.5">
      <c r="B2" s="3007" t="s">
        <v>5556</v>
      </c>
      <c r="C2" s="3008"/>
      <c r="D2" s="3008"/>
      <c r="E2" s="3008"/>
      <c r="F2" s="3008"/>
      <c r="G2" s="3008"/>
      <c r="H2" s="3008"/>
      <c r="I2" s="3008"/>
      <c r="J2" s="3008"/>
      <c r="K2" s="3008"/>
      <c r="L2" s="3008"/>
      <c r="M2" s="3008"/>
      <c r="N2" s="3008"/>
      <c r="O2" s="3008"/>
      <c r="P2" s="3008"/>
      <c r="Q2" s="3008"/>
      <c r="R2" s="3008"/>
      <c r="S2" s="3008"/>
      <c r="T2" s="3008"/>
      <c r="U2" s="3008"/>
      <c r="V2" s="3008"/>
      <c r="W2" s="3008"/>
      <c r="X2" s="3008"/>
      <c r="Y2" s="3008"/>
      <c r="Z2" s="3008"/>
      <c r="AA2" s="3008"/>
      <c r="AB2" s="3008"/>
      <c r="AC2" s="3008"/>
      <c r="AD2" s="3008"/>
      <c r="AE2" s="3008"/>
      <c r="AF2" s="3008"/>
      <c r="AG2" s="3008"/>
      <c r="AH2" s="3008"/>
      <c r="AI2" s="3008"/>
      <c r="AJ2" s="3008"/>
      <c r="AK2" s="3008"/>
      <c r="AL2" s="3008"/>
      <c r="AM2" s="3008"/>
      <c r="AN2" s="3008"/>
      <c r="AO2" s="3008"/>
      <c r="AP2" s="3008"/>
      <c r="AQ2" s="3008"/>
      <c r="AR2" s="3008"/>
      <c r="AS2" s="3008"/>
      <c r="AT2" s="3008"/>
      <c r="AU2" s="3008"/>
      <c r="AV2" s="3008"/>
      <c r="AW2" s="3008"/>
      <c r="AX2" s="3008"/>
      <c r="AY2" s="3008"/>
      <c r="AZ2" s="3008"/>
      <c r="BA2" s="3008"/>
      <c r="BB2" s="3008"/>
      <c r="BC2" s="3008"/>
      <c r="BD2" s="3008"/>
      <c r="BE2" s="3008"/>
      <c r="BF2" s="3008"/>
      <c r="BG2" s="3008"/>
      <c r="BH2" s="3008"/>
      <c r="BI2" s="3008"/>
      <c r="BJ2" s="3008"/>
      <c r="BK2" s="3008"/>
      <c r="BL2" s="3008"/>
      <c r="BM2" s="3008"/>
      <c r="BN2" s="3008"/>
      <c r="BO2" s="3008"/>
      <c r="BP2" s="3008"/>
      <c r="BQ2" s="3008"/>
      <c r="BR2" s="3008"/>
      <c r="BS2" s="3008"/>
      <c r="BT2" s="3008"/>
      <c r="BU2" s="3008"/>
      <c r="BV2" s="3008"/>
      <c r="BW2" s="3008"/>
      <c r="BX2" s="3008"/>
      <c r="BY2" s="3008"/>
      <c r="BZ2" s="3008"/>
      <c r="CA2" s="3008"/>
      <c r="CB2" s="3008"/>
      <c r="CC2" s="3008"/>
      <c r="CD2" s="3008"/>
      <c r="CE2" s="3008"/>
      <c r="CF2" s="3008"/>
      <c r="CG2" s="3008"/>
      <c r="CH2" s="3008"/>
      <c r="CI2" s="3008"/>
      <c r="CJ2" s="3008"/>
      <c r="CK2" s="3008"/>
      <c r="CL2" s="3008"/>
      <c r="CM2" s="3008"/>
      <c r="CN2" s="3008"/>
      <c r="CO2" s="3008"/>
      <c r="CP2" s="3008"/>
      <c r="CQ2" s="3008"/>
      <c r="CR2" s="3008"/>
      <c r="CS2" s="3008"/>
      <c r="CT2" s="3008"/>
      <c r="CU2" s="3008"/>
      <c r="CV2" s="3008"/>
      <c r="CW2" s="3009"/>
    </row>
    <row r="3" spans="2:101" ht="14.5">
      <c r="B3" s="3010" t="s">
        <v>5557</v>
      </c>
      <c r="C3" s="3011"/>
      <c r="D3" s="3012"/>
      <c r="E3" s="3012"/>
      <c r="F3" s="3012"/>
      <c r="G3" s="3012"/>
      <c r="H3" s="3012"/>
      <c r="I3" s="3012"/>
      <c r="J3" s="3012"/>
      <c r="K3" s="3012"/>
      <c r="L3" s="3012"/>
      <c r="M3" s="3012"/>
      <c r="N3" s="3012"/>
      <c r="O3" s="3012"/>
      <c r="P3" s="3012"/>
      <c r="Q3" s="3012"/>
      <c r="R3" s="3012"/>
      <c r="S3" s="3012"/>
      <c r="T3" s="3012"/>
      <c r="U3" s="3012"/>
      <c r="V3" s="3012" t="s">
        <v>5557</v>
      </c>
      <c r="W3" s="3012"/>
      <c r="X3" s="3012"/>
      <c r="Y3" s="3012"/>
      <c r="Z3" s="3012"/>
      <c r="AA3" s="3012"/>
      <c r="AB3" s="3012"/>
      <c r="AC3" s="3012"/>
      <c r="AD3" s="3012"/>
      <c r="AE3" s="3012"/>
      <c r="AF3" s="3012"/>
      <c r="AG3" s="3012"/>
      <c r="AH3" s="3012"/>
      <c r="AI3" s="3012"/>
      <c r="AJ3" s="3012"/>
      <c r="AK3" s="3012"/>
      <c r="AL3" s="3012"/>
      <c r="AM3" s="3012"/>
      <c r="AN3" s="3012"/>
      <c r="AO3" s="3012"/>
      <c r="AP3" s="3012" t="s">
        <v>5557</v>
      </c>
      <c r="AQ3" s="3012"/>
      <c r="AR3" s="3012"/>
      <c r="AS3" s="3012"/>
      <c r="AT3" s="3012"/>
      <c r="AU3" s="3012"/>
      <c r="AV3" s="3012"/>
      <c r="AW3" s="3012"/>
      <c r="AX3" s="3012"/>
      <c r="AY3" s="3012"/>
      <c r="AZ3" s="3012"/>
      <c r="BA3" s="3012"/>
      <c r="BB3" s="3012"/>
      <c r="BC3" s="3012"/>
      <c r="BD3" s="3012"/>
      <c r="BE3" s="3012"/>
      <c r="BF3" s="3012"/>
      <c r="BG3" s="3012"/>
      <c r="BH3" s="3012"/>
      <c r="BI3" s="3012"/>
      <c r="BJ3" s="3012" t="s">
        <v>5557</v>
      </c>
      <c r="BK3" s="3012"/>
      <c r="BL3" s="3012"/>
      <c r="BM3" s="3012"/>
      <c r="BN3" s="3012"/>
      <c r="BO3" s="3012"/>
      <c r="BP3" s="3012"/>
      <c r="BQ3" s="3012"/>
      <c r="BR3" s="3012"/>
      <c r="BS3" s="3012"/>
      <c r="BT3" s="3012"/>
      <c r="BU3" s="3012"/>
      <c r="BV3" s="3012"/>
      <c r="BW3" s="3012"/>
      <c r="BX3" s="3012"/>
      <c r="BY3" s="3012"/>
      <c r="BZ3" s="3012"/>
      <c r="CA3" s="3012"/>
      <c r="CB3" s="3012"/>
      <c r="CC3" s="3012"/>
      <c r="CD3" s="3012" t="s">
        <v>5557</v>
      </c>
      <c r="CE3" s="3012"/>
      <c r="CF3" s="3012"/>
      <c r="CG3" s="3012"/>
      <c r="CH3" s="3012"/>
      <c r="CI3" s="3012"/>
      <c r="CJ3" s="3012"/>
      <c r="CK3" s="3012"/>
      <c r="CL3" s="3012"/>
      <c r="CM3" s="3012"/>
      <c r="CN3" s="3012"/>
      <c r="CO3" s="3012"/>
      <c r="CP3" s="3012"/>
      <c r="CQ3" s="3012"/>
      <c r="CR3" s="3012"/>
      <c r="CS3" s="3012"/>
      <c r="CT3" s="3012"/>
      <c r="CU3" s="3012"/>
      <c r="CV3" s="3012"/>
      <c r="CW3" s="3013"/>
    </row>
    <row r="4" spans="2:101">
      <c r="B4" s="3014" t="s">
        <v>47</v>
      </c>
      <c r="C4" s="3015"/>
      <c r="D4" s="3016" t="s">
        <v>47</v>
      </c>
      <c r="E4" s="3017"/>
      <c r="F4" s="3017"/>
      <c r="G4" s="3017"/>
      <c r="H4" s="3017"/>
      <c r="I4" s="3017"/>
      <c r="J4" s="3017"/>
      <c r="K4" s="3018" t="s">
        <v>47</v>
      </c>
      <c r="L4" s="3018"/>
      <c r="M4" s="3018"/>
      <c r="N4" s="3018"/>
      <c r="O4" s="3018"/>
      <c r="P4" s="3018"/>
      <c r="Q4" s="3018"/>
      <c r="R4" s="3017" t="s">
        <v>47</v>
      </c>
      <c r="S4" s="3017"/>
      <c r="T4" s="3017"/>
      <c r="U4" s="3017"/>
      <c r="V4" s="3017"/>
      <c r="W4" s="3017"/>
      <c r="X4" s="3017"/>
      <c r="Y4" s="3018" t="s">
        <v>47</v>
      </c>
      <c r="Z4" s="3018"/>
      <c r="AA4" s="3018"/>
      <c r="AB4" s="3018"/>
      <c r="AC4" s="3018"/>
      <c r="AD4" s="3018"/>
      <c r="AE4" s="3018"/>
      <c r="AF4" s="3017" t="s">
        <v>47</v>
      </c>
      <c r="AG4" s="3017"/>
      <c r="AH4" s="3017"/>
      <c r="AI4" s="3017"/>
      <c r="AJ4" s="3017"/>
      <c r="AK4" s="3017"/>
      <c r="AL4" s="3017"/>
      <c r="AM4" s="3018" t="s">
        <v>47</v>
      </c>
      <c r="AN4" s="3018"/>
      <c r="AO4" s="3018"/>
      <c r="AP4" s="3018"/>
      <c r="AQ4" s="3018"/>
      <c r="AR4" s="3018"/>
      <c r="AS4" s="3018"/>
      <c r="AT4" s="3017" t="s">
        <v>47</v>
      </c>
      <c r="AU4" s="3017"/>
      <c r="AV4" s="3017"/>
      <c r="AW4" s="3017"/>
      <c r="AX4" s="3017"/>
      <c r="AY4" s="3017"/>
      <c r="AZ4" s="3017"/>
      <c r="BA4" s="3018" t="s">
        <v>47</v>
      </c>
      <c r="BB4" s="3018"/>
      <c r="BC4" s="3018"/>
      <c r="BD4" s="3018"/>
      <c r="BE4" s="3018"/>
      <c r="BF4" s="3018"/>
      <c r="BG4" s="3018"/>
      <c r="BH4" s="3017" t="s">
        <v>47</v>
      </c>
      <c r="BI4" s="3017"/>
      <c r="BJ4" s="3017"/>
      <c r="BK4" s="3017"/>
      <c r="BL4" s="3017"/>
      <c r="BM4" s="3017"/>
      <c r="BN4" s="3017"/>
      <c r="BO4" s="3018" t="s">
        <v>47</v>
      </c>
      <c r="BP4" s="3018"/>
      <c r="BQ4" s="3018"/>
      <c r="BR4" s="3018"/>
      <c r="BS4" s="3018"/>
      <c r="BT4" s="3018"/>
      <c r="BU4" s="3018"/>
      <c r="BV4" s="3017" t="s">
        <v>47</v>
      </c>
      <c r="BW4" s="3017"/>
      <c r="BX4" s="3017"/>
      <c r="BY4" s="3017"/>
      <c r="BZ4" s="3017"/>
      <c r="CA4" s="3017"/>
      <c r="CB4" s="3017"/>
      <c r="CC4" s="3018" t="s">
        <v>47</v>
      </c>
      <c r="CD4" s="3018"/>
      <c r="CE4" s="3018"/>
      <c r="CF4" s="3018"/>
      <c r="CG4" s="3018"/>
      <c r="CH4" s="3018"/>
      <c r="CI4" s="3018"/>
      <c r="CJ4" s="3017" t="s">
        <v>47</v>
      </c>
      <c r="CK4" s="3017"/>
      <c r="CL4" s="3017"/>
      <c r="CM4" s="3017"/>
      <c r="CN4" s="3017"/>
      <c r="CO4" s="3017"/>
      <c r="CP4" s="3017"/>
      <c r="CQ4" s="3018" t="s">
        <v>47</v>
      </c>
      <c r="CR4" s="3018"/>
      <c r="CS4" s="3018"/>
      <c r="CT4" s="3018"/>
      <c r="CU4" s="3018"/>
      <c r="CV4" s="3018"/>
      <c r="CW4" s="3019"/>
    </row>
    <row r="5" spans="2:101" outlineLevel="1">
      <c r="B5" s="2873" t="s">
        <v>5558</v>
      </c>
      <c r="C5" s="2874"/>
      <c r="D5" s="2875"/>
      <c r="E5" s="2875"/>
      <c r="F5" s="2875"/>
      <c r="G5" s="2875" t="s">
        <v>5559</v>
      </c>
      <c r="H5" s="2875"/>
      <c r="I5" s="2875"/>
      <c r="J5" s="2877"/>
      <c r="K5" s="2879"/>
      <c r="L5" s="2879"/>
      <c r="M5" s="2879"/>
      <c r="N5" s="2879" t="s">
        <v>5559</v>
      </c>
      <c r="O5" s="2879"/>
      <c r="P5" s="2879"/>
      <c r="Q5" s="2879"/>
      <c r="R5" s="2875"/>
      <c r="S5" s="2875"/>
      <c r="T5" s="2875"/>
      <c r="U5" s="2875" t="s">
        <v>5559</v>
      </c>
      <c r="V5" s="2875"/>
      <c r="W5" s="2875"/>
      <c r="X5" s="2877"/>
      <c r="Y5" s="2879"/>
      <c r="Z5" s="2879"/>
      <c r="AA5" s="2879"/>
      <c r="AB5" s="2879" t="s">
        <v>5559</v>
      </c>
      <c r="AC5" s="2879"/>
      <c r="AD5" s="2879"/>
      <c r="AE5" s="2879"/>
      <c r="AF5" s="2875"/>
      <c r="AG5" s="2875"/>
      <c r="AH5" s="2875"/>
      <c r="AI5" s="2875" t="s">
        <v>5559</v>
      </c>
      <c r="AJ5" s="2875"/>
      <c r="AK5" s="2875"/>
      <c r="AL5" s="2877"/>
      <c r="AM5" s="2879"/>
      <c r="AN5" s="2879"/>
      <c r="AO5" s="2879"/>
      <c r="AP5" s="2879" t="s">
        <v>5559</v>
      </c>
      <c r="AQ5" s="2879"/>
      <c r="AR5" s="2879"/>
      <c r="AS5" s="2879"/>
      <c r="AT5" s="2875"/>
      <c r="AU5" s="2875"/>
      <c r="AV5" s="2875"/>
      <c r="AW5" s="2875" t="s">
        <v>5559</v>
      </c>
      <c r="AX5" s="2875"/>
      <c r="AY5" s="2875"/>
      <c r="AZ5" s="2877"/>
      <c r="BA5" s="2879"/>
      <c r="BB5" s="2879"/>
      <c r="BC5" s="2879"/>
      <c r="BD5" s="2879" t="s">
        <v>5559</v>
      </c>
      <c r="BE5" s="2879"/>
      <c r="BF5" s="2879"/>
      <c r="BG5" s="2879"/>
      <c r="BH5" s="2875"/>
      <c r="BI5" s="2875"/>
      <c r="BJ5" s="2875"/>
      <c r="BK5" s="2875" t="s">
        <v>5559</v>
      </c>
      <c r="BL5" s="2875"/>
      <c r="BM5" s="2875"/>
      <c r="BN5" s="2877"/>
      <c r="BO5" s="2879"/>
      <c r="BP5" s="2879"/>
      <c r="BQ5" s="2879"/>
      <c r="BR5" s="2879" t="s">
        <v>5559</v>
      </c>
      <c r="BS5" s="2879"/>
      <c r="BT5" s="2879"/>
      <c r="BU5" s="2879"/>
      <c r="BV5" s="2875"/>
      <c r="BW5" s="2875"/>
      <c r="BX5" s="2875"/>
      <c r="BY5" s="2875" t="s">
        <v>5559</v>
      </c>
      <c r="BZ5" s="2875"/>
      <c r="CA5" s="2875"/>
      <c r="CB5" s="2877"/>
      <c r="CC5" s="2879"/>
      <c r="CD5" s="2879"/>
      <c r="CE5" s="2879"/>
      <c r="CF5" s="2879" t="s">
        <v>5559</v>
      </c>
      <c r="CG5" s="2879"/>
      <c r="CH5" s="2879"/>
      <c r="CI5" s="2879"/>
      <c r="CJ5" s="2875"/>
      <c r="CK5" s="2875"/>
      <c r="CL5" s="2875"/>
      <c r="CM5" s="2875" t="s">
        <v>5559</v>
      </c>
      <c r="CN5" s="2875"/>
      <c r="CO5" s="2875"/>
      <c r="CP5" s="2877"/>
      <c r="CQ5" s="2879"/>
      <c r="CR5" s="2879"/>
      <c r="CS5" s="2879"/>
      <c r="CT5" s="2879" t="s">
        <v>5559</v>
      </c>
      <c r="CU5" s="2879"/>
      <c r="CV5" s="2879"/>
      <c r="CW5" s="2888"/>
    </row>
    <row r="6" spans="2:101" outlineLevel="1">
      <c r="B6" s="2873"/>
      <c r="C6" s="2874"/>
      <c r="D6" s="2876"/>
      <c r="E6" s="2876"/>
      <c r="F6" s="2876"/>
      <c r="G6" s="2876"/>
      <c r="H6" s="2876"/>
      <c r="I6" s="2876"/>
      <c r="J6" s="2878"/>
      <c r="K6" s="2879"/>
      <c r="L6" s="2879"/>
      <c r="M6" s="2879"/>
      <c r="N6" s="2879"/>
      <c r="O6" s="2879"/>
      <c r="P6" s="2879"/>
      <c r="Q6" s="2879"/>
      <c r="R6" s="2876"/>
      <c r="S6" s="2876"/>
      <c r="T6" s="2876"/>
      <c r="U6" s="2876"/>
      <c r="V6" s="2876"/>
      <c r="W6" s="2876"/>
      <c r="X6" s="2878"/>
      <c r="Y6" s="2879"/>
      <c r="Z6" s="2879"/>
      <c r="AA6" s="2879"/>
      <c r="AB6" s="2879"/>
      <c r="AC6" s="2879"/>
      <c r="AD6" s="2879"/>
      <c r="AE6" s="2879"/>
      <c r="AF6" s="2876"/>
      <c r="AG6" s="2876"/>
      <c r="AH6" s="2876"/>
      <c r="AI6" s="2876"/>
      <c r="AJ6" s="2876"/>
      <c r="AK6" s="2876"/>
      <c r="AL6" s="2878"/>
      <c r="AM6" s="2879"/>
      <c r="AN6" s="2879"/>
      <c r="AO6" s="2879"/>
      <c r="AP6" s="2879"/>
      <c r="AQ6" s="2879"/>
      <c r="AR6" s="2879"/>
      <c r="AS6" s="2879"/>
      <c r="AT6" s="2876"/>
      <c r="AU6" s="2876"/>
      <c r="AV6" s="2876"/>
      <c r="AW6" s="2876"/>
      <c r="AX6" s="2876"/>
      <c r="AY6" s="2876"/>
      <c r="AZ6" s="2878"/>
      <c r="BA6" s="2879"/>
      <c r="BB6" s="2879"/>
      <c r="BC6" s="2879"/>
      <c r="BD6" s="2879"/>
      <c r="BE6" s="2879"/>
      <c r="BF6" s="2879"/>
      <c r="BG6" s="2879"/>
      <c r="BH6" s="2876"/>
      <c r="BI6" s="2876"/>
      <c r="BJ6" s="2876"/>
      <c r="BK6" s="2876"/>
      <c r="BL6" s="2876"/>
      <c r="BM6" s="2876"/>
      <c r="BN6" s="2878"/>
      <c r="BO6" s="2879"/>
      <c r="BP6" s="2879"/>
      <c r="BQ6" s="2879"/>
      <c r="BR6" s="2879"/>
      <c r="BS6" s="2879"/>
      <c r="BT6" s="2879"/>
      <c r="BU6" s="2879"/>
      <c r="BV6" s="2876"/>
      <c r="BW6" s="2876"/>
      <c r="BX6" s="2876"/>
      <c r="BY6" s="2876"/>
      <c r="BZ6" s="2876"/>
      <c r="CA6" s="2876"/>
      <c r="CB6" s="2878"/>
      <c r="CC6" s="2879"/>
      <c r="CD6" s="2879"/>
      <c r="CE6" s="2879"/>
      <c r="CF6" s="2879"/>
      <c r="CG6" s="2879"/>
      <c r="CH6" s="2879"/>
      <c r="CI6" s="2879"/>
      <c r="CJ6" s="2876"/>
      <c r="CK6" s="2876"/>
      <c r="CL6" s="2876"/>
      <c r="CM6" s="2876"/>
      <c r="CN6" s="2876"/>
      <c r="CO6" s="2876"/>
      <c r="CP6" s="2878"/>
      <c r="CQ6" s="2879"/>
      <c r="CR6" s="2879"/>
      <c r="CS6" s="2879"/>
      <c r="CT6" s="2879"/>
      <c r="CU6" s="2879"/>
      <c r="CV6" s="2879"/>
      <c r="CW6" s="2888"/>
    </row>
    <row r="7" spans="2:101" outlineLevel="1">
      <c r="B7" s="2873" t="s">
        <v>5560</v>
      </c>
      <c r="C7" s="2874"/>
      <c r="D7" s="2880"/>
      <c r="E7" s="2881"/>
      <c r="F7" s="2881"/>
      <c r="G7" s="2881"/>
      <c r="H7" s="2881"/>
      <c r="I7" s="2881"/>
      <c r="J7" s="2881"/>
      <c r="K7" s="2884"/>
      <c r="L7" s="2884"/>
      <c r="M7" s="2884"/>
      <c r="N7" s="2884"/>
      <c r="O7" s="2884"/>
      <c r="P7" s="2884"/>
      <c r="Q7" s="2884"/>
      <c r="R7" s="2881"/>
      <c r="S7" s="2881"/>
      <c r="T7" s="2881"/>
      <c r="U7" s="2881"/>
      <c r="V7" s="2881"/>
      <c r="W7" s="2881"/>
      <c r="X7" s="2881"/>
      <c r="Y7" s="2884"/>
      <c r="Z7" s="2884"/>
      <c r="AA7" s="2884"/>
      <c r="AB7" s="2884"/>
      <c r="AC7" s="2884"/>
      <c r="AD7" s="2884"/>
      <c r="AE7" s="2884"/>
      <c r="AF7" s="2881"/>
      <c r="AG7" s="2881"/>
      <c r="AH7" s="2881"/>
      <c r="AI7" s="2881"/>
      <c r="AJ7" s="2881"/>
      <c r="AK7" s="2881"/>
      <c r="AL7" s="2881"/>
      <c r="AM7" s="2884"/>
      <c r="AN7" s="2884"/>
      <c r="AO7" s="2884"/>
      <c r="AP7" s="2884"/>
      <c r="AQ7" s="2884"/>
      <c r="AR7" s="2884"/>
      <c r="AS7" s="2884"/>
      <c r="AT7" s="2881"/>
      <c r="AU7" s="2881"/>
      <c r="AV7" s="2881"/>
      <c r="AW7" s="2881"/>
      <c r="AX7" s="2881"/>
      <c r="AY7" s="2881"/>
      <c r="AZ7" s="2881"/>
      <c r="BA7" s="2884"/>
      <c r="BB7" s="2884"/>
      <c r="BC7" s="2884"/>
      <c r="BD7" s="2884"/>
      <c r="BE7" s="2884"/>
      <c r="BF7" s="2884"/>
      <c r="BG7" s="2884"/>
      <c r="BH7" s="2881"/>
      <c r="BI7" s="2881"/>
      <c r="BJ7" s="2881"/>
      <c r="BK7" s="2881"/>
      <c r="BL7" s="2881"/>
      <c r="BM7" s="2881"/>
      <c r="BN7" s="2881"/>
      <c r="BO7" s="2884"/>
      <c r="BP7" s="2884"/>
      <c r="BQ7" s="2884"/>
      <c r="BR7" s="2884"/>
      <c r="BS7" s="2884"/>
      <c r="BT7" s="2884"/>
      <c r="BU7" s="2884"/>
      <c r="BV7" s="2881"/>
      <c r="BW7" s="2881"/>
      <c r="BX7" s="2881"/>
      <c r="BY7" s="2881"/>
      <c r="BZ7" s="2881"/>
      <c r="CA7" s="2881"/>
      <c r="CB7" s="2881"/>
      <c r="CC7" s="2884"/>
      <c r="CD7" s="2884"/>
      <c r="CE7" s="2884"/>
      <c r="CF7" s="2884"/>
      <c r="CG7" s="2884"/>
      <c r="CH7" s="2884"/>
      <c r="CI7" s="2884"/>
      <c r="CJ7" s="2881"/>
      <c r="CK7" s="2881"/>
      <c r="CL7" s="2881"/>
      <c r="CM7" s="2881"/>
      <c r="CN7" s="2881"/>
      <c r="CO7" s="2881"/>
      <c r="CP7" s="2881"/>
      <c r="CQ7" s="2884"/>
      <c r="CR7" s="2884"/>
      <c r="CS7" s="2884"/>
      <c r="CT7" s="2884"/>
      <c r="CU7" s="2884"/>
      <c r="CV7" s="2884"/>
      <c r="CW7" s="2886"/>
    </row>
    <row r="8" spans="2:101" outlineLevel="1">
      <c r="B8" s="2873"/>
      <c r="C8" s="2874"/>
      <c r="D8" s="2880"/>
      <c r="E8" s="2881"/>
      <c r="F8" s="2881"/>
      <c r="G8" s="2881"/>
      <c r="H8" s="2881"/>
      <c r="I8" s="2881"/>
      <c r="J8" s="2881"/>
      <c r="K8" s="2884"/>
      <c r="L8" s="2884"/>
      <c r="M8" s="2884"/>
      <c r="N8" s="2884"/>
      <c r="O8" s="2884"/>
      <c r="P8" s="2884"/>
      <c r="Q8" s="2884"/>
      <c r="R8" s="2881"/>
      <c r="S8" s="2881"/>
      <c r="T8" s="2881"/>
      <c r="U8" s="2881"/>
      <c r="V8" s="2881"/>
      <c r="W8" s="2881"/>
      <c r="X8" s="2881"/>
      <c r="Y8" s="2884"/>
      <c r="Z8" s="2884"/>
      <c r="AA8" s="2884"/>
      <c r="AB8" s="2884"/>
      <c r="AC8" s="2884"/>
      <c r="AD8" s="2884"/>
      <c r="AE8" s="2884"/>
      <c r="AF8" s="2881"/>
      <c r="AG8" s="2881"/>
      <c r="AH8" s="2881"/>
      <c r="AI8" s="2881"/>
      <c r="AJ8" s="2881"/>
      <c r="AK8" s="2881"/>
      <c r="AL8" s="2881"/>
      <c r="AM8" s="2884"/>
      <c r="AN8" s="2884"/>
      <c r="AO8" s="2884"/>
      <c r="AP8" s="2884"/>
      <c r="AQ8" s="2884"/>
      <c r="AR8" s="2884"/>
      <c r="AS8" s="2884"/>
      <c r="AT8" s="2881"/>
      <c r="AU8" s="2881"/>
      <c r="AV8" s="2881"/>
      <c r="AW8" s="2881"/>
      <c r="AX8" s="2881"/>
      <c r="AY8" s="2881"/>
      <c r="AZ8" s="2881"/>
      <c r="BA8" s="2884"/>
      <c r="BB8" s="2884"/>
      <c r="BC8" s="2884"/>
      <c r="BD8" s="2884"/>
      <c r="BE8" s="2884"/>
      <c r="BF8" s="2884"/>
      <c r="BG8" s="2884"/>
      <c r="BH8" s="2881"/>
      <c r="BI8" s="2881"/>
      <c r="BJ8" s="2881"/>
      <c r="BK8" s="2881"/>
      <c r="BL8" s="2881"/>
      <c r="BM8" s="2881"/>
      <c r="BN8" s="2881"/>
      <c r="BO8" s="2884"/>
      <c r="BP8" s="2884"/>
      <c r="BQ8" s="2884"/>
      <c r="BR8" s="2884"/>
      <c r="BS8" s="2884"/>
      <c r="BT8" s="2884"/>
      <c r="BU8" s="2884"/>
      <c r="BV8" s="2881"/>
      <c r="BW8" s="2881"/>
      <c r="BX8" s="2881"/>
      <c r="BY8" s="2881"/>
      <c r="BZ8" s="2881"/>
      <c r="CA8" s="2881"/>
      <c r="CB8" s="2881"/>
      <c r="CC8" s="2884"/>
      <c r="CD8" s="2884"/>
      <c r="CE8" s="2884"/>
      <c r="CF8" s="2884"/>
      <c r="CG8" s="2884"/>
      <c r="CH8" s="2884"/>
      <c r="CI8" s="2884"/>
      <c r="CJ8" s="2881"/>
      <c r="CK8" s="2881"/>
      <c r="CL8" s="2881"/>
      <c r="CM8" s="2881"/>
      <c r="CN8" s="2881"/>
      <c r="CO8" s="2881"/>
      <c r="CP8" s="2881"/>
      <c r="CQ8" s="2884"/>
      <c r="CR8" s="2884"/>
      <c r="CS8" s="2884"/>
      <c r="CT8" s="2884"/>
      <c r="CU8" s="2884"/>
      <c r="CV8" s="2884"/>
      <c r="CW8" s="2886"/>
    </row>
    <row r="9" spans="2:101" outlineLevel="1">
      <c r="B9" s="2873"/>
      <c r="C9" s="2874"/>
      <c r="D9" s="2880"/>
      <c r="E9" s="2881"/>
      <c r="F9" s="2881"/>
      <c r="G9" s="2881"/>
      <c r="H9" s="2881"/>
      <c r="I9" s="2881"/>
      <c r="J9" s="2881"/>
      <c r="K9" s="2884"/>
      <c r="L9" s="2884"/>
      <c r="M9" s="2884"/>
      <c r="N9" s="2884"/>
      <c r="O9" s="2884"/>
      <c r="P9" s="2884"/>
      <c r="Q9" s="2884"/>
      <c r="R9" s="2881"/>
      <c r="S9" s="2881"/>
      <c r="T9" s="2881"/>
      <c r="U9" s="2881"/>
      <c r="V9" s="2881"/>
      <c r="W9" s="2881"/>
      <c r="X9" s="2881"/>
      <c r="Y9" s="2884"/>
      <c r="Z9" s="2884"/>
      <c r="AA9" s="2884"/>
      <c r="AB9" s="2884"/>
      <c r="AC9" s="2884"/>
      <c r="AD9" s="2884"/>
      <c r="AE9" s="2884"/>
      <c r="AF9" s="2881"/>
      <c r="AG9" s="2881"/>
      <c r="AH9" s="2881"/>
      <c r="AI9" s="2881"/>
      <c r="AJ9" s="2881"/>
      <c r="AK9" s="2881"/>
      <c r="AL9" s="2881"/>
      <c r="AM9" s="2884"/>
      <c r="AN9" s="2884"/>
      <c r="AO9" s="2884"/>
      <c r="AP9" s="2884"/>
      <c r="AQ9" s="2884"/>
      <c r="AR9" s="2884"/>
      <c r="AS9" s="2884"/>
      <c r="AT9" s="2881"/>
      <c r="AU9" s="2881"/>
      <c r="AV9" s="2881"/>
      <c r="AW9" s="2881"/>
      <c r="AX9" s="2881"/>
      <c r="AY9" s="2881"/>
      <c r="AZ9" s="2881"/>
      <c r="BA9" s="2884"/>
      <c r="BB9" s="2884"/>
      <c r="BC9" s="2884"/>
      <c r="BD9" s="2884"/>
      <c r="BE9" s="2884"/>
      <c r="BF9" s="2884"/>
      <c r="BG9" s="2884"/>
      <c r="BH9" s="2881"/>
      <c r="BI9" s="2881"/>
      <c r="BJ9" s="2881"/>
      <c r="BK9" s="2881"/>
      <c r="BL9" s="2881"/>
      <c r="BM9" s="2881"/>
      <c r="BN9" s="2881"/>
      <c r="BO9" s="2884"/>
      <c r="BP9" s="2884"/>
      <c r="BQ9" s="2884"/>
      <c r="BR9" s="2884"/>
      <c r="BS9" s="2884"/>
      <c r="BT9" s="2884"/>
      <c r="BU9" s="2884"/>
      <c r="BV9" s="2881"/>
      <c r="BW9" s="2881"/>
      <c r="BX9" s="2881"/>
      <c r="BY9" s="2881"/>
      <c r="BZ9" s="2881"/>
      <c r="CA9" s="2881"/>
      <c r="CB9" s="2881"/>
      <c r="CC9" s="2884"/>
      <c r="CD9" s="2884"/>
      <c r="CE9" s="2884"/>
      <c r="CF9" s="2884"/>
      <c r="CG9" s="2884"/>
      <c r="CH9" s="2884"/>
      <c r="CI9" s="2884"/>
      <c r="CJ9" s="2881"/>
      <c r="CK9" s="2881"/>
      <c r="CL9" s="2881"/>
      <c r="CM9" s="2881"/>
      <c r="CN9" s="2881"/>
      <c r="CO9" s="2881"/>
      <c r="CP9" s="2881"/>
      <c r="CQ9" s="2884"/>
      <c r="CR9" s="2884"/>
      <c r="CS9" s="2884"/>
      <c r="CT9" s="2884"/>
      <c r="CU9" s="2884"/>
      <c r="CV9" s="2884"/>
      <c r="CW9" s="2886"/>
    </row>
    <row r="10" spans="2:101" outlineLevel="1">
      <c r="B10" s="2873"/>
      <c r="C10" s="2874"/>
      <c r="D10" s="2880"/>
      <c r="E10" s="2881"/>
      <c r="F10" s="2881"/>
      <c r="G10" s="2881"/>
      <c r="H10" s="2881"/>
      <c r="I10" s="2881"/>
      <c r="J10" s="2881"/>
      <c r="K10" s="2884"/>
      <c r="L10" s="2884"/>
      <c r="M10" s="2884"/>
      <c r="N10" s="2884"/>
      <c r="O10" s="2884"/>
      <c r="P10" s="2884"/>
      <c r="Q10" s="2884"/>
      <c r="R10" s="2881"/>
      <c r="S10" s="2881"/>
      <c r="T10" s="2881"/>
      <c r="U10" s="2881"/>
      <c r="V10" s="2881"/>
      <c r="W10" s="2881"/>
      <c r="X10" s="2881"/>
      <c r="Y10" s="2884"/>
      <c r="Z10" s="2884"/>
      <c r="AA10" s="2884"/>
      <c r="AB10" s="2884"/>
      <c r="AC10" s="2884"/>
      <c r="AD10" s="2884"/>
      <c r="AE10" s="2884"/>
      <c r="AF10" s="2881"/>
      <c r="AG10" s="2881"/>
      <c r="AH10" s="2881"/>
      <c r="AI10" s="2881"/>
      <c r="AJ10" s="2881"/>
      <c r="AK10" s="2881"/>
      <c r="AL10" s="2881"/>
      <c r="AM10" s="2884"/>
      <c r="AN10" s="2884"/>
      <c r="AO10" s="2884"/>
      <c r="AP10" s="2884"/>
      <c r="AQ10" s="2884"/>
      <c r="AR10" s="2884"/>
      <c r="AS10" s="2884"/>
      <c r="AT10" s="2881"/>
      <c r="AU10" s="2881"/>
      <c r="AV10" s="2881"/>
      <c r="AW10" s="2881"/>
      <c r="AX10" s="2881"/>
      <c r="AY10" s="2881"/>
      <c r="AZ10" s="2881"/>
      <c r="BA10" s="2884"/>
      <c r="BB10" s="2884"/>
      <c r="BC10" s="2884"/>
      <c r="BD10" s="2884"/>
      <c r="BE10" s="2884"/>
      <c r="BF10" s="2884"/>
      <c r="BG10" s="2884"/>
      <c r="BH10" s="2881"/>
      <c r="BI10" s="2881"/>
      <c r="BJ10" s="2881"/>
      <c r="BK10" s="2881"/>
      <c r="BL10" s="2881"/>
      <c r="BM10" s="2881"/>
      <c r="BN10" s="2881"/>
      <c r="BO10" s="2884"/>
      <c r="BP10" s="2884"/>
      <c r="BQ10" s="2884"/>
      <c r="BR10" s="2884"/>
      <c r="BS10" s="2884"/>
      <c r="BT10" s="2884"/>
      <c r="BU10" s="2884"/>
      <c r="BV10" s="2881"/>
      <c r="BW10" s="2881"/>
      <c r="BX10" s="2881"/>
      <c r="BY10" s="2881"/>
      <c r="BZ10" s="2881"/>
      <c r="CA10" s="2881"/>
      <c r="CB10" s="2881"/>
      <c r="CC10" s="2884"/>
      <c r="CD10" s="2884"/>
      <c r="CE10" s="2884"/>
      <c r="CF10" s="2884"/>
      <c r="CG10" s="2884"/>
      <c r="CH10" s="2884"/>
      <c r="CI10" s="2884"/>
      <c r="CJ10" s="2881"/>
      <c r="CK10" s="2881"/>
      <c r="CL10" s="2881"/>
      <c r="CM10" s="2881"/>
      <c r="CN10" s="2881"/>
      <c r="CO10" s="2881"/>
      <c r="CP10" s="2881"/>
      <c r="CQ10" s="2884"/>
      <c r="CR10" s="2884"/>
      <c r="CS10" s="2884"/>
      <c r="CT10" s="2884"/>
      <c r="CU10" s="2884"/>
      <c r="CV10" s="2884"/>
      <c r="CW10" s="2886"/>
    </row>
    <row r="11" spans="2:101" outlineLevel="1">
      <c r="B11" s="2873"/>
      <c r="C11" s="2874"/>
      <c r="D11" s="2880"/>
      <c r="E11" s="2881"/>
      <c r="F11" s="2881"/>
      <c r="G11" s="2881"/>
      <c r="H11" s="2881"/>
      <c r="I11" s="2881"/>
      <c r="J11" s="2881"/>
      <c r="K11" s="2884"/>
      <c r="L11" s="2884"/>
      <c r="M11" s="2884"/>
      <c r="N11" s="2884"/>
      <c r="O11" s="2884"/>
      <c r="P11" s="2884"/>
      <c r="Q11" s="2884"/>
      <c r="R11" s="2881"/>
      <c r="S11" s="2881"/>
      <c r="T11" s="2881"/>
      <c r="U11" s="2881"/>
      <c r="V11" s="2881"/>
      <c r="W11" s="2881"/>
      <c r="X11" s="2881"/>
      <c r="Y11" s="2884"/>
      <c r="Z11" s="2884"/>
      <c r="AA11" s="2884"/>
      <c r="AB11" s="2884"/>
      <c r="AC11" s="2884"/>
      <c r="AD11" s="2884"/>
      <c r="AE11" s="2884"/>
      <c r="AF11" s="2881"/>
      <c r="AG11" s="2881"/>
      <c r="AH11" s="2881"/>
      <c r="AI11" s="2881"/>
      <c r="AJ11" s="2881"/>
      <c r="AK11" s="2881"/>
      <c r="AL11" s="2881"/>
      <c r="AM11" s="2884"/>
      <c r="AN11" s="2884"/>
      <c r="AO11" s="2884"/>
      <c r="AP11" s="2884"/>
      <c r="AQ11" s="2884"/>
      <c r="AR11" s="2884"/>
      <c r="AS11" s="2884"/>
      <c r="AT11" s="2881"/>
      <c r="AU11" s="2881"/>
      <c r="AV11" s="2881"/>
      <c r="AW11" s="2881"/>
      <c r="AX11" s="2881"/>
      <c r="AY11" s="2881"/>
      <c r="AZ11" s="2881"/>
      <c r="BA11" s="2884"/>
      <c r="BB11" s="2884"/>
      <c r="BC11" s="2884"/>
      <c r="BD11" s="2884"/>
      <c r="BE11" s="2884"/>
      <c r="BF11" s="2884"/>
      <c r="BG11" s="2884"/>
      <c r="BH11" s="2881"/>
      <c r="BI11" s="2881"/>
      <c r="BJ11" s="2881"/>
      <c r="BK11" s="2881"/>
      <c r="BL11" s="2881"/>
      <c r="BM11" s="2881"/>
      <c r="BN11" s="2881"/>
      <c r="BO11" s="2884"/>
      <c r="BP11" s="2884"/>
      <c r="BQ11" s="2884"/>
      <c r="BR11" s="2884"/>
      <c r="BS11" s="2884"/>
      <c r="BT11" s="2884"/>
      <c r="BU11" s="2884"/>
      <c r="BV11" s="2881"/>
      <c r="BW11" s="2881"/>
      <c r="BX11" s="2881"/>
      <c r="BY11" s="2881"/>
      <c r="BZ11" s="2881"/>
      <c r="CA11" s="2881"/>
      <c r="CB11" s="2881"/>
      <c r="CC11" s="2884"/>
      <c r="CD11" s="2884"/>
      <c r="CE11" s="2884"/>
      <c r="CF11" s="2884"/>
      <c r="CG11" s="2884"/>
      <c r="CH11" s="2884"/>
      <c r="CI11" s="2884"/>
      <c r="CJ11" s="2881"/>
      <c r="CK11" s="2881"/>
      <c r="CL11" s="2881"/>
      <c r="CM11" s="2881"/>
      <c r="CN11" s="2881"/>
      <c r="CO11" s="2881"/>
      <c r="CP11" s="2881"/>
      <c r="CQ11" s="2884"/>
      <c r="CR11" s="2884"/>
      <c r="CS11" s="2884"/>
      <c r="CT11" s="2884"/>
      <c r="CU11" s="2884"/>
      <c r="CV11" s="2884"/>
      <c r="CW11" s="2886"/>
    </row>
    <row r="12" spans="2:101" outlineLevel="1">
      <c r="B12" s="2873"/>
      <c r="C12" s="2874"/>
      <c r="D12" s="2880"/>
      <c r="E12" s="2881"/>
      <c r="F12" s="2881"/>
      <c r="G12" s="2881"/>
      <c r="H12" s="2881"/>
      <c r="I12" s="2881"/>
      <c r="J12" s="2881"/>
      <c r="K12" s="2884"/>
      <c r="L12" s="2884"/>
      <c r="M12" s="2884"/>
      <c r="N12" s="2884"/>
      <c r="O12" s="2884"/>
      <c r="P12" s="2884"/>
      <c r="Q12" s="2884"/>
      <c r="R12" s="2881"/>
      <c r="S12" s="2881"/>
      <c r="T12" s="2881"/>
      <c r="U12" s="2881"/>
      <c r="V12" s="2881"/>
      <c r="W12" s="2881"/>
      <c r="X12" s="2881"/>
      <c r="Y12" s="2884"/>
      <c r="Z12" s="2884"/>
      <c r="AA12" s="2884"/>
      <c r="AB12" s="2884"/>
      <c r="AC12" s="2884"/>
      <c r="AD12" s="2884"/>
      <c r="AE12" s="2884"/>
      <c r="AF12" s="2881"/>
      <c r="AG12" s="2881"/>
      <c r="AH12" s="2881"/>
      <c r="AI12" s="2881"/>
      <c r="AJ12" s="2881"/>
      <c r="AK12" s="2881"/>
      <c r="AL12" s="2881"/>
      <c r="AM12" s="2884"/>
      <c r="AN12" s="2884"/>
      <c r="AO12" s="2884"/>
      <c r="AP12" s="2884"/>
      <c r="AQ12" s="2884"/>
      <c r="AR12" s="2884"/>
      <c r="AS12" s="2884"/>
      <c r="AT12" s="2881"/>
      <c r="AU12" s="2881"/>
      <c r="AV12" s="2881"/>
      <c r="AW12" s="2881"/>
      <c r="AX12" s="2881"/>
      <c r="AY12" s="2881"/>
      <c r="AZ12" s="2881"/>
      <c r="BA12" s="2884"/>
      <c r="BB12" s="2884"/>
      <c r="BC12" s="2884"/>
      <c r="BD12" s="2884"/>
      <c r="BE12" s="2884"/>
      <c r="BF12" s="2884"/>
      <c r="BG12" s="2884"/>
      <c r="BH12" s="2881"/>
      <c r="BI12" s="2881"/>
      <c r="BJ12" s="2881"/>
      <c r="BK12" s="2881"/>
      <c r="BL12" s="2881"/>
      <c r="BM12" s="2881"/>
      <c r="BN12" s="2881"/>
      <c r="BO12" s="2884"/>
      <c r="BP12" s="2884"/>
      <c r="BQ12" s="2884"/>
      <c r="BR12" s="2884"/>
      <c r="BS12" s="2884"/>
      <c r="BT12" s="2884"/>
      <c r="BU12" s="2884"/>
      <c r="BV12" s="2881"/>
      <c r="BW12" s="2881"/>
      <c r="BX12" s="2881"/>
      <c r="BY12" s="2881"/>
      <c r="BZ12" s="2881"/>
      <c r="CA12" s="2881"/>
      <c r="CB12" s="2881"/>
      <c r="CC12" s="2884"/>
      <c r="CD12" s="2884"/>
      <c r="CE12" s="2884"/>
      <c r="CF12" s="2884"/>
      <c r="CG12" s="2884"/>
      <c r="CH12" s="2884"/>
      <c r="CI12" s="2884"/>
      <c r="CJ12" s="2881"/>
      <c r="CK12" s="2881"/>
      <c r="CL12" s="2881"/>
      <c r="CM12" s="2881"/>
      <c r="CN12" s="2881"/>
      <c r="CO12" s="2881"/>
      <c r="CP12" s="2881"/>
      <c r="CQ12" s="2884"/>
      <c r="CR12" s="2884"/>
      <c r="CS12" s="2884"/>
      <c r="CT12" s="2884"/>
      <c r="CU12" s="2884"/>
      <c r="CV12" s="2884"/>
      <c r="CW12" s="2886"/>
    </row>
    <row r="13" spans="2:101" outlineLevel="1">
      <c r="B13" s="2873"/>
      <c r="C13" s="2874"/>
      <c r="D13" s="2880"/>
      <c r="E13" s="2881"/>
      <c r="F13" s="2881"/>
      <c r="G13" s="2881"/>
      <c r="H13" s="2881"/>
      <c r="I13" s="2881"/>
      <c r="J13" s="2881"/>
      <c r="K13" s="2884"/>
      <c r="L13" s="2884"/>
      <c r="M13" s="2884"/>
      <c r="N13" s="2884"/>
      <c r="O13" s="2884"/>
      <c r="P13" s="2884"/>
      <c r="Q13" s="2884"/>
      <c r="R13" s="2881"/>
      <c r="S13" s="2881"/>
      <c r="T13" s="2881"/>
      <c r="U13" s="2881"/>
      <c r="V13" s="2881"/>
      <c r="W13" s="2881"/>
      <c r="X13" s="2881"/>
      <c r="Y13" s="2884"/>
      <c r="Z13" s="2884"/>
      <c r="AA13" s="2884"/>
      <c r="AB13" s="2884"/>
      <c r="AC13" s="2884"/>
      <c r="AD13" s="2884"/>
      <c r="AE13" s="2884"/>
      <c r="AF13" s="2881"/>
      <c r="AG13" s="2881"/>
      <c r="AH13" s="2881"/>
      <c r="AI13" s="2881"/>
      <c r="AJ13" s="2881"/>
      <c r="AK13" s="2881"/>
      <c r="AL13" s="2881"/>
      <c r="AM13" s="2884"/>
      <c r="AN13" s="2884"/>
      <c r="AO13" s="2884"/>
      <c r="AP13" s="2884"/>
      <c r="AQ13" s="2884"/>
      <c r="AR13" s="2884"/>
      <c r="AS13" s="2884"/>
      <c r="AT13" s="2881"/>
      <c r="AU13" s="2881"/>
      <c r="AV13" s="2881"/>
      <c r="AW13" s="2881"/>
      <c r="AX13" s="2881"/>
      <c r="AY13" s="2881"/>
      <c r="AZ13" s="2881"/>
      <c r="BA13" s="2884"/>
      <c r="BB13" s="2884"/>
      <c r="BC13" s="2884"/>
      <c r="BD13" s="2884"/>
      <c r="BE13" s="2884"/>
      <c r="BF13" s="2884"/>
      <c r="BG13" s="2884"/>
      <c r="BH13" s="2881"/>
      <c r="BI13" s="2881"/>
      <c r="BJ13" s="2881"/>
      <c r="BK13" s="2881"/>
      <c r="BL13" s="2881"/>
      <c r="BM13" s="2881"/>
      <c r="BN13" s="2881"/>
      <c r="BO13" s="2884"/>
      <c r="BP13" s="2884"/>
      <c r="BQ13" s="2884"/>
      <c r="BR13" s="2884"/>
      <c r="BS13" s="2884"/>
      <c r="BT13" s="2884"/>
      <c r="BU13" s="2884"/>
      <c r="BV13" s="2881"/>
      <c r="BW13" s="2881"/>
      <c r="BX13" s="2881"/>
      <c r="BY13" s="2881"/>
      <c r="BZ13" s="2881"/>
      <c r="CA13" s="2881"/>
      <c r="CB13" s="2881"/>
      <c r="CC13" s="2884"/>
      <c r="CD13" s="2884"/>
      <c r="CE13" s="2884"/>
      <c r="CF13" s="2884"/>
      <c r="CG13" s="2884"/>
      <c r="CH13" s="2884"/>
      <c r="CI13" s="2884"/>
      <c r="CJ13" s="2881"/>
      <c r="CK13" s="2881"/>
      <c r="CL13" s="2881"/>
      <c r="CM13" s="2881"/>
      <c r="CN13" s="2881"/>
      <c r="CO13" s="2881"/>
      <c r="CP13" s="2881"/>
      <c r="CQ13" s="2884"/>
      <c r="CR13" s="2884"/>
      <c r="CS13" s="2884"/>
      <c r="CT13" s="2884"/>
      <c r="CU13" s="2884"/>
      <c r="CV13" s="2884"/>
      <c r="CW13" s="2886"/>
    </row>
    <row r="14" spans="2:101" outlineLevel="1">
      <c r="B14" s="2873"/>
      <c r="C14" s="2874"/>
      <c r="D14" s="2880"/>
      <c r="E14" s="2881"/>
      <c r="F14" s="2881"/>
      <c r="G14" s="2881"/>
      <c r="H14" s="2881"/>
      <c r="I14" s="2881"/>
      <c r="J14" s="2881"/>
      <c r="K14" s="2884"/>
      <c r="L14" s="2884"/>
      <c r="M14" s="2884"/>
      <c r="N14" s="2884"/>
      <c r="O14" s="2884"/>
      <c r="P14" s="2884"/>
      <c r="Q14" s="2884"/>
      <c r="R14" s="2881"/>
      <c r="S14" s="2881"/>
      <c r="T14" s="2881"/>
      <c r="U14" s="2881"/>
      <c r="V14" s="2881"/>
      <c r="W14" s="2881"/>
      <c r="X14" s="2881"/>
      <c r="Y14" s="2884"/>
      <c r="Z14" s="2884"/>
      <c r="AA14" s="2884"/>
      <c r="AB14" s="2884"/>
      <c r="AC14" s="2884"/>
      <c r="AD14" s="2884"/>
      <c r="AE14" s="2884"/>
      <c r="AF14" s="2881"/>
      <c r="AG14" s="2881"/>
      <c r="AH14" s="2881"/>
      <c r="AI14" s="2881"/>
      <c r="AJ14" s="2881"/>
      <c r="AK14" s="2881"/>
      <c r="AL14" s="2881"/>
      <c r="AM14" s="2884"/>
      <c r="AN14" s="2884"/>
      <c r="AO14" s="2884"/>
      <c r="AP14" s="2884"/>
      <c r="AQ14" s="2884"/>
      <c r="AR14" s="2884"/>
      <c r="AS14" s="2884"/>
      <c r="AT14" s="2881"/>
      <c r="AU14" s="2881"/>
      <c r="AV14" s="2881"/>
      <c r="AW14" s="2881"/>
      <c r="AX14" s="2881"/>
      <c r="AY14" s="2881"/>
      <c r="AZ14" s="2881"/>
      <c r="BA14" s="2884"/>
      <c r="BB14" s="2884"/>
      <c r="BC14" s="2884"/>
      <c r="BD14" s="2884"/>
      <c r="BE14" s="2884"/>
      <c r="BF14" s="2884"/>
      <c r="BG14" s="2884"/>
      <c r="BH14" s="2881"/>
      <c r="BI14" s="2881"/>
      <c r="BJ14" s="2881"/>
      <c r="BK14" s="2881"/>
      <c r="BL14" s="2881"/>
      <c r="BM14" s="2881"/>
      <c r="BN14" s="2881"/>
      <c r="BO14" s="2884"/>
      <c r="BP14" s="2884"/>
      <c r="BQ14" s="2884"/>
      <c r="BR14" s="2884"/>
      <c r="BS14" s="2884"/>
      <c r="BT14" s="2884"/>
      <c r="BU14" s="2884"/>
      <c r="BV14" s="2881"/>
      <c r="BW14" s="2881"/>
      <c r="BX14" s="2881"/>
      <c r="BY14" s="2881"/>
      <c r="BZ14" s="2881"/>
      <c r="CA14" s="2881"/>
      <c r="CB14" s="2881"/>
      <c r="CC14" s="2884"/>
      <c r="CD14" s="2884"/>
      <c r="CE14" s="2884"/>
      <c r="CF14" s="2884"/>
      <c r="CG14" s="2884"/>
      <c r="CH14" s="2884"/>
      <c r="CI14" s="2884"/>
      <c r="CJ14" s="2881"/>
      <c r="CK14" s="2881"/>
      <c r="CL14" s="2881"/>
      <c r="CM14" s="2881"/>
      <c r="CN14" s="2881"/>
      <c r="CO14" s="2881"/>
      <c r="CP14" s="2881"/>
      <c r="CQ14" s="2884"/>
      <c r="CR14" s="2884"/>
      <c r="CS14" s="2884"/>
      <c r="CT14" s="2884"/>
      <c r="CU14" s="2884"/>
      <c r="CV14" s="2884"/>
      <c r="CW14" s="2886"/>
    </row>
    <row r="15" spans="2:101" outlineLevel="1">
      <c r="B15" s="2873"/>
      <c r="C15" s="2874"/>
      <c r="D15" s="2880"/>
      <c r="E15" s="2881"/>
      <c r="F15" s="2881"/>
      <c r="G15" s="2881"/>
      <c r="H15" s="2881"/>
      <c r="I15" s="2881"/>
      <c r="J15" s="2881"/>
      <c r="K15" s="2884"/>
      <c r="L15" s="2884"/>
      <c r="M15" s="2884"/>
      <c r="N15" s="2884"/>
      <c r="O15" s="2884"/>
      <c r="P15" s="2884"/>
      <c r="Q15" s="2884"/>
      <c r="R15" s="2881"/>
      <c r="S15" s="2881"/>
      <c r="T15" s="2881"/>
      <c r="U15" s="2881"/>
      <c r="V15" s="2881"/>
      <c r="W15" s="2881"/>
      <c r="X15" s="2881"/>
      <c r="Y15" s="2884"/>
      <c r="Z15" s="2884"/>
      <c r="AA15" s="2884"/>
      <c r="AB15" s="2884"/>
      <c r="AC15" s="2884"/>
      <c r="AD15" s="2884"/>
      <c r="AE15" s="2884"/>
      <c r="AF15" s="2881"/>
      <c r="AG15" s="2881"/>
      <c r="AH15" s="2881"/>
      <c r="AI15" s="2881"/>
      <c r="AJ15" s="2881"/>
      <c r="AK15" s="2881"/>
      <c r="AL15" s="2881"/>
      <c r="AM15" s="2884"/>
      <c r="AN15" s="2884"/>
      <c r="AO15" s="2884"/>
      <c r="AP15" s="2884"/>
      <c r="AQ15" s="2884"/>
      <c r="AR15" s="2884"/>
      <c r="AS15" s="2884"/>
      <c r="AT15" s="2881"/>
      <c r="AU15" s="2881"/>
      <c r="AV15" s="2881"/>
      <c r="AW15" s="2881"/>
      <c r="AX15" s="2881"/>
      <c r="AY15" s="2881"/>
      <c r="AZ15" s="2881"/>
      <c r="BA15" s="2884"/>
      <c r="BB15" s="2884"/>
      <c r="BC15" s="2884"/>
      <c r="BD15" s="2884"/>
      <c r="BE15" s="2884"/>
      <c r="BF15" s="2884"/>
      <c r="BG15" s="2884"/>
      <c r="BH15" s="2881"/>
      <c r="BI15" s="2881"/>
      <c r="BJ15" s="2881"/>
      <c r="BK15" s="2881"/>
      <c r="BL15" s="2881"/>
      <c r="BM15" s="2881"/>
      <c r="BN15" s="2881"/>
      <c r="BO15" s="2884"/>
      <c r="BP15" s="2884"/>
      <c r="BQ15" s="2884"/>
      <c r="BR15" s="2884"/>
      <c r="BS15" s="2884"/>
      <c r="BT15" s="2884"/>
      <c r="BU15" s="2884"/>
      <c r="BV15" s="2881"/>
      <c r="BW15" s="2881"/>
      <c r="BX15" s="2881"/>
      <c r="BY15" s="2881"/>
      <c r="BZ15" s="2881"/>
      <c r="CA15" s="2881"/>
      <c r="CB15" s="2881"/>
      <c r="CC15" s="2884"/>
      <c r="CD15" s="2884"/>
      <c r="CE15" s="2884"/>
      <c r="CF15" s="2884"/>
      <c r="CG15" s="2884"/>
      <c r="CH15" s="2884"/>
      <c r="CI15" s="2884"/>
      <c r="CJ15" s="2881"/>
      <c r="CK15" s="2881"/>
      <c r="CL15" s="2881"/>
      <c r="CM15" s="2881"/>
      <c r="CN15" s="2881"/>
      <c r="CO15" s="2881"/>
      <c r="CP15" s="2881"/>
      <c r="CQ15" s="2884"/>
      <c r="CR15" s="2884"/>
      <c r="CS15" s="2884"/>
      <c r="CT15" s="2884"/>
      <c r="CU15" s="2884"/>
      <c r="CV15" s="2884"/>
      <c r="CW15" s="2886"/>
    </row>
    <row r="16" spans="2:101" outlineLevel="1">
      <c r="B16" s="2873"/>
      <c r="C16" s="2874"/>
      <c r="D16" s="2880"/>
      <c r="E16" s="2881"/>
      <c r="F16" s="2881"/>
      <c r="G16" s="2881"/>
      <c r="H16" s="2881"/>
      <c r="I16" s="2881"/>
      <c r="J16" s="2881"/>
      <c r="K16" s="2884"/>
      <c r="L16" s="2884"/>
      <c r="M16" s="2884"/>
      <c r="N16" s="2884"/>
      <c r="O16" s="2884"/>
      <c r="P16" s="2884"/>
      <c r="Q16" s="2884"/>
      <c r="R16" s="2881"/>
      <c r="S16" s="2881"/>
      <c r="T16" s="2881"/>
      <c r="U16" s="2881"/>
      <c r="V16" s="2881"/>
      <c r="W16" s="2881"/>
      <c r="X16" s="2881"/>
      <c r="Y16" s="2884"/>
      <c r="Z16" s="2884"/>
      <c r="AA16" s="2884"/>
      <c r="AB16" s="2884"/>
      <c r="AC16" s="2884"/>
      <c r="AD16" s="2884"/>
      <c r="AE16" s="2884"/>
      <c r="AF16" s="2881"/>
      <c r="AG16" s="2881"/>
      <c r="AH16" s="2881"/>
      <c r="AI16" s="2881"/>
      <c r="AJ16" s="2881"/>
      <c r="AK16" s="2881"/>
      <c r="AL16" s="2881"/>
      <c r="AM16" s="2884"/>
      <c r="AN16" s="2884"/>
      <c r="AO16" s="2884"/>
      <c r="AP16" s="2884"/>
      <c r="AQ16" s="2884"/>
      <c r="AR16" s="2884"/>
      <c r="AS16" s="2884"/>
      <c r="AT16" s="2881"/>
      <c r="AU16" s="2881"/>
      <c r="AV16" s="2881"/>
      <c r="AW16" s="2881"/>
      <c r="AX16" s="2881"/>
      <c r="AY16" s="2881"/>
      <c r="AZ16" s="2881"/>
      <c r="BA16" s="2884"/>
      <c r="BB16" s="2884"/>
      <c r="BC16" s="2884"/>
      <c r="BD16" s="2884"/>
      <c r="BE16" s="2884"/>
      <c r="BF16" s="2884"/>
      <c r="BG16" s="2884"/>
      <c r="BH16" s="2881"/>
      <c r="BI16" s="2881"/>
      <c r="BJ16" s="2881"/>
      <c r="BK16" s="2881"/>
      <c r="BL16" s="2881"/>
      <c r="BM16" s="2881"/>
      <c r="BN16" s="2881"/>
      <c r="BO16" s="2884"/>
      <c r="BP16" s="2884"/>
      <c r="BQ16" s="2884"/>
      <c r="BR16" s="2884"/>
      <c r="BS16" s="2884"/>
      <c r="BT16" s="2884"/>
      <c r="BU16" s="2884"/>
      <c r="BV16" s="2881"/>
      <c r="BW16" s="2881"/>
      <c r="BX16" s="2881"/>
      <c r="BY16" s="2881"/>
      <c r="BZ16" s="2881"/>
      <c r="CA16" s="2881"/>
      <c r="CB16" s="2881"/>
      <c r="CC16" s="2884"/>
      <c r="CD16" s="2884"/>
      <c r="CE16" s="2884"/>
      <c r="CF16" s="2884"/>
      <c r="CG16" s="2884"/>
      <c r="CH16" s="2884"/>
      <c r="CI16" s="2884"/>
      <c r="CJ16" s="2881"/>
      <c r="CK16" s="2881"/>
      <c r="CL16" s="2881"/>
      <c r="CM16" s="2881"/>
      <c r="CN16" s="2881"/>
      <c r="CO16" s="2881"/>
      <c r="CP16" s="2881"/>
      <c r="CQ16" s="2884"/>
      <c r="CR16" s="2884"/>
      <c r="CS16" s="2884"/>
      <c r="CT16" s="2884"/>
      <c r="CU16" s="2884"/>
      <c r="CV16" s="2884"/>
      <c r="CW16" s="2886"/>
    </row>
    <row r="17" spans="1:104" outlineLevel="1">
      <c r="B17" s="2873"/>
      <c r="C17" s="2874"/>
      <c r="D17" s="2880"/>
      <c r="E17" s="2881"/>
      <c r="F17" s="2881"/>
      <c r="G17" s="2881"/>
      <c r="H17" s="2881"/>
      <c r="I17" s="2881"/>
      <c r="J17" s="2881"/>
      <c r="K17" s="2884"/>
      <c r="L17" s="2884"/>
      <c r="M17" s="2884"/>
      <c r="N17" s="2884"/>
      <c r="O17" s="2884"/>
      <c r="P17" s="2884"/>
      <c r="Q17" s="2884"/>
      <c r="R17" s="2881"/>
      <c r="S17" s="2881"/>
      <c r="T17" s="2881"/>
      <c r="U17" s="2881"/>
      <c r="V17" s="2881"/>
      <c r="W17" s="2881"/>
      <c r="X17" s="2881"/>
      <c r="Y17" s="2884"/>
      <c r="Z17" s="2884"/>
      <c r="AA17" s="2884"/>
      <c r="AB17" s="2884"/>
      <c r="AC17" s="2884"/>
      <c r="AD17" s="2884"/>
      <c r="AE17" s="2884"/>
      <c r="AF17" s="2881"/>
      <c r="AG17" s="2881"/>
      <c r="AH17" s="2881"/>
      <c r="AI17" s="2881"/>
      <c r="AJ17" s="2881"/>
      <c r="AK17" s="2881"/>
      <c r="AL17" s="2881"/>
      <c r="AM17" s="2884"/>
      <c r="AN17" s="2884"/>
      <c r="AO17" s="2884"/>
      <c r="AP17" s="2884"/>
      <c r="AQ17" s="2884"/>
      <c r="AR17" s="2884"/>
      <c r="AS17" s="2884"/>
      <c r="AT17" s="2881"/>
      <c r="AU17" s="2881"/>
      <c r="AV17" s="2881"/>
      <c r="AW17" s="2881"/>
      <c r="AX17" s="2881"/>
      <c r="AY17" s="2881"/>
      <c r="AZ17" s="2881"/>
      <c r="BA17" s="2884"/>
      <c r="BB17" s="2884"/>
      <c r="BC17" s="2884"/>
      <c r="BD17" s="2884"/>
      <c r="BE17" s="2884"/>
      <c r="BF17" s="2884"/>
      <c r="BG17" s="2884"/>
      <c r="BH17" s="2881"/>
      <c r="BI17" s="2881"/>
      <c r="BJ17" s="2881"/>
      <c r="BK17" s="2881"/>
      <c r="BL17" s="2881"/>
      <c r="BM17" s="2881"/>
      <c r="BN17" s="2881"/>
      <c r="BO17" s="2884"/>
      <c r="BP17" s="2884"/>
      <c r="BQ17" s="2884"/>
      <c r="BR17" s="2884"/>
      <c r="BS17" s="2884"/>
      <c r="BT17" s="2884"/>
      <c r="BU17" s="2884"/>
      <c r="BV17" s="2881"/>
      <c r="BW17" s="2881"/>
      <c r="BX17" s="2881"/>
      <c r="BY17" s="2881"/>
      <c r="BZ17" s="2881"/>
      <c r="CA17" s="2881"/>
      <c r="CB17" s="2881"/>
      <c r="CC17" s="2884"/>
      <c r="CD17" s="2884"/>
      <c r="CE17" s="2884"/>
      <c r="CF17" s="2884"/>
      <c r="CG17" s="2884"/>
      <c r="CH17" s="2884"/>
      <c r="CI17" s="2884"/>
      <c r="CJ17" s="2881"/>
      <c r="CK17" s="2881"/>
      <c r="CL17" s="2881"/>
      <c r="CM17" s="2881"/>
      <c r="CN17" s="2881"/>
      <c r="CO17" s="2881"/>
      <c r="CP17" s="2881"/>
      <c r="CQ17" s="2884"/>
      <c r="CR17" s="2884"/>
      <c r="CS17" s="2884"/>
      <c r="CT17" s="2884"/>
      <c r="CU17" s="2884"/>
      <c r="CV17" s="2884"/>
      <c r="CW17" s="2886"/>
    </row>
    <row r="18" spans="1:104" outlineLevel="1">
      <c r="B18" s="2873"/>
      <c r="C18" s="2874"/>
      <c r="D18" s="2880"/>
      <c r="E18" s="2881"/>
      <c r="F18" s="2881"/>
      <c r="G18" s="2881"/>
      <c r="H18" s="2881"/>
      <c r="I18" s="2881"/>
      <c r="J18" s="2881"/>
      <c r="K18" s="2884"/>
      <c r="L18" s="2884"/>
      <c r="M18" s="2884"/>
      <c r="N18" s="2884"/>
      <c r="O18" s="2884"/>
      <c r="P18" s="2884"/>
      <c r="Q18" s="2884"/>
      <c r="R18" s="2881"/>
      <c r="S18" s="2881"/>
      <c r="T18" s="2881"/>
      <c r="U18" s="2881"/>
      <c r="V18" s="2881"/>
      <c r="W18" s="2881"/>
      <c r="X18" s="2881"/>
      <c r="Y18" s="2884"/>
      <c r="Z18" s="2884"/>
      <c r="AA18" s="2884"/>
      <c r="AB18" s="2884"/>
      <c r="AC18" s="2884"/>
      <c r="AD18" s="2884"/>
      <c r="AE18" s="2884"/>
      <c r="AF18" s="2881"/>
      <c r="AG18" s="2881"/>
      <c r="AH18" s="2881"/>
      <c r="AI18" s="2881"/>
      <c r="AJ18" s="2881"/>
      <c r="AK18" s="2881"/>
      <c r="AL18" s="2881"/>
      <c r="AM18" s="2884"/>
      <c r="AN18" s="2884"/>
      <c r="AO18" s="2884"/>
      <c r="AP18" s="2884"/>
      <c r="AQ18" s="2884"/>
      <c r="AR18" s="2884"/>
      <c r="AS18" s="2884"/>
      <c r="AT18" s="2881"/>
      <c r="AU18" s="2881"/>
      <c r="AV18" s="2881"/>
      <c r="AW18" s="2881"/>
      <c r="AX18" s="2881"/>
      <c r="AY18" s="2881"/>
      <c r="AZ18" s="2881"/>
      <c r="BA18" s="2884"/>
      <c r="BB18" s="2884"/>
      <c r="BC18" s="2884"/>
      <c r="BD18" s="2884"/>
      <c r="BE18" s="2884"/>
      <c r="BF18" s="2884"/>
      <c r="BG18" s="2884"/>
      <c r="BH18" s="2881"/>
      <c r="BI18" s="2881"/>
      <c r="BJ18" s="2881"/>
      <c r="BK18" s="2881"/>
      <c r="BL18" s="2881"/>
      <c r="BM18" s="2881"/>
      <c r="BN18" s="2881"/>
      <c r="BO18" s="2884"/>
      <c r="BP18" s="2884"/>
      <c r="BQ18" s="2884"/>
      <c r="BR18" s="2884"/>
      <c r="BS18" s="2884"/>
      <c r="BT18" s="2884"/>
      <c r="BU18" s="2884"/>
      <c r="BV18" s="2881"/>
      <c r="BW18" s="2881"/>
      <c r="BX18" s="2881"/>
      <c r="BY18" s="2881"/>
      <c r="BZ18" s="2881"/>
      <c r="CA18" s="2881"/>
      <c r="CB18" s="2881"/>
      <c r="CC18" s="2884"/>
      <c r="CD18" s="2884"/>
      <c r="CE18" s="2884"/>
      <c r="CF18" s="2884"/>
      <c r="CG18" s="2884"/>
      <c r="CH18" s="2884"/>
      <c r="CI18" s="2884"/>
      <c r="CJ18" s="2881"/>
      <c r="CK18" s="2881"/>
      <c r="CL18" s="2881"/>
      <c r="CM18" s="2881"/>
      <c r="CN18" s="2881"/>
      <c r="CO18" s="2881"/>
      <c r="CP18" s="2881"/>
      <c r="CQ18" s="2884"/>
      <c r="CR18" s="2884"/>
      <c r="CS18" s="2884"/>
      <c r="CT18" s="2884"/>
      <c r="CU18" s="2884"/>
      <c r="CV18" s="2884"/>
      <c r="CW18" s="2886"/>
    </row>
    <row r="19" spans="1:104" outlineLevel="1">
      <c r="B19" s="2873"/>
      <c r="C19" s="2874"/>
      <c r="D19" s="2880"/>
      <c r="E19" s="2881"/>
      <c r="F19" s="2881"/>
      <c r="G19" s="2881"/>
      <c r="H19" s="2881"/>
      <c r="I19" s="2881"/>
      <c r="J19" s="2881"/>
      <c r="K19" s="2884"/>
      <c r="L19" s="2884"/>
      <c r="M19" s="2884"/>
      <c r="N19" s="2884"/>
      <c r="O19" s="2884"/>
      <c r="P19" s="2884"/>
      <c r="Q19" s="2884"/>
      <c r="R19" s="2881"/>
      <c r="S19" s="2881"/>
      <c r="T19" s="2881"/>
      <c r="U19" s="2881"/>
      <c r="V19" s="2881"/>
      <c r="W19" s="2881"/>
      <c r="X19" s="2881"/>
      <c r="Y19" s="2884"/>
      <c r="Z19" s="2884"/>
      <c r="AA19" s="2884"/>
      <c r="AB19" s="2884"/>
      <c r="AC19" s="2884"/>
      <c r="AD19" s="2884"/>
      <c r="AE19" s="2884"/>
      <c r="AF19" s="2881"/>
      <c r="AG19" s="2881"/>
      <c r="AH19" s="2881"/>
      <c r="AI19" s="2881"/>
      <c r="AJ19" s="2881"/>
      <c r="AK19" s="2881"/>
      <c r="AL19" s="2881"/>
      <c r="AM19" s="2884"/>
      <c r="AN19" s="2884"/>
      <c r="AO19" s="2884"/>
      <c r="AP19" s="2884"/>
      <c r="AQ19" s="2884"/>
      <c r="AR19" s="2884"/>
      <c r="AS19" s="2884"/>
      <c r="AT19" s="2881"/>
      <c r="AU19" s="2881"/>
      <c r="AV19" s="2881"/>
      <c r="AW19" s="2881"/>
      <c r="AX19" s="2881"/>
      <c r="AY19" s="2881"/>
      <c r="AZ19" s="2881"/>
      <c r="BA19" s="2884"/>
      <c r="BB19" s="2884"/>
      <c r="BC19" s="2884"/>
      <c r="BD19" s="2884"/>
      <c r="BE19" s="2884"/>
      <c r="BF19" s="2884"/>
      <c r="BG19" s="2884"/>
      <c r="BH19" s="2881"/>
      <c r="BI19" s="2881"/>
      <c r="BJ19" s="2881"/>
      <c r="BK19" s="2881"/>
      <c r="BL19" s="2881"/>
      <c r="BM19" s="2881"/>
      <c r="BN19" s="2881"/>
      <c r="BO19" s="2884"/>
      <c r="BP19" s="2884"/>
      <c r="BQ19" s="2884"/>
      <c r="BR19" s="2884"/>
      <c r="BS19" s="2884"/>
      <c r="BT19" s="2884"/>
      <c r="BU19" s="2884"/>
      <c r="BV19" s="2881"/>
      <c r="BW19" s="2881"/>
      <c r="BX19" s="2881"/>
      <c r="BY19" s="2881"/>
      <c r="BZ19" s="2881"/>
      <c r="CA19" s="2881"/>
      <c r="CB19" s="2881"/>
      <c r="CC19" s="2884"/>
      <c r="CD19" s="2884"/>
      <c r="CE19" s="2884"/>
      <c r="CF19" s="2884"/>
      <c r="CG19" s="2884"/>
      <c r="CH19" s="2884"/>
      <c r="CI19" s="2884"/>
      <c r="CJ19" s="2881"/>
      <c r="CK19" s="2881"/>
      <c r="CL19" s="2881"/>
      <c r="CM19" s="2881"/>
      <c r="CN19" s="2881"/>
      <c r="CO19" s="2881"/>
      <c r="CP19" s="2881"/>
      <c r="CQ19" s="2884"/>
      <c r="CR19" s="2884"/>
      <c r="CS19" s="2884"/>
      <c r="CT19" s="2884"/>
      <c r="CU19" s="2884"/>
      <c r="CV19" s="2884"/>
      <c r="CW19" s="2886"/>
    </row>
    <row r="20" spans="1:104" outlineLevel="1">
      <c r="B20" s="2873"/>
      <c r="C20" s="2874"/>
      <c r="D20" s="2880"/>
      <c r="E20" s="2881"/>
      <c r="F20" s="2881"/>
      <c r="G20" s="2881"/>
      <c r="H20" s="2881"/>
      <c r="I20" s="2881"/>
      <c r="J20" s="2881"/>
      <c r="K20" s="2884"/>
      <c r="L20" s="2884"/>
      <c r="M20" s="2884"/>
      <c r="N20" s="2884"/>
      <c r="O20" s="2884"/>
      <c r="P20" s="2884"/>
      <c r="Q20" s="2884"/>
      <c r="R20" s="2881"/>
      <c r="S20" s="2881"/>
      <c r="T20" s="2881"/>
      <c r="U20" s="2881"/>
      <c r="V20" s="2881"/>
      <c r="W20" s="2881"/>
      <c r="X20" s="2881"/>
      <c r="Y20" s="2884"/>
      <c r="Z20" s="2884"/>
      <c r="AA20" s="2884"/>
      <c r="AB20" s="2884"/>
      <c r="AC20" s="2884"/>
      <c r="AD20" s="2884"/>
      <c r="AE20" s="2884"/>
      <c r="AF20" s="2881"/>
      <c r="AG20" s="2881"/>
      <c r="AH20" s="2881"/>
      <c r="AI20" s="2881"/>
      <c r="AJ20" s="2881"/>
      <c r="AK20" s="2881"/>
      <c r="AL20" s="2881"/>
      <c r="AM20" s="2884"/>
      <c r="AN20" s="2884"/>
      <c r="AO20" s="2884"/>
      <c r="AP20" s="2884"/>
      <c r="AQ20" s="2884"/>
      <c r="AR20" s="2884"/>
      <c r="AS20" s="2884"/>
      <c r="AT20" s="2881"/>
      <c r="AU20" s="2881"/>
      <c r="AV20" s="2881"/>
      <c r="AW20" s="2881"/>
      <c r="AX20" s="2881"/>
      <c r="AY20" s="2881"/>
      <c r="AZ20" s="2881"/>
      <c r="BA20" s="2884"/>
      <c r="BB20" s="2884"/>
      <c r="BC20" s="2884"/>
      <c r="BD20" s="2884"/>
      <c r="BE20" s="2884"/>
      <c r="BF20" s="2884"/>
      <c r="BG20" s="2884"/>
      <c r="BH20" s="2881"/>
      <c r="BI20" s="2881"/>
      <c r="BJ20" s="2881"/>
      <c r="BK20" s="2881"/>
      <c r="BL20" s="2881"/>
      <c r="BM20" s="2881"/>
      <c r="BN20" s="2881"/>
      <c r="BO20" s="2884"/>
      <c r="BP20" s="2884"/>
      <c r="BQ20" s="2884"/>
      <c r="BR20" s="2884"/>
      <c r="BS20" s="2884"/>
      <c r="BT20" s="2884"/>
      <c r="BU20" s="2884"/>
      <c r="BV20" s="2881"/>
      <c r="BW20" s="2881"/>
      <c r="BX20" s="2881"/>
      <c r="BY20" s="2881"/>
      <c r="BZ20" s="2881"/>
      <c r="CA20" s="2881"/>
      <c r="CB20" s="2881"/>
      <c r="CC20" s="2884"/>
      <c r="CD20" s="2884"/>
      <c r="CE20" s="2884"/>
      <c r="CF20" s="2884"/>
      <c r="CG20" s="2884"/>
      <c r="CH20" s="2884"/>
      <c r="CI20" s="2884"/>
      <c r="CJ20" s="2881"/>
      <c r="CK20" s="2881"/>
      <c r="CL20" s="2881"/>
      <c r="CM20" s="2881"/>
      <c r="CN20" s="2881"/>
      <c r="CO20" s="2881"/>
      <c r="CP20" s="2881"/>
      <c r="CQ20" s="2884"/>
      <c r="CR20" s="2884"/>
      <c r="CS20" s="2884"/>
      <c r="CT20" s="2884"/>
      <c r="CU20" s="2884"/>
      <c r="CV20" s="2884"/>
      <c r="CW20" s="2886"/>
    </row>
    <row r="21" spans="1:104" outlineLevel="1">
      <c r="B21" s="2873"/>
      <c r="C21" s="2874"/>
      <c r="D21" s="2880"/>
      <c r="E21" s="2881"/>
      <c r="F21" s="2881"/>
      <c r="G21" s="2881"/>
      <c r="H21" s="2881"/>
      <c r="I21" s="2881"/>
      <c r="J21" s="2881"/>
      <c r="K21" s="2884"/>
      <c r="L21" s="2884"/>
      <c r="M21" s="2884"/>
      <c r="N21" s="2884"/>
      <c r="O21" s="2884"/>
      <c r="P21" s="2884"/>
      <c r="Q21" s="2884"/>
      <c r="R21" s="2881"/>
      <c r="S21" s="2881"/>
      <c r="T21" s="2881"/>
      <c r="U21" s="2881"/>
      <c r="V21" s="2881"/>
      <c r="W21" s="2881"/>
      <c r="X21" s="2881"/>
      <c r="Y21" s="2884"/>
      <c r="Z21" s="2884"/>
      <c r="AA21" s="2884"/>
      <c r="AB21" s="2884"/>
      <c r="AC21" s="2884"/>
      <c r="AD21" s="2884"/>
      <c r="AE21" s="2884"/>
      <c r="AF21" s="2881"/>
      <c r="AG21" s="2881"/>
      <c r="AH21" s="2881"/>
      <c r="AI21" s="2881"/>
      <c r="AJ21" s="2881"/>
      <c r="AK21" s="2881"/>
      <c r="AL21" s="2881"/>
      <c r="AM21" s="2884"/>
      <c r="AN21" s="2884"/>
      <c r="AO21" s="2884"/>
      <c r="AP21" s="2884"/>
      <c r="AQ21" s="2884"/>
      <c r="AR21" s="2884"/>
      <c r="AS21" s="2884"/>
      <c r="AT21" s="2881"/>
      <c r="AU21" s="2881"/>
      <c r="AV21" s="2881"/>
      <c r="AW21" s="2881"/>
      <c r="AX21" s="2881"/>
      <c r="AY21" s="2881"/>
      <c r="AZ21" s="2881"/>
      <c r="BA21" s="2884"/>
      <c r="BB21" s="2884"/>
      <c r="BC21" s="2884"/>
      <c r="BD21" s="2884"/>
      <c r="BE21" s="2884"/>
      <c r="BF21" s="2884"/>
      <c r="BG21" s="2884"/>
      <c r="BH21" s="2881"/>
      <c r="BI21" s="2881"/>
      <c r="BJ21" s="2881"/>
      <c r="BK21" s="2881"/>
      <c r="BL21" s="2881"/>
      <c r="BM21" s="2881"/>
      <c r="BN21" s="2881"/>
      <c r="BO21" s="2884"/>
      <c r="BP21" s="2884"/>
      <c r="BQ21" s="2884"/>
      <c r="BR21" s="2884"/>
      <c r="BS21" s="2884"/>
      <c r="BT21" s="2884"/>
      <c r="BU21" s="2884"/>
      <c r="BV21" s="2881"/>
      <c r="BW21" s="2881"/>
      <c r="BX21" s="2881"/>
      <c r="BY21" s="2881"/>
      <c r="BZ21" s="2881"/>
      <c r="CA21" s="2881"/>
      <c r="CB21" s="2881"/>
      <c r="CC21" s="2884"/>
      <c r="CD21" s="2884"/>
      <c r="CE21" s="2884"/>
      <c r="CF21" s="2884"/>
      <c r="CG21" s="2884"/>
      <c r="CH21" s="2884"/>
      <c r="CI21" s="2884"/>
      <c r="CJ21" s="2881"/>
      <c r="CK21" s="2881"/>
      <c r="CL21" s="2881"/>
      <c r="CM21" s="2881"/>
      <c r="CN21" s="2881"/>
      <c r="CO21" s="2881"/>
      <c r="CP21" s="2881"/>
      <c r="CQ21" s="2884"/>
      <c r="CR21" s="2884"/>
      <c r="CS21" s="2884"/>
      <c r="CT21" s="2884"/>
      <c r="CU21" s="2884"/>
      <c r="CV21" s="2884"/>
      <c r="CW21" s="2886"/>
    </row>
    <row r="22" spans="1:104" outlineLevel="1">
      <c r="B22" s="2873"/>
      <c r="C22" s="2874"/>
      <c r="D22" s="2880"/>
      <c r="E22" s="2881"/>
      <c r="F22" s="2881"/>
      <c r="G22" s="2881"/>
      <c r="H22" s="2881"/>
      <c r="I22" s="2881"/>
      <c r="J22" s="2881"/>
      <c r="K22" s="2884"/>
      <c r="L22" s="2884"/>
      <c r="M22" s="2884"/>
      <c r="N22" s="2884"/>
      <c r="O22" s="2884"/>
      <c r="P22" s="2884"/>
      <c r="Q22" s="2884"/>
      <c r="R22" s="2881"/>
      <c r="S22" s="2881"/>
      <c r="T22" s="2881"/>
      <c r="U22" s="2881"/>
      <c r="V22" s="2881"/>
      <c r="W22" s="2881"/>
      <c r="X22" s="2881"/>
      <c r="Y22" s="2884"/>
      <c r="Z22" s="2884"/>
      <c r="AA22" s="2884"/>
      <c r="AB22" s="2884"/>
      <c r="AC22" s="2884"/>
      <c r="AD22" s="2884"/>
      <c r="AE22" s="2884"/>
      <c r="AF22" s="2881"/>
      <c r="AG22" s="2881"/>
      <c r="AH22" s="2881"/>
      <c r="AI22" s="2881"/>
      <c r="AJ22" s="2881"/>
      <c r="AK22" s="2881"/>
      <c r="AL22" s="2881"/>
      <c r="AM22" s="2884"/>
      <c r="AN22" s="2884"/>
      <c r="AO22" s="2884"/>
      <c r="AP22" s="2884"/>
      <c r="AQ22" s="2884"/>
      <c r="AR22" s="2884"/>
      <c r="AS22" s="2884"/>
      <c r="AT22" s="2881"/>
      <c r="AU22" s="2881"/>
      <c r="AV22" s="2881"/>
      <c r="AW22" s="2881"/>
      <c r="AX22" s="2881"/>
      <c r="AY22" s="2881"/>
      <c r="AZ22" s="2881"/>
      <c r="BA22" s="2884"/>
      <c r="BB22" s="2884"/>
      <c r="BC22" s="2884"/>
      <c r="BD22" s="2884"/>
      <c r="BE22" s="2884"/>
      <c r="BF22" s="2884"/>
      <c r="BG22" s="2884"/>
      <c r="BH22" s="2881"/>
      <c r="BI22" s="2881"/>
      <c r="BJ22" s="2881"/>
      <c r="BK22" s="2881"/>
      <c r="BL22" s="2881"/>
      <c r="BM22" s="2881"/>
      <c r="BN22" s="2881"/>
      <c r="BO22" s="2884"/>
      <c r="BP22" s="2884"/>
      <c r="BQ22" s="2884"/>
      <c r="BR22" s="2884"/>
      <c r="BS22" s="2884"/>
      <c r="BT22" s="2884"/>
      <c r="BU22" s="2884"/>
      <c r="BV22" s="2881"/>
      <c r="BW22" s="2881"/>
      <c r="BX22" s="2881"/>
      <c r="BY22" s="2881"/>
      <c r="BZ22" s="2881"/>
      <c r="CA22" s="2881"/>
      <c r="CB22" s="2881"/>
      <c r="CC22" s="2884"/>
      <c r="CD22" s="2884"/>
      <c r="CE22" s="2884"/>
      <c r="CF22" s="2884"/>
      <c r="CG22" s="2884"/>
      <c r="CH22" s="2884"/>
      <c r="CI22" s="2884"/>
      <c r="CJ22" s="2881"/>
      <c r="CK22" s="2881"/>
      <c r="CL22" s="2881"/>
      <c r="CM22" s="2881"/>
      <c r="CN22" s="2881"/>
      <c r="CO22" s="2881"/>
      <c r="CP22" s="2881"/>
      <c r="CQ22" s="2884"/>
      <c r="CR22" s="2884"/>
      <c r="CS22" s="2884"/>
      <c r="CT22" s="2884"/>
      <c r="CU22" s="2884"/>
      <c r="CV22" s="2884"/>
      <c r="CW22" s="2886"/>
    </row>
    <row r="23" spans="1:104" outlineLevel="1">
      <c r="B23" s="2873"/>
      <c r="C23" s="2874"/>
      <c r="D23" s="2880"/>
      <c r="E23" s="2881"/>
      <c r="F23" s="2881"/>
      <c r="G23" s="2881"/>
      <c r="H23" s="2881"/>
      <c r="I23" s="2881"/>
      <c r="J23" s="2881"/>
      <c r="K23" s="2884"/>
      <c r="L23" s="2884"/>
      <c r="M23" s="2884"/>
      <c r="N23" s="2884"/>
      <c r="O23" s="2884"/>
      <c r="P23" s="2884"/>
      <c r="Q23" s="2884"/>
      <c r="R23" s="2881"/>
      <c r="S23" s="2881"/>
      <c r="T23" s="2881"/>
      <c r="U23" s="2881"/>
      <c r="V23" s="2881"/>
      <c r="W23" s="2881"/>
      <c r="X23" s="2881"/>
      <c r="Y23" s="2884"/>
      <c r="Z23" s="2884"/>
      <c r="AA23" s="2884"/>
      <c r="AB23" s="2884"/>
      <c r="AC23" s="2884"/>
      <c r="AD23" s="2884"/>
      <c r="AE23" s="2884"/>
      <c r="AF23" s="2881"/>
      <c r="AG23" s="2881"/>
      <c r="AH23" s="2881"/>
      <c r="AI23" s="2881"/>
      <c r="AJ23" s="2881"/>
      <c r="AK23" s="2881"/>
      <c r="AL23" s="2881"/>
      <c r="AM23" s="2884"/>
      <c r="AN23" s="2884"/>
      <c r="AO23" s="2884"/>
      <c r="AP23" s="2884"/>
      <c r="AQ23" s="2884"/>
      <c r="AR23" s="2884"/>
      <c r="AS23" s="2884"/>
      <c r="AT23" s="2881"/>
      <c r="AU23" s="2881"/>
      <c r="AV23" s="2881"/>
      <c r="AW23" s="2881"/>
      <c r="AX23" s="2881"/>
      <c r="AY23" s="2881"/>
      <c r="AZ23" s="2881"/>
      <c r="BA23" s="2884"/>
      <c r="BB23" s="2884"/>
      <c r="BC23" s="2884"/>
      <c r="BD23" s="2884"/>
      <c r="BE23" s="2884"/>
      <c r="BF23" s="2884"/>
      <c r="BG23" s="2884"/>
      <c r="BH23" s="2881"/>
      <c r="BI23" s="2881"/>
      <c r="BJ23" s="2881"/>
      <c r="BK23" s="2881"/>
      <c r="BL23" s="2881"/>
      <c r="BM23" s="2881"/>
      <c r="BN23" s="2881"/>
      <c r="BO23" s="2884"/>
      <c r="BP23" s="2884"/>
      <c r="BQ23" s="2884"/>
      <c r="BR23" s="2884"/>
      <c r="BS23" s="2884"/>
      <c r="BT23" s="2884"/>
      <c r="BU23" s="2884"/>
      <c r="BV23" s="2881"/>
      <c r="BW23" s="2881"/>
      <c r="BX23" s="2881"/>
      <c r="BY23" s="2881"/>
      <c r="BZ23" s="2881"/>
      <c r="CA23" s="2881"/>
      <c r="CB23" s="2881"/>
      <c r="CC23" s="2884"/>
      <c r="CD23" s="2884"/>
      <c r="CE23" s="2884"/>
      <c r="CF23" s="2884"/>
      <c r="CG23" s="2884"/>
      <c r="CH23" s="2884"/>
      <c r="CI23" s="2884"/>
      <c r="CJ23" s="2881"/>
      <c r="CK23" s="2881"/>
      <c r="CL23" s="2881"/>
      <c r="CM23" s="2881"/>
      <c r="CN23" s="2881"/>
      <c r="CO23" s="2881"/>
      <c r="CP23" s="2881"/>
      <c r="CQ23" s="2884"/>
      <c r="CR23" s="2884"/>
      <c r="CS23" s="2884"/>
      <c r="CT23" s="2884"/>
      <c r="CU23" s="2884"/>
      <c r="CV23" s="2884"/>
      <c r="CW23" s="2886"/>
    </row>
    <row r="24" spans="1:104" outlineLevel="1">
      <c r="B24" s="2873"/>
      <c r="C24" s="2874"/>
      <c r="D24" s="2880"/>
      <c r="E24" s="2881"/>
      <c r="F24" s="2881"/>
      <c r="G24" s="2881"/>
      <c r="H24" s="2881"/>
      <c r="I24" s="2881"/>
      <c r="J24" s="2881"/>
      <c r="K24" s="2884"/>
      <c r="L24" s="2884"/>
      <c r="M24" s="2884"/>
      <c r="N24" s="2884"/>
      <c r="O24" s="2884"/>
      <c r="P24" s="2884"/>
      <c r="Q24" s="2884"/>
      <c r="R24" s="2881"/>
      <c r="S24" s="2881"/>
      <c r="T24" s="2881"/>
      <c r="U24" s="2881"/>
      <c r="V24" s="2881"/>
      <c r="W24" s="2881"/>
      <c r="X24" s="2881"/>
      <c r="Y24" s="2884"/>
      <c r="Z24" s="2884"/>
      <c r="AA24" s="2884"/>
      <c r="AB24" s="2884"/>
      <c r="AC24" s="2884"/>
      <c r="AD24" s="2884"/>
      <c r="AE24" s="2884"/>
      <c r="AF24" s="2881"/>
      <c r="AG24" s="2881"/>
      <c r="AH24" s="2881"/>
      <c r="AI24" s="2881"/>
      <c r="AJ24" s="2881"/>
      <c r="AK24" s="2881"/>
      <c r="AL24" s="2881"/>
      <c r="AM24" s="2884"/>
      <c r="AN24" s="2884"/>
      <c r="AO24" s="2884"/>
      <c r="AP24" s="2884"/>
      <c r="AQ24" s="2884"/>
      <c r="AR24" s="2884"/>
      <c r="AS24" s="2884"/>
      <c r="AT24" s="2881"/>
      <c r="AU24" s="2881"/>
      <c r="AV24" s="2881"/>
      <c r="AW24" s="2881"/>
      <c r="AX24" s="2881"/>
      <c r="AY24" s="2881"/>
      <c r="AZ24" s="2881"/>
      <c r="BA24" s="2884"/>
      <c r="BB24" s="2884"/>
      <c r="BC24" s="2884"/>
      <c r="BD24" s="2884"/>
      <c r="BE24" s="2884"/>
      <c r="BF24" s="2884"/>
      <c r="BG24" s="2884"/>
      <c r="BH24" s="2881"/>
      <c r="BI24" s="2881"/>
      <c r="BJ24" s="2881"/>
      <c r="BK24" s="2881"/>
      <c r="BL24" s="2881"/>
      <c r="BM24" s="2881"/>
      <c r="BN24" s="2881"/>
      <c r="BO24" s="2884"/>
      <c r="BP24" s="2884"/>
      <c r="BQ24" s="2884"/>
      <c r="BR24" s="2884"/>
      <c r="BS24" s="2884"/>
      <c r="BT24" s="2884"/>
      <c r="BU24" s="2884"/>
      <c r="BV24" s="2881"/>
      <c r="BW24" s="2881"/>
      <c r="BX24" s="2881"/>
      <c r="BY24" s="2881"/>
      <c r="BZ24" s="2881"/>
      <c r="CA24" s="2881"/>
      <c r="CB24" s="2881"/>
      <c r="CC24" s="2884"/>
      <c r="CD24" s="2884"/>
      <c r="CE24" s="2884"/>
      <c r="CF24" s="2884"/>
      <c r="CG24" s="2884"/>
      <c r="CH24" s="2884"/>
      <c r="CI24" s="2884"/>
      <c r="CJ24" s="2881"/>
      <c r="CK24" s="2881"/>
      <c r="CL24" s="2881"/>
      <c r="CM24" s="2881"/>
      <c r="CN24" s="2881"/>
      <c r="CO24" s="2881"/>
      <c r="CP24" s="2881"/>
      <c r="CQ24" s="2884"/>
      <c r="CR24" s="2884"/>
      <c r="CS24" s="2884"/>
      <c r="CT24" s="2884"/>
      <c r="CU24" s="2884"/>
      <c r="CV24" s="2884"/>
      <c r="CW24" s="2886"/>
    </row>
    <row r="25" spans="1:104" outlineLevel="1">
      <c r="B25" s="2873"/>
      <c r="C25" s="2874"/>
      <c r="D25" s="2880"/>
      <c r="E25" s="2881"/>
      <c r="F25" s="2881"/>
      <c r="G25" s="2881"/>
      <c r="H25" s="2881"/>
      <c r="I25" s="2881"/>
      <c r="J25" s="2881"/>
      <c r="K25" s="2884"/>
      <c r="L25" s="2884"/>
      <c r="M25" s="2884"/>
      <c r="N25" s="2884"/>
      <c r="O25" s="2884"/>
      <c r="P25" s="2884"/>
      <c r="Q25" s="2884"/>
      <c r="R25" s="2881"/>
      <c r="S25" s="2881"/>
      <c r="T25" s="2881"/>
      <c r="U25" s="2881"/>
      <c r="V25" s="2881"/>
      <c r="W25" s="2881"/>
      <c r="X25" s="2881"/>
      <c r="Y25" s="2884"/>
      <c r="Z25" s="2884"/>
      <c r="AA25" s="2884"/>
      <c r="AB25" s="2884"/>
      <c r="AC25" s="2884"/>
      <c r="AD25" s="2884"/>
      <c r="AE25" s="2884"/>
      <c r="AF25" s="2881"/>
      <c r="AG25" s="2881"/>
      <c r="AH25" s="2881"/>
      <c r="AI25" s="2881"/>
      <c r="AJ25" s="2881"/>
      <c r="AK25" s="2881"/>
      <c r="AL25" s="2881"/>
      <c r="AM25" s="2884"/>
      <c r="AN25" s="2884"/>
      <c r="AO25" s="2884"/>
      <c r="AP25" s="2884"/>
      <c r="AQ25" s="2884"/>
      <c r="AR25" s="2884"/>
      <c r="AS25" s="2884"/>
      <c r="AT25" s="2881"/>
      <c r="AU25" s="2881"/>
      <c r="AV25" s="2881"/>
      <c r="AW25" s="2881"/>
      <c r="AX25" s="2881"/>
      <c r="AY25" s="2881"/>
      <c r="AZ25" s="2881"/>
      <c r="BA25" s="2884"/>
      <c r="BB25" s="2884"/>
      <c r="BC25" s="2884"/>
      <c r="BD25" s="2884"/>
      <c r="BE25" s="2884"/>
      <c r="BF25" s="2884"/>
      <c r="BG25" s="2884"/>
      <c r="BH25" s="2881"/>
      <c r="BI25" s="2881"/>
      <c r="BJ25" s="2881"/>
      <c r="BK25" s="2881"/>
      <c r="BL25" s="2881"/>
      <c r="BM25" s="2881"/>
      <c r="BN25" s="2881"/>
      <c r="BO25" s="2884"/>
      <c r="BP25" s="2884"/>
      <c r="BQ25" s="2884"/>
      <c r="BR25" s="2884"/>
      <c r="BS25" s="2884"/>
      <c r="BT25" s="2884"/>
      <c r="BU25" s="2884"/>
      <c r="BV25" s="2881"/>
      <c r="BW25" s="2881"/>
      <c r="BX25" s="2881"/>
      <c r="BY25" s="2881"/>
      <c r="BZ25" s="2881"/>
      <c r="CA25" s="2881"/>
      <c r="CB25" s="2881"/>
      <c r="CC25" s="2884"/>
      <c r="CD25" s="2884"/>
      <c r="CE25" s="2884"/>
      <c r="CF25" s="2884"/>
      <c r="CG25" s="2884"/>
      <c r="CH25" s="2884"/>
      <c r="CI25" s="2884"/>
      <c r="CJ25" s="2881"/>
      <c r="CK25" s="2881"/>
      <c r="CL25" s="2881"/>
      <c r="CM25" s="2881"/>
      <c r="CN25" s="2881"/>
      <c r="CO25" s="2881"/>
      <c r="CP25" s="2881"/>
      <c r="CQ25" s="2884"/>
      <c r="CR25" s="2884"/>
      <c r="CS25" s="2884"/>
      <c r="CT25" s="2884"/>
      <c r="CU25" s="2884"/>
      <c r="CV25" s="2884"/>
      <c r="CW25" s="2886"/>
    </row>
    <row r="26" spans="1:104" outlineLevel="1">
      <c r="B26" s="2873"/>
      <c r="C26" s="2874"/>
      <c r="D26" s="2882"/>
      <c r="E26" s="2883"/>
      <c r="F26" s="2883"/>
      <c r="G26" s="2883"/>
      <c r="H26" s="2883"/>
      <c r="I26" s="2883"/>
      <c r="J26" s="2883"/>
      <c r="K26" s="2885"/>
      <c r="L26" s="2885"/>
      <c r="M26" s="2885"/>
      <c r="N26" s="2885"/>
      <c r="O26" s="2885"/>
      <c r="P26" s="2885"/>
      <c r="Q26" s="2885"/>
      <c r="R26" s="2883"/>
      <c r="S26" s="2883"/>
      <c r="T26" s="2883"/>
      <c r="U26" s="2883"/>
      <c r="V26" s="2883"/>
      <c r="W26" s="2883"/>
      <c r="X26" s="2883"/>
      <c r="Y26" s="2885"/>
      <c r="Z26" s="2885"/>
      <c r="AA26" s="2885"/>
      <c r="AB26" s="2885"/>
      <c r="AC26" s="2885"/>
      <c r="AD26" s="2885"/>
      <c r="AE26" s="2885"/>
      <c r="AF26" s="2883"/>
      <c r="AG26" s="2883"/>
      <c r="AH26" s="2883"/>
      <c r="AI26" s="2883"/>
      <c r="AJ26" s="2883"/>
      <c r="AK26" s="2883"/>
      <c r="AL26" s="2883"/>
      <c r="AM26" s="2885"/>
      <c r="AN26" s="2885"/>
      <c r="AO26" s="2885"/>
      <c r="AP26" s="2885"/>
      <c r="AQ26" s="2885"/>
      <c r="AR26" s="2885"/>
      <c r="AS26" s="2885"/>
      <c r="AT26" s="2883"/>
      <c r="AU26" s="2883"/>
      <c r="AV26" s="2883"/>
      <c r="AW26" s="2883"/>
      <c r="AX26" s="2883"/>
      <c r="AY26" s="2883"/>
      <c r="AZ26" s="2883"/>
      <c r="BA26" s="2885"/>
      <c r="BB26" s="2885"/>
      <c r="BC26" s="2885"/>
      <c r="BD26" s="2885"/>
      <c r="BE26" s="2885"/>
      <c r="BF26" s="2885"/>
      <c r="BG26" s="2885"/>
      <c r="BH26" s="2883"/>
      <c r="BI26" s="2883"/>
      <c r="BJ26" s="2883"/>
      <c r="BK26" s="2883"/>
      <c r="BL26" s="2883"/>
      <c r="BM26" s="2883"/>
      <c r="BN26" s="2883"/>
      <c r="BO26" s="2885"/>
      <c r="BP26" s="2885"/>
      <c r="BQ26" s="2885"/>
      <c r="BR26" s="2885"/>
      <c r="BS26" s="2885"/>
      <c r="BT26" s="2885"/>
      <c r="BU26" s="2885"/>
      <c r="BV26" s="2883"/>
      <c r="BW26" s="2883"/>
      <c r="BX26" s="2883"/>
      <c r="BY26" s="2883"/>
      <c r="BZ26" s="2883"/>
      <c r="CA26" s="2883"/>
      <c r="CB26" s="2883"/>
      <c r="CC26" s="2885"/>
      <c r="CD26" s="2885"/>
      <c r="CE26" s="2885"/>
      <c r="CF26" s="2885"/>
      <c r="CG26" s="2885"/>
      <c r="CH26" s="2885"/>
      <c r="CI26" s="2885"/>
      <c r="CJ26" s="2883"/>
      <c r="CK26" s="2883"/>
      <c r="CL26" s="2883"/>
      <c r="CM26" s="2883"/>
      <c r="CN26" s="2883"/>
      <c r="CO26" s="2883"/>
      <c r="CP26" s="2883"/>
      <c r="CQ26" s="2885"/>
      <c r="CR26" s="2885"/>
      <c r="CS26" s="2885"/>
      <c r="CT26" s="2885"/>
      <c r="CU26" s="2885"/>
      <c r="CV26" s="2885"/>
      <c r="CW26" s="2887"/>
    </row>
    <row r="27" spans="1:104" outlineLevel="1">
      <c r="B27" s="3002" t="s">
        <v>5561</v>
      </c>
      <c r="C27" s="3003"/>
      <c r="D27" s="3004" t="str">
        <f>LEN(D7)&amp;"字"</f>
        <v>0字</v>
      </c>
      <c r="E27" s="3004"/>
      <c r="F27" s="3004"/>
      <c r="G27" s="3004"/>
      <c r="H27" s="3004"/>
      <c r="I27" s="3004"/>
      <c r="J27" s="3004"/>
      <c r="K27" s="3005" t="str">
        <f>LEN(K7)&amp;"字"</f>
        <v>0字</v>
      </c>
      <c r="L27" s="3005"/>
      <c r="M27" s="3005"/>
      <c r="N27" s="3005"/>
      <c r="O27" s="3005"/>
      <c r="P27" s="3005"/>
      <c r="Q27" s="3005"/>
      <c r="R27" s="3004" t="str">
        <f>LEN(R7)&amp;"字"</f>
        <v>0字</v>
      </c>
      <c r="S27" s="3004"/>
      <c r="T27" s="3004"/>
      <c r="U27" s="3004"/>
      <c r="V27" s="3004"/>
      <c r="W27" s="3004"/>
      <c r="X27" s="3004"/>
      <c r="Y27" s="3005" t="str">
        <f>LEN(Y7)&amp;"字"</f>
        <v>0字</v>
      </c>
      <c r="Z27" s="3005"/>
      <c r="AA27" s="3005"/>
      <c r="AB27" s="3005"/>
      <c r="AC27" s="3005"/>
      <c r="AD27" s="3005"/>
      <c r="AE27" s="3005"/>
      <c r="AF27" s="3004" t="str">
        <f>LEN(AF7)&amp;"字"</f>
        <v>0字</v>
      </c>
      <c r="AG27" s="3004"/>
      <c r="AH27" s="3004"/>
      <c r="AI27" s="3004"/>
      <c r="AJ27" s="3004"/>
      <c r="AK27" s="3004"/>
      <c r="AL27" s="3004"/>
      <c r="AM27" s="3005" t="str">
        <f>LEN(AM7)&amp;"字"</f>
        <v>0字</v>
      </c>
      <c r="AN27" s="3005"/>
      <c r="AO27" s="3005"/>
      <c r="AP27" s="3005"/>
      <c r="AQ27" s="3005"/>
      <c r="AR27" s="3005"/>
      <c r="AS27" s="3005"/>
      <c r="AT27" s="3004" t="str">
        <f>LEN(AT7)&amp;"字"</f>
        <v>0字</v>
      </c>
      <c r="AU27" s="3004"/>
      <c r="AV27" s="3004"/>
      <c r="AW27" s="3004"/>
      <c r="AX27" s="3004"/>
      <c r="AY27" s="3004"/>
      <c r="AZ27" s="3004"/>
      <c r="BA27" s="3005" t="str">
        <f>LEN(BA7)&amp;"字"</f>
        <v>0字</v>
      </c>
      <c r="BB27" s="3005"/>
      <c r="BC27" s="3005"/>
      <c r="BD27" s="3005"/>
      <c r="BE27" s="3005"/>
      <c r="BF27" s="3005"/>
      <c r="BG27" s="3005"/>
      <c r="BH27" s="3004" t="str">
        <f>LEN(BH7)&amp;"字"</f>
        <v>0字</v>
      </c>
      <c r="BI27" s="3004"/>
      <c r="BJ27" s="3004"/>
      <c r="BK27" s="3004"/>
      <c r="BL27" s="3004"/>
      <c r="BM27" s="3004"/>
      <c r="BN27" s="3004"/>
      <c r="BO27" s="3005" t="str">
        <f>LEN(BO7)&amp;"字"</f>
        <v>0字</v>
      </c>
      <c r="BP27" s="3005"/>
      <c r="BQ27" s="3005"/>
      <c r="BR27" s="3005"/>
      <c r="BS27" s="3005"/>
      <c r="BT27" s="3005"/>
      <c r="BU27" s="3005"/>
      <c r="BV27" s="3004" t="str">
        <f>LEN(BV7)&amp;"字"</f>
        <v>0字</v>
      </c>
      <c r="BW27" s="3004"/>
      <c r="BX27" s="3004"/>
      <c r="BY27" s="3004"/>
      <c r="BZ27" s="3004"/>
      <c r="CA27" s="3004"/>
      <c r="CB27" s="3004"/>
      <c r="CC27" s="3005" t="str">
        <f>LEN(CC7)&amp;"字"</f>
        <v>0字</v>
      </c>
      <c r="CD27" s="3005"/>
      <c r="CE27" s="3005"/>
      <c r="CF27" s="3005"/>
      <c r="CG27" s="3005"/>
      <c r="CH27" s="3005"/>
      <c r="CI27" s="3005"/>
      <c r="CJ27" s="3004" t="str">
        <f>LEN(CJ7)&amp;"字"</f>
        <v>0字</v>
      </c>
      <c r="CK27" s="3004"/>
      <c r="CL27" s="3004"/>
      <c r="CM27" s="3004"/>
      <c r="CN27" s="3004"/>
      <c r="CO27" s="3004"/>
      <c r="CP27" s="3004"/>
      <c r="CQ27" s="3005" t="str">
        <f>LEN(CQ7)&amp;"字"</f>
        <v>0字</v>
      </c>
      <c r="CR27" s="3005"/>
      <c r="CS27" s="3005"/>
      <c r="CT27" s="3005"/>
      <c r="CU27" s="3005"/>
      <c r="CV27" s="3005"/>
      <c r="CW27" s="3006"/>
    </row>
    <row r="28" spans="1:104">
      <c r="B28" s="2851" t="str">
        <f>"你总共撰写了"&amp;LEN(D7)+LEN(K7)+LEN(R7)+LEN(Y7)+LEN(AF7)+LEN(AM7)+LEN(AT7)+LEN(BA7)+LEN(BH7)+LEN(BO7)+LEN(BV7)+LEN(CC7)+LEN(CJ7)+LEN(CQ7)&amp;"字冒险故事！"</f>
        <v>你总共撰写了0字冒险故事！</v>
      </c>
      <c r="C28" s="2851"/>
      <c r="D28" s="2851"/>
      <c r="E28" s="2851"/>
      <c r="F28" s="2851"/>
      <c r="G28" s="2851"/>
      <c r="H28" s="2851"/>
      <c r="I28" s="2851"/>
      <c r="J28" s="2851"/>
      <c r="K28" s="2851"/>
      <c r="L28" s="2851"/>
      <c r="M28" s="2851"/>
      <c r="N28" s="2851"/>
      <c r="O28" s="2851"/>
      <c r="P28" s="2851"/>
      <c r="Q28" s="2851"/>
      <c r="R28" s="2851"/>
      <c r="S28" s="2851"/>
      <c r="T28" s="2851"/>
      <c r="U28" s="2851"/>
      <c r="V28" s="2851"/>
      <c r="W28" s="2851"/>
      <c r="X28" s="2851"/>
      <c r="Y28" s="2851"/>
      <c r="Z28" s="2851"/>
      <c r="AA28" s="2851"/>
      <c r="AB28" s="2851"/>
      <c r="AC28" s="2851"/>
      <c r="AD28" s="2851"/>
      <c r="AE28" s="2851"/>
    </row>
    <row r="29" spans="1:104" hidden="1">
      <c r="E29">
        <f>COUNTA(D7:CW26)</f>
        <v>0</v>
      </c>
      <c r="G29">
        <f>COUNTA(BA35:BD71)</f>
        <v>0</v>
      </c>
      <c r="L29">
        <f>COUNTA(BA77:BD113)</f>
        <v>0</v>
      </c>
      <c r="N29" s="2851">
        <f>SUM(AQ77:AR113,Q77:R113)</f>
        <v>0</v>
      </c>
      <c r="O29" s="2851"/>
    </row>
    <row r="30" spans="1:104" hidden="1">
      <c r="CF30">
        <f>COUNTA(B119:E155)</f>
        <v>0</v>
      </c>
      <c r="CZ30">
        <f>SUM(AA119:AB155)</f>
        <v>0</v>
      </c>
    </row>
    <row r="31" spans="1:104" ht="17" customHeight="1">
      <c r="K31" s="2851" t="str">
        <f>IF(E29=0,"你还未踏上旅途···","你已经经历过"&amp;E29&amp;"次冒险了！")</f>
        <v>你还未踏上旅途···</v>
      </c>
      <c r="L31" s="2851"/>
      <c r="M31" s="2851"/>
      <c r="N31" s="2851"/>
      <c r="O31" s="2851"/>
      <c r="P31" s="2851"/>
      <c r="Q31" s="2851"/>
      <c r="R31" s="2851"/>
      <c r="S31" s="2851"/>
      <c r="T31" s="2851"/>
      <c r="U31" s="2851"/>
      <c r="V31" s="2851"/>
      <c r="W31" s="2851"/>
      <c r="X31" s="2851"/>
      <c r="Y31" s="2851"/>
      <c r="Z31" s="2851"/>
      <c r="AA31" s="2851"/>
      <c r="AB31" s="2851"/>
      <c r="AC31" s="2851"/>
      <c r="AD31" s="2851"/>
      <c r="AE31" s="2851"/>
      <c r="BA31" s="2851" t="str">
        <f>IF(G29=0,"超乎想象的能力，等待你窥探···","你已经习得了"&amp;G29&amp;"种法术！")</f>
        <v>超乎想象的能力，等待你窥探···</v>
      </c>
      <c r="BB31" s="2851"/>
      <c r="BC31" s="2851"/>
      <c r="BD31" s="2851"/>
      <c r="BE31" s="2851"/>
      <c r="BF31" s="2851"/>
      <c r="BG31" s="2851"/>
      <c r="BH31" s="2851"/>
      <c r="BI31" s="2851"/>
      <c r="BJ31" s="2851"/>
      <c r="BK31" s="2851"/>
      <c r="BL31" s="2851"/>
      <c r="BM31" s="2851"/>
      <c r="BN31" s="2851"/>
      <c r="BO31" s="2851"/>
      <c r="BP31" s="2851"/>
      <c r="BQ31" s="2851"/>
      <c r="BR31" s="2851"/>
      <c r="BS31" s="2851"/>
      <c r="BT31" s="2851"/>
      <c r="BU31" s="2851"/>
      <c r="BV31" s="2851"/>
      <c r="BW31" s="2851"/>
      <c r="BX31" s="2851"/>
      <c r="BY31" s="2851"/>
      <c r="BZ31" s="2851"/>
      <c r="CA31" s="2851"/>
      <c r="CB31" s="2851"/>
      <c r="CC31" s="2851"/>
      <c r="CD31" s="2851"/>
      <c r="CE31" s="2851"/>
      <c r="CF31" s="2851"/>
      <c r="CG31" s="2851"/>
      <c r="CH31" s="2851"/>
      <c r="CI31" s="2851"/>
      <c r="CJ31" s="2851"/>
    </row>
    <row r="32" spans="1:104" ht="17" customHeight="1">
      <c r="A32" s="2894" t="s">
        <v>5562</v>
      </c>
      <c r="B32" s="2984" t="s">
        <v>5563</v>
      </c>
      <c r="C32" s="2985"/>
      <c r="D32" s="2985"/>
      <c r="E32" s="2985"/>
      <c r="F32" s="2985"/>
      <c r="G32" s="2985"/>
      <c r="H32" s="2985"/>
      <c r="I32" s="2985"/>
      <c r="J32" s="2985"/>
      <c r="K32" s="2985"/>
      <c r="L32" s="2985"/>
      <c r="M32" s="2985"/>
      <c r="N32" s="2985"/>
      <c r="O32" s="2985"/>
      <c r="P32" s="2985"/>
      <c r="Q32" s="2985"/>
      <c r="R32" s="2985"/>
      <c r="S32" s="2985"/>
      <c r="T32" s="2985"/>
      <c r="U32" s="2985"/>
      <c r="V32" s="2985"/>
      <c r="W32" s="2985"/>
      <c r="X32" s="2985"/>
      <c r="Y32" s="2985"/>
      <c r="Z32" s="2985"/>
      <c r="AA32" s="2984" t="s">
        <v>5564</v>
      </c>
      <c r="AB32" s="2985"/>
      <c r="AC32" s="2985"/>
      <c r="AD32" s="2985"/>
      <c r="AE32" s="2985"/>
      <c r="AF32" s="2985"/>
      <c r="AG32" s="2985"/>
      <c r="AH32" s="2985"/>
      <c r="AI32" s="2985"/>
      <c r="AJ32" s="2985"/>
      <c r="AK32" s="2985"/>
      <c r="AL32" s="2985"/>
      <c r="AM32" s="2985"/>
      <c r="AN32" s="2985"/>
      <c r="AO32" s="2985"/>
      <c r="AP32" s="2985"/>
      <c r="AQ32" s="2985"/>
      <c r="AR32" s="2985"/>
      <c r="AS32" s="2985"/>
      <c r="AT32" s="2985"/>
      <c r="AU32" s="2985"/>
      <c r="AV32" s="2985"/>
      <c r="AW32" s="2985"/>
      <c r="AX32" s="2985"/>
      <c r="AY32" s="2985"/>
      <c r="BA32" s="2851"/>
      <c r="BB32" s="2851"/>
      <c r="BC32" s="2851"/>
      <c r="BD32" s="2851"/>
      <c r="BE32" s="2851"/>
      <c r="BF32" s="2851"/>
      <c r="BG32" s="2851"/>
      <c r="BH32" s="2851"/>
      <c r="BI32" s="2851"/>
      <c r="BJ32" s="2851"/>
      <c r="BK32" s="2851"/>
      <c r="BL32" s="2851"/>
      <c r="BM32" s="2851"/>
      <c r="BN32" s="2851"/>
      <c r="BO32" s="2851"/>
      <c r="BP32" s="2851"/>
      <c r="BQ32" s="2851"/>
      <c r="BR32" s="2851"/>
      <c r="BS32" s="2851"/>
      <c r="BT32" s="2851"/>
      <c r="BU32" s="2851"/>
      <c r="BV32" s="2851"/>
      <c r="BW32" s="2851"/>
      <c r="BX32" s="2851"/>
      <c r="BY32" s="2851"/>
      <c r="BZ32" s="2851"/>
      <c r="CA32" s="2851"/>
      <c r="CB32" s="2851"/>
      <c r="CC32" s="2851"/>
      <c r="CD32" s="2851"/>
      <c r="CE32" s="2851"/>
      <c r="CF32" s="2851"/>
      <c r="CG32" s="2851"/>
      <c r="CH32" s="2851"/>
      <c r="CI32" s="2851"/>
      <c r="CJ32" s="2851"/>
    </row>
    <row r="33" spans="1:88" ht="17" customHeight="1">
      <c r="A33" s="2894"/>
      <c r="B33" s="2986" t="s">
        <v>1</v>
      </c>
      <c r="C33" s="2987"/>
      <c r="D33" s="2987"/>
      <c r="E33" s="2987"/>
      <c r="F33" s="2988" t="s">
        <v>5565</v>
      </c>
      <c r="G33" s="2988"/>
      <c r="H33" s="2988"/>
      <c r="I33" s="2988"/>
      <c r="J33" s="2988"/>
      <c r="K33" s="2988" t="s">
        <v>5566</v>
      </c>
      <c r="L33" s="2988"/>
      <c r="M33" s="2988"/>
      <c r="N33" s="2988"/>
      <c r="O33" s="2989" t="s">
        <v>5567</v>
      </c>
      <c r="P33" s="2990"/>
      <c r="Q33" s="2990"/>
      <c r="R33" s="2990"/>
      <c r="S33" s="2990"/>
      <c r="T33" s="2991"/>
      <c r="U33" s="2990" t="s">
        <v>5568</v>
      </c>
      <c r="V33" s="2990"/>
      <c r="W33" s="2990"/>
      <c r="X33" s="2990"/>
      <c r="Y33" s="2990"/>
      <c r="Z33" s="2992"/>
      <c r="AA33" s="2986" t="s">
        <v>1</v>
      </c>
      <c r="AB33" s="2987"/>
      <c r="AC33" s="2987"/>
      <c r="AD33" s="2987"/>
      <c r="AE33" s="2988" t="s">
        <v>5565</v>
      </c>
      <c r="AF33" s="2988"/>
      <c r="AG33" s="2988"/>
      <c r="AH33" s="2988"/>
      <c r="AI33" s="2988"/>
      <c r="AJ33" s="2988" t="s">
        <v>5566</v>
      </c>
      <c r="AK33" s="2988"/>
      <c r="AL33" s="2988"/>
      <c r="AM33" s="2988"/>
      <c r="AN33" s="2989" t="s">
        <v>5567</v>
      </c>
      <c r="AO33" s="2990"/>
      <c r="AP33" s="2990"/>
      <c r="AQ33" s="2990"/>
      <c r="AR33" s="2990"/>
      <c r="AS33" s="2991"/>
      <c r="AT33" s="2993" t="s">
        <v>5568</v>
      </c>
      <c r="AU33" s="2993"/>
      <c r="AV33" s="2993"/>
      <c r="AW33" s="2993"/>
      <c r="AX33" s="2993"/>
      <c r="AY33" s="2994"/>
      <c r="BA33" s="2995" t="s">
        <v>5569</v>
      </c>
      <c r="BB33" s="2996"/>
      <c r="BC33" s="2996"/>
      <c r="BD33" s="2996"/>
      <c r="BE33" s="2996"/>
      <c r="BF33" s="2996"/>
      <c r="BG33" s="2996"/>
      <c r="BH33" s="2996"/>
      <c r="BI33" s="2996"/>
      <c r="BJ33" s="2996"/>
      <c r="BK33" s="2996"/>
      <c r="BL33" s="2996"/>
      <c r="BM33" s="2996"/>
      <c r="BN33" s="2996"/>
      <c r="BO33" s="2996"/>
      <c r="BP33" s="2996"/>
      <c r="BQ33" s="2996"/>
      <c r="BR33" s="2996"/>
      <c r="BS33" s="2996"/>
      <c r="BT33" s="2996"/>
      <c r="BU33" s="2996"/>
      <c r="BV33" s="2996"/>
      <c r="BW33" s="2996"/>
      <c r="BX33" s="2996"/>
      <c r="BY33" s="2996"/>
      <c r="BZ33" s="2996"/>
      <c r="CA33" s="2996"/>
      <c r="CB33" s="2996"/>
      <c r="CC33" s="2996"/>
      <c r="CD33" s="2996"/>
      <c r="CE33" s="2996"/>
      <c r="CF33" s="2996"/>
      <c r="CG33" s="2996"/>
      <c r="CH33" s="2996"/>
      <c r="CI33" s="2996"/>
      <c r="CJ33" s="2997"/>
    </row>
    <row r="34" spans="1:88" ht="17" customHeight="1">
      <c r="A34" s="2894"/>
      <c r="B34" s="2964" t="s">
        <v>6</v>
      </c>
      <c r="C34" s="2965"/>
      <c r="D34" s="2965"/>
      <c r="E34" s="2965"/>
      <c r="F34" s="2966" t="s">
        <v>5570</v>
      </c>
      <c r="G34" s="2966"/>
      <c r="H34" s="2966"/>
      <c r="I34" s="2966"/>
      <c r="J34" s="2966"/>
      <c r="K34" s="2966" t="s">
        <v>5571</v>
      </c>
      <c r="L34" s="2966"/>
      <c r="M34" s="2966"/>
      <c r="N34" s="2966"/>
      <c r="O34" s="2967" t="s">
        <v>5572</v>
      </c>
      <c r="P34" s="2968"/>
      <c r="Q34" s="2968"/>
      <c r="R34" s="2968"/>
      <c r="S34" s="2968"/>
      <c r="T34" s="2969"/>
      <c r="U34" s="2970" t="s">
        <v>5573</v>
      </c>
      <c r="V34" s="2970"/>
      <c r="W34" s="2970"/>
      <c r="X34" s="2970"/>
      <c r="Y34" s="2970"/>
      <c r="Z34" s="2971"/>
      <c r="AA34" s="2964" t="s">
        <v>7</v>
      </c>
      <c r="AB34" s="2965"/>
      <c r="AC34" s="2965"/>
      <c r="AD34" s="2965"/>
      <c r="AE34" s="2966" t="s">
        <v>5574</v>
      </c>
      <c r="AF34" s="2966"/>
      <c r="AG34" s="2966"/>
      <c r="AH34" s="2966"/>
      <c r="AI34" s="2966"/>
      <c r="AJ34" s="2966" t="s">
        <v>5575</v>
      </c>
      <c r="AK34" s="2966"/>
      <c r="AL34" s="2966"/>
      <c r="AM34" s="2966"/>
      <c r="AN34" s="2967" t="s">
        <v>5576</v>
      </c>
      <c r="AO34" s="2968"/>
      <c r="AP34" s="2968"/>
      <c r="AQ34" s="2968"/>
      <c r="AR34" s="2968"/>
      <c r="AS34" s="2969"/>
      <c r="AT34" s="2970" t="s">
        <v>5577</v>
      </c>
      <c r="AU34" s="2970"/>
      <c r="AV34" s="2970"/>
      <c r="AW34" s="2970"/>
      <c r="AX34" s="2970"/>
      <c r="AY34" s="2971"/>
      <c r="BA34" s="2998" t="s">
        <v>28</v>
      </c>
      <c r="BB34" s="2999"/>
      <c r="BC34" s="2999"/>
      <c r="BD34" s="2999"/>
      <c r="BE34" s="2999" t="s">
        <v>10</v>
      </c>
      <c r="BF34" s="2999"/>
      <c r="BG34" s="2999"/>
      <c r="BH34" s="2999"/>
      <c r="BI34" s="2999" t="s">
        <v>29</v>
      </c>
      <c r="BJ34" s="2999"/>
      <c r="BK34" s="2999" t="s">
        <v>24</v>
      </c>
      <c r="BL34" s="2999"/>
      <c r="BM34" s="2999"/>
      <c r="BN34" s="2999"/>
      <c r="BO34" s="2999"/>
      <c r="BP34" s="3000" t="s">
        <v>5578</v>
      </c>
      <c r="BQ34" s="3000"/>
      <c r="BR34" s="3000"/>
      <c r="BS34" s="3000"/>
      <c r="BT34" s="3000" t="s">
        <v>31</v>
      </c>
      <c r="BU34" s="3000"/>
      <c r="BV34" s="3000"/>
      <c r="BW34" s="3000"/>
      <c r="BX34" s="3000" t="s">
        <v>5579</v>
      </c>
      <c r="BY34" s="3000"/>
      <c r="BZ34" s="3000"/>
      <c r="CA34" s="3000"/>
      <c r="CB34" s="3000"/>
      <c r="CC34" s="3000"/>
      <c r="CD34" s="3000"/>
      <c r="CE34" s="3000"/>
      <c r="CF34" s="3000" t="s">
        <v>4</v>
      </c>
      <c r="CG34" s="3000"/>
      <c r="CH34" s="3000"/>
      <c r="CI34" s="3000"/>
      <c r="CJ34" s="3001"/>
    </row>
    <row r="35" spans="1:88" ht="17" customHeight="1">
      <c r="A35" s="2894"/>
      <c r="B35" s="2975"/>
      <c r="C35" s="2976"/>
      <c r="D35" s="2976"/>
      <c r="E35" s="2976"/>
      <c r="F35" s="2977"/>
      <c r="G35" s="2977"/>
      <c r="H35" s="2977"/>
      <c r="I35" s="2977"/>
      <c r="J35" s="2977"/>
      <c r="K35" s="2977"/>
      <c r="L35" s="2977"/>
      <c r="M35" s="2977"/>
      <c r="N35" s="2977"/>
      <c r="O35" s="2978"/>
      <c r="P35" s="2979"/>
      <c r="Q35" s="2979"/>
      <c r="R35" s="2979"/>
      <c r="S35" s="2979"/>
      <c r="T35" s="2980"/>
      <c r="U35" s="2976"/>
      <c r="V35" s="2976"/>
      <c r="W35" s="2976"/>
      <c r="X35" s="2976"/>
      <c r="Y35" s="2976"/>
      <c r="Z35" s="2981"/>
      <c r="AA35" s="2975"/>
      <c r="AB35" s="2976"/>
      <c r="AC35" s="2976"/>
      <c r="AD35" s="2976"/>
      <c r="AE35" s="2977"/>
      <c r="AF35" s="2977"/>
      <c r="AG35" s="2977"/>
      <c r="AH35" s="2977"/>
      <c r="AI35" s="2977"/>
      <c r="AJ35" s="2977"/>
      <c r="AK35" s="2977"/>
      <c r="AL35" s="2977"/>
      <c r="AM35" s="2977"/>
      <c r="AN35" s="2978"/>
      <c r="AO35" s="2979"/>
      <c r="AP35" s="2979"/>
      <c r="AQ35" s="2979"/>
      <c r="AR35" s="2979"/>
      <c r="AS35" s="2980"/>
      <c r="AT35" s="2976"/>
      <c r="AU35" s="2976"/>
      <c r="AV35" s="2976"/>
      <c r="AW35" s="2976"/>
      <c r="AX35" s="2976"/>
      <c r="AY35" s="2981"/>
      <c r="BA35" s="2982"/>
      <c r="BB35" s="2983"/>
      <c r="BC35" s="2983"/>
      <c r="BD35" s="2983"/>
      <c r="BE35" s="2983"/>
      <c r="BF35" s="2983"/>
      <c r="BG35" s="2983"/>
      <c r="BH35" s="2983"/>
      <c r="BI35" s="2983"/>
      <c r="BJ35" s="2983"/>
      <c r="BK35" s="2983"/>
      <c r="BL35" s="2983"/>
      <c r="BM35" s="2983"/>
      <c r="BN35" s="2983"/>
      <c r="BO35" s="2983"/>
      <c r="BP35" s="2983"/>
      <c r="BQ35" s="2983"/>
      <c r="BR35" s="2983"/>
      <c r="BS35" s="2983"/>
      <c r="BT35" s="2983"/>
      <c r="BU35" s="2983"/>
      <c r="BV35" s="2983"/>
      <c r="BW35" s="2983"/>
      <c r="BX35" s="2983"/>
      <c r="BY35" s="2983"/>
      <c r="BZ35" s="2983"/>
      <c r="CA35" s="2983"/>
      <c r="CB35" s="2983"/>
      <c r="CC35" s="2983"/>
      <c r="CD35" s="2983"/>
      <c r="CE35" s="2983"/>
      <c r="CF35" s="2904"/>
      <c r="CG35" s="2904"/>
      <c r="CH35" s="2904"/>
      <c r="CI35" s="2904"/>
      <c r="CJ35" s="2963"/>
    </row>
    <row r="36" spans="1:88" ht="17" customHeight="1">
      <c r="A36" s="2894"/>
      <c r="B36" s="2964"/>
      <c r="C36" s="2965"/>
      <c r="D36" s="2965"/>
      <c r="E36" s="2965"/>
      <c r="F36" s="2966"/>
      <c r="G36" s="2966"/>
      <c r="H36" s="2966"/>
      <c r="I36" s="2966"/>
      <c r="J36" s="2966"/>
      <c r="K36" s="2966"/>
      <c r="L36" s="2966"/>
      <c r="M36" s="2966"/>
      <c r="N36" s="2966"/>
      <c r="O36" s="2967"/>
      <c r="P36" s="2968"/>
      <c r="Q36" s="2968"/>
      <c r="R36" s="2968"/>
      <c r="S36" s="2968"/>
      <c r="T36" s="2969"/>
      <c r="U36" s="2970"/>
      <c r="V36" s="2970"/>
      <c r="W36" s="2970"/>
      <c r="X36" s="2970"/>
      <c r="Y36" s="2970"/>
      <c r="Z36" s="2971"/>
      <c r="AA36" s="2964"/>
      <c r="AB36" s="2965"/>
      <c r="AC36" s="2965"/>
      <c r="AD36" s="2965"/>
      <c r="AE36" s="2966"/>
      <c r="AF36" s="2966"/>
      <c r="AG36" s="2966"/>
      <c r="AH36" s="2966"/>
      <c r="AI36" s="2966"/>
      <c r="AJ36" s="2966"/>
      <c r="AK36" s="2966"/>
      <c r="AL36" s="2966"/>
      <c r="AM36" s="2966"/>
      <c r="AN36" s="2967"/>
      <c r="AO36" s="2968"/>
      <c r="AP36" s="2968"/>
      <c r="AQ36" s="2968"/>
      <c r="AR36" s="2968"/>
      <c r="AS36" s="2969"/>
      <c r="AT36" s="2970"/>
      <c r="AU36" s="2970"/>
      <c r="AV36" s="2970"/>
      <c r="AW36" s="2970"/>
      <c r="AX36" s="2970"/>
      <c r="AY36" s="2971"/>
      <c r="BA36" s="2972"/>
      <c r="BB36" s="2973"/>
      <c r="BC36" s="2973"/>
      <c r="BD36" s="2973"/>
      <c r="BE36" s="2973"/>
      <c r="BF36" s="2973"/>
      <c r="BG36" s="2973"/>
      <c r="BH36" s="2973"/>
      <c r="BI36" s="2973"/>
      <c r="BJ36" s="2973"/>
      <c r="BK36" s="2973"/>
      <c r="BL36" s="2973"/>
      <c r="BM36" s="2973"/>
      <c r="BN36" s="2973"/>
      <c r="BO36" s="2973"/>
      <c r="BP36" s="2973"/>
      <c r="BQ36" s="2973"/>
      <c r="BR36" s="2973"/>
      <c r="BS36" s="2973"/>
      <c r="BT36" s="2973"/>
      <c r="BU36" s="2973"/>
      <c r="BV36" s="2973"/>
      <c r="BW36" s="2973"/>
      <c r="BX36" s="2973"/>
      <c r="BY36" s="2973"/>
      <c r="BZ36" s="2973"/>
      <c r="CA36" s="2973"/>
      <c r="CB36" s="2973"/>
      <c r="CC36" s="2973"/>
      <c r="CD36" s="2973"/>
      <c r="CE36" s="2973"/>
      <c r="CF36" s="2973"/>
      <c r="CG36" s="2973"/>
      <c r="CH36" s="2973"/>
      <c r="CI36" s="2973"/>
      <c r="CJ36" s="2974"/>
    </row>
    <row r="37" spans="1:88" ht="17" customHeight="1">
      <c r="A37" s="2894"/>
      <c r="B37" s="2975"/>
      <c r="C37" s="2976"/>
      <c r="D37" s="2976"/>
      <c r="E37" s="2976"/>
      <c r="F37" s="2977"/>
      <c r="G37" s="2977"/>
      <c r="H37" s="2977"/>
      <c r="I37" s="2977"/>
      <c r="J37" s="2977"/>
      <c r="K37" s="2977"/>
      <c r="L37" s="2977"/>
      <c r="M37" s="2977"/>
      <c r="N37" s="2977"/>
      <c r="O37" s="2978"/>
      <c r="P37" s="2979"/>
      <c r="Q37" s="2979"/>
      <c r="R37" s="2979"/>
      <c r="S37" s="2979"/>
      <c r="T37" s="2980"/>
      <c r="U37" s="2976"/>
      <c r="V37" s="2976"/>
      <c r="W37" s="2976"/>
      <c r="X37" s="2976"/>
      <c r="Y37" s="2976"/>
      <c r="Z37" s="2981"/>
      <c r="AA37" s="2975"/>
      <c r="AB37" s="2976"/>
      <c r="AC37" s="2976"/>
      <c r="AD37" s="2976"/>
      <c r="AE37" s="2977"/>
      <c r="AF37" s="2977"/>
      <c r="AG37" s="2977"/>
      <c r="AH37" s="2977"/>
      <c r="AI37" s="2977"/>
      <c r="AJ37" s="2977"/>
      <c r="AK37" s="2977"/>
      <c r="AL37" s="2977"/>
      <c r="AM37" s="2977"/>
      <c r="AN37" s="2978"/>
      <c r="AO37" s="2979"/>
      <c r="AP37" s="2979"/>
      <c r="AQ37" s="2979"/>
      <c r="AR37" s="2979"/>
      <c r="AS37" s="2980"/>
      <c r="AT37" s="2976"/>
      <c r="AU37" s="2976"/>
      <c r="AV37" s="2976"/>
      <c r="AW37" s="2976"/>
      <c r="AX37" s="2976"/>
      <c r="AY37" s="2981"/>
      <c r="BA37" s="2982"/>
      <c r="BB37" s="2983"/>
      <c r="BC37" s="2983"/>
      <c r="BD37" s="2983"/>
      <c r="BE37" s="2983"/>
      <c r="BF37" s="2983"/>
      <c r="BG37" s="2983"/>
      <c r="BH37" s="2983"/>
      <c r="BI37" s="2983"/>
      <c r="BJ37" s="2983"/>
      <c r="BK37" s="2983"/>
      <c r="BL37" s="2983"/>
      <c r="BM37" s="2983"/>
      <c r="BN37" s="2983"/>
      <c r="BO37" s="2983"/>
      <c r="BP37" s="2983"/>
      <c r="BQ37" s="2983"/>
      <c r="BR37" s="2983"/>
      <c r="BS37" s="2983"/>
      <c r="BT37" s="2983"/>
      <c r="BU37" s="2983"/>
      <c r="BV37" s="2983"/>
      <c r="BW37" s="2983"/>
      <c r="BX37" s="2983"/>
      <c r="BY37" s="2983"/>
      <c r="BZ37" s="2983"/>
      <c r="CA37" s="2983"/>
      <c r="CB37" s="2983"/>
      <c r="CC37" s="2983"/>
      <c r="CD37" s="2983"/>
      <c r="CE37" s="2983"/>
      <c r="CF37" s="2904"/>
      <c r="CG37" s="2904"/>
      <c r="CH37" s="2904"/>
      <c r="CI37" s="2904"/>
      <c r="CJ37" s="2963"/>
    </row>
    <row r="38" spans="1:88" ht="17" customHeight="1">
      <c r="A38" s="2894"/>
      <c r="B38" s="2964"/>
      <c r="C38" s="2965"/>
      <c r="D38" s="2965"/>
      <c r="E38" s="2965"/>
      <c r="F38" s="2966"/>
      <c r="G38" s="2966"/>
      <c r="H38" s="2966"/>
      <c r="I38" s="2966"/>
      <c r="J38" s="2966"/>
      <c r="K38" s="2966"/>
      <c r="L38" s="2966"/>
      <c r="M38" s="2966"/>
      <c r="N38" s="2966"/>
      <c r="O38" s="2967"/>
      <c r="P38" s="2968"/>
      <c r="Q38" s="2968"/>
      <c r="R38" s="2968"/>
      <c r="S38" s="2968"/>
      <c r="T38" s="2969"/>
      <c r="U38" s="2970"/>
      <c r="V38" s="2970"/>
      <c r="W38" s="2970"/>
      <c r="X38" s="2970"/>
      <c r="Y38" s="2970"/>
      <c r="Z38" s="2971"/>
      <c r="AA38" s="2964"/>
      <c r="AB38" s="2965"/>
      <c r="AC38" s="2965"/>
      <c r="AD38" s="2965"/>
      <c r="AE38" s="2966"/>
      <c r="AF38" s="2966"/>
      <c r="AG38" s="2966"/>
      <c r="AH38" s="2966"/>
      <c r="AI38" s="2966"/>
      <c r="AJ38" s="2966"/>
      <c r="AK38" s="2966"/>
      <c r="AL38" s="2966"/>
      <c r="AM38" s="2966"/>
      <c r="AN38" s="2967"/>
      <c r="AO38" s="2968"/>
      <c r="AP38" s="2968"/>
      <c r="AQ38" s="2968"/>
      <c r="AR38" s="2968"/>
      <c r="AS38" s="2969"/>
      <c r="AT38" s="2970"/>
      <c r="AU38" s="2970"/>
      <c r="AV38" s="2970"/>
      <c r="AW38" s="2970"/>
      <c r="AX38" s="2970"/>
      <c r="AY38" s="2971"/>
      <c r="BA38" s="2972"/>
      <c r="BB38" s="2973"/>
      <c r="BC38" s="2973"/>
      <c r="BD38" s="2973"/>
      <c r="BE38" s="2973"/>
      <c r="BF38" s="2973"/>
      <c r="BG38" s="2973"/>
      <c r="BH38" s="2973"/>
      <c r="BI38" s="2973"/>
      <c r="BJ38" s="2973"/>
      <c r="BK38" s="2973"/>
      <c r="BL38" s="2973"/>
      <c r="BM38" s="2973"/>
      <c r="BN38" s="2973"/>
      <c r="BO38" s="2973"/>
      <c r="BP38" s="2973"/>
      <c r="BQ38" s="2973"/>
      <c r="BR38" s="2973"/>
      <c r="BS38" s="2973"/>
      <c r="BT38" s="2973"/>
      <c r="BU38" s="2973"/>
      <c r="BV38" s="2973"/>
      <c r="BW38" s="2973"/>
      <c r="BX38" s="2973"/>
      <c r="BY38" s="2973"/>
      <c r="BZ38" s="2973"/>
      <c r="CA38" s="2973"/>
      <c r="CB38" s="2973"/>
      <c r="CC38" s="2973"/>
      <c r="CD38" s="2973"/>
      <c r="CE38" s="2973"/>
      <c r="CF38" s="2973"/>
      <c r="CG38" s="2973"/>
      <c r="CH38" s="2973"/>
      <c r="CI38" s="2973"/>
      <c r="CJ38" s="2974"/>
    </row>
    <row r="39" spans="1:88" ht="17" customHeight="1">
      <c r="A39" s="2894"/>
      <c r="B39" s="2975"/>
      <c r="C39" s="2976"/>
      <c r="D39" s="2976"/>
      <c r="E39" s="2976"/>
      <c r="F39" s="2977"/>
      <c r="G39" s="2977"/>
      <c r="H39" s="2977"/>
      <c r="I39" s="2977"/>
      <c r="J39" s="2977"/>
      <c r="K39" s="2977"/>
      <c r="L39" s="2977"/>
      <c r="M39" s="2977"/>
      <c r="N39" s="2977"/>
      <c r="O39" s="2978"/>
      <c r="P39" s="2979"/>
      <c r="Q39" s="2979"/>
      <c r="R39" s="2979"/>
      <c r="S39" s="2979"/>
      <c r="T39" s="2980"/>
      <c r="U39" s="2976"/>
      <c r="V39" s="2976"/>
      <c r="W39" s="2976"/>
      <c r="X39" s="2976"/>
      <c r="Y39" s="2976"/>
      <c r="Z39" s="2981"/>
      <c r="AA39" s="2975"/>
      <c r="AB39" s="2976"/>
      <c r="AC39" s="2976"/>
      <c r="AD39" s="2976"/>
      <c r="AE39" s="2977"/>
      <c r="AF39" s="2977"/>
      <c r="AG39" s="2977"/>
      <c r="AH39" s="2977"/>
      <c r="AI39" s="2977"/>
      <c r="AJ39" s="2977"/>
      <c r="AK39" s="2977"/>
      <c r="AL39" s="2977"/>
      <c r="AM39" s="2977"/>
      <c r="AN39" s="2978"/>
      <c r="AO39" s="2979"/>
      <c r="AP39" s="2979"/>
      <c r="AQ39" s="2979"/>
      <c r="AR39" s="2979"/>
      <c r="AS39" s="2980"/>
      <c r="AT39" s="2976"/>
      <c r="AU39" s="2976"/>
      <c r="AV39" s="2976"/>
      <c r="AW39" s="2976"/>
      <c r="AX39" s="2976"/>
      <c r="AY39" s="2981"/>
      <c r="BA39" s="2982"/>
      <c r="BB39" s="2983"/>
      <c r="BC39" s="2983"/>
      <c r="BD39" s="2983"/>
      <c r="BE39" s="2983"/>
      <c r="BF39" s="2983"/>
      <c r="BG39" s="2983"/>
      <c r="BH39" s="2983"/>
      <c r="BI39" s="2983"/>
      <c r="BJ39" s="2983"/>
      <c r="BK39" s="2983"/>
      <c r="BL39" s="2983"/>
      <c r="BM39" s="2983"/>
      <c r="BN39" s="2983"/>
      <c r="BO39" s="2983"/>
      <c r="BP39" s="2983"/>
      <c r="BQ39" s="2983"/>
      <c r="BR39" s="2983"/>
      <c r="BS39" s="2983"/>
      <c r="BT39" s="2983"/>
      <c r="BU39" s="2983"/>
      <c r="BV39" s="2983"/>
      <c r="BW39" s="2983"/>
      <c r="BX39" s="2983"/>
      <c r="BY39" s="2983"/>
      <c r="BZ39" s="2983"/>
      <c r="CA39" s="2983"/>
      <c r="CB39" s="2983"/>
      <c r="CC39" s="2983"/>
      <c r="CD39" s="2983"/>
      <c r="CE39" s="2983"/>
      <c r="CF39" s="2904"/>
      <c r="CG39" s="2904"/>
      <c r="CH39" s="2904"/>
      <c r="CI39" s="2904"/>
      <c r="CJ39" s="2963"/>
    </row>
    <row r="40" spans="1:88" ht="17" customHeight="1">
      <c r="A40" s="2894"/>
      <c r="B40" s="2964"/>
      <c r="C40" s="2965"/>
      <c r="D40" s="2965"/>
      <c r="E40" s="2965"/>
      <c r="F40" s="2966"/>
      <c r="G40" s="2966"/>
      <c r="H40" s="2966"/>
      <c r="I40" s="2966"/>
      <c r="J40" s="2966"/>
      <c r="K40" s="2966"/>
      <c r="L40" s="2966"/>
      <c r="M40" s="2966"/>
      <c r="N40" s="2966"/>
      <c r="O40" s="2967"/>
      <c r="P40" s="2968"/>
      <c r="Q40" s="2968"/>
      <c r="R40" s="2968"/>
      <c r="S40" s="2968"/>
      <c r="T40" s="2969"/>
      <c r="U40" s="2970"/>
      <c r="V40" s="2970"/>
      <c r="W40" s="2970"/>
      <c r="X40" s="2970"/>
      <c r="Y40" s="2970"/>
      <c r="Z40" s="2971"/>
      <c r="AA40" s="2964"/>
      <c r="AB40" s="2965"/>
      <c r="AC40" s="2965"/>
      <c r="AD40" s="2965"/>
      <c r="AE40" s="2966"/>
      <c r="AF40" s="2966"/>
      <c r="AG40" s="2966"/>
      <c r="AH40" s="2966"/>
      <c r="AI40" s="2966"/>
      <c r="AJ40" s="2966"/>
      <c r="AK40" s="2966"/>
      <c r="AL40" s="2966"/>
      <c r="AM40" s="2966"/>
      <c r="AN40" s="2967"/>
      <c r="AO40" s="2968"/>
      <c r="AP40" s="2968"/>
      <c r="AQ40" s="2968"/>
      <c r="AR40" s="2968"/>
      <c r="AS40" s="2969"/>
      <c r="AT40" s="2970"/>
      <c r="AU40" s="2970"/>
      <c r="AV40" s="2970"/>
      <c r="AW40" s="2970"/>
      <c r="AX40" s="2970"/>
      <c r="AY40" s="2971"/>
      <c r="BA40" s="2972"/>
      <c r="BB40" s="2973"/>
      <c r="BC40" s="2973"/>
      <c r="BD40" s="2973"/>
      <c r="BE40" s="2973"/>
      <c r="BF40" s="2973"/>
      <c r="BG40" s="2973"/>
      <c r="BH40" s="2973"/>
      <c r="BI40" s="2973"/>
      <c r="BJ40" s="2973"/>
      <c r="BK40" s="2973"/>
      <c r="BL40" s="2973"/>
      <c r="BM40" s="2973"/>
      <c r="BN40" s="2973"/>
      <c r="BO40" s="2973"/>
      <c r="BP40" s="2973"/>
      <c r="BQ40" s="2973"/>
      <c r="BR40" s="2973"/>
      <c r="BS40" s="2973"/>
      <c r="BT40" s="2973"/>
      <c r="BU40" s="2973"/>
      <c r="BV40" s="2973"/>
      <c r="BW40" s="2973"/>
      <c r="BX40" s="2973"/>
      <c r="BY40" s="2973"/>
      <c r="BZ40" s="2973"/>
      <c r="CA40" s="2973"/>
      <c r="CB40" s="2973"/>
      <c r="CC40" s="2973"/>
      <c r="CD40" s="2973"/>
      <c r="CE40" s="2973"/>
      <c r="CF40" s="2973"/>
      <c r="CG40" s="2973"/>
      <c r="CH40" s="2973"/>
      <c r="CI40" s="2973"/>
      <c r="CJ40" s="2974"/>
    </row>
    <row r="41" spans="1:88" ht="17" customHeight="1">
      <c r="A41" s="2894"/>
      <c r="B41" s="2975"/>
      <c r="C41" s="2976"/>
      <c r="D41" s="2976"/>
      <c r="E41" s="2976"/>
      <c r="F41" s="2977"/>
      <c r="G41" s="2977"/>
      <c r="H41" s="2977"/>
      <c r="I41" s="2977"/>
      <c r="J41" s="2977"/>
      <c r="K41" s="2977"/>
      <c r="L41" s="2977"/>
      <c r="M41" s="2977"/>
      <c r="N41" s="2977"/>
      <c r="O41" s="2978"/>
      <c r="P41" s="2979"/>
      <c r="Q41" s="2979"/>
      <c r="R41" s="2979"/>
      <c r="S41" s="2979"/>
      <c r="T41" s="2980"/>
      <c r="U41" s="2976"/>
      <c r="V41" s="2976"/>
      <c r="W41" s="2976"/>
      <c r="X41" s="2976"/>
      <c r="Y41" s="2976"/>
      <c r="Z41" s="2981"/>
      <c r="AA41" s="2975"/>
      <c r="AB41" s="2976"/>
      <c r="AC41" s="2976"/>
      <c r="AD41" s="2976"/>
      <c r="AE41" s="2977"/>
      <c r="AF41" s="2977"/>
      <c r="AG41" s="2977"/>
      <c r="AH41" s="2977"/>
      <c r="AI41" s="2977"/>
      <c r="AJ41" s="2977"/>
      <c r="AK41" s="2977"/>
      <c r="AL41" s="2977"/>
      <c r="AM41" s="2977"/>
      <c r="AN41" s="2978"/>
      <c r="AO41" s="2979"/>
      <c r="AP41" s="2979"/>
      <c r="AQ41" s="2979"/>
      <c r="AR41" s="2979"/>
      <c r="AS41" s="2980"/>
      <c r="AT41" s="2976"/>
      <c r="AU41" s="2976"/>
      <c r="AV41" s="2976"/>
      <c r="AW41" s="2976"/>
      <c r="AX41" s="2976"/>
      <c r="AY41" s="2981"/>
      <c r="BA41" s="2982"/>
      <c r="BB41" s="2983"/>
      <c r="BC41" s="2983"/>
      <c r="BD41" s="2983"/>
      <c r="BE41" s="2983"/>
      <c r="BF41" s="2983"/>
      <c r="BG41" s="2983"/>
      <c r="BH41" s="2983"/>
      <c r="BI41" s="2983"/>
      <c r="BJ41" s="2983"/>
      <c r="BK41" s="2983"/>
      <c r="BL41" s="2983"/>
      <c r="BM41" s="2983"/>
      <c r="BN41" s="2983"/>
      <c r="BO41" s="2983"/>
      <c r="BP41" s="2983"/>
      <c r="BQ41" s="2983"/>
      <c r="BR41" s="2983"/>
      <c r="BS41" s="2983"/>
      <c r="BT41" s="2983"/>
      <c r="BU41" s="2983"/>
      <c r="BV41" s="2983"/>
      <c r="BW41" s="2983"/>
      <c r="BX41" s="2983"/>
      <c r="BY41" s="2983"/>
      <c r="BZ41" s="2983"/>
      <c r="CA41" s="2983"/>
      <c r="CB41" s="2983"/>
      <c r="CC41" s="2983"/>
      <c r="CD41" s="2983"/>
      <c r="CE41" s="2983"/>
      <c r="CF41" s="2904"/>
      <c r="CG41" s="2904"/>
      <c r="CH41" s="2904"/>
      <c r="CI41" s="2904"/>
      <c r="CJ41" s="2963"/>
    </row>
    <row r="42" spans="1:88" ht="17" customHeight="1">
      <c r="A42" s="2894"/>
      <c r="B42" s="2964"/>
      <c r="C42" s="2965"/>
      <c r="D42" s="2965"/>
      <c r="E42" s="2965"/>
      <c r="F42" s="2966"/>
      <c r="G42" s="2966"/>
      <c r="H42" s="2966"/>
      <c r="I42" s="2966"/>
      <c r="J42" s="2966"/>
      <c r="K42" s="2966"/>
      <c r="L42" s="2966"/>
      <c r="M42" s="2966"/>
      <c r="N42" s="2966"/>
      <c r="O42" s="2967"/>
      <c r="P42" s="2968"/>
      <c r="Q42" s="2968"/>
      <c r="R42" s="2968"/>
      <c r="S42" s="2968"/>
      <c r="T42" s="2969"/>
      <c r="U42" s="2970"/>
      <c r="V42" s="2970"/>
      <c r="W42" s="2970"/>
      <c r="X42" s="2970"/>
      <c r="Y42" s="2970"/>
      <c r="Z42" s="2971"/>
      <c r="AA42" s="2964"/>
      <c r="AB42" s="2965"/>
      <c r="AC42" s="2965"/>
      <c r="AD42" s="2965"/>
      <c r="AE42" s="2966"/>
      <c r="AF42" s="2966"/>
      <c r="AG42" s="2966"/>
      <c r="AH42" s="2966"/>
      <c r="AI42" s="2966"/>
      <c r="AJ42" s="2966"/>
      <c r="AK42" s="2966"/>
      <c r="AL42" s="2966"/>
      <c r="AM42" s="2966"/>
      <c r="AN42" s="2967"/>
      <c r="AO42" s="2968"/>
      <c r="AP42" s="2968"/>
      <c r="AQ42" s="2968"/>
      <c r="AR42" s="2968"/>
      <c r="AS42" s="2969"/>
      <c r="AT42" s="2970"/>
      <c r="AU42" s="2970"/>
      <c r="AV42" s="2970"/>
      <c r="AW42" s="2970"/>
      <c r="AX42" s="2970"/>
      <c r="AY42" s="2971"/>
      <c r="BA42" s="2972"/>
      <c r="BB42" s="2973"/>
      <c r="BC42" s="2973"/>
      <c r="BD42" s="2973"/>
      <c r="BE42" s="2973"/>
      <c r="BF42" s="2973"/>
      <c r="BG42" s="2973"/>
      <c r="BH42" s="2973"/>
      <c r="BI42" s="2973"/>
      <c r="BJ42" s="2973"/>
      <c r="BK42" s="2973"/>
      <c r="BL42" s="2973"/>
      <c r="BM42" s="2973"/>
      <c r="BN42" s="2973"/>
      <c r="BO42" s="2973"/>
      <c r="BP42" s="2973"/>
      <c r="BQ42" s="2973"/>
      <c r="BR42" s="2973"/>
      <c r="BS42" s="2973"/>
      <c r="BT42" s="2973"/>
      <c r="BU42" s="2973"/>
      <c r="BV42" s="2973"/>
      <c r="BW42" s="2973"/>
      <c r="BX42" s="2973"/>
      <c r="BY42" s="2973"/>
      <c r="BZ42" s="2973"/>
      <c r="CA42" s="2973"/>
      <c r="CB42" s="2973"/>
      <c r="CC42" s="2973"/>
      <c r="CD42" s="2973"/>
      <c r="CE42" s="2973"/>
      <c r="CF42" s="2973"/>
      <c r="CG42" s="2973"/>
      <c r="CH42" s="2973"/>
      <c r="CI42" s="2973"/>
      <c r="CJ42" s="2974"/>
    </row>
    <row r="43" spans="1:88" ht="17" customHeight="1">
      <c r="A43" s="2894"/>
      <c r="B43" s="2975"/>
      <c r="C43" s="2976"/>
      <c r="D43" s="2976"/>
      <c r="E43" s="2976"/>
      <c r="F43" s="2977"/>
      <c r="G43" s="2977"/>
      <c r="H43" s="2977"/>
      <c r="I43" s="2977"/>
      <c r="J43" s="2977"/>
      <c r="K43" s="2977"/>
      <c r="L43" s="2977"/>
      <c r="M43" s="2977"/>
      <c r="N43" s="2977"/>
      <c r="O43" s="2978"/>
      <c r="P43" s="2979"/>
      <c r="Q43" s="2979"/>
      <c r="R43" s="2979"/>
      <c r="S43" s="2979"/>
      <c r="T43" s="2980"/>
      <c r="U43" s="2976"/>
      <c r="V43" s="2976"/>
      <c r="W43" s="2976"/>
      <c r="X43" s="2976"/>
      <c r="Y43" s="2976"/>
      <c r="Z43" s="2981"/>
      <c r="AA43" s="2975"/>
      <c r="AB43" s="2976"/>
      <c r="AC43" s="2976"/>
      <c r="AD43" s="2976"/>
      <c r="AE43" s="2977"/>
      <c r="AF43" s="2977"/>
      <c r="AG43" s="2977"/>
      <c r="AH43" s="2977"/>
      <c r="AI43" s="2977"/>
      <c r="AJ43" s="2977"/>
      <c r="AK43" s="2977"/>
      <c r="AL43" s="2977"/>
      <c r="AM43" s="2977"/>
      <c r="AN43" s="2978"/>
      <c r="AO43" s="2979"/>
      <c r="AP43" s="2979"/>
      <c r="AQ43" s="2979"/>
      <c r="AR43" s="2979"/>
      <c r="AS43" s="2980"/>
      <c r="AT43" s="2976"/>
      <c r="AU43" s="2976"/>
      <c r="AV43" s="2976"/>
      <c r="AW43" s="2976"/>
      <c r="AX43" s="2976"/>
      <c r="AY43" s="2981"/>
      <c r="BA43" s="2982"/>
      <c r="BB43" s="2983"/>
      <c r="BC43" s="2983"/>
      <c r="BD43" s="2983"/>
      <c r="BE43" s="2983"/>
      <c r="BF43" s="2983"/>
      <c r="BG43" s="2983"/>
      <c r="BH43" s="2983"/>
      <c r="BI43" s="2983"/>
      <c r="BJ43" s="2983"/>
      <c r="BK43" s="2983"/>
      <c r="BL43" s="2983"/>
      <c r="BM43" s="2983"/>
      <c r="BN43" s="2983"/>
      <c r="BO43" s="2983"/>
      <c r="BP43" s="2983"/>
      <c r="BQ43" s="2983"/>
      <c r="BR43" s="2983"/>
      <c r="BS43" s="2983"/>
      <c r="BT43" s="2983"/>
      <c r="BU43" s="2983"/>
      <c r="BV43" s="2983"/>
      <c r="BW43" s="2983"/>
      <c r="BX43" s="2983"/>
      <c r="BY43" s="2983"/>
      <c r="BZ43" s="2983"/>
      <c r="CA43" s="2983"/>
      <c r="CB43" s="2983"/>
      <c r="CC43" s="2983"/>
      <c r="CD43" s="2983"/>
      <c r="CE43" s="2983"/>
      <c r="CF43" s="2904"/>
      <c r="CG43" s="2904"/>
      <c r="CH43" s="2904"/>
      <c r="CI43" s="2904"/>
      <c r="CJ43" s="2963"/>
    </row>
    <row r="44" spans="1:88" ht="17" customHeight="1" outlineLevel="1">
      <c r="B44" s="2964"/>
      <c r="C44" s="2965"/>
      <c r="D44" s="2965"/>
      <c r="E44" s="2965"/>
      <c r="F44" s="2966"/>
      <c r="G44" s="2966"/>
      <c r="H44" s="2966"/>
      <c r="I44" s="2966"/>
      <c r="J44" s="2966"/>
      <c r="K44" s="2966"/>
      <c r="L44" s="2966"/>
      <c r="M44" s="2966"/>
      <c r="N44" s="2966"/>
      <c r="O44" s="2967"/>
      <c r="P44" s="2968"/>
      <c r="Q44" s="2968"/>
      <c r="R44" s="2968"/>
      <c r="S44" s="2968"/>
      <c r="T44" s="2969"/>
      <c r="U44" s="2970"/>
      <c r="V44" s="2970"/>
      <c r="W44" s="2970"/>
      <c r="X44" s="2970"/>
      <c r="Y44" s="2970"/>
      <c r="Z44" s="2971"/>
      <c r="AA44" s="2964"/>
      <c r="AB44" s="2965"/>
      <c r="AC44" s="2965"/>
      <c r="AD44" s="2965"/>
      <c r="AE44" s="2966"/>
      <c r="AF44" s="2966"/>
      <c r="AG44" s="2966"/>
      <c r="AH44" s="2966"/>
      <c r="AI44" s="2966"/>
      <c r="AJ44" s="2966"/>
      <c r="AK44" s="2966"/>
      <c r="AL44" s="2966"/>
      <c r="AM44" s="2966"/>
      <c r="AN44" s="2967"/>
      <c r="AO44" s="2968"/>
      <c r="AP44" s="2968"/>
      <c r="AQ44" s="2968"/>
      <c r="AR44" s="2968"/>
      <c r="AS44" s="2969"/>
      <c r="AT44" s="2970"/>
      <c r="AU44" s="2970"/>
      <c r="AV44" s="2970"/>
      <c r="AW44" s="2970"/>
      <c r="AX44" s="2970"/>
      <c r="AY44" s="2971"/>
      <c r="BA44" s="2972"/>
      <c r="BB44" s="2973"/>
      <c r="BC44" s="2973"/>
      <c r="BD44" s="2973"/>
      <c r="BE44" s="2973"/>
      <c r="BF44" s="2973"/>
      <c r="BG44" s="2973"/>
      <c r="BH44" s="2973"/>
      <c r="BI44" s="2973"/>
      <c r="BJ44" s="2973"/>
      <c r="BK44" s="2973"/>
      <c r="BL44" s="2973"/>
      <c r="BM44" s="2973"/>
      <c r="BN44" s="2973"/>
      <c r="BO44" s="2973"/>
      <c r="BP44" s="2973"/>
      <c r="BQ44" s="2973"/>
      <c r="BR44" s="2973"/>
      <c r="BS44" s="2973"/>
      <c r="BT44" s="2973"/>
      <c r="BU44" s="2973"/>
      <c r="BV44" s="2973"/>
      <c r="BW44" s="2973"/>
      <c r="BX44" s="2973"/>
      <c r="BY44" s="2973"/>
      <c r="BZ44" s="2973"/>
      <c r="CA44" s="2973"/>
      <c r="CB44" s="2973"/>
      <c r="CC44" s="2973"/>
      <c r="CD44" s="2973"/>
      <c r="CE44" s="2973"/>
      <c r="CF44" s="2973"/>
      <c r="CG44" s="2973"/>
      <c r="CH44" s="2973"/>
      <c r="CI44" s="2973"/>
      <c r="CJ44" s="2974"/>
    </row>
    <row r="45" spans="1:88" ht="17" customHeight="1" outlineLevel="1">
      <c r="B45" s="2975"/>
      <c r="C45" s="2976"/>
      <c r="D45" s="2976"/>
      <c r="E45" s="2976"/>
      <c r="F45" s="2977"/>
      <c r="G45" s="2977"/>
      <c r="H45" s="2977"/>
      <c r="I45" s="2977"/>
      <c r="J45" s="2977"/>
      <c r="K45" s="2977"/>
      <c r="L45" s="2977"/>
      <c r="M45" s="2977"/>
      <c r="N45" s="2977"/>
      <c r="O45" s="2978"/>
      <c r="P45" s="2979"/>
      <c r="Q45" s="2979"/>
      <c r="R45" s="2979"/>
      <c r="S45" s="2979"/>
      <c r="T45" s="2980"/>
      <c r="U45" s="2976"/>
      <c r="V45" s="2976"/>
      <c r="W45" s="2976"/>
      <c r="X45" s="2976"/>
      <c r="Y45" s="2976"/>
      <c r="Z45" s="2981"/>
      <c r="AA45" s="2975"/>
      <c r="AB45" s="2976"/>
      <c r="AC45" s="2976"/>
      <c r="AD45" s="2976"/>
      <c r="AE45" s="2977"/>
      <c r="AF45" s="2977"/>
      <c r="AG45" s="2977"/>
      <c r="AH45" s="2977"/>
      <c r="AI45" s="2977"/>
      <c r="AJ45" s="2977"/>
      <c r="AK45" s="2977"/>
      <c r="AL45" s="2977"/>
      <c r="AM45" s="2977"/>
      <c r="AN45" s="2978"/>
      <c r="AO45" s="2979"/>
      <c r="AP45" s="2979"/>
      <c r="AQ45" s="2979"/>
      <c r="AR45" s="2979"/>
      <c r="AS45" s="2980"/>
      <c r="AT45" s="2976"/>
      <c r="AU45" s="2976"/>
      <c r="AV45" s="2976"/>
      <c r="AW45" s="2976"/>
      <c r="AX45" s="2976"/>
      <c r="AY45" s="2981"/>
      <c r="BA45" s="2982"/>
      <c r="BB45" s="2983"/>
      <c r="BC45" s="2983"/>
      <c r="BD45" s="2983"/>
      <c r="BE45" s="2983"/>
      <c r="BF45" s="2983"/>
      <c r="BG45" s="2983"/>
      <c r="BH45" s="2983"/>
      <c r="BI45" s="2983"/>
      <c r="BJ45" s="2983"/>
      <c r="BK45" s="2983"/>
      <c r="BL45" s="2983"/>
      <c r="BM45" s="2983"/>
      <c r="BN45" s="2983"/>
      <c r="BO45" s="2983"/>
      <c r="BP45" s="2983"/>
      <c r="BQ45" s="2983"/>
      <c r="BR45" s="2983"/>
      <c r="BS45" s="2983"/>
      <c r="BT45" s="2983"/>
      <c r="BU45" s="2983"/>
      <c r="BV45" s="2983"/>
      <c r="BW45" s="2983"/>
      <c r="BX45" s="2983"/>
      <c r="BY45" s="2983"/>
      <c r="BZ45" s="2983"/>
      <c r="CA45" s="2983"/>
      <c r="CB45" s="2983"/>
      <c r="CC45" s="2983"/>
      <c r="CD45" s="2983"/>
      <c r="CE45" s="2983"/>
      <c r="CF45" s="2904"/>
      <c r="CG45" s="2904"/>
      <c r="CH45" s="2904"/>
      <c r="CI45" s="2904"/>
      <c r="CJ45" s="2963"/>
    </row>
    <row r="46" spans="1:88" ht="17" customHeight="1" outlineLevel="1">
      <c r="B46" s="2964"/>
      <c r="C46" s="2965"/>
      <c r="D46" s="2965"/>
      <c r="E46" s="2965"/>
      <c r="F46" s="2966"/>
      <c r="G46" s="2966"/>
      <c r="H46" s="2966"/>
      <c r="I46" s="2966"/>
      <c r="J46" s="2966"/>
      <c r="K46" s="2966"/>
      <c r="L46" s="2966"/>
      <c r="M46" s="2966"/>
      <c r="N46" s="2966"/>
      <c r="O46" s="2967"/>
      <c r="P46" s="2968"/>
      <c r="Q46" s="2968"/>
      <c r="R46" s="2968"/>
      <c r="S46" s="2968"/>
      <c r="T46" s="2969"/>
      <c r="U46" s="2970"/>
      <c r="V46" s="2970"/>
      <c r="W46" s="2970"/>
      <c r="X46" s="2970"/>
      <c r="Y46" s="2970"/>
      <c r="Z46" s="2971"/>
      <c r="AA46" s="2964"/>
      <c r="AB46" s="2965"/>
      <c r="AC46" s="2965"/>
      <c r="AD46" s="2965"/>
      <c r="AE46" s="2966"/>
      <c r="AF46" s="2966"/>
      <c r="AG46" s="2966"/>
      <c r="AH46" s="2966"/>
      <c r="AI46" s="2966"/>
      <c r="AJ46" s="2966"/>
      <c r="AK46" s="2966"/>
      <c r="AL46" s="2966"/>
      <c r="AM46" s="2966"/>
      <c r="AN46" s="2967"/>
      <c r="AO46" s="2968"/>
      <c r="AP46" s="2968"/>
      <c r="AQ46" s="2968"/>
      <c r="AR46" s="2968"/>
      <c r="AS46" s="2969"/>
      <c r="AT46" s="2970"/>
      <c r="AU46" s="2970"/>
      <c r="AV46" s="2970"/>
      <c r="AW46" s="2970"/>
      <c r="AX46" s="2970"/>
      <c r="AY46" s="2971"/>
      <c r="BA46" s="2972"/>
      <c r="BB46" s="2973"/>
      <c r="BC46" s="2973"/>
      <c r="BD46" s="2973"/>
      <c r="BE46" s="2973"/>
      <c r="BF46" s="2973"/>
      <c r="BG46" s="2973"/>
      <c r="BH46" s="2973"/>
      <c r="BI46" s="2973"/>
      <c r="BJ46" s="2973"/>
      <c r="BK46" s="2973"/>
      <c r="BL46" s="2973"/>
      <c r="BM46" s="2973"/>
      <c r="BN46" s="2973"/>
      <c r="BO46" s="2973"/>
      <c r="BP46" s="2973"/>
      <c r="BQ46" s="2973"/>
      <c r="BR46" s="2973"/>
      <c r="BS46" s="2973"/>
      <c r="BT46" s="2973"/>
      <c r="BU46" s="2973"/>
      <c r="BV46" s="2973"/>
      <c r="BW46" s="2973"/>
      <c r="BX46" s="2973"/>
      <c r="BY46" s="2973"/>
      <c r="BZ46" s="2973"/>
      <c r="CA46" s="2973"/>
      <c r="CB46" s="2973"/>
      <c r="CC46" s="2973"/>
      <c r="CD46" s="2973"/>
      <c r="CE46" s="2973"/>
      <c r="CF46" s="2973"/>
      <c r="CG46" s="2973"/>
      <c r="CH46" s="2973"/>
      <c r="CI46" s="2973"/>
      <c r="CJ46" s="2974"/>
    </row>
    <row r="47" spans="1:88" ht="17" customHeight="1" outlineLevel="1">
      <c r="B47" s="2975"/>
      <c r="C47" s="2976"/>
      <c r="D47" s="2976"/>
      <c r="E47" s="2976"/>
      <c r="F47" s="2977"/>
      <c r="G47" s="2977"/>
      <c r="H47" s="2977"/>
      <c r="I47" s="2977"/>
      <c r="J47" s="2977"/>
      <c r="K47" s="2977"/>
      <c r="L47" s="2977"/>
      <c r="M47" s="2977"/>
      <c r="N47" s="2977"/>
      <c r="O47" s="2978"/>
      <c r="P47" s="2979"/>
      <c r="Q47" s="2979"/>
      <c r="R47" s="2979"/>
      <c r="S47" s="2979"/>
      <c r="T47" s="2980"/>
      <c r="U47" s="2976"/>
      <c r="V47" s="2976"/>
      <c r="W47" s="2976"/>
      <c r="X47" s="2976"/>
      <c r="Y47" s="2976"/>
      <c r="Z47" s="2981"/>
      <c r="AA47" s="2975"/>
      <c r="AB47" s="2976"/>
      <c r="AC47" s="2976"/>
      <c r="AD47" s="2976"/>
      <c r="AE47" s="2977"/>
      <c r="AF47" s="2977"/>
      <c r="AG47" s="2977"/>
      <c r="AH47" s="2977"/>
      <c r="AI47" s="2977"/>
      <c r="AJ47" s="2977"/>
      <c r="AK47" s="2977"/>
      <c r="AL47" s="2977"/>
      <c r="AM47" s="2977"/>
      <c r="AN47" s="2978"/>
      <c r="AO47" s="2979"/>
      <c r="AP47" s="2979"/>
      <c r="AQ47" s="2979"/>
      <c r="AR47" s="2979"/>
      <c r="AS47" s="2980"/>
      <c r="AT47" s="2976"/>
      <c r="AU47" s="2976"/>
      <c r="AV47" s="2976"/>
      <c r="AW47" s="2976"/>
      <c r="AX47" s="2976"/>
      <c r="AY47" s="2981"/>
      <c r="BA47" s="2982"/>
      <c r="BB47" s="2983"/>
      <c r="BC47" s="2983"/>
      <c r="BD47" s="2983"/>
      <c r="BE47" s="2983"/>
      <c r="BF47" s="2983"/>
      <c r="BG47" s="2983"/>
      <c r="BH47" s="2983"/>
      <c r="BI47" s="2983"/>
      <c r="BJ47" s="2983"/>
      <c r="BK47" s="2983"/>
      <c r="BL47" s="2983"/>
      <c r="BM47" s="2983"/>
      <c r="BN47" s="2983"/>
      <c r="BO47" s="2983"/>
      <c r="BP47" s="2983"/>
      <c r="BQ47" s="2983"/>
      <c r="BR47" s="2983"/>
      <c r="BS47" s="2983"/>
      <c r="BT47" s="2983"/>
      <c r="BU47" s="2983"/>
      <c r="BV47" s="2983"/>
      <c r="BW47" s="2983"/>
      <c r="BX47" s="2983"/>
      <c r="BY47" s="2983"/>
      <c r="BZ47" s="2983"/>
      <c r="CA47" s="2983"/>
      <c r="CB47" s="2983"/>
      <c r="CC47" s="2983"/>
      <c r="CD47" s="2983"/>
      <c r="CE47" s="2983"/>
      <c r="CF47" s="2904"/>
      <c r="CG47" s="2904"/>
      <c r="CH47" s="2904"/>
      <c r="CI47" s="2904"/>
      <c r="CJ47" s="2963"/>
    </row>
    <row r="48" spans="1:88" ht="17" customHeight="1" outlineLevel="1">
      <c r="B48" s="2964"/>
      <c r="C48" s="2965"/>
      <c r="D48" s="2965"/>
      <c r="E48" s="2965"/>
      <c r="F48" s="2966"/>
      <c r="G48" s="2966"/>
      <c r="H48" s="2966"/>
      <c r="I48" s="2966"/>
      <c r="J48" s="2966"/>
      <c r="K48" s="2966"/>
      <c r="L48" s="2966"/>
      <c r="M48" s="2966"/>
      <c r="N48" s="2966"/>
      <c r="O48" s="2967"/>
      <c r="P48" s="2968"/>
      <c r="Q48" s="2968"/>
      <c r="R48" s="2968"/>
      <c r="S48" s="2968"/>
      <c r="T48" s="2969"/>
      <c r="U48" s="2970"/>
      <c r="V48" s="2970"/>
      <c r="W48" s="2970"/>
      <c r="X48" s="2970"/>
      <c r="Y48" s="2970"/>
      <c r="Z48" s="2971"/>
      <c r="AA48" s="2964"/>
      <c r="AB48" s="2965"/>
      <c r="AC48" s="2965"/>
      <c r="AD48" s="2965"/>
      <c r="AE48" s="2966"/>
      <c r="AF48" s="2966"/>
      <c r="AG48" s="2966"/>
      <c r="AH48" s="2966"/>
      <c r="AI48" s="2966"/>
      <c r="AJ48" s="2966"/>
      <c r="AK48" s="2966"/>
      <c r="AL48" s="2966"/>
      <c r="AM48" s="2966"/>
      <c r="AN48" s="2967"/>
      <c r="AO48" s="2968"/>
      <c r="AP48" s="2968"/>
      <c r="AQ48" s="2968"/>
      <c r="AR48" s="2968"/>
      <c r="AS48" s="2969"/>
      <c r="AT48" s="2970"/>
      <c r="AU48" s="2970"/>
      <c r="AV48" s="2970"/>
      <c r="AW48" s="2970"/>
      <c r="AX48" s="2970"/>
      <c r="AY48" s="2971"/>
      <c r="BA48" s="2972"/>
      <c r="BB48" s="2973"/>
      <c r="BC48" s="2973"/>
      <c r="BD48" s="2973"/>
      <c r="BE48" s="2973"/>
      <c r="BF48" s="2973"/>
      <c r="BG48" s="2973"/>
      <c r="BH48" s="2973"/>
      <c r="BI48" s="2973"/>
      <c r="BJ48" s="2973"/>
      <c r="BK48" s="2973"/>
      <c r="BL48" s="2973"/>
      <c r="BM48" s="2973"/>
      <c r="BN48" s="2973"/>
      <c r="BO48" s="2973"/>
      <c r="BP48" s="2973"/>
      <c r="BQ48" s="2973"/>
      <c r="BR48" s="2973"/>
      <c r="BS48" s="2973"/>
      <c r="BT48" s="2973"/>
      <c r="BU48" s="2973"/>
      <c r="BV48" s="2973"/>
      <c r="BW48" s="2973"/>
      <c r="BX48" s="2973"/>
      <c r="BY48" s="2973"/>
      <c r="BZ48" s="2973"/>
      <c r="CA48" s="2973"/>
      <c r="CB48" s="2973"/>
      <c r="CC48" s="2973"/>
      <c r="CD48" s="2973"/>
      <c r="CE48" s="2973"/>
      <c r="CF48" s="2973"/>
      <c r="CG48" s="2973"/>
      <c r="CH48" s="2973"/>
      <c r="CI48" s="2973"/>
      <c r="CJ48" s="2974"/>
    </row>
    <row r="49" spans="2:88" ht="17" customHeight="1" outlineLevel="1">
      <c r="B49" s="2975"/>
      <c r="C49" s="2976"/>
      <c r="D49" s="2976"/>
      <c r="E49" s="2976"/>
      <c r="F49" s="2977"/>
      <c r="G49" s="2977"/>
      <c r="H49" s="2977"/>
      <c r="I49" s="2977"/>
      <c r="J49" s="2977"/>
      <c r="K49" s="2977"/>
      <c r="L49" s="2977"/>
      <c r="M49" s="2977"/>
      <c r="N49" s="2977"/>
      <c r="O49" s="2978"/>
      <c r="P49" s="2979"/>
      <c r="Q49" s="2979"/>
      <c r="R49" s="2979"/>
      <c r="S49" s="2979"/>
      <c r="T49" s="2980"/>
      <c r="U49" s="2976"/>
      <c r="V49" s="2976"/>
      <c r="W49" s="2976"/>
      <c r="X49" s="2976"/>
      <c r="Y49" s="2976"/>
      <c r="Z49" s="2981"/>
      <c r="AA49" s="2975"/>
      <c r="AB49" s="2976"/>
      <c r="AC49" s="2976"/>
      <c r="AD49" s="2976"/>
      <c r="AE49" s="2977"/>
      <c r="AF49" s="2977"/>
      <c r="AG49" s="2977"/>
      <c r="AH49" s="2977"/>
      <c r="AI49" s="2977"/>
      <c r="AJ49" s="2977"/>
      <c r="AK49" s="2977"/>
      <c r="AL49" s="2977"/>
      <c r="AM49" s="2977"/>
      <c r="AN49" s="2978"/>
      <c r="AO49" s="2979"/>
      <c r="AP49" s="2979"/>
      <c r="AQ49" s="2979"/>
      <c r="AR49" s="2979"/>
      <c r="AS49" s="2980"/>
      <c r="AT49" s="2976"/>
      <c r="AU49" s="2976"/>
      <c r="AV49" s="2976"/>
      <c r="AW49" s="2976"/>
      <c r="AX49" s="2976"/>
      <c r="AY49" s="2981"/>
      <c r="BA49" s="2982"/>
      <c r="BB49" s="2983"/>
      <c r="BC49" s="2983"/>
      <c r="BD49" s="2983"/>
      <c r="BE49" s="2983"/>
      <c r="BF49" s="2983"/>
      <c r="BG49" s="2983"/>
      <c r="BH49" s="2983"/>
      <c r="BI49" s="2983"/>
      <c r="BJ49" s="2983"/>
      <c r="BK49" s="2983"/>
      <c r="BL49" s="2983"/>
      <c r="BM49" s="2983"/>
      <c r="BN49" s="2983"/>
      <c r="BO49" s="2983"/>
      <c r="BP49" s="2983"/>
      <c r="BQ49" s="2983"/>
      <c r="BR49" s="2983"/>
      <c r="BS49" s="2983"/>
      <c r="BT49" s="2983"/>
      <c r="BU49" s="2983"/>
      <c r="BV49" s="2983"/>
      <c r="BW49" s="2983"/>
      <c r="BX49" s="2983"/>
      <c r="BY49" s="2983"/>
      <c r="BZ49" s="2983"/>
      <c r="CA49" s="2983"/>
      <c r="CB49" s="2983"/>
      <c r="CC49" s="2983"/>
      <c r="CD49" s="2983"/>
      <c r="CE49" s="2983"/>
      <c r="CF49" s="2904"/>
      <c r="CG49" s="2904"/>
      <c r="CH49" s="2904"/>
      <c r="CI49" s="2904"/>
      <c r="CJ49" s="2963"/>
    </row>
    <row r="50" spans="2:88" ht="17" customHeight="1" outlineLevel="1">
      <c r="B50" s="2964"/>
      <c r="C50" s="2965"/>
      <c r="D50" s="2965"/>
      <c r="E50" s="2965"/>
      <c r="F50" s="2966"/>
      <c r="G50" s="2966"/>
      <c r="H50" s="2966"/>
      <c r="I50" s="2966"/>
      <c r="J50" s="2966"/>
      <c r="K50" s="2966"/>
      <c r="L50" s="2966"/>
      <c r="M50" s="2966"/>
      <c r="N50" s="2966"/>
      <c r="O50" s="2967"/>
      <c r="P50" s="2968"/>
      <c r="Q50" s="2968"/>
      <c r="R50" s="2968"/>
      <c r="S50" s="2968"/>
      <c r="T50" s="2969"/>
      <c r="U50" s="2970"/>
      <c r="V50" s="2970"/>
      <c r="W50" s="2970"/>
      <c r="X50" s="2970"/>
      <c r="Y50" s="2970"/>
      <c r="Z50" s="2971"/>
      <c r="AA50" s="2964"/>
      <c r="AB50" s="2965"/>
      <c r="AC50" s="2965"/>
      <c r="AD50" s="2965"/>
      <c r="AE50" s="2966"/>
      <c r="AF50" s="2966"/>
      <c r="AG50" s="2966"/>
      <c r="AH50" s="2966"/>
      <c r="AI50" s="2966"/>
      <c r="AJ50" s="2966"/>
      <c r="AK50" s="2966"/>
      <c r="AL50" s="2966"/>
      <c r="AM50" s="2966"/>
      <c r="AN50" s="2967"/>
      <c r="AO50" s="2968"/>
      <c r="AP50" s="2968"/>
      <c r="AQ50" s="2968"/>
      <c r="AR50" s="2968"/>
      <c r="AS50" s="2969"/>
      <c r="AT50" s="2970"/>
      <c r="AU50" s="2970"/>
      <c r="AV50" s="2970"/>
      <c r="AW50" s="2970"/>
      <c r="AX50" s="2970"/>
      <c r="AY50" s="2971"/>
      <c r="BA50" s="2972"/>
      <c r="BB50" s="2973"/>
      <c r="BC50" s="2973"/>
      <c r="BD50" s="2973"/>
      <c r="BE50" s="2973"/>
      <c r="BF50" s="2973"/>
      <c r="BG50" s="2973"/>
      <c r="BH50" s="2973"/>
      <c r="BI50" s="2973"/>
      <c r="BJ50" s="2973"/>
      <c r="BK50" s="2973"/>
      <c r="BL50" s="2973"/>
      <c r="BM50" s="2973"/>
      <c r="BN50" s="2973"/>
      <c r="BO50" s="2973"/>
      <c r="BP50" s="2973"/>
      <c r="BQ50" s="2973"/>
      <c r="BR50" s="2973"/>
      <c r="BS50" s="2973"/>
      <c r="BT50" s="2973"/>
      <c r="BU50" s="2973"/>
      <c r="BV50" s="2973"/>
      <c r="BW50" s="2973"/>
      <c r="BX50" s="2973"/>
      <c r="BY50" s="2973"/>
      <c r="BZ50" s="2973"/>
      <c r="CA50" s="2973"/>
      <c r="CB50" s="2973"/>
      <c r="CC50" s="2973"/>
      <c r="CD50" s="2973"/>
      <c r="CE50" s="2973"/>
      <c r="CF50" s="2973"/>
      <c r="CG50" s="2973"/>
      <c r="CH50" s="2973"/>
      <c r="CI50" s="2973"/>
      <c r="CJ50" s="2974"/>
    </row>
    <row r="51" spans="2:88" ht="17" customHeight="1" outlineLevel="1">
      <c r="B51" s="2975"/>
      <c r="C51" s="2976"/>
      <c r="D51" s="2976"/>
      <c r="E51" s="2976"/>
      <c r="F51" s="2977"/>
      <c r="G51" s="2977"/>
      <c r="H51" s="2977"/>
      <c r="I51" s="2977"/>
      <c r="J51" s="2977"/>
      <c r="K51" s="2977"/>
      <c r="L51" s="2977"/>
      <c r="M51" s="2977"/>
      <c r="N51" s="2977"/>
      <c r="O51" s="2978"/>
      <c r="P51" s="2979"/>
      <c r="Q51" s="2979"/>
      <c r="R51" s="2979"/>
      <c r="S51" s="2979"/>
      <c r="T51" s="2980"/>
      <c r="U51" s="2976"/>
      <c r="V51" s="2976"/>
      <c r="W51" s="2976"/>
      <c r="X51" s="2976"/>
      <c r="Y51" s="2976"/>
      <c r="Z51" s="2981"/>
      <c r="AA51" s="2975"/>
      <c r="AB51" s="2976"/>
      <c r="AC51" s="2976"/>
      <c r="AD51" s="2976"/>
      <c r="AE51" s="2977"/>
      <c r="AF51" s="2977"/>
      <c r="AG51" s="2977"/>
      <c r="AH51" s="2977"/>
      <c r="AI51" s="2977"/>
      <c r="AJ51" s="2977"/>
      <c r="AK51" s="2977"/>
      <c r="AL51" s="2977"/>
      <c r="AM51" s="2977"/>
      <c r="AN51" s="2978"/>
      <c r="AO51" s="2979"/>
      <c r="AP51" s="2979"/>
      <c r="AQ51" s="2979"/>
      <c r="AR51" s="2979"/>
      <c r="AS51" s="2980"/>
      <c r="AT51" s="2976"/>
      <c r="AU51" s="2976"/>
      <c r="AV51" s="2976"/>
      <c r="AW51" s="2976"/>
      <c r="AX51" s="2976"/>
      <c r="AY51" s="2981"/>
      <c r="BA51" s="2982"/>
      <c r="BB51" s="2983"/>
      <c r="BC51" s="2983"/>
      <c r="BD51" s="2983"/>
      <c r="BE51" s="2983"/>
      <c r="BF51" s="2983"/>
      <c r="BG51" s="2983"/>
      <c r="BH51" s="2983"/>
      <c r="BI51" s="2983"/>
      <c r="BJ51" s="2983"/>
      <c r="BK51" s="2983"/>
      <c r="BL51" s="2983"/>
      <c r="BM51" s="2983"/>
      <c r="BN51" s="2983"/>
      <c r="BO51" s="2983"/>
      <c r="BP51" s="2983"/>
      <c r="BQ51" s="2983"/>
      <c r="BR51" s="2983"/>
      <c r="BS51" s="2983"/>
      <c r="BT51" s="2983"/>
      <c r="BU51" s="2983"/>
      <c r="BV51" s="2983"/>
      <c r="BW51" s="2983"/>
      <c r="BX51" s="2983"/>
      <c r="BY51" s="2983"/>
      <c r="BZ51" s="2983"/>
      <c r="CA51" s="2983"/>
      <c r="CB51" s="2983"/>
      <c r="CC51" s="2983"/>
      <c r="CD51" s="2983"/>
      <c r="CE51" s="2983"/>
      <c r="CF51" s="2904"/>
      <c r="CG51" s="2904"/>
      <c r="CH51" s="2904"/>
      <c r="CI51" s="2904"/>
      <c r="CJ51" s="2963"/>
    </row>
    <row r="52" spans="2:88" ht="17" customHeight="1" outlineLevel="1">
      <c r="B52" s="2964"/>
      <c r="C52" s="2965"/>
      <c r="D52" s="2965"/>
      <c r="E52" s="2965"/>
      <c r="F52" s="2966"/>
      <c r="G52" s="2966"/>
      <c r="H52" s="2966"/>
      <c r="I52" s="2966"/>
      <c r="J52" s="2966"/>
      <c r="K52" s="2966"/>
      <c r="L52" s="2966"/>
      <c r="M52" s="2966"/>
      <c r="N52" s="2966"/>
      <c r="O52" s="2967"/>
      <c r="P52" s="2968"/>
      <c r="Q52" s="2968"/>
      <c r="R52" s="2968"/>
      <c r="S52" s="2968"/>
      <c r="T52" s="2969"/>
      <c r="U52" s="2970"/>
      <c r="V52" s="2970"/>
      <c r="W52" s="2970"/>
      <c r="X52" s="2970"/>
      <c r="Y52" s="2970"/>
      <c r="Z52" s="2971"/>
      <c r="AA52" s="2964"/>
      <c r="AB52" s="2965"/>
      <c r="AC52" s="2965"/>
      <c r="AD52" s="2965"/>
      <c r="AE52" s="2966"/>
      <c r="AF52" s="2966"/>
      <c r="AG52" s="2966"/>
      <c r="AH52" s="2966"/>
      <c r="AI52" s="2966"/>
      <c r="AJ52" s="2966"/>
      <c r="AK52" s="2966"/>
      <c r="AL52" s="2966"/>
      <c r="AM52" s="2966"/>
      <c r="AN52" s="2967"/>
      <c r="AO52" s="2968"/>
      <c r="AP52" s="2968"/>
      <c r="AQ52" s="2968"/>
      <c r="AR52" s="2968"/>
      <c r="AS52" s="2969"/>
      <c r="AT52" s="2970"/>
      <c r="AU52" s="2970"/>
      <c r="AV52" s="2970"/>
      <c r="AW52" s="2970"/>
      <c r="AX52" s="2970"/>
      <c r="AY52" s="2971"/>
      <c r="BA52" s="2972"/>
      <c r="BB52" s="2973"/>
      <c r="BC52" s="2973"/>
      <c r="BD52" s="2973"/>
      <c r="BE52" s="2973"/>
      <c r="BF52" s="2973"/>
      <c r="BG52" s="2973"/>
      <c r="BH52" s="2973"/>
      <c r="BI52" s="2973"/>
      <c r="BJ52" s="2973"/>
      <c r="BK52" s="2973"/>
      <c r="BL52" s="2973"/>
      <c r="BM52" s="2973"/>
      <c r="BN52" s="2973"/>
      <c r="BO52" s="2973"/>
      <c r="BP52" s="2973"/>
      <c r="BQ52" s="2973"/>
      <c r="BR52" s="2973"/>
      <c r="BS52" s="2973"/>
      <c r="BT52" s="2973"/>
      <c r="BU52" s="2973"/>
      <c r="BV52" s="2973"/>
      <c r="BW52" s="2973"/>
      <c r="BX52" s="2973"/>
      <c r="BY52" s="2973"/>
      <c r="BZ52" s="2973"/>
      <c r="CA52" s="2973"/>
      <c r="CB52" s="2973"/>
      <c r="CC52" s="2973"/>
      <c r="CD52" s="2973"/>
      <c r="CE52" s="2973"/>
      <c r="CF52" s="2973"/>
      <c r="CG52" s="2973"/>
      <c r="CH52" s="2973"/>
      <c r="CI52" s="2973"/>
      <c r="CJ52" s="2974"/>
    </row>
    <row r="53" spans="2:88" ht="17" customHeight="1" outlineLevel="1">
      <c r="B53" s="2975"/>
      <c r="C53" s="2976"/>
      <c r="D53" s="2976"/>
      <c r="E53" s="2976"/>
      <c r="F53" s="2977"/>
      <c r="G53" s="2977"/>
      <c r="H53" s="2977"/>
      <c r="I53" s="2977"/>
      <c r="J53" s="2977"/>
      <c r="K53" s="2977"/>
      <c r="L53" s="2977"/>
      <c r="M53" s="2977"/>
      <c r="N53" s="2977"/>
      <c r="O53" s="2978"/>
      <c r="P53" s="2979"/>
      <c r="Q53" s="2979"/>
      <c r="R53" s="2979"/>
      <c r="S53" s="2979"/>
      <c r="T53" s="2980"/>
      <c r="U53" s="2976"/>
      <c r="V53" s="2976"/>
      <c r="W53" s="2976"/>
      <c r="X53" s="2976"/>
      <c r="Y53" s="2976"/>
      <c r="Z53" s="2981"/>
      <c r="AA53" s="2975"/>
      <c r="AB53" s="2976"/>
      <c r="AC53" s="2976"/>
      <c r="AD53" s="2976"/>
      <c r="AE53" s="2977"/>
      <c r="AF53" s="2977"/>
      <c r="AG53" s="2977"/>
      <c r="AH53" s="2977"/>
      <c r="AI53" s="2977"/>
      <c r="AJ53" s="2977"/>
      <c r="AK53" s="2977"/>
      <c r="AL53" s="2977"/>
      <c r="AM53" s="2977"/>
      <c r="AN53" s="2978"/>
      <c r="AO53" s="2979"/>
      <c r="AP53" s="2979"/>
      <c r="AQ53" s="2979"/>
      <c r="AR53" s="2979"/>
      <c r="AS53" s="2980"/>
      <c r="AT53" s="2976"/>
      <c r="AU53" s="2976"/>
      <c r="AV53" s="2976"/>
      <c r="AW53" s="2976"/>
      <c r="AX53" s="2976"/>
      <c r="AY53" s="2981"/>
      <c r="BA53" s="2982"/>
      <c r="BB53" s="2983"/>
      <c r="BC53" s="2983"/>
      <c r="BD53" s="2983"/>
      <c r="BE53" s="2983"/>
      <c r="BF53" s="2983"/>
      <c r="BG53" s="2983"/>
      <c r="BH53" s="2983"/>
      <c r="BI53" s="2983"/>
      <c r="BJ53" s="2983"/>
      <c r="BK53" s="2983"/>
      <c r="BL53" s="2983"/>
      <c r="BM53" s="2983"/>
      <c r="BN53" s="2983"/>
      <c r="BO53" s="2983"/>
      <c r="BP53" s="2983"/>
      <c r="BQ53" s="2983"/>
      <c r="BR53" s="2983"/>
      <c r="BS53" s="2983"/>
      <c r="BT53" s="2983"/>
      <c r="BU53" s="2983"/>
      <c r="BV53" s="2983"/>
      <c r="BW53" s="2983"/>
      <c r="BX53" s="2983"/>
      <c r="BY53" s="2983"/>
      <c r="BZ53" s="2983"/>
      <c r="CA53" s="2983"/>
      <c r="CB53" s="2983"/>
      <c r="CC53" s="2983"/>
      <c r="CD53" s="2983"/>
      <c r="CE53" s="2983"/>
      <c r="CF53" s="2904"/>
      <c r="CG53" s="2904"/>
      <c r="CH53" s="2904"/>
      <c r="CI53" s="2904"/>
      <c r="CJ53" s="2963"/>
    </row>
    <row r="54" spans="2:88" ht="17" customHeight="1" outlineLevel="1">
      <c r="B54" s="2964"/>
      <c r="C54" s="2965"/>
      <c r="D54" s="2965"/>
      <c r="E54" s="2965"/>
      <c r="F54" s="2966"/>
      <c r="G54" s="2966"/>
      <c r="H54" s="2966"/>
      <c r="I54" s="2966"/>
      <c r="J54" s="2966"/>
      <c r="K54" s="2966"/>
      <c r="L54" s="2966"/>
      <c r="M54" s="2966"/>
      <c r="N54" s="2966"/>
      <c r="O54" s="2967"/>
      <c r="P54" s="2968"/>
      <c r="Q54" s="2968"/>
      <c r="R54" s="2968"/>
      <c r="S54" s="2968"/>
      <c r="T54" s="2969"/>
      <c r="U54" s="2970"/>
      <c r="V54" s="2970"/>
      <c r="W54" s="2970"/>
      <c r="X54" s="2970"/>
      <c r="Y54" s="2970"/>
      <c r="Z54" s="2971"/>
      <c r="AA54" s="2964"/>
      <c r="AB54" s="2965"/>
      <c r="AC54" s="2965"/>
      <c r="AD54" s="2965"/>
      <c r="AE54" s="2966"/>
      <c r="AF54" s="2966"/>
      <c r="AG54" s="2966"/>
      <c r="AH54" s="2966"/>
      <c r="AI54" s="2966"/>
      <c r="AJ54" s="2966"/>
      <c r="AK54" s="2966"/>
      <c r="AL54" s="2966"/>
      <c r="AM54" s="2966"/>
      <c r="AN54" s="2967"/>
      <c r="AO54" s="2968"/>
      <c r="AP54" s="2968"/>
      <c r="AQ54" s="2968"/>
      <c r="AR54" s="2968"/>
      <c r="AS54" s="2969"/>
      <c r="AT54" s="2970"/>
      <c r="AU54" s="2970"/>
      <c r="AV54" s="2970"/>
      <c r="AW54" s="2970"/>
      <c r="AX54" s="2970"/>
      <c r="AY54" s="2971"/>
      <c r="BA54" s="2972"/>
      <c r="BB54" s="2973"/>
      <c r="BC54" s="2973"/>
      <c r="BD54" s="2973"/>
      <c r="BE54" s="2973"/>
      <c r="BF54" s="2973"/>
      <c r="BG54" s="2973"/>
      <c r="BH54" s="2973"/>
      <c r="BI54" s="2973"/>
      <c r="BJ54" s="2973"/>
      <c r="BK54" s="2973"/>
      <c r="BL54" s="2973"/>
      <c r="BM54" s="2973"/>
      <c r="BN54" s="2973"/>
      <c r="BO54" s="2973"/>
      <c r="BP54" s="2973"/>
      <c r="BQ54" s="2973"/>
      <c r="BR54" s="2973"/>
      <c r="BS54" s="2973"/>
      <c r="BT54" s="2973"/>
      <c r="BU54" s="2973"/>
      <c r="BV54" s="2973"/>
      <c r="BW54" s="2973"/>
      <c r="BX54" s="2973"/>
      <c r="BY54" s="2973"/>
      <c r="BZ54" s="2973"/>
      <c r="CA54" s="2973"/>
      <c r="CB54" s="2973"/>
      <c r="CC54" s="2973"/>
      <c r="CD54" s="2973"/>
      <c r="CE54" s="2973"/>
      <c r="CF54" s="2973"/>
      <c r="CG54" s="2973"/>
      <c r="CH54" s="2973"/>
      <c r="CI54" s="2973"/>
      <c r="CJ54" s="2974"/>
    </row>
    <row r="55" spans="2:88" ht="17" customHeight="1" outlineLevel="1">
      <c r="B55" s="2975"/>
      <c r="C55" s="2976"/>
      <c r="D55" s="2976"/>
      <c r="E55" s="2976"/>
      <c r="F55" s="2977"/>
      <c r="G55" s="2977"/>
      <c r="H55" s="2977"/>
      <c r="I55" s="2977"/>
      <c r="J55" s="2977"/>
      <c r="K55" s="2977"/>
      <c r="L55" s="2977"/>
      <c r="M55" s="2977"/>
      <c r="N55" s="2977"/>
      <c r="O55" s="2978"/>
      <c r="P55" s="2979"/>
      <c r="Q55" s="2979"/>
      <c r="R55" s="2979"/>
      <c r="S55" s="2979"/>
      <c r="T55" s="2980"/>
      <c r="U55" s="2976"/>
      <c r="V55" s="2976"/>
      <c r="W55" s="2976"/>
      <c r="X55" s="2976"/>
      <c r="Y55" s="2976"/>
      <c r="Z55" s="2981"/>
      <c r="AA55" s="2975"/>
      <c r="AB55" s="2976"/>
      <c r="AC55" s="2976"/>
      <c r="AD55" s="2976"/>
      <c r="AE55" s="2977"/>
      <c r="AF55" s="2977"/>
      <c r="AG55" s="2977"/>
      <c r="AH55" s="2977"/>
      <c r="AI55" s="2977"/>
      <c r="AJ55" s="2977"/>
      <c r="AK55" s="2977"/>
      <c r="AL55" s="2977"/>
      <c r="AM55" s="2977"/>
      <c r="AN55" s="2978"/>
      <c r="AO55" s="2979"/>
      <c r="AP55" s="2979"/>
      <c r="AQ55" s="2979"/>
      <c r="AR55" s="2979"/>
      <c r="AS55" s="2980"/>
      <c r="AT55" s="2976"/>
      <c r="AU55" s="2976"/>
      <c r="AV55" s="2976"/>
      <c r="AW55" s="2976"/>
      <c r="AX55" s="2976"/>
      <c r="AY55" s="2981"/>
      <c r="BA55" s="2982"/>
      <c r="BB55" s="2983"/>
      <c r="BC55" s="2983"/>
      <c r="BD55" s="2983"/>
      <c r="BE55" s="2983"/>
      <c r="BF55" s="2983"/>
      <c r="BG55" s="2983"/>
      <c r="BH55" s="2983"/>
      <c r="BI55" s="2983"/>
      <c r="BJ55" s="2983"/>
      <c r="BK55" s="2983"/>
      <c r="BL55" s="2983"/>
      <c r="BM55" s="2983"/>
      <c r="BN55" s="2983"/>
      <c r="BO55" s="2983"/>
      <c r="BP55" s="2983"/>
      <c r="BQ55" s="2983"/>
      <c r="BR55" s="2983"/>
      <c r="BS55" s="2983"/>
      <c r="BT55" s="2983"/>
      <c r="BU55" s="2983"/>
      <c r="BV55" s="2983"/>
      <c r="BW55" s="2983"/>
      <c r="BX55" s="2983"/>
      <c r="BY55" s="2983"/>
      <c r="BZ55" s="2983"/>
      <c r="CA55" s="2983"/>
      <c r="CB55" s="2983"/>
      <c r="CC55" s="2983"/>
      <c r="CD55" s="2983"/>
      <c r="CE55" s="2983"/>
      <c r="CF55" s="2904"/>
      <c r="CG55" s="2904"/>
      <c r="CH55" s="2904"/>
      <c r="CI55" s="2904"/>
      <c r="CJ55" s="2963"/>
    </row>
    <row r="56" spans="2:88" ht="17" customHeight="1" outlineLevel="1">
      <c r="B56" s="2964"/>
      <c r="C56" s="2965"/>
      <c r="D56" s="2965"/>
      <c r="E56" s="2965"/>
      <c r="F56" s="2966"/>
      <c r="G56" s="2966"/>
      <c r="H56" s="2966"/>
      <c r="I56" s="2966"/>
      <c r="J56" s="2966"/>
      <c r="K56" s="2966"/>
      <c r="L56" s="2966"/>
      <c r="M56" s="2966"/>
      <c r="N56" s="2966"/>
      <c r="O56" s="2967"/>
      <c r="P56" s="2968"/>
      <c r="Q56" s="2968"/>
      <c r="R56" s="2968"/>
      <c r="S56" s="2968"/>
      <c r="T56" s="2969"/>
      <c r="U56" s="2970"/>
      <c r="V56" s="2970"/>
      <c r="W56" s="2970"/>
      <c r="X56" s="2970"/>
      <c r="Y56" s="2970"/>
      <c r="Z56" s="2971"/>
      <c r="AA56" s="2964"/>
      <c r="AB56" s="2965"/>
      <c r="AC56" s="2965"/>
      <c r="AD56" s="2965"/>
      <c r="AE56" s="2966"/>
      <c r="AF56" s="2966"/>
      <c r="AG56" s="2966"/>
      <c r="AH56" s="2966"/>
      <c r="AI56" s="2966"/>
      <c r="AJ56" s="2966"/>
      <c r="AK56" s="2966"/>
      <c r="AL56" s="2966"/>
      <c r="AM56" s="2966"/>
      <c r="AN56" s="2967"/>
      <c r="AO56" s="2968"/>
      <c r="AP56" s="2968"/>
      <c r="AQ56" s="2968"/>
      <c r="AR56" s="2968"/>
      <c r="AS56" s="2969"/>
      <c r="AT56" s="2970"/>
      <c r="AU56" s="2970"/>
      <c r="AV56" s="2970"/>
      <c r="AW56" s="2970"/>
      <c r="AX56" s="2970"/>
      <c r="AY56" s="2971"/>
      <c r="BA56" s="2972"/>
      <c r="BB56" s="2973"/>
      <c r="BC56" s="2973"/>
      <c r="BD56" s="2973"/>
      <c r="BE56" s="2973"/>
      <c r="BF56" s="2973"/>
      <c r="BG56" s="2973"/>
      <c r="BH56" s="2973"/>
      <c r="BI56" s="2973"/>
      <c r="BJ56" s="2973"/>
      <c r="BK56" s="2973"/>
      <c r="BL56" s="2973"/>
      <c r="BM56" s="2973"/>
      <c r="BN56" s="2973"/>
      <c r="BO56" s="2973"/>
      <c r="BP56" s="2973"/>
      <c r="BQ56" s="2973"/>
      <c r="BR56" s="2973"/>
      <c r="BS56" s="2973"/>
      <c r="BT56" s="2973"/>
      <c r="BU56" s="2973"/>
      <c r="BV56" s="2973"/>
      <c r="BW56" s="2973"/>
      <c r="BX56" s="2973"/>
      <c r="BY56" s="2973"/>
      <c r="BZ56" s="2973"/>
      <c r="CA56" s="2973"/>
      <c r="CB56" s="2973"/>
      <c r="CC56" s="2973"/>
      <c r="CD56" s="2973"/>
      <c r="CE56" s="2973"/>
      <c r="CF56" s="2973"/>
      <c r="CG56" s="2973"/>
      <c r="CH56" s="2973"/>
      <c r="CI56" s="2973"/>
      <c r="CJ56" s="2974"/>
    </row>
    <row r="57" spans="2:88" ht="17" customHeight="1">
      <c r="B57" s="2975"/>
      <c r="C57" s="2976"/>
      <c r="D57" s="2976"/>
      <c r="E57" s="2976"/>
      <c r="F57" s="2977"/>
      <c r="G57" s="2977"/>
      <c r="H57" s="2977"/>
      <c r="I57" s="2977"/>
      <c r="J57" s="2977"/>
      <c r="K57" s="2977"/>
      <c r="L57" s="2977"/>
      <c r="M57" s="2977"/>
      <c r="N57" s="2977"/>
      <c r="O57" s="2978"/>
      <c r="P57" s="2979"/>
      <c r="Q57" s="2979"/>
      <c r="R57" s="2979"/>
      <c r="S57" s="2979"/>
      <c r="T57" s="2980"/>
      <c r="U57" s="2976"/>
      <c r="V57" s="2976"/>
      <c r="W57" s="2976"/>
      <c r="X57" s="2976"/>
      <c r="Y57" s="2976"/>
      <c r="Z57" s="2981"/>
      <c r="AA57" s="2975"/>
      <c r="AB57" s="2976"/>
      <c r="AC57" s="2976"/>
      <c r="AD57" s="2976"/>
      <c r="AE57" s="2977"/>
      <c r="AF57" s="2977"/>
      <c r="AG57" s="2977"/>
      <c r="AH57" s="2977"/>
      <c r="AI57" s="2977"/>
      <c r="AJ57" s="2977"/>
      <c r="AK57" s="2977"/>
      <c r="AL57" s="2977"/>
      <c r="AM57" s="2977"/>
      <c r="AN57" s="2978"/>
      <c r="AO57" s="2979"/>
      <c r="AP57" s="2979"/>
      <c r="AQ57" s="2979"/>
      <c r="AR57" s="2979"/>
      <c r="AS57" s="2980"/>
      <c r="AT57" s="2976"/>
      <c r="AU57" s="2976"/>
      <c r="AV57" s="2976"/>
      <c r="AW57" s="2976"/>
      <c r="AX57" s="2976"/>
      <c r="AY57" s="2981"/>
      <c r="BA57" s="2982"/>
      <c r="BB57" s="2983"/>
      <c r="BC57" s="2983"/>
      <c r="BD57" s="2983"/>
      <c r="BE57" s="2983"/>
      <c r="BF57" s="2983"/>
      <c r="BG57" s="2983"/>
      <c r="BH57" s="2983"/>
      <c r="BI57" s="2983"/>
      <c r="BJ57" s="2983"/>
      <c r="BK57" s="2983"/>
      <c r="BL57" s="2983"/>
      <c r="BM57" s="2983"/>
      <c r="BN57" s="2983"/>
      <c r="BO57" s="2983"/>
      <c r="BP57" s="2983"/>
      <c r="BQ57" s="2983"/>
      <c r="BR57" s="2983"/>
      <c r="BS57" s="2983"/>
      <c r="BT57" s="2983"/>
      <c r="BU57" s="2983"/>
      <c r="BV57" s="2983"/>
      <c r="BW57" s="2983"/>
      <c r="BX57" s="2983"/>
      <c r="BY57" s="2983"/>
      <c r="BZ57" s="2983"/>
      <c r="CA57" s="2983"/>
      <c r="CB57" s="2983"/>
      <c r="CC57" s="2983"/>
      <c r="CD57" s="2983"/>
      <c r="CE57" s="2983"/>
      <c r="CF57" s="2904"/>
      <c r="CG57" s="2904"/>
      <c r="CH57" s="2904"/>
      <c r="CI57" s="2904"/>
      <c r="CJ57" s="2963"/>
    </row>
    <row r="58" spans="2:88" ht="17" customHeight="1" outlineLevel="1">
      <c r="B58" s="2964"/>
      <c r="C58" s="2965"/>
      <c r="D58" s="2965"/>
      <c r="E58" s="2965"/>
      <c r="F58" s="2966"/>
      <c r="G58" s="2966"/>
      <c r="H58" s="2966"/>
      <c r="I58" s="2966"/>
      <c r="J58" s="2966"/>
      <c r="K58" s="2966"/>
      <c r="L58" s="2966"/>
      <c r="M58" s="2966"/>
      <c r="N58" s="2966"/>
      <c r="O58" s="2967"/>
      <c r="P58" s="2968"/>
      <c r="Q58" s="2968"/>
      <c r="R58" s="2968"/>
      <c r="S58" s="2968"/>
      <c r="T58" s="2969"/>
      <c r="U58" s="2970"/>
      <c r="V58" s="2970"/>
      <c r="W58" s="2970"/>
      <c r="X58" s="2970"/>
      <c r="Y58" s="2970"/>
      <c r="Z58" s="2971"/>
      <c r="AA58" s="2964"/>
      <c r="AB58" s="2965"/>
      <c r="AC58" s="2965"/>
      <c r="AD58" s="2965"/>
      <c r="AE58" s="2966"/>
      <c r="AF58" s="2966"/>
      <c r="AG58" s="2966"/>
      <c r="AH58" s="2966"/>
      <c r="AI58" s="2966"/>
      <c r="AJ58" s="2966"/>
      <c r="AK58" s="2966"/>
      <c r="AL58" s="2966"/>
      <c r="AM58" s="2966"/>
      <c r="AN58" s="2967"/>
      <c r="AO58" s="2968"/>
      <c r="AP58" s="2968"/>
      <c r="AQ58" s="2968"/>
      <c r="AR58" s="2968"/>
      <c r="AS58" s="2969"/>
      <c r="AT58" s="2970"/>
      <c r="AU58" s="2970"/>
      <c r="AV58" s="2970"/>
      <c r="AW58" s="2970"/>
      <c r="AX58" s="2970"/>
      <c r="AY58" s="2971"/>
      <c r="BA58" s="2972"/>
      <c r="BB58" s="2973"/>
      <c r="BC58" s="2973"/>
      <c r="BD58" s="2973"/>
      <c r="BE58" s="2973"/>
      <c r="BF58" s="2973"/>
      <c r="BG58" s="2973"/>
      <c r="BH58" s="2973"/>
      <c r="BI58" s="2973"/>
      <c r="BJ58" s="2973"/>
      <c r="BK58" s="2973"/>
      <c r="BL58" s="2973"/>
      <c r="BM58" s="2973"/>
      <c r="BN58" s="2973"/>
      <c r="BO58" s="2973"/>
      <c r="BP58" s="2973"/>
      <c r="BQ58" s="2973"/>
      <c r="BR58" s="2973"/>
      <c r="BS58" s="2973"/>
      <c r="BT58" s="2973"/>
      <c r="BU58" s="2973"/>
      <c r="BV58" s="2973"/>
      <c r="BW58" s="2973"/>
      <c r="BX58" s="2973"/>
      <c r="BY58" s="2973"/>
      <c r="BZ58" s="2973"/>
      <c r="CA58" s="2973"/>
      <c r="CB58" s="2973"/>
      <c r="CC58" s="2973"/>
      <c r="CD58" s="2973"/>
      <c r="CE58" s="2973"/>
      <c r="CF58" s="2973"/>
      <c r="CG58" s="2973"/>
      <c r="CH58" s="2973"/>
      <c r="CI58" s="2973"/>
      <c r="CJ58" s="2974"/>
    </row>
    <row r="59" spans="2:88" ht="17" customHeight="1" outlineLevel="1">
      <c r="B59" s="2975"/>
      <c r="C59" s="2976"/>
      <c r="D59" s="2976"/>
      <c r="E59" s="2976"/>
      <c r="F59" s="2977"/>
      <c r="G59" s="2977"/>
      <c r="H59" s="2977"/>
      <c r="I59" s="2977"/>
      <c r="J59" s="2977"/>
      <c r="K59" s="2977"/>
      <c r="L59" s="2977"/>
      <c r="M59" s="2977"/>
      <c r="N59" s="2977"/>
      <c r="O59" s="2978"/>
      <c r="P59" s="2979"/>
      <c r="Q59" s="2979"/>
      <c r="R59" s="2979"/>
      <c r="S59" s="2979"/>
      <c r="T59" s="2980"/>
      <c r="U59" s="2976"/>
      <c r="V59" s="2976"/>
      <c r="W59" s="2976"/>
      <c r="X59" s="2976"/>
      <c r="Y59" s="2976"/>
      <c r="Z59" s="2981"/>
      <c r="AA59" s="2975"/>
      <c r="AB59" s="2976"/>
      <c r="AC59" s="2976"/>
      <c r="AD59" s="2976"/>
      <c r="AE59" s="2977"/>
      <c r="AF59" s="2977"/>
      <c r="AG59" s="2977"/>
      <c r="AH59" s="2977"/>
      <c r="AI59" s="2977"/>
      <c r="AJ59" s="2977"/>
      <c r="AK59" s="2977"/>
      <c r="AL59" s="2977"/>
      <c r="AM59" s="2977"/>
      <c r="AN59" s="2978"/>
      <c r="AO59" s="2979"/>
      <c r="AP59" s="2979"/>
      <c r="AQ59" s="2979"/>
      <c r="AR59" s="2979"/>
      <c r="AS59" s="2980"/>
      <c r="AT59" s="2976"/>
      <c r="AU59" s="2976"/>
      <c r="AV59" s="2976"/>
      <c r="AW59" s="2976"/>
      <c r="AX59" s="2976"/>
      <c r="AY59" s="2981"/>
      <c r="BA59" s="2982"/>
      <c r="BB59" s="2983"/>
      <c r="BC59" s="2983"/>
      <c r="BD59" s="2983"/>
      <c r="BE59" s="2983"/>
      <c r="BF59" s="2983"/>
      <c r="BG59" s="2983"/>
      <c r="BH59" s="2983"/>
      <c r="BI59" s="2983"/>
      <c r="BJ59" s="2983"/>
      <c r="BK59" s="2983"/>
      <c r="BL59" s="2983"/>
      <c r="BM59" s="2983"/>
      <c r="BN59" s="2983"/>
      <c r="BO59" s="2983"/>
      <c r="BP59" s="2983"/>
      <c r="BQ59" s="2983"/>
      <c r="BR59" s="2983"/>
      <c r="BS59" s="2983"/>
      <c r="BT59" s="2983"/>
      <c r="BU59" s="2983"/>
      <c r="BV59" s="2983"/>
      <c r="BW59" s="2983"/>
      <c r="BX59" s="2983"/>
      <c r="BY59" s="2983"/>
      <c r="BZ59" s="2983"/>
      <c r="CA59" s="2983"/>
      <c r="CB59" s="2983"/>
      <c r="CC59" s="2983"/>
      <c r="CD59" s="2983"/>
      <c r="CE59" s="2983"/>
      <c r="CF59" s="2904"/>
      <c r="CG59" s="2904"/>
      <c r="CH59" s="2904"/>
      <c r="CI59" s="2904"/>
      <c r="CJ59" s="2963"/>
    </row>
    <row r="60" spans="2:88" ht="17" customHeight="1" outlineLevel="1">
      <c r="B60" s="2964"/>
      <c r="C60" s="2965"/>
      <c r="D60" s="2965"/>
      <c r="E60" s="2965"/>
      <c r="F60" s="2966"/>
      <c r="G60" s="2966"/>
      <c r="H60" s="2966"/>
      <c r="I60" s="2966"/>
      <c r="J60" s="2966"/>
      <c r="K60" s="2966"/>
      <c r="L60" s="2966"/>
      <c r="M60" s="2966"/>
      <c r="N60" s="2966"/>
      <c r="O60" s="2967"/>
      <c r="P60" s="2968"/>
      <c r="Q60" s="2968"/>
      <c r="R60" s="2968"/>
      <c r="S60" s="2968"/>
      <c r="T60" s="2969"/>
      <c r="U60" s="2970"/>
      <c r="V60" s="2970"/>
      <c r="W60" s="2970"/>
      <c r="X60" s="2970"/>
      <c r="Y60" s="2970"/>
      <c r="Z60" s="2971"/>
      <c r="AA60" s="2964"/>
      <c r="AB60" s="2965"/>
      <c r="AC60" s="2965"/>
      <c r="AD60" s="2965"/>
      <c r="AE60" s="2966"/>
      <c r="AF60" s="2966"/>
      <c r="AG60" s="2966"/>
      <c r="AH60" s="2966"/>
      <c r="AI60" s="2966"/>
      <c r="AJ60" s="2966"/>
      <c r="AK60" s="2966"/>
      <c r="AL60" s="2966"/>
      <c r="AM60" s="2966"/>
      <c r="AN60" s="2967"/>
      <c r="AO60" s="2968"/>
      <c r="AP60" s="2968"/>
      <c r="AQ60" s="2968"/>
      <c r="AR60" s="2968"/>
      <c r="AS60" s="2969"/>
      <c r="AT60" s="2970"/>
      <c r="AU60" s="2970"/>
      <c r="AV60" s="2970"/>
      <c r="AW60" s="2970"/>
      <c r="AX60" s="2970"/>
      <c r="AY60" s="2971"/>
      <c r="BA60" s="2972"/>
      <c r="BB60" s="2973"/>
      <c r="BC60" s="2973"/>
      <c r="BD60" s="2973"/>
      <c r="BE60" s="2973"/>
      <c r="BF60" s="2973"/>
      <c r="BG60" s="2973"/>
      <c r="BH60" s="2973"/>
      <c r="BI60" s="2973"/>
      <c r="BJ60" s="2973"/>
      <c r="BK60" s="2973"/>
      <c r="BL60" s="2973"/>
      <c r="BM60" s="2973"/>
      <c r="BN60" s="2973"/>
      <c r="BO60" s="2973"/>
      <c r="BP60" s="2973"/>
      <c r="BQ60" s="2973"/>
      <c r="BR60" s="2973"/>
      <c r="BS60" s="2973"/>
      <c r="BT60" s="2973"/>
      <c r="BU60" s="2973"/>
      <c r="BV60" s="2973"/>
      <c r="BW60" s="2973"/>
      <c r="BX60" s="2973"/>
      <c r="BY60" s="2973"/>
      <c r="BZ60" s="2973"/>
      <c r="CA60" s="2973"/>
      <c r="CB60" s="2973"/>
      <c r="CC60" s="2973"/>
      <c r="CD60" s="2973"/>
      <c r="CE60" s="2973"/>
      <c r="CF60" s="2973"/>
      <c r="CG60" s="2973"/>
      <c r="CH60" s="2973"/>
      <c r="CI60" s="2973"/>
      <c r="CJ60" s="2974"/>
    </row>
    <row r="61" spans="2:88" ht="17" customHeight="1" outlineLevel="1">
      <c r="B61" s="2975"/>
      <c r="C61" s="2976"/>
      <c r="D61" s="2976"/>
      <c r="E61" s="2976"/>
      <c r="F61" s="2977"/>
      <c r="G61" s="2977"/>
      <c r="H61" s="2977"/>
      <c r="I61" s="2977"/>
      <c r="J61" s="2977"/>
      <c r="K61" s="2977"/>
      <c r="L61" s="2977"/>
      <c r="M61" s="2977"/>
      <c r="N61" s="2977"/>
      <c r="O61" s="2978"/>
      <c r="P61" s="2979"/>
      <c r="Q61" s="2979"/>
      <c r="R61" s="2979"/>
      <c r="S61" s="2979"/>
      <c r="T61" s="2980"/>
      <c r="U61" s="2976"/>
      <c r="V61" s="2976"/>
      <c r="W61" s="2976"/>
      <c r="X61" s="2976"/>
      <c r="Y61" s="2976"/>
      <c r="Z61" s="2981"/>
      <c r="AA61" s="2975"/>
      <c r="AB61" s="2976"/>
      <c r="AC61" s="2976"/>
      <c r="AD61" s="2976"/>
      <c r="AE61" s="2977"/>
      <c r="AF61" s="2977"/>
      <c r="AG61" s="2977"/>
      <c r="AH61" s="2977"/>
      <c r="AI61" s="2977"/>
      <c r="AJ61" s="2977"/>
      <c r="AK61" s="2977"/>
      <c r="AL61" s="2977"/>
      <c r="AM61" s="2977"/>
      <c r="AN61" s="2978"/>
      <c r="AO61" s="2979"/>
      <c r="AP61" s="2979"/>
      <c r="AQ61" s="2979"/>
      <c r="AR61" s="2979"/>
      <c r="AS61" s="2980"/>
      <c r="AT61" s="2976"/>
      <c r="AU61" s="2976"/>
      <c r="AV61" s="2976"/>
      <c r="AW61" s="2976"/>
      <c r="AX61" s="2976"/>
      <c r="AY61" s="2981"/>
      <c r="BA61" s="2982"/>
      <c r="BB61" s="2983"/>
      <c r="BC61" s="2983"/>
      <c r="BD61" s="2983"/>
      <c r="BE61" s="2983"/>
      <c r="BF61" s="2983"/>
      <c r="BG61" s="2983"/>
      <c r="BH61" s="2983"/>
      <c r="BI61" s="2983"/>
      <c r="BJ61" s="2983"/>
      <c r="BK61" s="2983"/>
      <c r="BL61" s="2983"/>
      <c r="BM61" s="2983"/>
      <c r="BN61" s="2983"/>
      <c r="BO61" s="2983"/>
      <c r="BP61" s="2983"/>
      <c r="BQ61" s="2983"/>
      <c r="BR61" s="2983"/>
      <c r="BS61" s="2983"/>
      <c r="BT61" s="2983"/>
      <c r="BU61" s="2983"/>
      <c r="BV61" s="2983"/>
      <c r="BW61" s="2983"/>
      <c r="BX61" s="2983"/>
      <c r="BY61" s="2983"/>
      <c r="BZ61" s="2983"/>
      <c r="CA61" s="2983"/>
      <c r="CB61" s="2983"/>
      <c r="CC61" s="2983"/>
      <c r="CD61" s="2983"/>
      <c r="CE61" s="2983"/>
      <c r="CF61" s="2904"/>
      <c r="CG61" s="2904"/>
      <c r="CH61" s="2904"/>
      <c r="CI61" s="2904"/>
      <c r="CJ61" s="2963"/>
    </row>
    <row r="62" spans="2:88" ht="17" customHeight="1" outlineLevel="1">
      <c r="B62" s="2964"/>
      <c r="C62" s="2965"/>
      <c r="D62" s="2965"/>
      <c r="E62" s="2965"/>
      <c r="F62" s="2966"/>
      <c r="G62" s="2966"/>
      <c r="H62" s="2966"/>
      <c r="I62" s="2966"/>
      <c r="J62" s="2966"/>
      <c r="K62" s="2966"/>
      <c r="L62" s="2966"/>
      <c r="M62" s="2966"/>
      <c r="N62" s="2966"/>
      <c r="O62" s="2967"/>
      <c r="P62" s="2968"/>
      <c r="Q62" s="2968"/>
      <c r="R62" s="2968"/>
      <c r="S62" s="2968"/>
      <c r="T62" s="2969"/>
      <c r="U62" s="2970"/>
      <c r="V62" s="2970"/>
      <c r="W62" s="2970"/>
      <c r="X62" s="2970"/>
      <c r="Y62" s="2970"/>
      <c r="Z62" s="2971"/>
      <c r="AA62" s="2964"/>
      <c r="AB62" s="2965"/>
      <c r="AC62" s="2965"/>
      <c r="AD62" s="2965"/>
      <c r="AE62" s="2966"/>
      <c r="AF62" s="2966"/>
      <c r="AG62" s="2966"/>
      <c r="AH62" s="2966"/>
      <c r="AI62" s="2966"/>
      <c r="AJ62" s="2966"/>
      <c r="AK62" s="2966"/>
      <c r="AL62" s="2966"/>
      <c r="AM62" s="2966"/>
      <c r="AN62" s="2967"/>
      <c r="AO62" s="2968"/>
      <c r="AP62" s="2968"/>
      <c r="AQ62" s="2968"/>
      <c r="AR62" s="2968"/>
      <c r="AS62" s="2969"/>
      <c r="AT62" s="2970"/>
      <c r="AU62" s="2970"/>
      <c r="AV62" s="2970"/>
      <c r="AW62" s="2970"/>
      <c r="AX62" s="2970"/>
      <c r="AY62" s="2971"/>
      <c r="BA62" s="2972"/>
      <c r="BB62" s="2973"/>
      <c r="BC62" s="2973"/>
      <c r="BD62" s="2973"/>
      <c r="BE62" s="2973"/>
      <c r="BF62" s="2973"/>
      <c r="BG62" s="2973"/>
      <c r="BH62" s="2973"/>
      <c r="BI62" s="2973"/>
      <c r="BJ62" s="2973"/>
      <c r="BK62" s="2973"/>
      <c r="BL62" s="2973"/>
      <c r="BM62" s="2973"/>
      <c r="BN62" s="2973"/>
      <c r="BO62" s="2973"/>
      <c r="BP62" s="2973"/>
      <c r="BQ62" s="2973"/>
      <c r="BR62" s="2973"/>
      <c r="BS62" s="2973"/>
      <c r="BT62" s="2973"/>
      <c r="BU62" s="2973"/>
      <c r="BV62" s="2973"/>
      <c r="BW62" s="2973"/>
      <c r="BX62" s="2973"/>
      <c r="BY62" s="2973"/>
      <c r="BZ62" s="2973"/>
      <c r="CA62" s="2973"/>
      <c r="CB62" s="2973"/>
      <c r="CC62" s="2973"/>
      <c r="CD62" s="2973"/>
      <c r="CE62" s="2973"/>
      <c r="CF62" s="2973"/>
      <c r="CG62" s="2973"/>
      <c r="CH62" s="2973"/>
      <c r="CI62" s="2973"/>
      <c r="CJ62" s="2974"/>
    </row>
    <row r="63" spans="2:88" ht="17" customHeight="1" outlineLevel="1">
      <c r="B63" s="2975"/>
      <c r="C63" s="2976"/>
      <c r="D63" s="2976"/>
      <c r="E63" s="2976"/>
      <c r="F63" s="2977"/>
      <c r="G63" s="2977"/>
      <c r="H63" s="2977"/>
      <c r="I63" s="2977"/>
      <c r="J63" s="2977"/>
      <c r="K63" s="2977"/>
      <c r="L63" s="2977"/>
      <c r="M63" s="2977"/>
      <c r="N63" s="2977"/>
      <c r="O63" s="2978"/>
      <c r="P63" s="2979"/>
      <c r="Q63" s="2979"/>
      <c r="R63" s="2979"/>
      <c r="S63" s="2979"/>
      <c r="T63" s="2980"/>
      <c r="U63" s="2976"/>
      <c r="V63" s="2976"/>
      <c r="W63" s="2976"/>
      <c r="X63" s="2976"/>
      <c r="Y63" s="2976"/>
      <c r="Z63" s="2981"/>
      <c r="AA63" s="2975"/>
      <c r="AB63" s="2976"/>
      <c r="AC63" s="2976"/>
      <c r="AD63" s="2976"/>
      <c r="AE63" s="2977"/>
      <c r="AF63" s="2977"/>
      <c r="AG63" s="2977"/>
      <c r="AH63" s="2977"/>
      <c r="AI63" s="2977"/>
      <c r="AJ63" s="2977"/>
      <c r="AK63" s="2977"/>
      <c r="AL63" s="2977"/>
      <c r="AM63" s="2977"/>
      <c r="AN63" s="2978"/>
      <c r="AO63" s="2979"/>
      <c r="AP63" s="2979"/>
      <c r="AQ63" s="2979"/>
      <c r="AR63" s="2979"/>
      <c r="AS63" s="2980"/>
      <c r="AT63" s="2976"/>
      <c r="AU63" s="2976"/>
      <c r="AV63" s="2976"/>
      <c r="AW63" s="2976"/>
      <c r="AX63" s="2976"/>
      <c r="AY63" s="2981"/>
      <c r="BA63" s="2982"/>
      <c r="BB63" s="2983"/>
      <c r="BC63" s="2983"/>
      <c r="BD63" s="2983"/>
      <c r="BE63" s="2983"/>
      <c r="BF63" s="2983"/>
      <c r="BG63" s="2983"/>
      <c r="BH63" s="2983"/>
      <c r="BI63" s="2983"/>
      <c r="BJ63" s="2983"/>
      <c r="BK63" s="2983"/>
      <c r="BL63" s="2983"/>
      <c r="BM63" s="2983"/>
      <c r="BN63" s="2983"/>
      <c r="BO63" s="2983"/>
      <c r="BP63" s="2983"/>
      <c r="BQ63" s="2983"/>
      <c r="BR63" s="2983"/>
      <c r="BS63" s="2983"/>
      <c r="BT63" s="2983"/>
      <c r="BU63" s="2983"/>
      <c r="BV63" s="2983"/>
      <c r="BW63" s="2983"/>
      <c r="BX63" s="2983"/>
      <c r="BY63" s="2983"/>
      <c r="BZ63" s="2983"/>
      <c r="CA63" s="2983"/>
      <c r="CB63" s="2983"/>
      <c r="CC63" s="2983"/>
      <c r="CD63" s="2983"/>
      <c r="CE63" s="2983"/>
      <c r="CF63" s="2904"/>
      <c r="CG63" s="2904"/>
      <c r="CH63" s="2904"/>
      <c r="CI63" s="2904"/>
      <c r="CJ63" s="2963"/>
    </row>
    <row r="64" spans="2:88" ht="17" customHeight="1" outlineLevel="1">
      <c r="B64" s="2964"/>
      <c r="C64" s="2965"/>
      <c r="D64" s="2965"/>
      <c r="E64" s="2965"/>
      <c r="F64" s="2966"/>
      <c r="G64" s="2966"/>
      <c r="H64" s="2966"/>
      <c r="I64" s="2966"/>
      <c r="J64" s="2966"/>
      <c r="K64" s="2966"/>
      <c r="L64" s="2966"/>
      <c r="M64" s="2966"/>
      <c r="N64" s="2966"/>
      <c r="O64" s="2967"/>
      <c r="P64" s="2968"/>
      <c r="Q64" s="2968"/>
      <c r="R64" s="2968"/>
      <c r="S64" s="2968"/>
      <c r="T64" s="2969"/>
      <c r="U64" s="2970"/>
      <c r="V64" s="2970"/>
      <c r="W64" s="2970"/>
      <c r="X64" s="2970"/>
      <c r="Y64" s="2970"/>
      <c r="Z64" s="2971"/>
      <c r="AA64" s="2964"/>
      <c r="AB64" s="2965"/>
      <c r="AC64" s="2965"/>
      <c r="AD64" s="2965"/>
      <c r="AE64" s="2966"/>
      <c r="AF64" s="2966"/>
      <c r="AG64" s="2966"/>
      <c r="AH64" s="2966"/>
      <c r="AI64" s="2966"/>
      <c r="AJ64" s="2966"/>
      <c r="AK64" s="2966"/>
      <c r="AL64" s="2966"/>
      <c r="AM64" s="2966"/>
      <c r="AN64" s="2967"/>
      <c r="AO64" s="2968"/>
      <c r="AP64" s="2968"/>
      <c r="AQ64" s="2968"/>
      <c r="AR64" s="2968"/>
      <c r="AS64" s="2969"/>
      <c r="AT64" s="2970"/>
      <c r="AU64" s="2970"/>
      <c r="AV64" s="2970"/>
      <c r="AW64" s="2970"/>
      <c r="AX64" s="2970"/>
      <c r="AY64" s="2971"/>
      <c r="BA64" s="2972"/>
      <c r="BB64" s="2973"/>
      <c r="BC64" s="2973"/>
      <c r="BD64" s="2973"/>
      <c r="BE64" s="2973"/>
      <c r="BF64" s="2973"/>
      <c r="BG64" s="2973"/>
      <c r="BH64" s="2973"/>
      <c r="BI64" s="2973"/>
      <c r="BJ64" s="2973"/>
      <c r="BK64" s="2973"/>
      <c r="BL64" s="2973"/>
      <c r="BM64" s="2973"/>
      <c r="BN64" s="2973"/>
      <c r="BO64" s="2973"/>
      <c r="BP64" s="2973"/>
      <c r="BQ64" s="2973"/>
      <c r="BR64" s="2973"/>
      <c r="BS64" s="2973"/>
      <c r="BT64" s="2973"/>
      <c r="BU64" s="2973"/>
      <c r="BV64" s="2973"/>
      <c r="BW64" s="2973"/>
      <c r="BX64" s="2973"/>
      <c r="BY64" s="2973"/>
      <c r="BZ64" s="2973"/>
      <c r="CA64" s="2973"/>
      <c r="CB64" s="2973"/>
      <c r="CC64" s="2973"/>
      <c r="CD64" s="2973"/>
      <c r="CE64" s="2973"/>
      <c r="CF64" s="2973"/>
      <c r="CG64" s="2973"/>
      <c r="CH64" s="2973"/>
      <c r="CI64" s="2973"/>
      <c r="CJ64" s="2974"/>
    </row>
    <row r="65" spans="1:88" ht="17" customHeight="1" outlineLevel="1">
      <c r="B65" s="2975"/>
      <c r="C65" s="2976"/>
      <c r="D65" s="2976"/>
      <c r="E65" s="2976"/>
      <c r="F65" s="2977"/>
      <c r="G65" s="2977"/>
      <c r="H65" s="2977"/>
      <c r="I65" s="2977"/>
      <c r="J65" s="2977"/>
      <c r="K65" s="2977"/>
      <c r="L65" s="2977"/>
      <c r="M65" s="2977"/>
      <c r="N65" s="2977"/>
      <c r="O65" s="2978"/>
      <c r="P65" s="2979"/>
      <c r="Q65" s="2979"/>
      <c r="R65" s="2979"/>
      <c r="S65" s="2979"/>
      <c r="T65" s="2980"/>
      <c r="U65" s="2976"/>
      <c r="V65" s="2976"/>
      <c r="W65" s="2976"/>
      <c r="X65" s="2976"/>
      <c r="Y65" s="2976"/>
      <c r="Z65" s="2981"/>
      <c r="AA65" s="2975"/>
      <c r="AB65" s="2976"/>
      <c r="AC65" s="2976"/>
      <c r="AD65" s="2976"/>
      <c r="AE65" s="2977"/>
      <c r="AF65" s="2977"/>
      <c r="AG65" s="2977"/>
      <c r="AH65" s="2977"/>
      <c r="AI65" s="2977"/>
      <c r="AJ65" s="2977"/>
      <c r="AK65" s="2977"/>
      <c r="AL65" s="2977"/>
      <c r="AM65" s="2977"/>
      <c r="AN65" s="2978"/>
      <c r="AO65" s="2979"/>
      <c r="AP65" s="2979"/>
      <c r="AQ65" s="2979"/>
      <c r="AR65" s="2979"/>
      <c r="AS65" s="2980"/>
      <c r="AT65" s="2976"/>
      <c r="AU65" s="2976"/>
      <c r="AV65" s="2976"/>
      <c r="AW65" s="2976"/>
      <c r="AX65" s="2976"/>
      <c r="AY65" s="2981"/>
      <c r="BA65" s="2982"/>
      <c r="BB65" s="2983"/>
      <c r="BC65" s="2983"/>
      <c r="BD65" s="2983"/>
      <c r="BE65" s="2983"/>
      <c r="BF65" s="2983"/>
      <c r="BG65" s="2983"/>
      <c r="BH65" s="2983"/>
      <c r="BI65" s="2983"/>
      <c r="BJ65" s="2983"/>
      <c r="BK65" s="2983"/>
      <c r="BL65" s="2983"/>
      <c r="BM65" s="2983"/>
      <c r="BN65" s="2983"/>
      <c r="BO65" s="2983"/>
      <c r="BP65" s="2983"/>
      <c r="BQ65" s="2983"/>
      <c r="BR65" s="2983"/>
      <c r="BS65" s="2983"/>
      <c r="BT65" s="2983"/>
      <c r="BU65" s="2983"/>
      <c r="BV65" s="2983"/>
      <c r="BW65" s="2983"/>
      <c r="BX65" s="2983"/>
      <c r="BY65" s="2983"/>
      <c r="BZ65" s="2983"/>
      <c r="CA65" s="2983"/>
      <c r="CB65" s="2983"/>
      <c r="CC65" s="2983"/>
      <c r="CD65" s="2983"/>
      <c r="CE65" s="2983"/>
      <c r="CF65" s="2904"/>
      <c r="CG65" s="2904"/>
      <c r="CH65" s="2904"/>
      <c r="CI65" s="2904"/>
      <c r="CJ65" s="2963"/>
    </row>
    <row r="66" spans="1:88" ht="17" customHeight="1" outlineLevel="1">
      <c r="B66" s="2964"/>
      <c r="C66" s="2965"/>
      <c r="D66" s="2965"/>
      <c r="E66" s="2965"/>
      <c r="F66" s="2966"/>
      <c r="G66" s="2966"/>
      <c r="H66" s="2966"/>
      <c r="I66" s="2966"/>
      <c r="J66" s="2966"/>
      <c r="K66" s="2966"/>
      <c r="L66" s="2966"/>
      <c r="M66" s="2966"/>
      <c r="N66" s="2966"/>
      <c r="O66" s="2967"/>
      <c r="P66" s="2968"/>
      <c r="Q66" s="2968"/>
      <c r="R66" s="2968"/>
      <c r="S66" s="2968"/>
      <c r="T66" s="2969"/>
      <c r="U66" s="2970"/>
      <c r="V66" s="2970"/>
      <c r="W66" s="2970"/>
      <c r="X66" s="2970"/>
      <c r="Y66" s="2970"/>
      <c r="Z66" s="2971"/>
      <c r="AA66" s="2964"/>
      <c r="AB66" s="2965"/>
      <c r="AC66" s="2965"/>
      <c r="AD66" s="2965"/>
      <c r="AE66" s="2966"/>
      <c r="AF66" s="2966"/>
      <c r="AG66" s="2966"/>
      <c r="AH66" s="2966"/>
      <c r="AI66" s="2966"/>
      <c r="AJ66" s="2966"/>
      <c r="AK66" s="2966"/>
      <c r="AL66" s="2966"/>
      <c r="AM66" s="2966"/>
      <c r="AN66" s="2967"/>
      <c r="AO66" s="2968"/>
      <c r="AP66" s="2968"/>
      <c r="AQ66" s="2968"/>
      <c r="AR66" s="2968"/>
      <c r="AS66" s="2969"/>
      <c r="AT66" s="2970"/>
      <c r="AU66" s="2970"/>
      <c r="AV66" s="2970"/>
      <c r="AW66" s="2970"/>
      <c r="AX66" s="2970"/>
      <c r="AY66" s="2971"/>
      <c r="BA66" s="2972"/>
      <c r="BB66" s="2973"/>
      <c r="BC66" s="2973"/>
      <c r="BD66" s="2973"/>
      <c r="BE66" s="2973"/>
      <c r="BF66" s="2973"/>
      <c r="BG66" s="2973"/>
      <c r="BH66" s="2973"/>
      <c r="BI66" s="2973"/>
      <c r="BJ66" s="2973"/>
      <c r="BK66" s="2973"/>
      <c r="BL66" s="2973"/>
      <c r="BM66" s="2973"/>
      <c r="BN66" s="2973"/>
      <c r="BO66" s="2973"/>
      <c r="BP66" s="2973"/>
      <c r="BQ66" s="2973"/>
      <c r="BR66" s="2973"/>
      <c r="BS66" s="2973"/>
      <c r="BT66" s="2973"/>
      <c r="BU66" s="2973"/>
      <c r="BV66" s="2973"/>
      <c r="BW66" s="2973"/>
      <c r="BX66" s="2973"/>
      <c r="BY66" s="2973"/>
      <c r="BZ66" s="2973"/>
      <c r="CA66" s="2973"/>
      <c r="CB66" s="2973"/>
      <c r="CC66" s="2973"/>
      <c r="CD66" s="2973"/>
      <c r="CE66" s="2973"/>
      <c r="CF66" s="2973"/>
      <c r="CG66" s="2973"/>
      <c r="CH66" s="2973"/>
      <c r="CI66" s="2973"/>
      <c r="CJ66" s="2974"/>
    </row>
    <row r="67" spans="1:88" ht="17" customHeight="1" outlineLevel="1">
      <c r="B67" s="2975"/>
      <c r="C67" s="2976"/>
      <c r="D67" s="2976"/>
      <c r="E67" s="2976"/>
      <c r="F67" s="2977"/>
      <c r="G67" s="2977"/>
      <c r="H67" s="2977"/>
      <c r="I67" s="2977"/>
      <c r="J67" s="2977"/>
      <c r="K67" s="2977"/>
      <c r="L67" s="2977"/>
      <c r="M67" s="2977"/>
      <c r="N67" s="2977"/>
      <c r="O67" s="2978"/>
      <c r="P67" s="2979"/>
      <c r="Q67" s="2979"/>
      <c r="R67" s="2979"/>
      <c r="S67" s="2979"/>
      <c r="T67" s="2980"/>
      <c r="U67" s="2976"/>
      <c r="V67" s="2976"/>
      <c r="W67" s="2976"/>
      <c r="X67" s="2976"/>
      <c r="Y67" s="2976"/>
      <c r="Z67" s="2981"/>
      <c r="AA67" s="2975"/>
      <c r="AB67" s="2976"/>
      <c r="AC67" s="2976"/>
      <c r="AD67" s="2976"/>
      <c r="AE67" s="2977"/>
      <c r="AF67" s="2977"/>
      <c r="AG67" s="2977"/>
      <c r="AH67" s="2977"/>
      <c r="AI67" s="2977"/>
      <c r="AJ67" s="2977"/>
      <c r="AK67" s="2977"/>
      <c r="AL67" s="2977"/>
      <c r="AM67" s="2977"/>
      <c r="AN67" s="2978"/>
      <c r="AO67" s="2979"/>
      <c r="AP67" s="2979"/>
      <c r="AQ67" s="2979"/>
      <c r="AR67" s="2979"/>
      <c r="AS67" s="2980"/>
      <c r="AT67" s="2976"/>
      <c r="AU67" s="2976"/>
      <c r="AV67" s="2976"/>
      <c r="AW67" s="2976"/>
      <c r="AX67" s="2976"/>
      <c r="AY67" s="2981"/>
      <c r="BA67" s="2982"/>
      <c r="BB67" s="2983"/>
      <c r="BC67" s="2983"/>
      <c r="BD67" s="2983"/>
      <c r="BE67" s="2983"/>
      <c r="BF67" s="2983"/>
      <c r="BG67" s="2983"/>
      <c r="BH67" s="2983"/>
      <c r="BI67" s="2983"/>
      <c r="BJ67" s="2983"/>
      <c r="BK67" s="2983"/>
      <c r="BL67" s="2983"/>
      <c r="BM67" s="2983"/>
      <c r="BN67" s="2983"/>
      <c r="BO67" s="2983"/>
      <c r="BP67" s="2983"/>
      <c r="BQ67" s="2983"/>
      <c r="BR67" s="2983"/>
      <c r="BS67" s="2983"/>
      <c r="BT67" s="2983"/>
      <c r="BU67" s="2983"/>
      <c r="BV67" s="2983"/>
      <c r="BW67" s="2983"/>
      <c r="BX67" s="2983"/>
      <c r="BY67" s="2983"/>
      <c r="BZ67" s="2983"/>
      <c r="CA67" s="2983"/>
      <c r="CB67" s="2983"/>
      <c r="CC67" s="2983"/>
      <c r="CD67" s="2983"/>
      <c r="CE67" s="2983"/>
      <c r="CF67" s="2904"/>
      <c r="CG67" s="2904"/>
      <c r="CH67" s="2904"/>
      <c r="CI67" s="2904"/>
      <c r="CJ67" s="2963"/>
    </row>
    <row r="68" spans="1:88" ht="17" customHeight="1" outlineLevel="1">
      <c r="B68" s="2964"/>
      <c r="C68" s="2965"/>
      <c r="D68" s="2965"/>
      <c r="E68" s="2965"/>
      <c r="F68" s="2966"/>
      <c r="G68" s="2966"/>
      <c r="H68" s="2966"/>
      <c r="I68" s="2966"/>
      <c r="J68" s="2966"/>
      <c r="K68" s="2966"/>
      <c r="L68" s="2966"/>
      <c r="M68" s="2966"/>
      <c r="N68" s="2966"/>
      <c r="O68" s="2967"/>
      <c r="P68" s="2968"/>
      <c r="Q68" s="2968"/>
      <c r="R68" s="2968"/>
      <c r="S68" s="2968"/>
      <c r="T68" s="2969"/>
      <c r="U68" s="2970"/>
      <c r="V68" s="2970"/>
      <c r="W68" s="2970"/>
      <c r="X68" s="2970"/>
      <c r="Y68" s="2970"/>
      <c r="Z68" s="2971"/>
      <c r="AA68" s="2964"/>
      <c r="AB68" s="2965"/>
      <c r="AC68" s="2965"/>
      <c r="AD68" s="2965"/>
      <c r="AE68" s="2966"/>
      <c r="AF68" s="2966"/>
      <c r="AG68" s="2966"/>
      <c r="AH68" s="2966"/>
      <c r="AI68" s="2966"/>
      <c r="AJ68" s="2966"/>
      <c r="AK68" s="2966"/>
      <c r="AL68" s="2966"/>
      <c r="AM68" s="2966"/>
      <c r="AN68" s="2967"/>
      <c r="AO68" s="2968"/>
      <c r="AP68" s="2968"/>
      <c r="AQ68" s="2968"/>
      <c r="AR68" s="2968"/>
      <c r="AS68" s="2969"/>
      <c r="AT68" s="2970"/>
      <c r="AU68" s="2970"/>
      <c r="AV68" s="2970"/>
      <c r="AW68" s="2970"/>
      <c r="AX68" s="2970"/>
      <c r="AY68" s="2971"/>
      <c r="BA68" s="2972"/>
      <c r="BB68" s="2973"/>
      <c r="BC68" s="2973"/>
      <c r="BD68" s="2973"/>
      <c r="BE68" s="2973"/>
      <c r="BF68" s="2973"/>
      <c r="BG68" s="2973"/>
      <c r="BH68" s="2973"/>
      <c r="BI68" s="2973"/>
      <c r="BJ68" s="2973"/>
      <c r="BK68" s="2973"/>
      <c r="BL68" s="2973"/>
      <c r="BM68" s="2973"/>
      <c r="BN68" s="2973"/>
      <c r="BO68" s="2973"/>
      <c r="BP68" s="2973"/>
      <c r="BQ68" s="2973"/>
      <c r="BR68" s="2973"/>
      <c r="BS68" s="2973"/>
      <c r="BT68" s="2973"/>
      <c r="BU68" s="2973"/>
      <c r="BV68" s="2973"/>
      <c r="BW68" s="2973"/>
      <c r="BX68" s="2973"/>
      <c r="BY68" s="2973"/>
      <c r="BZ68" s="2973"/>
      <c r="CA68" s="2973"/>
      <c r="CB68" s="2973"/>
      <c r="CC68" s="2973"/>
      <c r="CD68" s="2973"/>
      <c r="CE68" s="2973"/>
      <c r="CF68" s="2973"/>
      <c r="CG68" s="2973"/>
      <c r="CH68" s="2973"/>
      <c r="CI68" s="2973"/>
      <c r="CJ68" s="2974"/>
    </row>
    <row r="69" spans="1:88" ht="17" customHeight="1" outlineLevel="1">
      <c r="B69" s="2975"/>
      <c r="C69" s="2976"/>
      <c r="D69" s="2976"/>
      <c r="E69" s="2976"/>
      <c r="F69" s="2977"/>
      <c r="G69" s="2977"/>
      <c r="H69" s="2977"/>
      <c r="I69" s="2977"/>
      <c r="J69" s="2977"/>
      <c r="K69" s="2977"/>
      <c r="L69" s="2977"/>
      <c r="M69" s="2977"/>
      <c r="N69" s="2977"/>
      <c r="O69" s="2978"/>
      <c r="P69" s="2979"/>
      <c r="Q69" s="2979"/>
      <c r="R69" s="2979"/>
      <c r="S69" s="2979"/>
      <c r="T69" s="2980"/>
      <c r="U69" s="2976"/>
      <c r="V69" s="2976"/>
      <c r="W69" s="2976"/>
      <c r="X69" s="2976"/>
      <c r="Y69" s="2976"/>
      <c r="Z69" s="2981"/>
      <c r="AA69" s="2975"/>
      <c r="AB69" s="2976"/>
      <c r="AC69" s="2976"/>
      <c r="AD69" s="2976"/>
      <c r="AE69" s="2977"/>
      <c r="AF69" s="2977"/>
      <c r="AG69" s="2977"/>
      <c r="AH69" s="2977"/>
      <c r="AI69" s="2977"/>
      <c r="AJ69" s="2977"/>
      <c r="AK69" s="2977"/>
      <c r="AL69" s="2977"/>
      <c r="AM69" s="2977"/>
      <c r="AN69" s="2978"/>
      <c r="AO69" s="2979"/>
      <c r="AP69" s="2979"/>
      <c r="AQ69" s="2979"/>
      <c r="AR69" s="2979"/>
      <c r="AS69" s="2980"/>
      <c r="AT69" s="2976"/>
      <c r="AU69" s="2976"/>
      <c r="AV69" s="2976"/>
      <c r="AW69" s="2976"/>
      <c r="AX69" s="2976"/>
      <c r="AY69" s="2981"/>
      <c r="BA69" s="2982"/>
      <c r="BB69" s="2983"/>
      <c r="BC69" s="2983"/>
      <c r="BD69" s="2983"/>
      <c r="BE69" s="2983"/>
      <c r="BF69" s="2983"/>
      <c r="BG69" s="2983"/>
      <c r="BH69" s="2983"/>
      <c r="BI69" s="2983"/>
      <c r="BJ69" s="2983"/>
      <c r="BK69" s="2983"/>
      <c r="BL69" s="2983"/>
      <c r="BM69" s="2983"/>
      <c r="BN69" s="2983"/>
      <c r="BO69" s="2983"/>
      <c r="BP69" s="2983"/>
      <c r="BQ69" s="2983"/>
      <c r="BR69" s="2983"/>
      <c r="BS69" s="2983"/>
      <c r="BT69" s="2983"/>
      <c r="BU69" s="2983"/>
      <c r="BV69" s="2983"/>
      <c r="BW69" s="2983"/>
      <c r="BX69" s="2983"/>
      <c r="BY69" s="2983"/>
      <c r="BZ69" s="2983"/>
      <c r="CA69" s="2983"/>
      <c r="CB69" s="2983"/>
      <c r="CC69" s="2983"/>
      <c r="CD69" s="2983"/>
      <c r="CE69" s="2983"/>
      <c r="CF69" s="2904"/>
      <c r="CG69" s="2904"/>
      <c r="CH69" s="2904"/>
      <c r="CI69" s="2904"/>
      <c r="CJ69" s="2963"/>
    </row>
    <row r="70" spans="1:88" ht="17" customHeight="1" outlineLevel="1">
      <c r="B70" s="2964"/>
      <c r="C70" s="2965"/>
      <c r="D70" s="2965"/>
      <c r="E70" s="2965"/>
      <c r="F70" s="2966"/>
      <c r="G70" s="2966"/>
      <c r="H70" s="2966"/>
      <c r="I70" s="2966"/>
      <c r="J70" s="2966"/>
      <c r="K70" s="2966"/>
      <c r="L70" s="2966"/>
      <c r="M70" s="2966"/>
      <c r="N70" s="2966"/>
      <c r="O70" s="2967"/>
      <c r="P70" s="2968"/>
      <c r="Q70" s="2968"/>
      <c r="R70" s="2968"/>
      <c r="S70" s="2968"/>
      <c r="T70" s="2969"/>
      <c r="U70" s="2970"/>
      <c r="V70" s="2970"/>
      <c r="W70" s="2970"/>
      <c r="X70" s="2970"/>
      <c r="Y70" s="2970"/>
      <c r="Z70" s="2971"/>
      <c r="AA70" s="2964"/>
      <c r="AB70" s="2965"/>
      <c r="AC70" s="2965"/>
      <c r="AD70" s="2965"/>
      <c r="AE70" s="2966"/>
      <c r="AF70" s="2966"/>
      <c r="AG70" s="2966"/>
      <c r="AH70" s="2966"/>
      <c r="AI70" s="2966"/>
      <c r="AJ70" s="2966"/>
      <c r="AK70" s="2966"/>
      <c r="AL70" s="2966"/>
      <c r="AM70" s="2966"/>
      <c r="AN70" s="2967"/>
      <c r="AO70" s="2968"/>
      <c r="AP70" s="2968"/>
      <c r="AQ70" s="2968"/>
      <c r="AR70" s="2968"/>
      <c r="AS70" s="2969"/>
      <c r="AT70" s="2970"/>
      <c r="AU70" s="2970"/>
      <c r="AV70" s="2970"/>
      <c r="AW70" s="2970"/>
      <c r="AX70" s="2970"/>
      <c r="AY70" s="2971"/>
      <c r="BA70" s="2972"/>
      <c r="BB70" s="2973"/>
      <c r="BC70" s="2973"/>
      <c r="BD70" s="2973"/>
      <c r="BE70" s="2973"/>
      <c r="BF70" s="2973"/>
      <c r="BG70" s="2973"/>
      <c r="BH70" s="2973"/>
      <c r="BI70" s="2973"/>
      <c r="BJ70" s="2973"/>
      <c r="BK70" s="2973"/>
      <c r="BL70" s="2973"/>
      <c r="BM70" s="2973"/>
      <c r="BN70" s="2973"/>
      <c r="BO70" s="2973"/>
      <c r="BP70" s="2973"/>
      <c r="BQ70" s="2973"/>
      <c r="BR70" s="2973"/>
      <c r="BS70" s="2973"/>
      <c r="BT70" s="2973"/>
      <c r="BU70" s="2973"/>
      <c r="BV70" s="2973"/>
      <c r="BW70" s="2973"/>
      <c r="BX70" s="2973"/>
      <c r="BY70" s="2973"/>
      <c r="BZ70" s="2973"/>
      <c r="CA70" s="2973"/>
      <c r="CB70" s="2973"/>
      <c r="CC70" s="2973"/>
      <c r="CD70" s="2973"/>
      <c r="CE70" s="2973"/>
      <c r="CF70" s="2973"/>
      <c r="CG70" s="2973"/>
      <c r="CH70" s="2973"/>
      <c r="CI70" s="2973"/>
      <c r="CJ70" s="2974"/>
    </row>
    <row r="71" spans="1:88" ht="17" customHeight="1" outlineLevel="1">
      <c r="B71" s="2954"/>
      <c r="C71" s="2955"/>
      <c r="D71" s="2955"/>
      <c r="E71" s="2955"/>
      <c r="F71" s="2956"/>
      <c r="G71" s="2956"/>
      <c r="H71" s="2956"/>
      <c r="I71" s="2956"/>
      <c r="J71" s="2956"/>
      <c r="K71" s="2956"/>
      <c r="L71" s="2956"/>
      <c r="M71" s="2956"/>
      <c r="N71" s="2956"/>
      <c r="O71" s="2957"/>
      <c r="P71" s="2958"/>
      <c r="Q71" s="2958"/>
      <c r="R71" s="2958"/>
      <c r="S71" s="2958"/>
      <c r="T71" s="2959"/>
      <c r="U71" s="2955"/>
      <c r="V71" s="2955"/>
      <c r="W71" s="2955"/>
      <c r="X71" s="2955"/>
      <c r="Y71" s="2955"/>
      <c r="Z71" s="2960"/>
      <c r="AA71" s="2954"/>
      <c r="AB71" s="2955"/>
      <c r="AC71" s="2955"/>
      <c r="AD71" s="2955"/>
      <c r="AE71" s="2956"/>
      <c r="AF71" s="2956"/>
      <c r="AG71" s="2956"/>
      <c r="AH71" s="2956"/>
      <c r="AI71" s="2956"/>
      <c r="AJ71" s="2956"/>
      <c r="AK71" s="2956"/>
      <c r="AL71" s="2956"/>
      <c r="AM71" s="2956"/>
      <c r="AN71" s="2957"/>
      <c r="AO71" s="2958"/>
      <c r="AP71" s="2958"/>
      <c r="AQ71" s="2958"/>
      <c r="AR71" s="2958"/>
      <c r="AS71" s="2959"/>
      <c r="AT71" s="2955"/>
      <c r="AU71" s="2955"/>
      <c r="AV71" s="2955"/>
      <c r="AW71" s="2955"/>
      <c r="AX71" s="2955"/>
      <c r="AY71" s="2960"/>
      <c r="BA71" s="2961"/>
      <c r="BB71" s="2962"/>
      <c r="BC71" s="2962"/>
      <c r="BD71" s="2962"/>
      <c r="BE71" s="2962"/>
      <c r="BF71" s="2962"/>
      <c r="BG71" s="2962"/>
      <c r="BH71" s="2962"/>
      <c r="BI71" s="2962"/>
      <c r="BJ71" s="2962"/>
      <c r="BK71" s="2962"/>
      <c r="BL71" s="2962"/>
      <c r="BM71" s="2962"/>
      <c r="BN71" s="2962"/>
      <c r="BO71" s="2962"/>
      <c r="BP71" s="2962"/>
      <c r="BQ71" s="2962"/>
      <c r="BR71" s="2962"/>
      <c r="BS71" s="2962"/>
      <c r="BT71" s="2962"/>
      <c r="BU71" s="2962"/>
      <c r="BV71" s="2962"/>
      <c r="BW71" s="2962"/>
      <c r="BX71" s="2962"/>
      <c r="BY71" s="2962"/>
      <c r="BZ71" s="2962"/>
      <c r="CA71" s="2962"/>
      <c r="CB71" s="2962"/>
      <c r="CC71" s="2962"/>
      <c r="CD71" s="2962"/>
      <c r="CE71" s="2962"/>
      <c r="CF71" s="2939"/>
      <c r="CG71" s="2939"/>
      <c r="CH71" s="2939"/>
      <c r="CI71" s="2939"/>
      <c r="CJ71" s="2940"/>
    </row>
    <row r="72" spans="1:88" ht="17" customHeight="1"/>
    <row r="73" spans="1:88" ht="17" customHeight="1">
      <c r="B73" s="2851" t="str">
        <f>IF(COUNTA(成长经历!B77:F113)=0,"你对世界的真相一无所知···","你已经目击"&amp;COUNTA(成长经历!B77:F113)&amp;"种神话生物了！")</f>
        <v>你对世界的真相一无所知···</v>
      </c>
      <c r="C73" s="2851"/>
      <c r="D73" s="2851"/>
      <c r="E73" s="2851"/>
      <c r="F73" s="2851"/>
      <c r="G73" s="2851"/>
      <c r="H73" s="2851"/>
      <c r="I73" s="2851"/>
      <c r="J73" s="2851"/>
      <c r="K73" s="2851"/>
      <c r="L73" s="2851"/>
      <c r="M73" s="2851"/>
      <c r="N73" s="2851"/>
      <c r="O73" s="2851"/>
      <c r="P73" s="2851"/>
      <c r="Q73" s="2851"/>
      <c r="R73" s="2894" t="str">
        <f>IF(N29=0,"你的理智防线还坚挺着···","你已经产生了总计"&amp;N29&amp;"点SC免疫力!")</f>
        <v>你的理智防线还坚挺着···</v>
      </c>
      <c r="S73" s="2894"/>
      <c r="T73" s="2894"/>
      <c r="U73" s="2894"/>
      <c r="V73" s="2894"/>
      <c r="W73" s="2894"/>
      <c r="X73" s="2894"/>
      <c r="Y73" s="2894"/>
      <c r="Z73" s="2894"/>
      <c r="AA73" s="2894"/>
      <c r="AB73" s="2894"/>
      <c r="AC73" s="2894"/>
      <c r="AD73" s="2894"/>
      <c r="AE73" s="2894"/>
      <c r="AF73" s="2894"/>
      <c r="AG73" s="2894"/>
      <c r="AH73" s="2894"/>
      <c r="AI73" s="2851" t="str">
        <f>IF(COUNTA(成长经历!AB77:AF113)=0,"你从未见过何为真正之绝望···","你已经见识过"&amp;COUNTA(成长经历!AB77:AF113)&amp;"种神灵了！")</f>
        <v>你从未见过何为真正之绝望···</v>
      </c>
      <c r="AJ73" s="2851"/>
      <c r="AK73" s="2851"/>
      <c r="AL73" s="2851"/>
      <c r="AM73" s="2851"/>
      <c r="AN73" s="2851"/>
      <c r="AO73" s="2851"/>
      <c r="AP73" s="2851"/>
      <c r="AQ73" s="2851"/>
      <c r="AR73" s="2851"/>
      <c r="AS73" s="2851"/>
      <c r="AT73" s="2851"/>
      <c r="AU73" s="2851"/>
      <c r="AV73" s="2851"/>
      <c r="AW73" s="2851"/>
      <c r="AX73" s="2851"/>
      <c r="AY73" s="2851"/>
      <c r="BA73" s="2851" t="str">
        <f>IF(L29=0,"你接触到的还只是凡尘之物···","你已经拥有了"&amp;L29&amp;"件魔法器具！")</f>
        <v>你接触到的还只是凡尘之物···</v>
      </c>
      <c r="BB73" s="2851"/>
      <c r="BC73" s="2851"/>
      <c r="BD73" s="2851"/>
      <c r="BE73" s="2851"/>
      <c r="BF73" s="2851"/>
      <c r="BG73" s="2851"/>
      <c r="BH73" s="2851"/>
      <c r="BI73" s="2851"/>
      <c r="BJ73" s="2851"/>
      <c r="BK73" s="2851"/>
      <c r="BL73" s="2851"/>
      <c r="BM73" s="2851"/>
      <c r="BN73" s="2851"/>
      <c r="BO73" s="2851"/>
      <c r="BP73" s="2851"/>
      <c r="BQ73" s="2851"/>
      <c r="BR73" s="2851"/>
      <c r="BS73" s="2851"/>
      <c r="BT73" s="2851"/>
      <c r="BU73" s="2851"/>
      <c r="BV73" s="2851"/>
      <c r="BW73" s="2851"/>
      <c r="BX73" s="2851"/>
      <c r="BY73" s="2851"/>
      <c r="BZ73" s="2851"/>
      <c r="CA73" s="2851"/>
      <c r="CB73" s="2851"/>
      <c r="CC73" s="2851"/>
      <c r="CD73" s="2851"/>
      <c r="CE73" s="2851"/>
      <c r="CF73" s="2851"/>
      <c r="CG73" s="2851"/>
      <c r="CH73" s="2851"/>
      <c r="CI73" s="2851"/>
    </row>
    <row r="74" spans="1:88" ht="17" customHeight="1">
      <c r="B74" s="2851"/>
      <c r="C74" s="2851"/>
      <c r="D74" s="2851"/>
      <c r="E74" s="2851"/>
      <c r="F74" s="2851"/>
      <c r="G74" s="2851"/>
      <c r="H74" s="2851"/>
      <c r="I74" s="2851"/>
      <c r="J74" s="2851"/>
      <c r="K74" s="2851"/>
      <c r="L74" s="2851"/>
      <c r="M74" s="2851"/>
      <c r="N74" s="2851"/>
      <c r="O74" s="2851"/>
      <c r="P74" s="2851"/>
      <c r="Q74" s="2851"/>
      <c r="R74" s="2894"/>
      <c r="S74" s="2894"/>
      <c r="T74" s="2894"/>
      <c r="U74" s="2894"/>
      <c r="V74" s="2894"/>
      <c r="W74" s="2894"/>
      <c r="X74" s="2894"/>
      <c r="Y74" s="2894"/>
      <c r="Z74" s="2894"/>
      <c r="AA74" s="2894"/>
      <c r="AB74" s="2894"/>
      <c r="AC74" s="2894"/>
      <c r="AD74" s="2894"/>
      <c r="AE74" s="2894"/>
      <c r="AF74" s="2894"/>
      <c r="AG74" s="2894"/>
      <c r="AH74" s="2894"/>
      <c r="AI74" s="2851"/>
      <c r="AJ74" s="2851"/>
      <c r="AK74" s="2851"/>
      <c r="AL74" s="2851"/>
      <c r="AM74" s="2851"/>
      <c r="AN74" s="2851"/>
      <c r="AO74" s="2851"/>
      <c r="AP74" s="2851"/>
      <c r="AQ74" s="2851"/>
      <c r="AR74" s="2851"/>
      <c r="AS74" s="2851"/>
      <c r="AT74" s="2851"/>
      <c r="AU74" s="2851"/>
      <c r="AV74" s="2851"/>
      <c r="AW74" s="2851"/>
      <c r="AX74" s="2851"/>
      <c r="AY74" s="2851"/>
      <c r="BA74" s="2851"/>
      <c r="BB74" s="2851"/>
      <c r="BC74" s="2851"/>
      <c r="BD74" s="2851"/>
      <c r="BE74" s="2851"/>
      <c r="BF74" s="2851"/>
      <c r="BG74" s="2851"/>
      <c r="BH74" s="2851"/>
      <c r="BI74" s="2851"/>
      <c r="BJ74" s="2851"/>
      <c r="BK74" s="2851"/>
      <c r="BL74" s="2851"/>
      <c r="BM74" s="2851"/>
      <c r="BN74" s="2851"/>
      <c r="BO74" s="2851"/>
      <c r="BP74" s="2851"/>
      <c r="BQ74" s="2851"/>
      <c r="BR74" s="2851"/>
      <c r="BS74" s="2851"/>
      <c r="BT74" s="2851"/>
      <c r="BU74" s="2851"/>
      <c r="BV74" s="2851"/>
      <c r="BW74" s="2851"/>
      <c r="BX74" s="2851"/>
      <c r="BY74" s="2851"/>
      <c r="BZ74" s="2851"/>
      <c r="CA74" s="2851"/>
      <c r="CB74" s="2851"/>
      <c r="CC74" s="2851"/>
      <c r="CD74" s="2851"/>
      <c r="CE74" s="2851"/>
      <c r="CF74" s="2851"/>
      <c r="CG74" s="2851"/>
      <c r="CH74" s="2851"/>
      <c r="CI74" s="2851"/>
    </row>
    <row r="75" spans="1:88" ht="17" customHeight="1">
      <c r="A75" s="2894" t="s">
        <v>5562</v>
      </c>
      <c r="B75" s="2941" t="s">
        <v>5580</v>
      </c>
      <c r="C75" s="2942"/>
      <c r="D75" s="2942"/>
      <c r="E75" s="2942"/>
      <c r="F75" s="2942"/>
      <c r="G75" s="2942"/>
      <c r="H75" s="2942"/>
      <c r="I75" s="2942"/>
      <c r="J75" s="2942"/>
      <c r="K75" s="2942"/>
      <c r="L75" s="2942"/>
      <c r="M75" s="2942"/>
      <c r="N75" s="2942"/>
      <c r="O75" s="2942"/>
      <c r="P75" s="2942"/>
      <c r="Q75" s="2942"/>
      <c r="R75" s="2942"/>
      <c r="S75" s="2942"/>
      <c r="T75" s="2942"/>
      <c r="U75" s="2942"/>
      <c r="V75" s="2942"/>
      <c r="W75" s="2942"/>
      <c r="X75" s="2942"/>
      <c r="Y75" s="2943"/>
      <c r="AB75" s="2941" t="s">
        <v>5581</v>
      </c>
      <c r="AC75" s="2942"/>
      <c r="AD75" s="2942"/>
      <c r="AE75" s="2942"/>
      <c r="AF75" s="2942"/>
      <c r="AG75" s="2942"/>
      <c r="AH75" s="2942"/>
      <c r="AI75" s="2942"/>
      <c r="AJ75" s="2942"/>
      <c r="AK75" s="2942"/>
      <c r="AL75" s="2942"/>
      <c r="AM75" s="2942"/>
      <c r="AN75" s="2942"/>
      <c r="AO75" s="2942"/>
      <c r="AP75" s="2942"/>
      <c r="AQ75" s="2942"/>
      <c r="AR75" s="2942"/>
      <c r="AS75" s="2942"/>
      <c r="AT75" s="2942"/>
      <c r="AU75" s="2942"/>
      <c r="AV75" s="2942"/>
      <c r="AW75" s="2942"/>
      <c r="AX75" s="2942"/>
      <c r="AY75" s="2943"/>
      <c r="BA75" s="2944" t="s">
        <v>5582</v>
      </c>
      <c r="BB75" s="2945"/>
      <c r="BC75" s="2945"/>
      <c r="BD75" s="2945"/>
      <c r="BE75" s="2945"/>
      <c r="BF75" s="2945"/>
      <c r="BG75" s="2945"/>
      <c r="BH75" s="2945"/>
      <c r="BI75" s="2945"/>
      <c r="BJ75" s="2945"/>
      <c r="BK75" s="2945"/>
      <c r="BL75" s="2945"/>
      <c r="BM75" s="2945"/>
      <c r="BN75" s="2945"/>
      <c r="BO75" s="2945"/>
      <c r="BP75" s="2945"/>
      <c r="BQ75" s="2945"/>
      <c r="BR75" s="2945"/>
      <c r="BS75" s="2945"/>
      <c r="BT75" s="2945"/>
      <c r="BU75" s="2945"/>
      <c r="BV75" s="2945"/>
      <c r="BW75" s="2945"/>
      <c r="BX75" s="2945"/>
      <c r="BY75" s="2945"/>
      <c r="BZ75" s="2945"/>
      <c r="CA75" s="2945"/>
      <c r="CB75" s="2945"/>
      <c r="CC75" s="2945"/>
      <c r="CD75" s="2945"/>
      <c r="CE75" s="2945"/>
      <c r="CF75" s="2945"/>
      <c r="CG75" s="2945"/>
      <c r="CH75" s="2945"/>
      <c r="CI75" s="2945"/>
    </row>
    <row r="76" spans="1:88" ht="17" customHeight="1">
      <c r="A76" s="2894"/>
      <c r="B76" s="2946" t="s">
        <v>9</v>
      </c>
      <c r="C76" s="2947"/>
      <c r="D76" s="2947"/>
      <c r="E76" s="2947"/>
      <c r="F76" s="2947"/>
      <c r="G76" s="2947" t="s">
        <v>10</v>
      </c>
      <c r="H76" s="2947"/>
      <c r="I76" s="2947"/>
      <c r="J76" s="2947"/>
      <c r="K76" s="2947"/>
      <c r="L76" s="2947" t="s">
        <v>11</v>
      </c>
      <c r="M76" s="2947"/>
      <c r="N76" s="2947"/>
      <c r="O76" s="2947"/>
      <c r="P76" s="2947"/>
      <c r="Q76" s="2947" t="s">
        <v>12</v>
      </c>
      <c r="R76" s="2947"/>
      <c r="S76" s="2947" t="s">
        <v>13</v>
      </c>
      <c r="T76" s="2947"/>
      <c r="U76" s="2948" t="s">
        <v>14</v>
      </c>
      <c r="V76" s="2949"/>
      <c r="W76" s="2949"/>
      <c r="X76" s="2949"/>
      <c r="Y76" s="2950"/>
      <c r="Z76" s="842"/>
      <c r="AA76" s="842"/>
      <c r="AB76" s="2946" t="s">
        <v>16</v>
      </c>
      <c r="AC76" s="2947"/>
      <c r="AD76" s="2947"/>
      <c r="AE76" s="2947"/>
      <c r="AF76" s="2947"/>
      <c r="AG76" s="2947" t="s">
        <v>17</v>
      </c>
      <c r="AH76" s="2947"/>
      <c r="AI76" s="2947"/>
      <c r="AJ76" s="2947"/>
      <c r="AK76" s="2947"/>
      <c r="AL76" s="2947" t="s">
        <v>11</v>
      </c>
      <c r="AM76" s="2947"/>
      <c r="AN76" s="2947"/>
      <c r="AO76" s="2947"/>
      <c r="AP76" s="2947"/>
      <c r="AQ76" s="2947" t="s">
        <v>12</v>
      </c>
      <c r="AR76" s="2947"/>
      <c r="AS76" s="2947" t="s">
        <v>13</v>
      </c>
      <c r="AT76" s="2947"/>
      <c r="AU76" s="2948" t="s">
        <v>14</v>
      </c>
      <c r="AV76" s="2949"/>
      <c r="AW76" s="2949"/>
      <c r="AX76" s="2949"/>
      <c r="AY76" s="2950"/>
      <c r="BA76" s="2951" t="s">
        <v>28</v>
      </c>
      <c r="BB76" s="2952"/>
      <c r="BC76" s="2952"/>
      <c r="BD76" s="2952"/>
      <c r="BE76" s="2952" t="s">
        <v>10</v>
      </c>
      <c r="BF76" s="2952"/>
      <c r="BG76" s="2952"/>
      <c r="BH76" s="2952"/>
      <c r="BI76" s="2952" t="s">
        <v>20</v>
      </c>
      <c r="BJ76" s="2952"/>
      <c r="BK76" s="2952"/>
      <c r="BL76" s="2952" t="s">
        <v>5583</v>
      </c>
      <c r="BM76" s="2952"/>
      <c r="BN76" s="2952"/>
      <c r="BO76" s="2952"/>
      <c r="BP76" s="2952" t="s">
        <v>5584</v>
      </c>
      <c r="BQ76" s="2952"/>
      <c r="BR76" s="2952"/>
      <c r="BS76" s="2952"/>
      <c r="BT76" s="2952" t="s">
        <v>24</v>
      </c>
      <c r="BU76" s="2952"/>
      <c r="BV76" s="2952"/>
      <c r="BW76" s="2952"/>
      <c r="BX76" s="2952" t="s">
        <v>5585</v>
      </c>
      <c r="BY76" s="2952"/>
      <c r="BZ76" s="2952"/>
      <c r="CA76" s="2952"/>
      <c r="CB76" s="2952" t="s">
        <v>5586</v>
      </c>
      <c r="CC76" s="2952"/>
      <c r="CD76" s="2952"/>
      <c r="CE76" s="2952"/>
      <c r="CF76" s="2952" t="s">
        <v>4</v>
      </c>
      <c r="CG76" s="2952"/>
      <c r="CH76" s="2952"/>
      <c r="CI76" s="2953"/>
    </row>
    <row r="77" spans="1:88" ht="17" customHeight="1">
      <c r="A77" s="2894"/>
      <c r="B77" s="2933"/>
      <c r="C77" s="2934"/>
      <c r="D77" s="2934"/>
      <c r="E77" s="2934"/>
      <c r="F77" s="2934"/>
      <c r="G77" s="2934"/>
      <c r="H77" s="2934"/>
      <c r="I77" s="2934"/>
      <c r="J77" s="2934"/>
      <c r="K77" s="2934"/>
      <c r="L77" s="2934"/>
      <c r="M77" s="2934"/>
      <c r="N77" s="2934"/>
      <c r="O77" s="2934"/>
      <c r="P77" s="2934"/>
      <c r="Q77" s="2934"/>
      <c r="R77" s="2934"/>
      <c r="S77" s="2934" t="s">
        <v>102</v>
      </c>
      <c r="T77" s="2934"/>
      <c r="U77" s="2935"/>
      <c r="V77" s="2936"/>
      <c r="W77" s="2936"/>
      <c r="X77" s="2936"/>
      <c r="Y77" s="2937"/>
      <c r="Z77" s="842"/>
      <c r="AA77" s="842"/>
      <c r="AB77" s="2933"/>
      <c r="AC77" s="2934"/>
      <c r="AD77" s="2934"/>
      <c r="AE77" s="2934"/>
      <c r="AF77" s="2934"/>
      <c r="AG77" s="2934"/>
      <c r="AH77" s="2934"/>
      <c r="AI77" s="2934"/>
      <c r="AJ77" s="2934"/>
      <c r="AK77" s="2934"/>
      <c r="AL77" s="2934"/>
      <c r="AM77" s="2934"/>
      <c r="AN77" s="2934"/>
      <c r="AO77" s="2934"/>
      <c r="AP77" s="2934"/>
      <c r="AQ77" s="2934"/>
      <c r="AR77" s="2934"/>
      <c r="AS77" s="2934" t="s">
        <v>102</v>
      </c>
      <c r="AT77" s="2934"/>
      <c r="AU77" s="2935"/>
      <c r="AV77" s="2936"/>
      <c r="AW77" s="2936"/>
      <c r="AX77" s="2936"/>
      <c r="AY77" s="2937"/>
      <c r="BA77" s="2932"/>
      <c r="BB77" s="2904"/>
      <c r="BC77" s="2904"/>
      <c r="BD77" s="2904"/>
      <c r="BE77" s="2904"/>
      <c r="BF77" s="2904"/>
      <c r="BG77" s="2904"/>
      <c r="BH77" s="2904"/>
      <c r="BI77" s="2904"/>
      <c r="BJ77" s="2904"/>
      <c r="BK77" s="2904"/>
      <c r="BL77" s="2938"/>
      <c r="BM77" s="2938"/>
      <c r="BN77" s="2938"/>
      <c r="BO77" s="2938"/>
      <c r="BP77" s="2904"/>
      <c r="BQ77" s="2904"/>
      <c r="BR77" s="2904"/>
      <c r="BS77" s="2904"/>
      <c r="BT77" s="2904"/>
      <c r="BU77" s="2904"/>
      <c r="BV77" s="2904"/>
      <c r="BW77" s="2904"/>
      <c r="BX77" s="2904"/>
      <c r="BY77" s="2904"/>
      <c r="BZ77" s="2904"/>
      <c r="CA77" s="2904"/>
      <c r="CB77" s="2904"/>
      <c r="CC77" s="2904"/>
      <c r="CD77" s="2904"/>
      <c r="CE77" s="2904"/>
      <c r="CF77" s="2904"/>
      <c r="CG77" s="2904"/>
      <c r="CH77" s="2904"/>
      <c r="CI77" s="2905"/>
    </row>
    <row r="78" spans="1:88" ht="17" customHeight="1">
      <c r="A78" s="2894"/>
      <c r="B78" s="2925"/>
      <c r="C78" s="2926"/>
      <c r="D78" s="2926"/>
      <c r="E78" s="2926"/>
      <c r="F78" s="2926"/>
      <c r="G78" s="2926"/>
      <c r="H78" s="2926"/>
      <c r="I78" s="2926"/>
      <c r="J78" s="2926"/>
      <c r="K78" s="2926"/>
      <c r="L78" s="2926"/>
      <c r="M78" s="2926"/>
      <c r="N78" s="2926"/>
      <c r="O78" s="2926"/>
      <c r="P78" s="2926"/>
      <c r="Q78" s="2926"/>
      <c r="R78" s="2926"/>
      <c r="S78" s="2926" t="s">
        <v>102</v>
      </c>
      <c r="T78" s="2926"/>
      <c r="U78" s="2927"/>
      <c r="V78" s="1588"/>
      <c r="W78" s="1588"/>
      <c r="X78" s="1588"/>
      <c r="Y78" s="2928"/>
      <c r="Z78" s="842"/>
      <c r="AA78" s="842"/>
      <c r="AB78" s="2925"/>
      <c r="AC78" s="2926"/>
      <c r="AD78" s="2926"/>
      <c r="AE78" s="2926"/>
      <c r="AF78" s="2926"/>
      <c r="AG78" s="2926"/>
      <c r="AH78" s="2926"/>
      <c r="AI78" s="2926"/>
      <c r="AJ78" s="2926"/>
      <c r="AK78" s="2926"/>
      <c r="AL78" s="2926"/>
      <c r="AM78" s="2926"/>
      <c r="AN78" s="2926"/>
      <c r="AO78" s="2926"/>
      <c r="AP78" s="2926"/>
      <c r="AQ78" s="2926"/>
      <c r="AR78" s="2926"/>
      <c r="AS78" s="2926" t="s">
        <v>102</v>
      </c>
      <c r="AT78" s="2926"/>
      <c r="AU78" s="2927"/>
      <c r="AV78" s="1588"/>
      <c r="AW78" s="1588"/>
      <c r="AX78" s="1588"/>
      <c r="AY78" s="2928"/>
      <c r="BA78" s="2929"/>
      <c r="BB78" s="2930"/>
      <c r="BC78" s="2930"/>
      <c r="BD78" s="2930"/>
      <c r="BE78" s="2930"/>
      <c r="BF78" s="2930"/>
      <c r="BG78" s="2930"/>
      <c r="BH78" s="2930"/>
      <c r="BI78" s="2930"/>
      <c r="BJ78" s="2930"/>
      <c r="BK78" s="2930"/>
      <c r="BL78" s="2930"/>
      <c r="BM78" s="2930"/>
      <c r="BN78" s="2930"/>
      <c r="BO78" s="2930"/>
      <c r="BP78" s="2930"/>
      <c r="BQ78" s="2930"/>
      <c r="BR78" s="2930"/>
      <c r="BS78" s="2930"/>
      <c r="BT78" s="2930"/>
      <c r="BU78" s="2930"/>
      <c r="BV78" s="2930"/>
      <c r="BW78" s="2930"/>
      <c r="BX78" s="2930"/>
      <c r="BY78" s="2930"/>
      <c r="BZ78" s="2930"/>
      <c r="CA78" s="2930"/>
      <c r="CB78" s="2930"/>
      <c r="CC78" s="2930"/>
      <c r="CD78" s="2930"/>
      <c r="CE78" s="2930"/>
      <c r="CF78" s="2930"/>
      <c r="CG78" s="2930"/>
      <c r="CH78" s="2930"/>
      <c r="CI78" s="2931"/>
    </row>
    <row r="79" spans="1:88" ht="17" customHeight="1">
      <c r="A79" s="2894"/>
      <c r="B79" s="2933"/>
      <c r="C79" s="2934"/>
      <c r="D79" s="2934"/>
      <c r="E79" s="2934"/>
      <c r="F79" s="2934"/>
      <c r="G79" s="2934"/>
      <c r="H79" s="2934"/>
      <c r="I79" s="2934"/>
      <c r="J79" s="2934"/>
      <c r="K79" s="2934"/>
      <c r="L79" s="2934"/>
      <c r="M79" s="2934"/>
      <c r="N79" s="2934"/>
      <c r="O79" s="2934"/>
      <c r="P79" s="2934"/>
      <c r="Q79" s="2934"/>
      <c r="R79" s="2934"/>
      <c r="S79" s="2934" t="s">
        <v>102</v>
      </c>
      <c r="T79" s="2934"/>
      <c r="U79" s="2935"/>
      <c r="V79" s="2936"/>
      <c r="W79" s="2936"/>
      <c r="X79" s="2936"/>
      <c r="Y79" s="2937"/>
      <c r="Z79" s="842"/>
      <c r="AA79" s="842"/>
      <c r="AB79" s="2933"/>
      <c r="AC79" s="2934"/>
      <c r="AD79" s="2934"/>
      <c r="AE79" s="2934"/>
      <c r="AF79" s="2934"/>
      <c r="AG79" s="2934"/>
      <c r="AH79" s="2934"/>
      <c r="AI79" s="2934"/>
      <c r="AJ79" s="2934"/>
      <c r="AK79" s="2934"/>
      <c r="AL79" s="2934"/>
      <c r="AM79" s="2934"/>
      <c r="AN79" s="2934"/>
      <c r="AO79" s="2934"/>
      <c r="AP79" s="2934"/>
      <c r="AQ79" s="2934"/>
      <c r="AR79" s="2934"/>
      <c r="AS79" s="2934" t="s">
        <v>102</v>
      </c>
      <c r="AT79" s="2934"/>
      <c r="AU79" s="2935"/>
      <c r="AV79" s="2936"/>
      <c r="AW79" s="2936"/>
      <c r="AX79" s="2936"/>
      <c r="AY79" s="2937"/>
      <c r="BA79" s="2932"/>
      <c r="BB79" s="2904"/>
      <c r="BC79" s="2904"/>
      <c r="BD79" s="2904"/>
      <c r="BE79" s="2904"/>
      <c r="BF79" s="2904"/>
      <c r="BG79" s="2904"/>
      <c r="BH79" s="2904"/>
      <c r="BI79" s="2904"/>
      <c r="BJ79" s="2904"/>
      <c r="BK79" s="2904"/>
      <c r="BL79" s="2904"/>
      <c r="BM79" s="2904"/>
      <c r="BN79" s="2904"/>
      <c r="BO79" s="2904"/>
      <c r="BP79" s="2904"/>
      <c r="BQ79" s="2904"/>
      <c r="BR79" s="2904"/>
      <c r="BS79" s="2904"/>
      <c r="BT79" s="2904"/>
      <c r="BU79" s="2904"/>
      <c r="BV79" s="2904"/>
      <c r="BW79" s="2904"/>
      <c r="BX79" s="2904"/>
      <c r="BY79" s="2904"/>
      <c r="BZ79" s="2904"/>
      <c r="CA79" s="2904"/>
      <c r="CB79" s="2904"/>
      <c r="CC79" s="2904"/>
      <c r="CD79" s="2904"/>
      <c r="CE79" s="2904"/>
      <c r="CF79" s="2904"/>
      <c r="CG79" s="2904"/>
      <c r="CH79" s="2904"/>
      <c r="CI79" s="2905"/>
    </row>
    <row r="80" spans="1:88" ht="17" customHeight="1">
      <c r="A80" s="2894"/>
      <c r="B80" s="2925"/>
      <c r="C80" s="2926"/>
      <c r="D80" s="2926"/>
      <c r="E80" s="2926"/>
      <c r="F80" s="2926"/>
      <c r="G80" s="2926"/>
      <c r="H80" s="2926"/>
      <c r="I80" s="2926"/>
      <c r="J80" s="2926"/>
      <c r="K80" s="2926"/>
      <c r="L80" s="2926"/>
      <c r="M80" s="2926"/>
      <c r="N80" s="2926"/>
      <c r="O80" s="2926"/>
      <c r="P80" s="2926"/>
      <c r="Q80" s="2926"/>
      <c r="R80" s="2926"/>
      <c r="S80" s="2926" t="s">
        <v>102</v>
      </c>
      <c r="T80" s="2926"/>
      <c r="U80" s="2927"/>
      <c r="V80" s="1588"/>
      <c r="W80" s="1588"/>
      <c r="X80" s="1588"/>
      <c r="Y80" s="2928"/>
      <c r="Z80" s="842"/>
      <c r="AA80" s="842"/>
      <c r="AB80" s="2925"/>
      <c r="AC80" s="2926"/>
      <c r="AD80" s="2926"/>
      <c r="AE80" s="2926"/>
      <c r="AF80" s="2926"/>
      <c r="AG80" s="2926"/>
      <c r="AH80" s="2926"/>
      <c r="AI80" s="2926"/>
      <c r="AJ80" s="2926"/>
      <c r="AK80" s="2926"/>
      <c r="AL80" s="2926"/>
      <c r="AM80" s="2926"/>
      <c r="AN80" s="2926"/>
      <c r="AO80" s="2926"/>
      <c r="AP80" s="2926"/>
      <c r="AQ80" s="2926"/>
      <c r="AR80" s="2926"/>
      <c r="AS80" s="2926" t="s">
        <v>102</v>
      </c>
      <c r="AT80" s="2926"/>
      <c r="AU80" s="2927"/>
      <c r="AV80" s="1588"/>
      <c r="AW80" s="1588"/>
      <c r="AX80" s="1588"/>
      <c r="AY80" s="2928"/>
      <c r="BA80" s="2929"/>
      <c r="BB80" s="2930"/>
      <c r="BC80" s="2930"/>
      <c r="BD80" s="2930"/>
      <c r="BE80" s="2930"/>
      <c r="BF80" s="2930"/>
      <c r="BG80" s="2930"/>
      <c r="BH80" s="2930"/>
      <c r="BI80" s="2930"/>
      <c r="BJ80" s="2930"/>
      <c r="BK80" s="2930"/>
      <c r="BL80" s="2930"/>
      <c r="BM80" s="2930"/>
      <c r="BN80" s="2930"/>
      <c r="BO80" s="2930"/>
      <c r="BP80" s="2930"/>
      <c r="BQ80" s="2930"/>
      <c r="BR80" s="2930"/>
      <c r="BS80" s="2930"/>
      <c r="BT80" s="2930"/>
      <c r="BU80" s="2930"/>
      <c r="BV80" s="2930"/>
      <c r="BW80" s="2930"/>
      <c r="BX80" s="2930"/>
      <c r="BY80" s="2930"/>
      <c r="BZ80" s="2930"/>
      <c r="CA80" s="2930"/>
      <c r="CB80" s="2930"/>
      <c r="CC80" s="2930"/>
      <c r="CD80" s="2930"/>
      <c r="CE80" s="2930"/>
      <c r="CF80" s="2930"/>
      <c r="CG80" s="2930"/>
      <c r="CH80" s="2930"/>
      <c r="CI80" s="2931"/>
    </row>
    <row r="81" spans="1:87" ht="17" customHeight="1">
      <c r="A81" s="2894"/>
      <c r="B81" s="2933"/>
      <c r="C81" s="2934"/>
      <c r="D81" s="2934"/>
      <c r="E81" s="2934"/>
      <c r="F81" s="2934"/>
      <c r="G81" s="2934"/>
      <c r="H81" s="2934"/>
      <c r="I81" s="2934"/>
      <c r="J81" s="2934"/>
      <c r="K81" s="2934"/>
      <c r="L81" s="2934"/>
      <c r="M81" s="2934"/>
      <c r="N81" s="2934"/>
      <c r="O81" s="2934"/>
      <c r="P81" s="2934"/>
      <c r="Q81" s="2934"/>
      <c r="R81" s="2934"/>
      <c r="S81" s="2934" t="s">
        <v>102</v>
      </c>
      <c r="T81" s="2934"/>
      <c r="U81" s="2935"/>
      <c r="V81" s="2936"/>
      <c r="W81" s="2936"/>
      <c r="X81" s="2936"/>
      <c r="Y81" s="2937"/>
      <c r="Z81" s="842"/>
      <c r="AA81" s="842"/>
      <c r="AB81" s="2933"/>
      <c r="AC81" s="2934"/>
      <c r="AD81" s="2934"/>
      <c r="AE81" s="2934"/>
      <c r="AF81" s="2934"/>
      <c r="AG81" s="2934"/>
      <c r="AH81" s="2934"/>
      <c r="AI81" s="2934"/>
      <c r="AJ81" s="2934"/>
      <c r="AK81" s="2934"/>
      <c r="AL81" s="2934"/>
      <c r="AM81" s="2934"/>
      <c r="AN81" s="2934"/>
      <c r="AO81" s="2934"/>
      <c r="AP81" s="2934"/>
      <c r="AQ81" s="2934"/>
      <c r="AR81" s="2934"/>
      <c r="AS81" s="2934" t="s">
        <v>102</v>
      </c>
      <c r="AT81" s="2934"/>
      <c r="AU81" s="2935"/>
      <c r="AV81" s="2936"/>
      <c r="AW81" s="2936"/>
      <c r="AX81" s="2936"/>
      <c r="AY81" s="2937"/>
      <c r="BA81" s="2932"/>
      <c r="BB81" s="2904"/>
      <c r="BC81" s="2904"/>
      <c r="BD81" s="2904"/>
      <c r="BE81" s="2904"/>
      <c r="BF81" s="2904"/>
      <c r="BG81" s="2904"/>
      <c r="BH81" s="2904"/>
      <c r="BI81" s="2904"/>
      <c r="BJ81" s="2904"/>
      <c r="BK81" s="2904"/>
      <c r="BL81" s="2904"/>
      <c r="BM81" s="2904"/>
      <c r="BN81" s="2904"/>
      <c r="BO81" s="2904"/>
      <c r="BP81" s="2904"/>
      <c r="BQ81" s="2904"/>
      <c r="BR81" s="2904"/>
      <c r="BS81" s="2904"/>
      <c r="BT81" s="2904"/>
      <c r="BU81" s="2904"/>
      <c r="BV81" s="2904"/>
      <c r="BW81" s="2904"/>
      <c r="BX81" s="2904"/>
      <c r="BY81" s="2904"/>
      <c r="BZ81" s="2904"/>
      <c r="CA81" s="2904"/>
      <c r="CB81" s="2904"/>
      <c r="CC81" s="2904"/>
      <c r="CD81" s="2904"/>
      <c r="CE81" s="2904"/>
      <c r="CF81" s="2904"/>
      <c r="CG81" s="2904"/>
      <c r="CH81" s="2904"/>
      <c r="CI81" s="2905"/>
    </row>
    <row r="82" spans="1:87" ht="17" customHeight="1">
      <c r="A82" s="2894"/>
      <c r="B82" s="2925"/>
      <c r="C82" s="2926"/>
      <c r="D82" s="2926"/>
      <c r="E82" s="2926"/>
      <c r="F82" s="2926"/>
      <c r="G82" s="2926"/>
      <c r="H82" s="2926"/>
      <c r="I82" s="2926"/>
      <c r="J82" s="2926"/>
      <c r="K82" s="2926"/>
      <c r="L82" s="2926"/>
      <c r="M82" s="2926"/>
      <c r="N82" s="2926"/>
      <c r="O82" s="2926"/>
      <c r="P82" s="2926"/>
      <c r="Q82" s="2926"/>
      <c r="R82" s="2926"/>
      <c r="S82" s="2926" t="s">
        <v>102</v>
      </c>
      <c r="T82" s="2926"/>
      <c r="U82" s="2927"/>
      <c r="V82" s="1588"/>
      <c r="W82" s="1588"/>
      <c r="X82" s="1588"/>
      <c r="Y82" s="2928"/>
      <c r="Z82" s="842"/>
      <c r="AA82" s="842"/>
      <c r="AB82" s="2925"/>
      <c r="AC82" s="2926"/>
      <c r="AD82" s="2926"/>
      <c r="AE82" s="2926"/>
      <c r="AF82" s="2926"/>
      <c r="AG82" s="2926"/>
      <c r="AH82" s="2926"/>
      <c r="AI82" s="2926"/>
      <c r="AJ82" s="2926"/>
      <c r="AK82" s="2926"/>
      <c r="AL82" s="2926"/>
      <c r="AM82" s="2926"/>
      <c r="AN82" s="2926"/>
      <c r="AO82" s="2926"/>
      <c r="AP82" s="2926"/>
      <c r="AQ82" s="2926"/>
      <c r="AR82" s="2926"/>
      <c r="AS82" s="2926" t="s">
        <v>102</v>
      </c>
      <c r="AT82" s="2926"/>
      <c r="AU82" s="2927"/>
      <c r="AV82" s="1588"/>
      <c r="AW82" s="1588"/>
      <c r="AX82" s="1588"/>
      <c r="AY82" s="2928"/>
      <c r="BA82" s="2929"/>
      <c r="BB82" s="2930"/>
      <c r="BC82" s="2930"/>
      <c r="BD82" s="2930"/>
      <c r="BE82" s="2930"/>
      <c r="BF82" s="2930"/>
      <c r="BG82" s="2930"/>
      <c r="BH82" s="2930"/>
      <c r="BI82" s="2930"/>
      <c r="BJ82" s="2930"/>
      <c r="BK82" s="2930"/>
      <c r="BL82" s="2930"/>
      <c r="BM82" s="2930"/>
      <c r="BN82" s="2930"/>
      <c r="BO82" s="2930"/>
      <c r="BP82" s="2930"/>
      <c r="BQ82" s="2930"/>
      <c r="BR82" s="2930"/>
      <c r="BS82" s="2930"/>
      <c r="BT82" s="2930"/>
      <c r="BU82" s="2930"/>
      <c r="BV82" s="2930"/>
      <c r="BW82" s="2930"/>
      <c r="BX82" s="2930"/>
      <c r="BY82" s="2930"/>
      <c r="BZ82" s="2930"/>
      <c r="CA82" s="2930"/>
      <c r="CB82" s="2930"/>
      <c r="CC82" s="2930"/>
      <c r="CD82" s="2930"/>
      <c r="CE82" s="2930"/>
      <c r="CF82" s="2930"/>
      <c r="CG82" s="2930"/>
      <c r="CH82" s="2930"/>
      <c r="CI82" s="2931"/>
    </row>
    <row r="83" spans="1:87" ht="17" customHeight="1">
      <c r="A83" s="2894"/>
      <c r="B83" s="2933"/>
      <c r="C83" s="2934"/>
      <c r="D83" s="2934"/>
      <c r="E83" s="2934"/>
      <c r="F83" s="2934"/>
      <c r="G83" s="2934"/>
      <c r="H83" s="2934"/>
      <c r="I83" s="2934"/>
      <c r="J83" s="2934"/>
      <c r="K83" s="2934"/>
      <c r="L83" s="2934"/>
      <c r="M83" s="2934"/>
      <c r="N83" s="2934"/>
      <c r="O83" s="2934"/>
      <c r="P83" s="2934"/>
      <c r="Q83" s="2934"/>
      <c r="R83" s="2934"/>
      <c r="S83" s="2934" t="s">
        <v>102</v>
      </c>
      <c r="T83" s="2934"/>
      <c r="U83" s="2935"/>
      <c r="V83" s="2936"/>
      <c r="W83" s="2936"/>
      <c r="X83" s="2936"/>
      <c r="Y83" s="2937"/>
      <c r="Z83" s="842"/>
      <c r="AA83" s="842"/>
      <c r="AB83" s="2933"/>
      <c r="AC83" s="2934"/>
      <c r="AD83" s="2934"/>
      <c r="AE83" s="2934"/>
      <c r="AF83" s="2934"/>
      <c r="AG83" s="2934"/>
      <c r="AH83" s="2934"/>
      <c r="AI83" s="2934"/>
      <c r="AJ83" s="2934"/>
      <c r="AK83" s="2934"/>
      <c r="AL83" s="2934"/>
      <c r="AM83" s="2934"/>
      <c r="AN83" s="2934"/>
      <c r="AO83" s="2934"/>
      <c r="AP83" s="2934"/>
      <c r="AQ83" s="2934"/>
      <c r="AR83" s="2934"/>
      <c r="AS83" s="2934" t="s">
        <v>102</v>
      </c>
      <c r="AT83" s="2934"/>
      <c r="AU83" s="2935"/>
      <c r="AV83" s="2936"/>
      <c r="AW83" s="2936"/>
      <c r="AX83" s="2936"/>
      <c r="AY83" s="2937"/>
      <c r="BA83" s="2932"/>
      <c r="BB83" s="2904"/>
      <c r="BC83" s="2904"/>
      <c r="BD83" s="2904"/>
      <c r="BE83" s="2904"/>
      <c r="BF83" s="2904"/>
      <c r="BG83" s="2904"/>
      <c r="BH83" s="2904"/>
      <c r="BI83" s="2904"/>
      <c r="BJ83" s="2904"/>
      <c r="BK83" s="2904"/>
      <c r="BL83" s="2904"/>
      <c r="BM83" s="2904"/>
      <c r="BN83" s="2904"/>
      <c r="BO83" s="2904"/>
      <c r="BP83" s="2904"/>
      <c r="BQ83" s="2904"/>
      <c r="BR83" s="2904"/>
      <c r="BS83" s="2904"/>
      <c r="BT83" s="2904"/>
      <c r="BU83" s="2904"/>
      <c r="BV83" s="2904"/>
      <c r="BW83" s="2904"/>
      <c r="BX83" s="2904"/>
      <c r="BY83" s="2904"/>
      <c r="BZ83" s="2904"/>
      <c r="CA83" s="2904"/>
      <c r="CB83" s="2904"/>
      <c r="CC83" s="2904"/>
      <c r="CD83" s="2904"/>
      <c r="CE83" s="2904"/>
      <c r="CF83" s="2904"/>
      <c r="CG83" s="2904"/>
      <c r="CH83" s="2904"/>
      <c r="CI83" s="2905"/>
    </row>
    <row r="84" spans="1:87" ht="17" customHeight="1">
      <c r="A84" s="2894"/>
      <c r="B84" s="2925"/>
      <c r="C84" s="2926"/>
      <c r="D84" s="2926"/>
      <c r="E84" s="2926"/>
      <c r="F84" s="2926"/>
      <c r="G84" s="2926"/>
      <c r="H84" s="2926"/>
      <c r="I84" s="2926"/>
      <c r="J84" s="2926"/>
      <c r="K84" s="2926"/>
      <c r="L84" s="2926"/>
      <c r="M84" s="2926"/>
      <c r="N84" s="2926"/>
      <c r="O84" s="2926"/>
      <c r="P84" s="2926"/>
      <c r="Q84" s="2926"/>
      <c r="R84" s="2926"/>
      <c r="S84" s="2926" t="s">
        <v>102</v>
      </c>
      <c r="T84" s="2926"/>
      <c r="U84" s="2927"/>
      <c r="V84" s="1588"/>
      <c r="W84" s="1588"/>
      <c r="X84" s="1588"/>
      <c r="Y84" s="2928"/>
      <c r="Z84" s="842"/>
      <c r="AA84" s="842"/>
      <c r="AB84" s="2925"/>
      <c r="AC84" s="2926"/>
      <c r="AD84" s="2926"/>
      <c r="AE84" s="2926"/>
      <c r="AF84" s="2926"/>
      <c r="AG84" s="2926"/>
      <c r="AH84" s="2926"/>
      <c r="AI84" s="2926"/>
      <c r="AJ84" s="2926"/>
      <c r="AK84" s="2926"/>
      <c r="AL84" s="2926"/>
      <c r="AM84" s="2926"/>
      <c r="AN84" s="2926"/>
      <c r="AO84" s="2926"/>
      <c r="AP84" s="2926"/>
      <c r="AQ84" s="2926"/>
      <c r="AR84" s="2926"/>
      <c r="AS84" s="2926" t="s">
        <v>102</v>
      </c>
      <c r="AT84" s="2926"/>
      <c r="AU84" s="2927"/>
      <c r="AV84" s="1588"/>
      <c r="AW84" s="1588"/>
      <c r="AX84" s="1588"/>
      <c r="AY84" s="2928"/>
      <c r="BA84" s="2929"/>
      <c r="BB84" s="2930"/>
      <c r="BC84" s="2930"/>
      <c r="BD84" s="2930"/>
      <c r="BE84" s="2930"/>
      <c r="BF84" s="2930"/>
      <c r="BG84" s="2930"/>
      <c r="BH84" s="2930"/>
      <c r="BI84" s="2930"/>
      <c r="BJ84" s="2930"/>
      <c r="BK84" s="2930"/>
      <c r="BL84" s="2930"/>
      <c r="BM84" s="2930"/>
      <c r="BN84" s="2930"/>
      <c r="BO84" s="2930"/>
      <c r="BP84" s="2930"/>
      <c r="BQ84" s="2930"/>
      <c r="BR84" s="2930"/>
      <c r="BS84" s="2930"/>
      <c r="BT84" s="2930"/>
      <c r="BU84" s="2930"/>
      <c r="BV84" s="2930"/>
      <c r="BW84" s="2930"/>
      <c r="BX84" s="2930"/>
      <c r="BY84" s="2930"/>
      <c r="BZ84" s="2930"/>
      <c r="CA84" s="2930"/>
      <c r="CB84" s="2930"/>
      <c r="CC84" s="2930"/>
      <c r="CD84" s="2930"/>
      <c r="CE84" s="2930"/>
      <c r="CF84" s="2930"/>
      <c r="CG84" s="2930"/>
      <c r="CH84" s="2930"/>
      <c r="CI84" s="2931"/>
    </row>
    <row r="85" spans="1:87" ht="17" customHeight="1">
      <c r="A85" s="2894"/>
      <c r="B85" s="2933"/>
      <c r="C85" s="2934"/>
      <c r="D85" s="2934"/>
      <c r="E85" s="2934"/>
      <c r="F85" s="2934"/>
      <c r="G85" s="2934"/>
      <c r="H85" s="2934"/>
      <c r="I85" s="2934"/>
      <c r="J85" s="2934"/>
      <c r="K85" s="2934"/>
      <c r="L85" s="2934"/>
      <c r="M85" s="2934"/>
      <c r="N85" s="2934"/>
      <c r="O85" s="2934"/>
      <c r="P85" s="2934"/>
      <c r="Q85" s="2934"/>
      <c r="R85" s="2934"/>
      <c r="S85" s="2934" t="s">
        <v>102</v>
      </c>
      <c r="T85" s="2934"/>
      <c r="U85" s="2935"/>
      <c r="V85" s="2936"/>
      <c r="W85" s="2936"/>
      <c r="X85" s="2936"/>
      <c r="Y85" s="2937"/>
      <c r="Z85" s="842"/>
      <c r="AA85" s="842"/>
      <c r="AB85" s="2933"/>
      <c r="AC85" s="2934"/>
      <c r="AD85" s="2934"/>
      <c r="AE85" s="2934"/>
      <c r="AF85" s="2934"/>
      <c r="AG85" s="2934"/>
      <c r="AH85" s="2934"/>
      <c r="AI85" s="2934"/>
      <c r="AJ85" s="2934"/>
      <c r="AK85" s="2934"/>
      <c r="AL85" s="2934"/>
      <c r="AM85" s="2934"/>
      <c r="AN85" s="2934"/>
      <c r="AO85" s="2934"/>
      <c r="AP85" s="2934"/>
      <c r="AQ85" s="2934"/>
      <c r="AR85" s="2934"/>
      <c r="AS85" s="2934" t="s">
        <v>102</v>
      </c>
      <c r="AT85" s="2934"/>
      <c r="AU85" s="2935"/>
      <c r="AV85" s="2936"/>
      <c r="AW85" s="2936"/>
      <c r="AX85" s="2936"/>
      <c r="AY85" s="2937"/>
      <c r="BA85" s="2932"/>
      <c r="BB85" s="2904"/>
      <c r="BC85" s="2904"/>
      <c r="BD85" s="2904"/>
      <c r="BE85" s="2904"/>
      <c r="BF85" s="2904"/>
      <c r="BG85" s="2904"/>
      <c r="BH85" s="2904"/>
      <c r="BI85" s="2904"/>
      <c r="BJ85" s="2904"/>
      <c r="BK85" s="2904"/>
      <c r="BL85" s="2904"/>
      <c r="BM85" s="2904"/>
      <c r="BN85" s="2904"/>
      <c r="BO85" s="2904"/>
      <c r="BP85" s="2904"/>
      <c r="BQ85" s="2904"/>
      <c r="BR85" s="2904"/>
      <c r="BS85" s="2904"/>
      <c r="BT85" s="2904"/>
      <c r="BU85" s="2904"/>
      <c r="BV85" s="2904"/>
      <c r="BW85" s="2904"/>
      <c r="BX85" s="2904"/>
      <c r="BY85" s="2904"/>
      <c r="BZ85" s="2904"/>
      <c r="CA85" s="2904"/>
      <c r="CB85" s="2904"/>
      <c r="CC85" s="2904"/>
      <c r="CD85" s="2904"/>
      <c r="CE85" s="2904"/>
      <c r="CF85" s="2904"/>
      <c r="CG85" s="2904"/>
      <c r="CH85" s="2904"/>
      <c r="CI85" s="2905"/>
    </row>
    <row r="86" spans="1:87" ht="17" customHeight="1">
      <c r="A86" s="2894"/>
      <c r="B86" s="2925"/>
      <c r="C86" s="2926"/>
      <c r="D86" s="2926"/>
      <c r="E86" s="2926"/>
      <c r="F86" s="2926"/>
      <c r="G86" s="2926"/>
      <c r="H86" s="2926"/>
      <c r="I86" s="2926"/>
      <c r="J86" s="2926"/>
      <c r="K86" s="2926"/>
      <c r="L86" s="2926"/>
      <c r="M86" s="2926"/>
      <c r="N86" s="2926"/>
      <c r="O86" s="2926"/>
      <c r="P86" s="2926"/>
      <c r="Q86" s="2926"/>
      <c r="R86" s="2926"/>
      <c r="S86" s="2926" t="s">
        <v>102</v>
      </c>
      <c r="T86" s="2926"/>
      <c r="U86" s="2927"/>
      <c r="V86" s="1588"/>
      <c r="W86" s="1588"/>
      <c r="X86" s="1588"/>
      <c r="Y86" s="2928"/>
      <c r="Z86" s="842"/>
      <c r="AA86" s="842"/>
      <c r="AB86" s="2925"/>
      <c r="AC86" s="2926"/>
      <c r="AD86" s="2926"/>
      <c r="AE86" s="2926"/>
      <c r="AF86" s="2926"/>
      <c r="AG86" s="2926"/>
      <c r="AH86" s="2926"/>
      <c r="AI86" s="2926"/>
      <c r="AJ86" s="2926"/>
      <c r="AK86" s="2926"/>
      <c r="AL86" s="2926"/>
      <c r="AM86" s="2926"/>
      <c r="AN86" s="2926"/>
      <c r="AO86" s="2926"/>
      <c r="AP86" s="2926"/>
      <c r="AQ86" s="2926"/>
      <c r="AR86" s="2926"/>
      <c r="AS86" s="2926" t="s">
        <v>102</v>
      </c>
      <c r="AT86" s="2926"/>
      <c r="AU86" s="2927"/>
      <c r="AV86" s="1588"/>
      <c r="AW86" s="1588"/>
      <c r="AX86" s="1588"/>
      <c r="AY86" s="2928"/>
      <c r="BA86" s="2929"/>
      <c r="BB86" s="2930"/>
      <c r="BC86" s="2930"/>
      <c r="BD86" s="2930"/>
      <c r="BE86" s="2930"/>
      <c r="BF86" s="2930"/>
      <c r="BG86" s="2930"/>
      <c r="BH86" s="2930"/>
      <c r="BI86" s="2930"/>
      <c r="BJ86" s="2930"/>
      <c r="BK86" s="2930"/>
      <c r="BL86" s="2930"/>
      <c r="BM86" s="2930"/>
      <c r="BN86" s="2930"/>
      <c r="BO86" s="2930"/>
      <c r="BP86" s="2930"/>
      <c r="BQ86" s="2930"/>
      <c r="BR86" s="2930"/>
      <c r="BS86" s="2930"/>
      <c r="BT86" s="2930"/>
      <c r="BU86" s="2930"/>
      <c r="BV86" s="2930"/>
      <c r="BW86" s="2930"/>
      <c r="BX86" s="2930"/>
      <c r="BY86" s="2930"/>
      <c r="BZ86" s="2930"/>
      <c r="CA86" s="2930"/>
      <c r="CB86" s="2930"/>
      <c r="CC86" s="2930"/>
      <c r="CD86" s="2930"/>
      <c r="CE86" s="2930"/>
      <c r="CF86" s="2930"/>
      <c r="CG86" s="2930"/>
      <c r="CH86" s="2930"/>
      <c r="CI86" s="2931"/>
    </row>
    <row r="87" spans="1:87" ht="17" customHeight="1" outlineLevel="1">
      <c r="B87" s="2933"/>
      <c r="C87" s="2934"/>
      <c r="D87" s="2934"/>
      <c r="E87" s="2934"/>
      <c r="F87" s="2934"/>
      <c r="G87" s="2934"/>
      <c r="H87" s="2934"/>
      <c r="I87" s="2934"/>
      <c r="J87" s="2934"/>
      <c r="K87" s="2934"/>
      <c r="L87" s="2934"/>
      <c r="M87" s="2934"/>
      <c r="N87" s="2934"/>
      <c r="O87" s="2934"/>
      <c r="P87" s="2934"/>
      <c r="Q87" s="2934"/>
      <c r="R87" s="2934"/>
      <c r="S87" s="2934" t="s">
        <v>102</v>
      </c>
      <c r="T87" s="2934"/>
      <c r="U87" s="2935"/>
      <c r="V87" s="2936"/>
      <c r="W87" s="2936"/>
      <c r="X87" s="2936"/>
      <c r="Y87" s="2937"/>
      <c r="Z87" s="842"/>
      <c r="AA87" s="842"/>
      <c r="AB87" s="2933"/>
      <c r="AC87" s="2934"/>
      <c r="AD87" s="2934"/>
      <c r="AE87" s="2934"/>
      <c r="AF87" s="2934"/>
      <c r="AG87" s="2934"/>
      <c r="AH87" s="2934"/>
      <c r="AI87" s="2934"/>
      <c r="AJ87" s="2934"/>
      <c r="AK87" s="2934"/>
      <c r="AL87" s="2934"/>
      <c r="AM87" s="2934"/>
      <c r="AN87" s="2934"/>
      <c r="AO87" s="2934"/>
      <c r="AP87" s="2934"/>
      <c r="AQ87" s="2934"/>
      <c r="AR87" s="2934"/>
      <c r="AS87" s="2934" t="s">
        <v>102</v>
      </c>
      <c r="AT87" s="2934"/>
      <c r="AU87" s="2935"/>
      <c r="AV87" s="2936"/>
      <c r="AW87" s="2936"/>
      <c r="AX87" s="2936"/>
      <c r="AY87" s="2937"/>
      <c r="BA87" s="2932"/>
      <c r="BB87" s="2904"/>
      <c r="BC87" s="2904"/>
      <c r="BD87" s="2904"/>
      <c r="BE87" s="2904"/>
      <c r="BF87" s="2904"/>
      <c r="BG87" s="2904"/>
      <c r="BH87" s="2904"/>
      <c r="BI87" s="2904"/>
      <c r="BJ87" s="2904"/>
      <c r="BK87" s="2904"/>
      <c r="BL87" s="2904"/>
      <c r="BM87" s="2904"/>
      <c r="BN87" s="2904"/>
      <c r="BO87" s="2904"/>
      <c r="BP87" s="2904"/>
      <c r="BQ87" s="2904"/>
      <c r="BR87" s="2904"/>
      <c r="BS87" s="2904"/>
      <c r="BT87" s="2904"/>
      <c r="BU87" s="2904"/>
      <c r="BV87" s="2904"/>
      <c r="BW87" s="2904"/>
      <c r="BX87" s="2904"/>
      <c r="BY87" s="2904"/>
      <c r="BZ87" s="2904"/>
      <c r="CA87" s="2904"/>
      <c r="CB87" s="2904"/>
      <c r="CC87" s="2904"/>
      <c r="CD87" s="2904"/>
      <c r="CE87" s="2904"/>
      <c r="CF87" s="2904"/>
      <c r="CG87" s="2904"/>
      <c r="CH87" s="2904"/>
      <c r="CI87" s="2905"/>
    </row>
    <row r="88" spans="1:87" ht="17" customHeight="1" outlineLevel="1">
      <c r="B88" s="2925"/>
      <c r="C88" s="2926"/>
      <c r="D88" s="2926"/>
      <c r="E88" s="2926"/>
      <c r="F88" s="2926"/>
      <c r="G88" s="2926"/>
      <c r="H88" s="2926"/>
      <c r="I88" s="2926"/>
      <c r="J88" s="2926"/>
      <c r="K88" s="2926"/>
      <c r="L88" s="2926"/>
      <c r="M88" s="2926"/>
      <c r="N88" s="2926"/>
      <c r="O88" s="2926"/>
      <c r="P88" s="2926"/>
      <c r="Q88" s="2926"/>
      <c r="R88" s="2926"/>
      <c r="S88" s="2926" t="s">
        <v>102</v>
      </c>
      <c r="T88" s="2926"/>
      <c r="U88" s="2927"/>
      <c r="V88" s="1588"/>
      <c r="W88" s="1588"/>
      <c r="X88" s="1588"/>
      <c r="Y88" s="2928"/>
      <c r="Z88" s="842"/>
      <c r="AA88" s="842"/>
      <c r="AB88" s="2925"/>
      <c r="AC88" s="2926"/>
      <c r="AD88" s="2926"/>
      <c r="AE88" s="2926"/>
      <c r="AF88" s="2926"/>
      <c r="AG88" s="2926"/>
      <c r="AH88" s="2926"/>
      <c r="AI88" s="2926"/>
      <c r="AJ88" s="2926"/>
      <c r="AK88" s="2926"/>
      <c r="AL88" s="2926"/>
      <c r="AM88" s="2926"/>
      <c r="AN88" s="2926"/>
      <c r="AO88" s="2926"/>
      <c r="AP88" s="2926"/>
      <c r="AQ88" s="2926"/>
      <c r="AR88" s="2926"/>
      <c r="AS88" s="2926" t="s">
        <v>102</v>
      </c>
      <c r="AT88" s="2926"/>
      <c r="AU88" s="2927"/>
      <c r="AV88" s="1588"/>
      <c r="AW88" s="1588"/>
      <c r="AX88" s="1588"/>
      <c r="AY88" s="2928"/>
      <c r="BA88" s="2929"/>
      <c r="BB88" s="2930"/>
      <c r="BC88" s="2930"/>
      <c r="BD88" s="2930"/>
      <c r="BE88" s="2930"/>
      <c r="BF88" s="2930"/>
      <c r="BG88" s="2930"/>
      <c r="BH88" s="2930"/>
      <c r="BI88" s="2930"/>
      <c r="BJ88" s="2930"/>
      <c r="BK88" s="2930"/>
      <c r="BL88" s="2930"/>
      <c r="BM88" s="2930"/>
      <c r="BN88" s="2930"/>
      <c r="BO88" s="2930"/>
      <c r="BP88" s="2930"/>
      <c r="BQ88" s="2930"/>
      <c r="BR88" s="2930"/>
      <c r="BS88" s="2930"/>
      <c r="BT88" s="2930"/>
      <c r="BU88" s="2930"/>
      <c r="BV88" s="2930"/>
      <c r="BW88" s="2930"/>
      <c r="BX88" s="2930"/>
      <c r="BY88" s="2930"/>
      <c r="BZ88" s="2930"/>
      <c r="CA88" s="2930"/>
      <c r="CB88" s="2930"/>
      <c r="CC88" s="2930"/>
      <c r="CD88" s="2930"/>
      <c r="CE88" s="2930"/>
      <c r="CF88" s="2930"/>
      <c r="CG88" s="2930"/>
      <c r="CH88" s="2930"/>
      <c r="CI88" s="2931"/>
    </row>
    <row r="89" spans="1:87" ht="17" customHeight="1" outlineLevel="1">
      <c r="B89" s="2933"/>
      <c r="C89" s="2934"/>
      <c r="D89" s="2934"/>
      <c r="E89" s="2934"/>
      <c r="F89" s="2934"/>
      <c r="G89" s="2934"/>
      <c r="H89" s="2934"/>
      <c r="I89" s="2934"/>
      <c r="J89" s="2934"/>
      <c r="K89" s="2934"/>
      <c r="L89" s="2934"/>
      <c r="M89" s="2934"/>
      <c r="N89" s="2934"/>
      <c r="O89" s="2934"/>
      <c r="P89" s="2934"/>
      <c r="Q89" s="2934"/>
      <c r="R89" s="2934"/>
      <c r="S89" s="2934" t="s">
        <v>102</v>
      </c>
      <c r="T89" s="2934"/>
      <c r="U89" s="2935"/>
      <c r="V89" s="2936"/>
      <c r="W89" s="2936"/>
      <c r="X89" s="2936"/>
      <c r="Y89" s="2937"/>
      <c r="Z89" s="842"/>
      <c r="AA89" s="842"/>
      <c r="AB89" s="2933"/>
      <c r="AC89" s="2934"/>
      <c r="AD89" s="2934"/>
      <c r="AE89" s="2934"/>
      <c r="AF89" s="2934"/>
      <c r="AG89" s="2934"/>
      <c r="AH89" s="2934"/>
      <c r="AI89" s="2934"/>
      <c r="AJ89" s="2934"/>
      <c r="AK89" s="2934"/>
      <c r="AL89" s="2934"/>
      <c r="AM89" s="2934"/>
      <c r="AN89" s="2934"/>
      <c r="AO89" s="2934"/>
      <c r="AP89" s="2934"/>
      <c r="AQ89" s="2934"/>
      <c r="AR89" s="2934"/>
      <c r="AS89" s="2934" t="s">
        <v>102</v>
      </c>
      <c r="AT89" s="2934"/>
      <c r="AU89" s="2935"/>
      <c r="AV89" s="2936"/>
      <c r="AW89" s="2936"/>
      <c r="AX89" s="2936"/>
      <c r="AY89" s="2937"/>
      <c r="BA89" s="2932"/>
      <c r="BB89" s="2904"/>
      <c r="BC89" s="2904"/>
      <c r="BD89" s="2904"/>
      <c r="BE89" s="2904"/>
      <c r="BF89" s="2904"/>
      <c r="BG89" s="2904"/>
      <c r="BH89" s="2904"/>
      <c r="BI89" s="2904"/>
      <c r="BJ89" s="2904"/>
      <c r="BK89" s="2904"/>
      <c r="BL89" s="2904"/>
      <c r="BM89" s="2904"/>
      <c r="BN89" s="2904"/>
      <c r="BO89" s="2904"/>
      <c r="BP89" s="2904"/>
      <c r="BQ89" s="2904"/>
      <c r="BR89" s="2904"/>
      <c r="BS89" s="2904"/>
      <c r="BT89" s="2904"/>
      <c r="BU89" s="2904"/>
      <c r="BV89" s="2904"/>
      <c r="BW89" s="2904"/>
      <c r="BX89" s="2904"/>
      <c r="BY89" s="2904"/>
      <c r="BZ89" s="2904"/>
      <c r="CA89" s="2904"/>
      <c r="CB89" s="2904"/>
      <c r="CC89" s="2904"/>
      <c r="CD89" s="2904"/>
      <c r="CE89" s="2904"/>
      <c r="CF89" s="2904"/>
      <c r="CG89" s="2904"/>
      <c r="CH89" s="2904"/>
      <c r="CI89" s="2905"/>
    </row>
    <row r="90" spans="1:87" ht="17" customHeight="1" outlineLevel="1">
      <c r="B90" s="2925"/>
      <c r="C90" s="2926"/>
      <c r="D90" s="2926"/>
      <c r="E90" s="2926"/>
      <c r="F90" s="2926"/>
      <c r="G90" s="2926"/>
      <c r="H90" s="2926"/>
      <c r="I90" s="2926"/>
      <c r="J90" s="2926"/>
      <c r="K90" s="2926"/>
      <c r="L90" s="2926"/>
      <c r="M90" s="2926"/>
      <c r="N90" s="2926"/>
      <c r="O90" s="2926"/>
      <c r="P90" s="2926"/>
      <c r="Q90" s="2926"/>
      <c r="R90" s="2926"/>
      <c r="S90" s="2926" t="s">
        <v>102</v>
      </c>
      <c r="T90" s="2926"/>
      <c r="U90" s="2927"/>
      <c r="V90" s="1588"/>
      <c r="W90" s="1588"/>
      <c r="X90" s="1588"/>
      <c r="Y90" s="2928"/>
      <c r="Z90" s="842"/>
      <c r="AA90" s="842"/>
      <c r="AB90" s="2925"/>
      <c r="AC90" s="2926"/>
      <c r="AD90" s="2926"/>
      <c r="AE90" s="2926"/>
      <c r="AF90" s="2926"/>
      <c r="AG90" s="2926"/>
      <c r="AH90" s="2926"/>
      <c r="AI90" s="2926"/>
      <c r="AJ90" s="2926"/>
      <c r="AK90" s="2926"/>
      <c r="AL90" s="2926"/>
      <c r="AM90" s="2926"/>
      <c r="AN90" s="2926"/>
      <c r="AO90" s="2926"/>
      <c r="AP90" s="2926"/>
      <c r="AQ90" s="2926"/>
      <c r="AR90" s="2926"/>
      <c r="AS90" s="2926" t="s">
        <v>102</v>
      </c>
      <c r="AT90" s="2926"/>
      <c r="AU90" s="2927"/>
      <c r="AV90" s="1588"/>
      <c r="AW90" s="1588"/>
      <c r="AX90" s="1588"/>
      <c r="AY90" s="2928"/>
      <c r="BA90" s="2929"/>
      <c r="BB90" s="2930"/>
      <c r="BC90" s="2930"/>
      <c r="BD90" s="2930"/>
      <c r="BE90" s="2930"/>
      <c r="BF90" s="2930"/>
      <c r="BG90" s="2930"/>
      <c r="BH90" s="2930"/>
      <c r="BI90" s="2930"/>
      <c r="BJ90" s="2930"/>
      <c r="BK90" s="2930"/>
      <c r="BL90" s="2930"/>
      <c r="BM90" s="2930"/>
      <c r="BN90" s="2930"/>
      <c r="BO90" s="2930"/>
      <c r="BP90" s="2930"/>
      <c r="BQ90" s="2930"/>
      <c r="BR90" s="2930"/>
      <c r="BS90" s="2930"/>
      <c r="BT90" s="2930"/>
      <c r="BU90" s="2930"/>
      <c r="BV90" s="2930"/>
      <c r="BW90" s="2930"/>
      <c r="BX90" s="2930"/>
      <c r="BY90" s="2930"/>
      <c r="BZ90" s="2930"/>
      <c r="CA90" s="2930"/>
      <c r="CB90" s="2930"/>
      <c r="CC90" s="2930"/>
      <c r="CD90" s="2930"/>
      <c r="CE90" s="2930"/>
      <c r="CF90" s="2930"/>
      <c r="CG90" s="2930"/>
      <c r="CH90" s="2930"/>
      <c r="CI90" s="2931"/>
    </row>
    <row r="91" spans="1:87" ht="17" customHeight="1" outlineLevel="1">
      <c r="B91" s="2933"/>
      <c r="C91" s="2934"/>
      <c r="D91" s="2934"/>
      <c r="E91" s="2934"/>
      <c r="F91" s="2934"/>
      <c r="G91" s="2934"/>
      <c r="H91" s="2934"/>
      <c r="I91" s="2934"/>
      <c r="J91" s="2934"/>
      <c r="K91" s="2934"/>
      <c r="L91" s="2934"/>
      <c r="M91" s="2934"/>
      <c r="N91" s="2934"/>
      <c r="O91" s="2934"/>
      <c r="P91" s="2934"/>
      <c r="Q91" s="2934"/>
      <c r="R91" s="2934"/>
      <c r="S91" s="2934" t="s">
        <v>102</v>
      </c>
      <c r="T91" s="2934"/>
      <c r="U91" s="2935"/>
      <c r="V91" s="2936"/>
      <c r="W91" s="2936"/>
      <c r="X91" s="2936"/>
      <c r="Y91" s="2937"/>
      <c r="Z91" s="842"/>
      <c r="AA91" s="842"/>
      <c r="AB91" s="2933"/>
      <c r="AC91" s="2934"/>
      <c r="AD91" s="2934"/>
      <c r="AE91" s="2934"/>
      <c r="AF91" s="2934"/>
      <c r="AG91" s="2934"/>
      <c r="AH91" s="2934"/>
      <c r="AI91" s="2934"/>
      <c r="AJ91" s="2934"/>
      <c r="AK91" s="2934"/>
      <c r="AL91" s="2934"/>
      <c r="AM91" s="2934"/>
      <c r="AN91" s="2934"/>
      <c r="AO91" s="2934"/>
      <c r="AP91" s="2934"/>
      <c r="AQ91" s="2934"/>
      <c r="AR91" s="2934"/>
      <c r="AS91" s="2934" t="s">
        <v>102</v>
      </c>
      <c r="AT91" s="2934"/>
      <c r="AU91" s="2935"/>
      <c r="AV91" s="2936"/>
      <c r="AW91" s="2936"/>
      <c r="AX91" s="2936"/>
      <c r="AY91" s="2937"/>
      <c r="BA91" s="2932"/>
      <c r="BB91" s="2904"/>
      <c r="BC91" s="2904"/>
      <c r="BD91" s="2904"/>
      <c r="BE91" s="2904"/>
      <c r="BF91" s="2904"/>
      <c r="BG91" s="2904"/>
      <c r="BH91" s="2904"/>
      <c r="BI91" s="2904"/>
      <c r="BJ91" s="2904"/>
      <c r="BK91" s="2904"/>
      <c r="BL91" s="2904"/>
      <c r="BM91" s="2904"/>
      <c r="BN91" s="2904"/>
      <c r="BO91" s="2904"/>
      <c r="BP91" s="2904"/>
      <c r="BQ91" s="2904"/>
      <c r="BR91" s="2904"/>
      <c r="BS91" s="2904"/>
      <c r="BT91" s="2904"/>
      <c r="BU91" s="2904"/>
      <c r="BV91" s="2904"/>
      <c r="BW91" s="2904"/>
      <c r="BX91" s="2904"/>
      <c r="BY91" s="2904"/>
      <c r="BZ91" s="2904"/>
      <c r="CA91" s="2904"/>
      <c r="CB91" s="2904"/>
      <c r="CC91" s="2904"/>
      <c r="CD91" s="2904"/>
      <c r="CE91" s="2904"/>
      <c r="CF91" s="2904"/>
      <c r="CG91" s="2904"/>
      <c r="CH91" s="2904"/>
      <c r="CI91" s="2905"/>
    </row>
    <row r="92" spans="1:87" ht="17" customHeight="1" outlineLevel="1">
      <c r="B92" s="2925"/>
      <c r="C92" s="2926"/>
      <c r="D92" s="2926"/>
      <c r="E92" s="2926"/>
      <c r="F92" s="2926"/>
      <c r="G92" s="2926"/>
      <c r="H92" s="2926"/>
      <c r="I92" s="2926"/>
      <c r="J92" s="2926"/>
      <c r="K92" s="2926"/>
      <c r="L92" s="2926"/>
      <c r="M92" s="2926"/>
      <c r="N92" s="2926"/>
      <c r="O92" s="2926"/>
      <c r="P92" s="2926"/>
      <c r="Q92" s="2926"/>
      <c r="R92" s="2926"/>
      <c r="S92" s="2926" t="s">
        <v>102</v>
      </c>
      <c r="T92" s="2926"/>
      <c r="U92" s="2927"/>
      <c r="V92" s="1588"/>
      <c r="W92" s="1588"/>
      <c r="X92" s="1588"/>
      <c r="Y92" s="2928"/>
      <c r="Z92" s="842"/>
      <c r="AA92" s="842"/>
      <c r="AB92" s="2925"/>
      <c r="AC92" s="2926"/>
      <c r="AD92" s="2926"/>
      <c r="AE92" s="2926"/>
      <c r="AF92" s="2926"/>
      <c r="AG92" s="2926"/>
      <c r="AH92" s="2926"/>
      <c r="AI92" s="2926"/>
      <c r="AJ92" s="2926"/>
      <c r="AK92" s="2926"/>
      <c r="AL92" s="2926"/>
      <c r="AM92" s="2926"/>
      <c r="AN92" s="2926"/>
      <c r="AO92" s="2926"/>
      <c r="AP92" s="2926"/>
      <c r="AQ92" s="2926"/>
      <c r="AR92" s="2926"/>
      <c r="AS92" s="2926" t="s">
        <v>102</v>
      </c>
      <c r="AT92" s="2926"/>
      <c r="AU92" s="2927"/>
      <c r="AV92" s="1588"/>
      <c r="AW92" s="1588"/>
      <c r="AX92" s="1588"/>
      <c r="AY92" s="2928"/>
      <c r="BA92" s="2929"/>
      <c r="BB92" s="2930"/>
      <c r="BC92" s="2930"/>
      <c r="BD92" s="2930"/>
      <c r="BE92" s="2930"/>
      <c r="BF92" s="2930"/>
      <c r="BG92" s="2930"/>
      <c r="BH92" s="2930"/>
      <c r="BI92" s="2930"/>
      <c r="BJ92" s="2930"/>
      <c r="BK92" s="2930"/>
      <c r="BL92" s="2930"/>
      <c r="BM92" s="2930"/>
      <c r="BN92" s="2930"/>
      <c r="BO92" s="2930"/>
      <c r="BP92" s="2930"/>
      <c r="BQ92" s="2930"/>
      <c r="BR92" s="2930"/>
      <c r="BS92" s="2930"/>
      <c r="BT92" s="2930"/>
      <c r="BU92" s="2930"/>
      <c r="BV92" s="2930"/>
      <c r="BW92" s="2930"/>
      <c r="BX92" s="2930"/>
      <c r="BY92" s="2930"/>
      <c r="BZ92" s="2930"/>
      <c r="CA92" s="2930"/>
      <c r="CB92" s="2930"/>
      <c r="CC92" s="2930"/>
      <c r="CD92" s="2930"/>
      <c r="CE92" s="2930"/>
      <c r="CF92" s="2930"/>
      <c r="CG92" s="2930"/>
      <c r="CH92" s="2930"/>
      <c r="CI92" s="2931"/>
    </row>
    <row r="93" spans="1:87" ht="17" customHeight="1" outlineLevel="1">
      <c r="B93" s="2919"/>
      <c r="C93" s="2920"/>
      <c r="D93" s="2920"/>
      <c r="E93" s="2920"/>
      <c r="F93" s="2920"/>
      <c r="G93" s="2920"/>
      <c r="H93" s="2920"/>
      <c r="I93" s="2920"/>
      <c r="J93" s="2920"/>
      <c r="K93" s="2920"/>
      <c r="L93" s="2920"/>
      <c r="M93" s="2920"/>
      <c r="N93" s="2920"/>
      <c r="O93" s="2920"/>
      <c r="P93" s="2920"/>
      <c r="Q93" s="2920"/>
      <c r="R93" s="2920"/>
      <c r="S93" s="2920" t="s">
        <v>102</v>
      </c>
      <c r="T93" s="2920"/>
      <c r="U93" s="2921"/>
      <c r="V93" s="2922"/>
      <c r="W93" s="2922"/>
      <c r="X93" s="2922"/>
      <c r="Y93" s="2923"/>
      <c r="AB93" s="2919"/>
      <c r="AC93" s="2920"/>
      <c r="AD93" s="2920"/>
      <c r="AE93" s="2920"/>
      <c r="AF93" s="2920"/>
      <c r="AG93" s="2920"/>
      <c r="AH93" s="2920"/>
      <c r="AI93" s="2920"/>
      <c r="AJ93" s="2920"/>
      <c r="AK93" s="2920"/>
      <c r="AL93" s="2920"/>
      <c r="AM93" s="2920"/>
      <c r="AN93" s="2920"/>
      <c r="AO93" s="2920"/>
      <c r="AP93" s="2920"/>
      <c r="AQ93" s="2920"/>
      <c r="AR93" s="2920"/>
      <c r="AS93" s="2920" t="s">
        <v>102</v>
      </c>
      <c r="AT93" s="2920"/>
      <c r="AU93" s="2921"/>
      <c r="AV93" s="2922"/>
      <c r="AW93" s="2922"/>
      <c r="AX93" s="2922"/>
      <c r="AY93" s="2923"/>
      <c r="BA93" s="2932"/>
      <c r="BB93" s="2904"/>
      <c r="BC93" s="2904"/>
      <c r="BD93" s="2904"/>
      <c r="BE93" s="2904"/>
      <c r="BF93" s="2904"/>
      <c r="BG93" s="2904"/>
      <c r="BH93" s="2904"/>
      <c r="BI93" s="2904"/>
      <c r="BJ93" s="2904"/>
      <c r="BK93" s="2904"/>
      <c r="BL93" s="2904"/>
      <c r="BM93" s="2904"/>
      <c r="BN93" s="2904"/>
      <c r="BO93" s="2904"/>
      <c r="BP93" s="2904"/>
      <c r="BQ93" s="2904"/>
      <c r="BR93" s="2904"/>
      <c r="BS93" s="2904"/>
      <c r="BT93" s="2904"/>
      <c r="BU93" s="2904"/>
      <c r="BV93" s="2904"/>
      <c r="BW93" s="2904"/>
      <c r="BX93" s="2904"/>
      <c r="BY93" s="2904"/>
      <c r="BZ93" s="2904"/>
      <c r="CA93" s="2904"/>
      <c r="CB93" s="2904"/>
      <c r="CC93" s="2904"/>
      <c r="CD93" s="2904"/>
      <c r="CE93" s="2904"/>
      <c r="CF93" s="2904"/>
      <c r="CG93" s="2904"/>
      <c r="CH93" s="2904"/>
      <c r="CI93" s="2905"/>
    </row>
    <row r="94" spans="1:87" ht="17" customHeight="1" outlineLevel="1">
      <c r="B94" s="2925"/>
      <c r="C94" s="2926"/>
      <c r="D94" s="2926"/>
      <c r="E94" s="2926"/>
      <c r="F94" s="2926"/>
      <c r="G94" s="2926"/>
      <c r="H94" s="2926"/>
      <c r="I94" s="2926"/>
      <c r="J94" s="2926"/>
      <c r="K94" s="2926"/>
      <c r="L94" s="2926"/>
      <c r="M94" s="2926"/>
      <c r="N94" s="2926"/>
      <c r="O94" s="2926"/>
      <c r="P94" s="2926"/>
      <c r="Q94" s="2926"/>
      <c r="R94" s="2926"/>
      <c r="S94" s="2926" t="s">
        <v>102</v>
      </c>
      <c r="T94" s="2926"/>
      <c r="U94" s="2927"/>
      <c r="V94" s="1588"/>
      <c r="W94" s="1588"/>
      <c r="X94" s="1588"/>
      <c r="Y94" s="2928"/>
      <c r="AB94" s="2925"/>
      <c r="AC94" s="2926"/>
      <c r="AD94" s="2926"/>
      <c r="AE94" s="2926"/>
      <c r="AF94" s="2926"/>
      <c r="AG94" s="2926"/>
      <c r="AH94" s="2926"/>
      <c r="AI94" s="2926"/>
      <c r="AJ94" s="2926"/>
      <c r="AK94" s="2926"/>
      <c r="AL94" s="2926"/>
      <c r="AM94" s="2926"/>
      <c r="AN94" s="2926"/>
      <c r="AO94" s="2926"/>
      <c r="AP94" s="2926"/>
      <c r="AQ94" s="2926"/>
      <c r="AR94" s="2926"/>
      <c r="AS94" s="2926" t="s">
        <v>102</v>
      </c>
      <c r="AT94" s="2926"/>
      <c r="AU94" s="2927"/>
      <c r="AV94" s="1588"/>
      <c r="AW94" s="1588"/>
      <c r="AX94" s="1588"/>
      <c r="AY94" s="2928"/>
      <c r="BA94" s="2929"/>
      <c r="BB94" s="2930"/>
      <c r="BC94" s="2930"/>
      <c r="BD94" s="2930"/>
      <c r="BE94" s="2930"/>
      <c r="BF94" s="2930"/>
      <c r="BG94" s="2930"/>
      <c r="BH94" s="2930"/>
      <c r="BI94" s="2930"/>
      <c r="BJ94" s="2930"/>
      <c r="BK94" s="2930"/>
      <c r="BL94" s="2930"/>
      <c r="BM94" s="2930"/>
      <c r="BN94" s="2930"/>
      <c r="BO94" s="2930"/>
      <c r="BP94" s="2930"/>
      <c r="BQ94" s="2930"/>
      <c r="BR94" s="2930"/>
      <c r="BS94" s="2930"/>
      <c r="BT94" s="2930"/>
      <c r="BU94" s="2930"/>
      <c r="BV94" s="2930"/>
      <c r="BW94" s="2930"/>
      <c r="BX94" s="2930"/>
      <c r="BY94" s="2930"/>
      <c r="BZ94" s="2930"/>
      <c r="CA94" s="2930"/>
      <c r="CB94" s="2930"/>
      <c r="CC94" s="2930"/>
      <c r="CD94" s="2930"/>
      <c r="CE94" s="2930"/>
      <c r="CF94" s="2930"/>
      <c r="CG94" s="2930"/>
      <c r="CH94" s="2930"/>
      <c r="CI94" s="2931"/>
    </row>
    <row r="95" spans="1:87" ht="17" customHeight="1" outlineLevel="1">
      <c r="B95" s="2919"/>
      <c r="C95" s="2920"/>
      <c r="D95" s="2920"/>
      <c r="E95" s="2920"/>
      <c r="F95" s="2920"/>
      <c r="G95" s="2920"/>
      <c r="H95" s="2920"/>
      <c r="I95" s="2920"/>
      <c r="J95" s="2920"/>
      <c r="K95" s="2920"/>
      <c r="L95" s="2920"/>
      <c r="M95" s="2920"/>
      <c r="N95" s="2920"/>
      <c r="O95" s="2920"/>
      <c r="P95" s="2920"/>
      <c r="Q95" s="2920"/>
      <c r="R95" s="2920"/>
      <c r="S95" s="2920" t="s">
        <v>102</v>
      </c>
      <c r="T95" s="2920"/>
      <c r="U95" s="2921"/>
      <c r="V95" s="2922"/>
      <c r="W95" s="2922"/>
      <c r="X95" s="2922"/>
      <c r="Y95" s="2923"/>
      <c r="AB95" s="2919"/>
      <c r="AC95" s="2920"/>
      <c r="AD95" s="2920"/>
      <c r="AE95" s="2920"/>
      <c r="AF95" s="2920"/>
      <c r="AG95" s="2920"/>
      <c r="AH95" s="2920"/>
      <c r="AI95" s="2920"/>
      <c r="AJ95" s="2920"/>
      <c r="AK95" s="2920"/>
      <c r="AL95" s="2920"/>
      <c r="AM95" s="2920"/>
      <c r="AN95" s="2920"/>
      <c r="AO95" s="2920"/>
      <c r="AP95" s="2920"/>
      <c r="AQ95" s="2920"/>
      <c r="AR95" s="2920"/>
      <c r="AS95" s="2920" t="s">
        <v>102</v>
      </c>
      <c r="AT95" s="2920"/>
      <c r="AU95" s="2921"/>
      <c r="AV95" s="2922"/>
      <c r="AW95" s="2922"/>
      <c r="AX95" s="2922"/>
      <c r="AY95" s="2923"/>
      <c r="BA95" s="2932"/>
      <c r="BB95" s="2904"/>
      <c r="BC95" s="2904"/>
      <c r="BD95" s="2904"/>
      <c r="BE95" s="2904"/>
      <c r="BF95" s="2904"/>
      <c r="BG95" s="2904"/>
      <c r="BH95" s="2904"/>
      <c r="BI95" s="2904"/>
      <c r="BJ95" s="2904"/>
      <c r="BK95" s="2904"/>
      <c r="BL95" s="2904"/>
      <c r="BM95" s="2904"/>
      <c r="BN95" s="2904"/>
      <c r="BO95" s="2904"/>
      <c r="BP95" s="2904"/>
      <c r="BQ95" s="2904"/>
      <c r="BR95" s="2904"/>
      <c r="BS95" s="2904"/>
      <c r="BT95" s="2904"/>
      <c r="BU95" s="2904"/>
      <c r="BV95" s="2904"/>
      <c r="BW95" s="2904"/>
      <c r="BX95" s="2904"/>
      <c r="BY95" s="2904"/>
      <c r="BZ95" s="2904"/>
      <c r="CA95" s="2904"/>
      <c r="CB95" s="2904"/>
      <c r="CC95" s="2904"/>
      <c r="CD95" s="2904"/>
      <c r="CE95" s="2904"/>
      <c r="CF95" s="2904"/>
      <c r="CG95" s="2904"/>
      <c r="CH95" s="2904"/>
      <c r="CI95" s="2905"/>
    </row>
    <row r="96" spans="1:87" ht="17" customHeight="1" outlineLevel="1">
      <c r="B96" s="2925"/>
      <c r="C96" s="2926"/>
      <c r="D96" s="2926"/>
      <c r="E96" s="2926"/>
      <c r="F96" s="2926"/>
      <c r="G96" s="2926"/>
      <c r="H96" s="2926"/>
      <c r="I96" s="2926"/>
      <c r="J96" s="2926"/>
      <c r="K96" s="2926"/>
      <c r="L96" s="2926"/>
      <c r="M96" s="2926"/>
      <c r="N96" s="2926"/>
      <c r="O96" s="2926"/>
      <c r="P96" s="2926"/>
      <c r="Q96" s="2926"/>
      <c r="R96" s="2926"/>
      <c r="S96" s="2926" t="s">
        <v>102</v>
      </c>
      <c r="T96" s="2926"/>
      <c r="U96" s="2927"/>
      <c r="V96" s="1588"/>
      <c r="W96" s="1588"/>
      <c r="X96" s="1588"/>
      <c r="Y96" s="2928"/>
      <c r="AB96" s="2925"/>
      <c r="AC96" s="2926"/>
      <c r="AD96" s="2926"/>
      <c r="AE96" s="2926"/>
      <c r="AF96" s="2926"/>
      <c r="AG96" s="2926"/>
      <c r="AH96" s="2926"/>
      <c r="AI96" s="2926"/>
      <c r="AJ96" s="2926"/>
      <c r="AK96" s="2926"/>
      <c r="AL96" s="2926"/>
      <c r="AM96" s="2926"/>
      <c r="AN96" s="2926"/>
      <c r="AO96" s="2926"/>
      <c r="AP96" s="2926"/>
      <c r="AQ96" s="2926"/>
      <c r="AR96" s="2926"/>
      <c r="AS96" s="2926" t="s">
        <v>102</v>
      </c>
      <c r="AT96" s="2926"/>
      <c r="AU96" s="2927"/>
      <c r="AV96" s="1588"/>
      <c r="AW96" s="1588"/>
      <c r="AX96" s="1588"/>
      <c r="AY96" s="2928"/>
      <c r="BA96" s="2929"/>
      <c r="BB96" s="2930"/>
      <c r="BC96" s="2930"/>
      <c r="BD96" s="2930"/>
      <c r="BE96" s="2930"/>
      <c r="BF96" s="2930"/>
      <c r="BG96" s="2930"/>
      <c r="BH96" s="2930"/>
      <c r="BI96" s="2930"/>
      <c r="BJ96" s="2930"/>
      <c r="BK96" s="2930"/>
      <c r="BL96" s="2930"/>
      <c r="BM96" s="2930"/>
      <c r="BN96" s="2930"/>
      <c r="BO96" s="2930"/>
      <c r="BP96" s="2930"/>
      <c r="BQ96" s="2930"/>
      <c r="BR96" s="2930"/>
      <c r="BS96" s="2930"/>
      <c r="BT96" s="2930"/>
      <c r="BU96" s="2930"/>
      <c r="BV96" s="2930"/>
      <c r="BW96" s="2930"/>
      <c r="BX96" s="2930"/>
      <c r="BY96" s="2930"/>
      <c r="BZ96" s="2930"/>
      <c r="CA96" s="2930"/>
      <c r="CB96" s="2930"/>
      <c r="CC96" s="2930"/>
      <c r="CD96" s="2930"/>
      <c r="CE96" s="2930"/>
      <c r="CF96" s="2930"/>
      <c r="CG96" s="2930"/>
      <c r="CH96" s="2930"/>
      <c r="CI96" s="2931"/>
    </row>
    <row r="97" spans="2:87" ht="17" customHeight="1" outlineLevel="1">
      <c r="B97" s="2919"/>
      <c r="C97" s="2920"/>
      <c r="D97" s="2920"/>
      <c r="E97" s="2920"/>
      <c r="F97" s="2920"/>
      <c r="G97" s="2920"/>
      <c r="H97" s="2920"/>
      <c r="I97" s="2920"/>
      <c r="J97" s="2920"/>
      <c r="K97" s="2920"/>
      <c r="L97" s="2920"/>
      <c r="M97" s="2920"/>
      <c r="N97" s="2920"/>
      <c r="O97" s="2920"/>
      <c r="P97" s="2920"/>
      <c r="Q97" s="2920"/>
      <c r="R97" s="2920"/>
      <c r="S97" s="2920" t="s">
        <v>102</v>
      </c>
      <c r="T97" s="2920"/>
      <c r="U97" s="2921"/>
      <c r="V97" s="2922"/>
      <c r="W97" s="2922"/>
      <c r="X97" s="2922"/>
      <c r="Y97" s="2923"/>
      <c r="AB97" s="2919"/>
      <c r="AC97" s="2920"/>
      <c r="AD97" s="2920"/>
      <c r="AE97" s="2920"/>
      <c r="AF97" s="2920"/>
      <c r="AG97" s="2920"/>
      <c r="AH97" s="2920"/>
      <c r="AI97" s="2920"/>
      <c r="AJ97" s="2920"/>
      <c r="AK97" s="2920"/>
      <c r="AL97" s="2920"/>
      <c r="AM97" s="2920"/>
      <c r="AN97" s="2920"/>
      <c r="AO97" s="2920"/>
      <c r="AP97" s="2920"/>
      <c r="AQ97" s="2920"/>
      <c r="AR97" s="2920"/>
      <c r="AS97" s="2920" t="s">
        <v>102</v>
      </c>
      <c r="AT97" s="2920"/>
      <c r="AU97" s="2921"/>
      <c r="AV97" s="2922"/>
      <c r="AW97" s="2922"/>
      <c r="AX97" s="2922"/>
      <c r="AY97" s="2923"/>
      <c r="BA97" s="2932"/>
      <c r="BB97" s="2904"/>
      <c r="BC97" s="2904"/>
      <c r="BD97" s="2904"/>
      <c r="BE97" s="2904"/>
      <c r="BF97" s="2904"/>
      <c r="BG97" s="2904"/>
      <c r="BH97" s="2904"/>
      <c r="BI97" s="2904"/>
      <c r="BJ97" s="2904"/>
      <c r="BK97" s="2904"/>
      <c r="BL97" s="2904"/>
      <c r="BM97" s="2904"/>
      <c r="BN97" s="2904"/>
      <c r="BO97" s="2904"/>
      <c r="BP97" s="2904"/>
      <c r="BQ97" s="2904"/>
      <c r="BR97" s="2904"/>
      <c r="BS97" s="2904"/>
      <c r="BT97" s="2904"/>
      <c r="BU97" s="2904"/>
      <c r="BV97" s="2904"/>
      <c r="BW97" s="2904"/>
      <c r="BX97" s="2904"/>
      <c r="BY97" s="2904"/>
      <c r="BZ97" s="2904"/>
      <c r="CA97" s="2904"/>
      <c r="CB97" s="2904"/>
      <c r="CC97" s="2904"/>
      <c r="CD97" s="2904"/>
      <c r="CE97" s="2904"/>
      <c r="CF97" s="2904"/>
      <c r="CG97" s="2904"/>
      <c r="CH97" s="2904"/>
      <c r="CI97" s="2905"/>
    </row>
    <row r="98" spans="2:87" ht="17" customHeight="1" outlineLevel="1">
      <c r="B98" s="2925"/>
      <c r="C98" s="2926"/>
      <c r="D98" s="2926"/>
      <c r="E98" s="2926"/>
      <c r="F98" s="2926"/>
      <c r="G98" s="2926"/>
      <c r="H98" s="2926"/>
      <c r="I98" s="2926"/>
      <c r="J98" s="2926"/>
      <c r="K98" s="2926"/>
      <c r="L98" s="2926"/>
      <c r="M98" s="2926"/>
      <c r="N98" s="2926"/>
      <c r="O98" s="2926"/>
      <c r="P98" s="2926"/>
      <c r="Q98" s="2926"/>
      <c r="R98" s="2926"/>
      <c r="S98" s="2926" t="s">
        <v>102</v>
      </c>
      <c r="T98" s="2926"/>
      <c r="U98" s="2927"/>
      <c r="V98" s="1588"/>
      <c r="W98" s="1588"/>
      <c r="X98" s="1588"/>
      <c r="Y98" s="2928"/>
      <c r="AB98" s="2925"/>
      <c r="AC98" s="2926"/>
      <c r="AD98" s="2926"/>
      <c r="AE98" s="2926"/>
      <c r="AF98" s="2926"/>
      <c r="AG98" s="2926"/>
      <c r="AH98" s="2926"/>
      <c r="AI98" s="2926"/>
      <c r="AJ98" s="2926"/>
      <c r="AK98" s="2926"/>
      <c r="AL98" s="2926"/>
      <c r="AM98" s="2926"/>
      <c r="AN98" s="2926"/>
      <c r="AO98" s="2926"/>
      <c r="AP98" s="2926"/>
      <c r="AQ98" s="2926"/>
      <c r="AR98" s="2926"/>
      <c r="AS98" s="2926" t="s">
        <v>102</v>
      </c>
      <c r="AT98" s="2926"/>
      <c r="AU98" s="2927"/>
      <c r="AV98" s="1588"/>
      <c r="AW98" s="1588"/>
      <c r="AX98" s="1588"/>
      <c r="AY98" s="2928"/>
      <c r="BA98" s="2929"/>
      <c r="BB98" s="2930"/>
      <c r="BC98" s="2930"/>
      <c r="BD98" s="2930"/>
      <c r="BE98" s="2930"/>
      <c r="BF98" s="2930"/>
      <c r="BG98" s="2930"/>
      <c r="BH98" s="2930"/>
      <c r="BI98" s="2930"/>
      <c r="BJ98" s="2930"/>
      <c r="BK98" s="2930"/>
      <c r="BL98" s="2930"/>
      <c r="BM98" s="2930"/>
      <c r="BN98" s="2930"/>
      <c r="BO98" s="2930"/>
      <c r="BP98" s="2930"/>
      <c r="BQ98" s="2930"/>
      <c r="BR98" s="2930"/>
      <c r="BS98" s="2930"/>
      <c r="BT98" s="2930"/>
      <c r="BU98" s="2930"/>
      <c r="BV98" s="2930"/>
      <c r="BW98" s="2930"/>
      <c r="BX98" s="2930"/>
      <c r="BY98" s="2930"/>
      <c r="BZ98" s="2930"/>
      <c r="CA98" s="2930"/>
      <c r="CB98" s="2930"/>
      <c r="CC98" s="2930"/>
      <c r="CD98" s="2930"/>
      <c r="CE98" s="2930"/>
      <c r="CF98" s="2930"/>
      <c r="CG98" s="2930"/>
      <c r="CH98" s="2930"/>
      <c r="CI98" s="2931"/>
    </row>
    <row r="99" spans="2:87" ht="17" customHeight="1" outlineLevel="1">
      <c r="B99" s="2919"/>
      <c r="C99" s="2920"/>
      <c r="D99" s="2920"/>
      <c r="E99" s="2920"/>
      <c r="F99" s="2920"/>
      <c r="G99" s="2920"/>
      <c r="H99" s="2920"/>
      <c r="I99" s="2920"/>
      <c r="J99" s="2920"/>
      <c r="K99" s="2920"/>
      <c r="L99" s="2920"/>
      <c r="M99" s="2920"/>
      <c r="N99" s="2920"/>
      <c r="O99" s="2920"/>
      <c r="P99" s="2920"/>
      <c r="Q99" s="2920"/>
      <c r="R99" s="2920"/>
      <c r="S99" s="2920" t="s">
        <v>102</v>
      </c>
      <c r="T99" s="2920"/>
      <c r="U99" s="2921"/>
      <c r="V99" s="2922"/>
      <c r="W99" s="2922"/>
      <c r="X99" s="2922"/>
      <c r="Y99" s="2923"/>
      <c r="AB99" s="2919"/>
      <c r="AC99" s="2920"/>
      <c r="AD99" s="2920"/>
      <c r="AE99" s="2920"/>
      <c r="AF99" s="2920"/>
      <c r="AG99" s="2920"/>
      <c r="AH99" s="2920"/>
      <c r="AI99" s="2920"/>
      <c r="AJ99" s="2920"/>
      <c r="AK99" s="2920"/>
      <c r="AL99" s="2920"/>
      <c r="AM99" s="2920"/>
      <c r="AN99" s="2920"/>
      <c r="AO99" s="2920"/>
      <c r="AP99" s="2920"/>
      <c r="AQ99" s="2920"/>
      <c r="AR99" s="2920"/>
      <c r="AS99" s="2920" t="s">
        <v>102</v>
      </c>
      <c r="AT99" s="2920"/>
      <c r="AU99" s="2921"/>
      <c r="AV99" s="2922"/>
      <c r="AW99" s="2922"/>
      <c r="AX99" s="2922"/>
      <c r="AY99" s="2923"/>
      <c r="BA99" s="2932"/>
      <c r="BB99" s="2904"/>
      <c r="BC99" s="2904"/>
      <c r="BD99" s="2904"/>
      <c r="BE99" s="2904"/>
      <c r="BF99" s="2904"/>
      <c r="BG99" s="2904"/>
      <c r="BH99" s="2904"/>
      <c r="BI99" s="2904"/>
      <c r="BJ99" s="2904"/>
      <c r="BK99" s="2904"/>
      <c r="BL99" s="2904"/>
      <c r="BM99" s="2904"/>
      <c r="BN99" s="2904"/>
      <c r="BO99" s="2904"/>
      <c r="BP99" s="2904"/>
      <c r="BQ99" s="2904"/>
      <c r="BR99" s="2904"/>
      <c r="BS99" s="2904"/>
      <c r="BT99" s="2904"/>
      <c r="BU99" s="2904"/>
      <c r="BV99" s="2904"/>
      <c r="BW99" s="2904"/>
      <c r="BX99" s="2904"/>
      <c r="BY99" s="2904"/>
      <c r="BZ99" s="2904"/>
      <c r="CA99" s="2904"/>
      <c r="CB99" s="2904"/>
      <c r="CC99" s="2904"/>
      <c r="CD99" s="2904"/>
      <c r="CE99" s="2904"/>
      <c r="CF99" s="2904"/>
      <c r="CG99" s="2904"/>
      <c r="CH99" s="2904"/>
      <c r="CI99" s="2905"/>
    </row>
    <row r="100" spans="2:87" ht="17" customHeight="1">
      <c r="B100" s="2925"/>
      <c r="C100" s="2926"/>
      <c r="D100" s="2926"/>
      <c r="E100" s="2926"/>
      <c r="F100" s="2926"/>
      <c r="G100" s="2926"/>
      <c r="H100" s="2926"/>
      <c r="I100" s="2926"/>
      <c r="J100" s="2926"/>
      <c r="K100" s="2926"/>
      <c r="L100" s="2926"/>
      <c r="M100" s="2926"/>
      <c r="N100" s="2926"/>
      <c r="O100" s="2926"/>
      <c r="P100" s="2926"/>
      <c r="Q100" s="2926"/>
      <c r="R100" s="2926"/>
      <c r="S100" s="2926" t="s">
        <v>102</v>
      </c>
      <c r="T100" s="2926"/>
      <c r="U100" s="2927"/>
      <c r="V100" s="1588"/>
      <c r="W100" s="1588"/>
      <c r="X100" s="1588"/>
      <c r="Y100" s="2928"/>
      <c r="AB100" s="2925"/>
      <c r="AC100" s="2926"/>
      <c r="AD100" s="2926"/>
      <c r="AE100" s="2926"/>
      <c r="AF100" s="2926"/>
      <c r="AG100" s="2926"/>
      <c r="AH100" s="2926"/>
      <c r="AI100" s="2926"/>
      <c r="AJ100" s="2926"/>
      <c r="AK100" s="2926"/>
      <c r="AL100" s="2926"/>
      <c r="AM100" s="2926"/>
      <c r="AN100" s="2926"/>
      <c r="AO100" s="2926"/>
      <c r="AP100" s="2926"/>
      <c r="AQ100" s="2926"/>
      <c r="AR100" s="2926"/>
      <c r="AS100" s="2926" t="s">
        <v>102</v>
      </c>
      <c r="AT100" s="2926"/>
      <c r="AU100" s="2927"/>
      <c r="AV100" s="1588"/>
      <c r="AW100" s="1588"/>
      <c r="AX100" s="1588"/>
      <c r="AY100" s="2928"/>
      <c r="BA100" s="2929"/>
      <c r="BB100" s="2930"/>
      <c r="BC100" s="2930"/>
      <c r="BD100" s="2930"/>
      <c r="BE100" s="2930"/>
      <c r="BF100" s="2930"/>
      <c r="BG100" s="2930"/>
      <c r="BH100" s="2930"/>
      <c r="BI100" s="2930"/>
      <c r="BJ100" s="2930"/>
      <c r="BK100" s="2930"/>
      <c r="BL100" s="2930"/>
      <c r="BM100" s="2930"/>
      <c r="BN100" s="2930"/>
      <c r="BO100" s="2930"/>
      <c r="BP100" s="2930"/>
      <c r="BQ100" s="2930"/>
      <c r="BR100" s="2930"/>
      <c r="BS100" s="2930"/>
      <c r="BT100" s="2930"/>
      <c r="BU100" s="2930"/>
      <c r="BV100" s="2930"/>
      <c r="BW100" s="2930"/>
      <c r="BX100" s="2930"/>
      <c r="BY100" s="2930"/>
      <c r="BZ100" s="2930"/>
      <c r="CA100" s="2930"/>
      <c r="CB100" s="2930"/>
      <c r="CC100" s="2930"/>
      <c r="CD100" s="2930"/>
      <c r="CE100" s="2930"/>
      <c r="CF100" s="2930"/>
      <c r="CG100" s="2930"/>
      <c r="CH100" s="2930"/>
      <c r="CI100" s="2931"/>
    </row>
    <row r="101" spans="2:87" ht="17" customHeight="1" outlineLevel="1">
      <c r="B101" s="2919"/>
      <c r="C101" s="2920"/>
      <c r="D101" s="2920"/>
      <c r="E101" s="2920"/>
      <c r="F101" s="2920"/>
      <c r="G101" s="2920"/>
      <c r="H101" s="2920"/>
      <c r="I101" s="2920"/>
      <c r="J101" s="2920"/>
      <c r="K101" s="2920"/>
      <c r="L101" s="2920"/>
      <c r="M101" s="2920"/>
      <c r="N101" s="2920"/>
      <c r="O101" s="2920"/>
      <c r="P101" s="2920"/>
      <c r="Q101" s="2920"/>
      <c r="R101" s="2920"/>
      <c r="S101" s="2920" t="s">
        <v>102</v>
      </c>
      <c r="T101" s="2920"/>
      <c r="U101" s="2921"/>
      <c r="V101" s="2922"/>
      <c r="W101" s="2922"/>
      <c r="X101" s="2922"/>
      <c r="Y101" s="2923"/>
      <c r="AB101" s="2919"/>
      <c r="AC101" s="2920"/>
      <c r="AD101" s="2920"/>
      <c r="AE101" s="2920"/>
      <c r="AF101" s="2920"/>
      <c r="AG101" s="2920"/>
      <c r="AH101" s="2920"/>
      <c r="AI101" s="2920"/>
      <c r="AJ101" s="2920"/>
      <c r="AK101" s="2920"/>
      <c r="AL101" s="2920"/>
      <c r="AM101" s="2920"/>
      <c r="AN101" s="2920"/>
      <c r="AO101" s="2920"/>
      <c r="AP101" s="2920"/>
      <c r="AQ101" s="2920"/>
      <c r="AR101" s="2920"/>
      <c r="AS101" s="2920" t="s">
        <v>102</v>
      </c>
      <c r="AT101" s="2920"/>
      <c r="AU101" s="2921"/>
      <c r="AV101" s="2922"/>
      <c r="AW101" s="2922"/>
      <c r="AX101" s="2922"/>
      <c r="AY101" s="2923"/>
      <c r="BA101" s="2932"/>
      <c r="BB101" s="2904"/>
      <c r="BC101" s="2904"/>
      <c r="BD101" s="2904"/>
      <c r="BE101" s="2904"/>
      <c r="BF101" s="2904"/>
      <c r="BG101" s="2904"/>
      <c r="BH101" s="2904"/>
      <c r="BI101" s="2904"/>
      <c r="BJ101" s="2904"/>
      <c r="BK101" s="2904"/>
      <c r="BL101" s="2904"/>
      <c r="BM101" s="2904"/>
      <c r="BN101" s="2904"/>
      <c r="BO101" s="2904"/>
      <c r="BP101" s="2904"/>
      <c r="BQ101" s="2904"/>
      <c r="BR101" s="2904"/>
      <c r="BS101" s="2904"/>
      <c r="BT101" s="2904"/>
      <c r="BU101" s="2904"/>
      <c r="BV101" s="2904"/>
      <c r="BW101" s="2904"/>
      <c r="BX101" s="2904"/>
      <c r="BY101" s="2904"/>
      <c r="BZ101" s="2904"/>
      <c r="CA101" s="2904"/>
      <c r="CB101" s="2904"/>
      <c r="CC101" s="2904"/>
      <c r="CD101" s="2904"/>
      <c r="CE101" s="2904"/>
      <c r="CF101" s="2904"/>
      <c r="CG101" s="2904"/>
      <c r="CH101" s="2904"/>
      <c r="CI101" s="2905"/>
    </row>
    <row r="102" spans="2:87" ht="17" customHeight="1" outlineLevel="1">
      <c r="B102" s="2925"/>
      <c r="C102" s="2926"/>
      <c r="D102" s="2926"/>
      <c r="E102" s="2926"/>
      <c r="F102" s="2926"/>
      <c r="G102" s="2926"/>
      <c r="H102" s="2926"/>
      <c r="I102" s="2926"/>
      <c r="J102" s="2926"/>
      <c r="K102" s="2926"/>
      <c r="L102" s="2926"/>
      <c r="M102" s="2926"/>
      <c r="N102" s="2926"/>
      <c r="O102" s="2926"/>
      <c r="P102" s="2926"/>
      <c r="Q102" s="2926"/>
      <c r="R102" s="2926"/>
      <c r="S102" s="2926" t="s">
        <v>102</v>
      </c>
      <c r="T102" s="2926"/>
      <c r="U102" s="2927"/>
      <c r="V102" s="1588"/>
      <c r="W102" s="1588"/>
      <c r="X102" s="1588"/>
      <c r="Y102" s="2928"/>
      <c r="AB102" s="2925"/>
      <c r="AC102" s="2926"/>
      <c r="AD102" s="2926"/>
      <c r="AE102" s="2926"/>
      <c r="AF102" s="2926"/>
      <c r="AG102" s="2926"/>
      <c r="AH102" s="2926"/>
      <c r="AI102" s="2926"/>
      <c r="AJ102" s="2926"/>
      <c r="AK102" s="2926"/>
      <c r="AL102" s="2926"/>
      <c r="AM102" s="2926"/>
      <c r="AN102" s="2926"/>
      <c r="AO102" s="2926"/>
      <c r="AP102" s="2926"/>
      <c r="AQ102" s="2926"/>
      <c r="AR102" s="2926"/>
      <c r="AS102" s="2926" t="s">
        <v>102</v>
      </c>
      <c r="AT102" s="2926"/>
      <c r="AU102" s="2927"/>
      <c r="AV102" s="1588"/>
      <c r="AW102" s="1588"/>
      <c r="AX102" s="1588"/>
      <c r="AY102" s="2928"/>
      <c r="BA102" s="2929"/>
      <c r="BB102" s="2930"/>
      <c r="BC102" s="2930"/>
      <c r="BD102" s="2930"/>
      <c r="BE102" s="2930"/>
      <c r="BF102" s="2930"/>
      <c r="BG102" s="2930"/>
      <c r="BH102" s="2930"/>
      <c r="BI102" s="2930"/>
      <c r="BJ102" s="2930"/>
      <c r="BK102" s="2930"/>
      <c r="BL102" s="2930"/>
      <c r="BM102" s="2930"/>
      <c r="BN102" s="2930"/>
      <c r="BO102" s="2930"/>
      <c r="BP102" s="2930"/>
      <c r="BQ102" s="2930"/>
      <c r="BR102" s="2930"/>
      <c r="BS102" s="2930"/>
      <c r="BT102" s="2930"/>
      <c r="BU102" s="2930"/>
      <c r="BV102" s="2930"/>
      <c r="BW102" s="2930"/>
      <c r="BX102" s="2930"/>
      <c r="BY102" s="2930"/>
      <c r="BZ102" s="2930"/>
      <c r="CA102" s="2930"/>
      <c r="CB102" s="2930"/>
      <c r="CC102" s="2930"/>
      <c r="CD102" s="2930"/>
      <c r="CE102" s="2930"/>
      <c r="CF102" s="2930"/>
      <c r="CG102" s="2930"/>
      <c r="CH102" s="2930"/>
      <c r="CI102" s="2931"/>
    </row>
    <row r="103" spans="2:87" ht="17" customHeight="1" outlineLevel="1">
      <c r="B103" s="2919"/>
      <c r="C103" s="2920"/>
      <c r="D103" s="2920"/>
      <c r="E103" s="2920"/>
      <c r="F103" s="2920"/>
      <c r="G103" s="2920"/>
      <c r="H103" s="2920"/>
      <c r="I103" s="2920"/>
      <c r="J103" s="2920"/>
      <c r="K103" s="2920"/>
      <c r="L103" s="2920"/>
      <c r="M103" s="2920"/>
      <c r="N103" s="2920"/>
      <c r="O103" s="2920"/>
      <c r="P103" s="2920"/>
      <c r="Q103" s="2920"/>
      <c r="R103" s="2920"/>
      <c r="S103" s="2920" t="s">
        <v>102</v>
      </c>
      <c r="T103" s="2920"/>
      <c r="U103" s="2921"/>
      <c r="V103" s="2922"/>
      <c r="W103" s="2922"/>
      <c r="X103" s="2922"/>
      <c r="Y103" s="2923"/>
      <c r="AB103" s="2919"/>
      <c r="AC103" s="2920"/>
      <c r="AD103" s="2920"/>
      <c r="AE103" s="2920"/>
      <c r="AF103" s="2920"/>
      <c r="AG103" s="2920"/>
      <c r="AH103" s="2920"/>
      <c r="AI103" s="2920"/>
      <c r="AJ103" s="2920"/>
      <c r="AK103" s="2920"/>
      <c r="AL103" s="2920"/>
      <c r="AM103" s="2920"/>
      <c r="AN103" s="2920"/>
      <c r="AO103" s="2920"/>
      <c r="AP103" s="2920"/>
      <c r="AQ103" s="2920"/>
      <c r="AR103" s="2920"/>
      <c r="AS103" s="2920" t="s">
        <v>102</v>
      </c>
      <c r="AT103" s="2920"/>
      <c r="AU103" s="2921"/>
      <c r="AV103" s="2922"/>
      <c r="AW103" s="2922"/>
      <c r="AX103" s="2922"/>
      <c r="AY103" s="2923"/>
      <c r="BA103" s="2932"/>
      <c r="BB103" s="2904"/>
      <c r="BC103" s="2904"/>
      <c r="BD103" s="2904"/>
      <c r="BE103" s="2904"/>
      <c r="BF103" s="2904"/>
      <c r="BG103" s="2904"/>
      <c r="BH103" s="2904"/>
      <c r="BI103" s="2904"/>
      <c r="BJ103" s="2904"/>
      <c r="BK103" s="2904"/>
      <c r="BL103" s="2904"/>
      <c r="BM103" s="2904"/>
      <c r="BN103" s="2904"/>
      <c r="BO103" s="2904"/>
      <c r="BP103" s="2904"/>
      <c r="BQ103" s="2904"/>
      <c r="BR103" s="2904"/>
      <c r="BS103" s="2904"/>
      <c r="BT103" s="2904"/>
      <c r="BU103" s="2904"/>
      <c r="BV103" s="2904"/>
      <c r="BW103" s="2904"/>
      <c r="BX103" s="2904"/>
      <c r="BY103" s="2904"/>
      <c r="BZ103" s="2904"/>
      <c r="CA103" s="2904"/>
      <c r="CB103" s="2904"/>
      <c r="CC103" s="2904"/>
      <c r="CD103" s="2904"/>
      <c r="CE103" s="2904"/>
      <c r="CF103" s="2904"/>
      <c r="CG103" s="2904"/>
      <c r="CH103" s="2904"/>
      <c r="CI103" s="2905"/>
    </row>
    <row r="104" spans="2:87" ht="17" customHeight="1" outlineLevel="1">
      <c r="B104" s="2925"/>
      <c r="C104" s="2926"/>
      <c r="D104" s="2926"/>
      <c r="E104" s="2926"/>
      <c r="F104" s="2926"/>
      <c r="G104" s="2926"/>
      <c r="H104" s="2926"/>
      <c r="I104" s="2926"/>
      <c r="J104" s="2926"/>
      <c r="K104" s="2926"/>
      <c r="L104" s="2926"/>
      <c r="M104" s="2926"/>
      <c r="N104" s="2926"/>
      <c r="O104" s="2926"/>
      <c r="P104" s="2926"/>
      <c r="Q104" s="2926"/>
      <c r="R104" s="2926"/>
      <c r="S104" s="2926" t="s">
        <v>102</v>
      </c>
      <c r="T104" s="2926"/>
      <c r="U104" s="2927"/>
      <c r="V104" s="1588"/>
      <c r="W104" s="1588"/>
      <c r="X104" s="1588"/>
      <c r="Y104" s="2928"/>
      <c r="AB104" s="2925"/>
      <c r="AC104" s="2926"/>
      <c r="AD104" s="2926"/>
      <c r="AE104" s="2926"/>
      <c r="AF104" s="2926"/>
      <c r="AG104" s="2926"/>
      <c r="AH104" s="2926"/>
      <c r="AI104" s="2926"/>
      <c r="AJ104" s="2926"/>
      <c r="AK104" s="2926"/>
      <c r="AL104" s="2926"/>
      <c r="AM104" s="2926"/>
      <c r="AN104" s="2926"/>
      <c r="AO104" s="2926"/>
      <c r="AP104" s="2926"/>
      <c r="AQ104" s="2926"/>
      <c r="AR104" s="2926"/>
      <c r="AS104" s="2926" t="s">
        <v>102</v>
      </c>
      <c r="AT104" s="2926"/>
      <c r="AU104" s="2927"/>
      <c r="AV104" s="1588"/>
      <c r="AW104" s="1588"/>
      <c r="AX104" s="1588"/>
      <c r="AY104" s="2928"/>
      <c r="BA104" s="2929"/>
      <c r="BB104" s="2930"/>
      <c r="BC104" s="2930"/>
      <c r="BD104" s="2930"/>
      <c r="BE104" s="2930"/>
      <c r="BF104" s="2930"/>
      <c r="BG104" s="2930"/>
      <c r="BH104" s="2930"/>
      <c r="BI104" s="2930"/>
      <c r="BJ104" s="2930"/>
      <c r="BK104" s="2930"/>
      <c r="BL104" s="2930"/>
      <c r="BM104" s="2930"/>
      <c r="BN104" s="2930"/>
      <c r="BO104" s="2930"/>
      <c r="BP104" s="2930"/>
      <c r="BQ104" s="2930"/>
      <c r="BR104" s="2930"/>
      <c r="BS104" s="2930"/>
      <c r="BT104" s="2930"/>
      <c r="BU104" s="2930"/>
      <c r="BV104" s="2930"/>
      <c r="BW104" s="2930"/>
      <c r="BX104" s="2930"/>
      <c r="BY104" s="2930"/>
      <c r="BZ104" s="2930"/>
      <c r="CA104" s="2930"/>
      <c r="CB104" s="2930"/>
      <c r="CC104" s="2930"/>
      <c r="CD104" s="2930"/>
      <c r="CE104" s="2930"/>
      <c r="CF104" s="2930"/>
      <c r="CG104" s="2930"/>
      <c r="CH104" s="2930"/>
      <c r="CI104" s="2931"/>
    </row>
    <row r="105" spans="2:87" ht="17" customHeight="1" outlineLevel="1">
      <c r="B105" s="2919"/>
      <c r="C105" s="2920"/>
      <c r="D105" s="2920"/>
      <c r="E105" s="2920"/>
      <c r="F105" s="2920"/>
      <c r="G105" s="2920"/>
      <c r="H105" s="2920"/>
      <c r="I105" s="2920"/>
      <c r="J105" s="2920"/>
      <c r="K105" s="2920"/>
      <c r="L105" s="2920"/>
      <c r="M105" s="2920"/>
      <c r="N105" s="2920"/>
      <c r="O105" s="2920"/>
      <c r="P105" s="2920"/>
      <c r="Q105" s="2920"/>
      <c r="R105" s="2920"/>
      <c r="S105" s="2920" t="s">
        <v>102</v>
      </c>
      <c r="T105" s="2920"/>
      <c r="U105" s="2921"/>
      <c r="V105" s="2922"/>
      <c r="W105" s="2922"/>
      <c r="X105" s="2922"/>
      <c r="Y105" s="2923"/>
      <c r="AB105" s="2919"/>
      <c r="AC105" s="2920"/>
      <c r="AD105" s="2920"/>
      <c r="AE105" s="2920"/>
      <c r="AF105" s="2920"/>
      <c r="AG105" s="2920"/>
      <c r="AH105" s="2920"/>
      <c r="AI105" s="2920"/>
      <c r="AJ105" s="2920"/>
      <c r="AK105" s="2920"/>
      <c r="AL105" s="2920"/>
      <c r="AM105" s="2920"/>
      <c r="AN105" s="2920"/>
      <c r="AO105" s="2920"/>
      <c r="AP105" s="2920"/>
      <c r="AQ105" s="2920"/>
      <c r="AR105" s="2920"/>
      <c r="AS105" s="2920" t="s">
        <v>102</v>
      </c>
      <c r="AT105" s="2920"/>
      <c r="AU105" s="2921"/>
      <c r="AV105" s="2922"/>
      <c r="AW105" s="2922"/>
      <c r="AX105" s="2922"/>
      <c r="AY105" s="2923"/>
      <c r="BA105" s="2932"/>
      <c r="BB105" s="2904"/>
      <c r="BC105" s="2904"/>
      <c r="BD105" s="2904"/>
      <c r="BE105" s="2904"/>
      <c r="BF105" s="2904"/>
      <c r="BG105" s="2904"/>
      <c r="BH105" s="2904"/>
      <c r="BI105" s="2904"/>
      <c r="BJ105" s="2904"/>
      <c r="BK105" s="2904"/>
      <c r="BL105" s="2904"/>
      <c r="BM105" s="2904"/>
      <c r="BN105" s="2904"/>
      <c r="BO105" s="2904"/>
      <c r="BP105" s="2904"/>
      <c r="BQ105" s="2904"/>
      <c r="BR105" s="2904"/>
      <c r="BS105" s="2904"/>
      <c r="BT105" s="2904"/>
      <c r="BU105" s="2904"/>
      <c r="BV105" s="2904"/>
      <c r="BW105" s="2904"/>
      <c r="BX105" s="2904"/>
      <c r="BY105" s="2904"/>
      <c r="BZ105" s="2904"/>
      <c r="CA105" s="2904"/>
      <c r="CB105" s="2904"/>
      <c r="CC105" s="2904"/>
      <c r="CD105" s="2904"/>
      <c r="CE105" s="2904"/>
      <c r="CF105" s="2904"/>
      <c r="CG105" s="2904"/>
      <c r="CH105" s="2904"/>
      <c r="CI105" s="2905"/>
    </row>
    <row r="106" spans="2:87" ht="17" customHeight="1" outlineLevel="1">
      <c r="B106" s="2925"/>
      <c r="C106" s="2926"/>
      <c r="D106" s="2926"/>
      <c r="E106" s="2926"/>
      <c r="F106" s="2926"/>
      <c r="G106" s="2926"/>
      <c r="H106" s="2926"/>
      <c r="I106" s="2926"/>
      <c r="J106" s="2926"/>
      <c r="K106" s="2926"/>
      <c r="L106" s="2926"/>
      <c r="M106" s="2926"/>
      <c r="N106" s="2926"/>
      <c r="O106" s="2926"/>
      <c r="P106" s="2926"/>
      <c r="Q106" s="2926"/>
      <c r="R106" s="2926"/>
      <c r="S106" s="2926" t="s">
        <v>102</v>
      </c>
      <c r="T106" s="2926"/>
      <c r="U106" s="2927"/>
      <c r="V106" s="1588"/>
      <c r="W106" s="1588"/>
      <c r="X106" s="1588"/>
      <c r="Y106" s="2928"/>
      <c r="AB106" s="2925"/>
      <c r="AC106" s="2926"/>
      <c r="AD106" s="2926"/>
      <c r="AE106" s="2926"/>
      <c r="AF106" s="2926"/>
      <c r="AG106" s="2926"/>
      <c r="AH106" s="2926"/>
      <c r="AI106" s="2926"/>
      <c r="AJ106" s="2926"/>
      <c r="AK106" s="2926"/>
      <c r="AL106" s="2926"/>
      <c r="AM106" s="2926"/>
      <c r="AN106" s="2926"/>
      <c r="AO106" s="2926"/>
      <c r="AP106" s="2926"/>
      <c r="AQ106" s="2926"/>
      <c r="AR106" s="2926"/>
      <c r="AS106" s="2926" t="s">
        <v>102</v>
      </c>
      <c r="AT106" s="2926"/>
      <c r="AU106" s="2927"/>
      <c r="AV106" s="1588"/>
      <c r="AW106" s="1588"/>
      <c r="AX106" s="1588"/>
      <c r="AY106" s="2928"/>
      <c r="BA106" s="2929"/>
      <c r="BB106" s="2930"/>
      <c r="BC106" s="2930"/>
      <c r="BD106" s="2930"/>
      <c r="BE106" s="2930"/>
      <c r="BF106" s="2930"/>
      <c r="BG106" s="2930"/>
      <c r="BH106" s="2930"/>
      <c r="BI106" s="2930"/>
      <c r="BJ106" s="2930"/>
      <c r="BK106" s="2930"/>
      <c r="BL106" s="2930"/>
      <c r="BM106" s="2930"/>
      <c r="BN106" s="2930"/>
      <c r="BO106" s="2930"/>
      <c r="BP106" s="2930"/>
      <c r="BQ106" s="2930"/>
      <c r="BR106" s="2930"/>
      <c r="BS106" s="2930"/>
      <c r="BT106" s="2930"/>
      <c r="BU106" s="2930"/>
      <c r="BV106" s="2930"/>
      <c r="BW106" s="2930"/>
      <c r="BX106" s="2930"/>
      <c r="BY106" s="2930"/>
      <c r="BZ106" s="2930"/>
      <c r="CA106" s="2930"/>
      <c r="CB106" s="2930"/>
      <c r="CC106" s="2930"/>
      <c r="CD106" s="2930"/>
      <c r="CE106" s="2930"/>
      <c r="CF106" s="2930"/>
      <c r="CG106" s="2930"/>
      <c r="CH106" s="2930"/>
      <c r="CI106" s="2931"/>
    </row>
    <row r="107" spans="2:87" ht="17" customHeight="1" outlineLevel="1">
      <c r="B107" s="2919"/>
      <c r="C107" s="2920"/>
      <c r="D107" s="2920"/>
      <c r="E107" s="2920"/>
      <c r="F107" s="2920"/>
      <c r="G107" s="2920"/>
      <c r="H107" s="2920"/>
      <c r="I107" s="2920"/>
      <c r="J107" s="2920"/>
      <c r="K107" s="2920"/>
      <c r="L107" s="2920"/>
      <c r="M107" s="2920"/>
      <c r="N107" s="2920"/>
      <c r="O107" s="2920"/>
      <c r="P107" s="2920"/>
      <c r="Q107" s="2920"/>
      <c r="R107" s="2920"/>
      <c r="S107" s="2920" t="s">
        <v>102</v>
      </c>
      <c r="T107" s="2920"/>
      <c r="U107" s="2921"/>
      <c r="V107" s="2922"/>
      <c r="W107" s="2922"/>
      <c r="X107" s="2922"/>
      <c r="Y107" s="2923"/>
      <c r="AB107" s="2919"/>
      <c r="AC107" s="2920"/>
      <c r="AD107" s="2920"/>
      <c r="AE107" s="2920"/>
      <c r="AF107" s="2920"/>
      <c r="AG107" s="2920"/>
      <c r="AH107" s="2920"/>
      <c r="AI107" s="2920"/>
      <c r="AJ107" s="2920"/>
      <c r="AK107" s="2920"/>
      <c r="AL107" s="2920"/>
      <c r="AM107" s="2920"/>
      <c r="AN107" s="2920"/>
      <c r="AO107" s="2920"/>
      <c r="AP107" s="2920"/>
      <c r="AQ107" s="2920"/>
      <c r="AR107" s="2920"/>
      <c r="AS107" s="2920" t="s">
        <v>102</v>
      </c>
      <c r="AT107" s="2920"/>
      <c r="AU107" s="2921"/>
      <c r="AV107" s="2922"/>
      <c r="AW107" s="2922"/>
      <c r="AX107" s="2922"/>
      <c r="AY107" s="2923"/>
      <c r="BA107" s="2932"/>
      <c r="BB107" s="2904"/>
      <c r="BC107" s="2904"/>
      <c r="BD107" s="2904"/>
      <c r="BE107" s="2904"/>
      <c r="BF107" s="2904"/>
      <c r="BG107" s="2904"/>
      <c r="BH107" s="2904"/>
      <c r="BI107" s="2904"/>
      <c r="BJ107" s="2904"/>
      <c r="BK107" s="2904"/>
      <c r="BL107" s="2904"/>
      <c r="BM107" s="2904"/>
      <c r="BN107" s="2904"/>
      <c r="BO107" s="2904"/>
      <c r="BP107" s="2904"/>
      <c r="BQ107" s="2904"/>
      <c r="BR107" s="2904"/>
      <c r="BS107" s="2904"/>
      <c r="BT107" s="2904"/>
      <c r="BU107" s="2904"/>
      <c r="BV107" s="2904"/>
      <c r="BW107" s="2904"/>
      <c r="BX107" s="2904"/>
      <c r="BY107" s="2904"/>
      <c r="BZ107" s="2904"/>
      <c r="CA107" s="2904"/>
      <c r="CB107" s="2904"/>
      <c r="CC107" s="2904"/>
      <c r="CD107" s="2904"/>
      <c r="CE107" s="2904"/>
      <c r="CF107" s="2904"/>
      <c r="CG107" s="2904"/>
      <c r="CH107" s="2904"/>
      <c r="CI107" s="2905"/>
    </row>
    <row r="108" spans="2:87" ht="17" customHeight="1" outlineLevel="1">
      <c r="B108" s="2925"/>
      <c r="C108" s="2926"/>
      <c r="D108" s="2926"/>
      <c r="E108" s="2926"/>
      <c r="F108" s="2926"/>
      <c r="G108" s="2926"/>
      <c r="H108" s="2926"/>
      <c r="I108" s="2926"/>
      <c r="J108" s="2926"/>
      <c r="K108" s="2926"/>
      <c r="L108" s="2926"/>
      <c r="M108" s="2926"/>
      <c r="N108" s="2926"/>
      <c r="O108" s="2926"/>
      <c r="P108" s="2926"/>
      <c r="Q108" s="2926"/>
      <c r="R108" s="2926"/>
      <c r="S108" s="2926" t="s">
        <v>102</v>
      </c>
      <c r="T108" s="2926"/>
      <c r="U108" s="2927"/>
      <c r="V108" s="1588"/>
      <c r="W108" s="1588"/>
      <c r="X108" s="1588"/>
      <c r="Y108" s="2928"/>
      <c r="AB108" s="2925"/>
      <c r="AC108" s="2926"/>
      <c r="AD108" s="2926"/>
      <c r="AE108" s="2926"/>
      <c r="AF108" s="2926"/>
      <c r="AG108" s="2926"/>
      <c r="AH108" s="2926"/>
      <c r="AI108" s="2926"/>
      <c r="AJ108" s="2926"/>
      <c r="AK108" s="2926"/>
      <c r="AL108" s="2926"/>
      <c r="AM108" s="2926"/>
      <c r="AN108" s="2926"/>
      <c r="AO108" s="2926"/>
      <c r="AP108" s="2926"/>
      <c r="AQ108" s="2926"/>
      <c r="AR108" s="2926"/>
      <c r="AS108" s="2926" t="s">
        <v>102</v>
      </c>
      <c r="AT108" s="2926"/>
      <c r="AU108" s="2927"/>
      <c r="AV108" s="1588"/>
      <c r="AW108" s="1588"/>
      <c r="AX108" s="1588"/>
      <c r="AY108" s="2928"/>
      <c r="BA108" s="2929"/>
      <c r="BB108" s="2930"/>
      <c r="BC108" s="2930"/>
      <c r="BD108" s="2930"/>
      <c r="BE108" s="2930"/>
      <c r="BF108" s="2930"/>
      <c r="BG108" s="2930"/>
      <c r="BH108" s="2930"/>
      <c r="BI108" s="2930"/>
      <c r="BJ108" s="2930"/>
      <c r="BK108" s="2930"/>
      <c r="BL108" s="2930"/>
      <c r="BM108" s="2930"/>
      <c r="BN108" s="2930"/>
      <c r="BO108" s="2930"/>
      <c r="BP108" s="2930"/>
      <c r="BQ108" s="2930"/>
      <c r="BR108" s="2930"/>
      <c r="BS108" s="2930"/>
      <c r="BT108" s="2930"/>
      <c r="BU108" s="2930"/>
      <c r="BV108" s="2930"/>
      <c r="BW108" s="2930"/>
      <c r="BX108" s="2930"/>
      <c r="BY108" s="2930"/>
      <c r="BZ108" s="2930"/>
      <c r="CA108" s="2930"/>
      <c r="CB108" s="2930"/>
      <c r="CC108" s="2930"/>
      <c r="CD108" s="2930"/>
      <c r="CE108" s="2930"/>
      <c r="CF108" s="2930"/>
      <c r="CG108" s="2930"/>
      <c r="CH108" s="2930"/>
      <c r="CI108" s="2931"/>
    </row>
    <row r="109" spans="2:87" ht="17" customHeight="1" outlineLevel="1">
      <c r="B109" s="2919"/>
      <c r="C109" s="2920"/>
      <c r="D109" s="2920"/>
      <c r="E109" s="2920"/>
      <c r="F109" s="2920"/>
      <c r="G109" s="2920"/>
      <c r="H109" s="2920"/>
      <c r="I109" s="2920"/>
      <c r="J109" s="2920"/>
      <c r="K109" s="2920"/>
      <c r="L109" s="2920"/>
      <c r="M109" s="2920"/>
      <c r="N109" s="2920"/>
      <c r="O109" s="2920"/>
      <c r="P109" s="2920"/>
      <c r="Q109" s="2920"/>
      <c r="R109" s="2920"/>
      <c r="S109" s="2920" t="s">
        <v>102</v>
      </c>
      <c r="T109" s="2920"/>
      <c r="U109" s="2921"/>
      <c r="V109" s="2922"/>
      <c r="W109" s="2922"/>
      <c r="X109" s="2922"/>
      <c r="Y109" s="2923"/>
      <c r="AB109" s="2919"/>
      <c r="AC109" s="2920"/>
      <c r="AD109" s="2920"/>
      <c r="AE109" s="2920"/>
      <c r="AF109" s="2920"/>
      <c r="AG109" s="2920"/>
      <c r="AH109" s="2920"/>
      <c r="AI109" s="2920"/>
      <c r="AJ109" s="2920"/>
      <c r="AK109" s="2920"/>
      <c r="AL109" s="2920"/>
      <c r="AM109" s="2920"/>
      <c r="AN109" s="2920"/>
      <c r="AO109" s="2920"/>
      <c r="AP109" s="2920"/>
      <c r="AQ109" s="2920"/>
      <c r="AR109" s="2920"/>
      <c r="AS109" s="2920" t="s">
        <v>102</v>
      </c>
      <c r="AT109" s="2920"/>
      <c r="AU109" s="2921"/>
      <c r="AV109" s="2922"/>
      <c r="AW109" s="2922"/>
      <c r="AX109" s="2922"/>
      <c r="AY109" s="2923"/>
      <c r="BA109" s="2932"/>
      <c r="BB109" s="2904"/>
      <c r="BC109" s="2904"/>
      <c r="BD109" s="2904"/>
      <c r="BE109" s="2904"/>
      <c r="BF109" s="2904"/>
      <c r="BG109" s="2904"/>
      <c r="BH109" s="2904"/>
      <c r="BI109" s="2904"/>
      <c r="BJ109" s="2904"/>
      <c r="BK109" s="2904"/>
      <c r="BL109" s="2904"/>
      <c r="BM109" s="2904"/>
      <c r="BN109" s="2904"/>
      <c r="BO109" s="2904"/>
      <c r="BP109" s="2904"/>
      <c r="BQ109" s="2904"/>
      <c r="BR109" s="2904"/>
      <c r="BS109" s="2904"/>
      <c r="BT109" s="2904"/>
      <c r="BU109" s="2904"/>
      <c r="BV109" s="2904"/>
      <c r="BW109" s="2904"/>
      <c r="BX109" s="2904"/>
      <c r="BY109" s="2904"/>
      <c r="BZ109" s="2904"/>
      <c r="CA109" s="2904"/>
      <c r="CB109" s="2904"/>
      <c r="CC109" s="2904"/>
      <c r="CD109" s="2904"/>
      <c r="CE109" s="2904"/>
      <c r="CF109" s="2904"/>
      <c r="CG109" s="2904"/>
      <c r="CH109" s="2904"/>
      <c r="CI109" s="2905"/>
    </row>
    <row r="110" spans="2:87" ht="17" customHeight="1" outlineLevel="1">
      <c r="B110" s="2925"/>
      <c r="C110" s="2926"/>
      <c r="D110" s="2926"/>
      <c r="E110" s="2926"/>
      <c r="F110" s="2926"/>
      <c r="G110" s="2926"/>
      <c r="H110" s="2926"/>
      <c r="I110" s="2926"/>
      <c r="J110" s="2926"/>
      <c r="K110" s="2926"/>
      <c r="L110" s="2926"/>
      <c r="M110" s="2926"/>
      <c r="N110" s="2926"/>
      <c r="O110" s="2926"/>
      <c r="P110" s="2926"/>
      <c r="Q110" s="2926"/>
      <c r="R110" s="2926"/>
      <c r="S110" s="2926" t="s">
        <v>102</v>
      </c>
      <c r="T110" s="2926"/>
      <c r="U110" s="2927"/>
      <c r="V110" s="1588"/>
      <c r="W110" s="1588"/>
      <c r="X110" s="1588"/>
      <c r="Y110" s="2928"/>
      <c r="AB110" s="2925"/>
      <c r="AC110" s="2926"/>
      <c r="AD110" s="2926"/>
      <c r="AE110" s="2926"/>
      <c r="AF110" s="2926"/>
      <c r="AG110" s="2926"/>
      <c r="AH110" s="2926"/>
      <c r="AI110" s="2926"/>
      <c r="AJ110" s="2926"/>
      <c r="AK110" s="2926"/>
      <c r="AL110" s="2926"/>
      <c r="AM110" s="2926"/>
      <c r="AN110" s="2926"/>
      <c r="AO110" s="2926"/>
      <c r="AP110" s="2926"/>
      <c r="AQ110" s="2926"/>
      <c r="AR110" s="2926"/>
      <c r="AS110" s="2926" t="s">
        <v>102</v>
      </c>
      <c r="AT110" s="2926"/>
      <c r="AU110" s="2927"/>
      <c r="AV110" s="1588"/>
      <c r="AW110" s="1588"/>
      <c r="AX110" s="1588"/>
      <c r="AY110" s="2928"/>
      <c r="BA110" s="2929"/>
      <c r="BB110" s="2930"/>
      <c r="BC110" s="2930"/>
      <c r="BD110" s="2930"/>
      <c r="BE110" s="2930"/>
      <c r="BF110" s="2930"/>
      <c r="BG110" s="2930"/>
      <c r="BH110" s="2930"/>
      <c r="BI110" s="2930"/>
      <c r="BJ110" s="2930"/>
      <c r="BK110" s="2930"/>
      <c r="BL110" s="2930"/>
      <c r="BM110" s="2930"/>
      <c r="BN110" s="2930"/>
      <c r="BO110" s="2930"/>
      <c r="BP110" s="2930"/>
      <c r="BQ110" s="2930"/>
      <c r="BR110" s="2930"/>
      <c r="BS110" s="2930"/>
      <c r="BT110" s="2930"/>
      <c r="BU110" s="2930"/>
      <c r="BV110" s="2930"/>
      <c r="BW110" s="2930"/>
      <c r="BX110" s="2930"/>
      <c r="BY110" s="2930"/>
      <c r="BZ110" s="2930"/>
      <c r="CA110" s="2930"/>
      <c r="CB110" s="2930"/>
      <c r="CC110" s="2930"/>
      <c r="CD110" s="2930"/>
      <c r="CE110" s="2930"/>
      <c r="CF110" s="2930"/>
      <c r="CG110" s="2930"/>
      <c r="CH110" s="2930"/>
      <c r="CI110" s="2931"/>
    </row>
    <row r="111" spans="2:87" ht="17" customHeight="1" outlineLevel="1">
      <c r="B111" s="2919"/>
      <c r="C111" s="2920"/>
      <c r="D111" s="2920"/>
      <c r="E111" s="2920"/>
      <c r="F111" s="2920"/>
      <c r="G111" s="2920"/>
      <c r="H111" s="2920"/>
      <c r="I111" s="2920"/>
      <c r="J111" s="2920"/>
      <c r="K111" s="2920"/>
      <c r="L111" s="2920"/>
      <c r="M111" s="2920"/>
      <c r="N111" s="2920"/>
      <c r="O111" s="2920"/>
      <c r="P111" s="2920"/>
      <c r="Q111" s="2920"/>
      <c r="R111" s="2920"/>
      <c r="S111" s="2920" t="s">
        <v>102</v>
      </c>
      <c r="T111" s="2920"/>
      <c r="U111" s="2921"/>
      <c r="V111" s="2922"/>
      <c r="W111" s="2922"/>
      <c r="X111" s="2922"/>
      <c r="Y111" s="2923"/>
      <c r="AB111" s="2919"/>
      <c r="AC111" s="2920"/>
      <c r="AD111" s="2920"/>
      <c r="AE111" s="2920"/>
      <c r="AF111" s="2920"/>
      <c r="AG111" s="2920"/>
      <c r="AH111" s="2920"/>
      <c r="AI111" s="2920"/>
      <c r="AJ111" s="2920"/>
      <c r="AK111" s="2920"/>
      <c r="AL111" s="2920"/>
      <c r="AM111" s="2920"/>
      <c r="AN111" s="2920"/>
      <c r="AO111" s="2920"/>
      <c r="AP111" s="2920"/>
      <c r="AQ111" s="2920"/>
      <c r="AR111" s="2920"/>
      <c r="AS111" s="2920" t="s">
        <v>102</v>
      </c>
      <c r="AT111" s="2920"/>
      <c r="AU111" s="2921"/>
      <c r="AV111" s="2922"/>
      <c r="AW111" s="2922"/>
      <c r="AX111" s="2922"/>
      <c r="AY111" s="2923"/>
      <c r="BA111" s="2932"/>
      <c r="BB111" s="2904"/>
      <c r="BC111" s="2904"/>
      <c r="BD111" s="2904"/>
      <c r="BE111" s="2904"/>
      <c r="BF111" s="2904"/>
      <c r="BG111" s="2904"/>
      <c r="BH111" s="2904"/>
      <c r="BI111" s="2904"/>
      <c r="BJ111" s="2904"/>
      <c r="BK111" s="2904"/>
      <c r="BL111" s="2904"/>
      <c r="BM111" s="2904"/>
      <c r="BN111" s="2904"/>
      <c r="BO111" s="2904"/>
      <c r="BP111" s="2904"/>
      <c r="BQ111" s="2904"/>
      <c r="BR111" s="2904"/>
      <c r="BS111" s="2904"/>
      <c r="BT111" s="2904"/>
      <c r="BU111" s="2904"/>
      <c r="BV111" s="2904"/>
      <c r="BW111" s="2904"/>
      <c r="BX111" s="2904"/>
      <c r="BY111" s="2904"/>
      <c r="BZ111" s="2904"/>
      <c r="CA111" s="2904"/>
      <c r="CB111" s="2904"/>
      <c r="CC111" s="2904"/>
      <c r="CD111" s="2904"/>
      <c r="CE111" s="2904"/>
      <c r="CF111" s="2904"/>
      <c r="CG111" s="2904"/>
      <c r="CH111" s="2904"/>
      <c r="CI111" s="2905"/>
    </row>
    <row r="112" spans="2:87" ht="17" customHeight="1" outlineLevel="1">
      <c r="B112" s="2925"/>
      <c r="C112" s="2926"/>
      <c r="D112" s="2926"/>
      <c r="E112" s="2926"/>
      <c r="F112" s="2926"/>
      <c r="G112" s="2926"/>
      <c r="H112" s="2926"/>
      <c r="I112" s="2926"/>
      <c r="J112" s="2926"/>
      <c r="K112" s="2926"/>
      <c r="L112" s="2926"/>
      <c r="M112" s="2926"/>
      <c r="N112" s="2926"/>
      <c r="O112" s="2926"/>
      <c r="P112" s="2926"/>
      <c r="Q112" s="2926"/>
      <c r="R112" s="2926"/>
      <c r="S112" s="2926" t="s">
        <v>102</v>
      </c>
      <c r="T112" s="2926"/>
      <c r="U112" s="2927"/>
      <c r="V112" s="1588"/>
      <c r="W112" s="1588"/>
      <c r="X112" s="1588"/>
      <c r="Y112" s="2928"/>
      <c r="AB112" s="2925"/>
      <c r="AC112" s="2926"/>
      <c r="AD112" s="2926"/>
      <c r="AE112" s="2926"/>
      <c r="AF112" s="2926"/>
      <c r="AG112" s="2926"/>
      <c r="AH112" s="2926"/>
      <c r="AI112" s="2926"/>
      <c r="AJ112" s="2926"/>
      <c r="AK112" s="2926"/>
      <c r="AL112" s="2926"/>
      <c r="AM112" s="2926"/>
      <c r="AN112" s="2926"/>
      <c r="AO112" s="2926"/>
      <c r="AP112" s="2926"/>
      <c r="AQ112" s="2926"/>
      <c r="AR112" s="2926"/>
      <c r="AS112" s="2926" t="s">
        <v>102</v>
      </c>
      <c r="AT112" s="2926"/>
      <c r="AU112" s="2927"/>
      <c r="AV112" s="1588"/>
      <c r="AW112" s="1588"/>
      <c r="AX112" s="1588"/>
      <c r="AY112" s="2928"/>
      <c r="BA112" s="2929"/>
      <c r="BB112" s="2930"/>
      <c r="BC112" s="2930"/>
      <c r="BD112" s="2930"/>
      <c r="BE112" s="2930"/>
      <c r="BF112" s="2930"/>
      <c r="BG112" s="2930"/>
      <c r="BH112" s="2930"/>
      <c r="BI112" s="2930"/>
      <c r="BJ112" s="2930"/>
      <c r="BK112" s="2930"/>
      <c r="BL112" s="2930"/>
      <c r="BM112" s="2930"/>
      <c r="BN112" s="2930"/>
      <c r="BO112" s="2930"/>
      <c r="BP112" s="2930"/>
      <c r="BQ112" s="2930"/>
      <c r="BR112" s="2930"/>
      <c r="BS112" s="2930"/>
      <c r="BT112" s="2930"/>
      <c r="BU112" s="2930"/>
      <c r="BV112" s="2930"/>
      <c r="BW112" s="2930"/>
      <c r="BX112" s="2930"/>
      <c r="BY112" s="2930"/>
      <c r="BZ112" s="2930"/>
      <c r="CA112" s="2930"/>
      <c r="CB112" s="2930"/>
      <c r="CC112" s="2930"/>
      <c r="CD112" s="2930"/>
      <c r="CE112" s="2930"/>
      <c r="CF112" s="2930"/>
      <c r="CG112" s="2930"/>
      <c r="CH112" s="2930"/>
      <c r="CI112" s="2931"/>
    </row>
    <row r="113" spans="2:87" ht="17" customHeight="1" outlineLevel="1">
      <c r="B113" s="2919"/>
      <c r="C113" s="2920"/>
      <c r="D113" s="2920"/>
      <c r="E113" s="2920"/>
      <c r="F113" s="2920"/>
      <c r="G113" s="2920"/>
      <c r="H113" s="2920"/>
      <c r="I113" s="2920"/>
      <c r="J113" s="2920"/>
      <c r="K113" s="2920"/>
      <c r="L113" s="2920"/>
      <c r="M113" s="2920"/>
      <c r="N113" s="2920"/>
      <c r="O113" s="2920"/>
      <c r="P113" s="2920"/>
      <c r="Q113" s="2920"/>
      <c r="R113" s="2920"/>
      <c r="S113" s="2920" t="s">
        <v>102</v>
      </c>
      <c r="T113" s="2920"/>
      <c r="U113" s="2921"/>
      <c r="V113" s="2922"/>
      <c r="W113" s="2922"/>
      <c r="X113" s="2922"/>
      <c r="Y113" s="2923"/>
      <c r="AB113" s="2919"/>
      <c r="AC113" s="2920"/>
      <c r="AD113" s="2920"/>
      <c r="AE113" s="2920"/>
      <c r="AF113" s="2920"/>
      <c r="AG113" s="2920"/>
      <c r="AH113" s="2920"/>
      <c r="AI113" s="2920"/>
      <c r="AJ113" s="2920"/>
      <c r="AK113" s="2920"/>
      <c r="AL113" s="2920"/>
      <c r="AM113" s="2920"/>
      <c r="AN113" s="2920"/>
      <c r="AO113" s="2920"/>
      <c r="AP113" s="2920"/>
      <c r="AQ113" s="2920"/>
      <c r="AR113" s="2920"/>
      <c r="AS113" s="2920" t="s">
        <v>102</v>
      </c>
      <c r="AT113" s="2920"/>
      <c r="AU113" s="2921"/>
      <c r="AV113" s="2922"/>
      <c r="AW113" s="2922"/>
      <c r="AX113" s="2922"/>
      <c r="AY113" s="2923"/>
      <c r="BA113" s="2924"/>
      <c r="BB113" s="2909"/>
      <c r="BC113" s="2909"/>
      <c r="BD113" s="2909"/>
      <c r="BE113" s="2909"/>
      <c r="BF113" s="2909"/>
      <c r="BG113" s="2909"/>
      <c r="BH113" s="2909"/>
      <c r="BI113" s="2909"/>
      <c r="BJ113" s="2909"/>
      <c r="BK113" s="2909"/>
      <c r="BL113" s="2909"/>
      <c r="BM113" s="2909"/>
      <c r="BN113" s="2909"/>
      <c r="BO113" s="2909"/>
      <c r="BP113" s="2909"/>
      <c r="BQ113" s="2909"/>
      <c r="BR113" s="2909"/>
      <c r="BS113" s="2909"/>
      <c r="BT113" s="2909"/>
      <c r="BU113" s="2909"/>
      <c r="BV113" s="2909"/>
      <c r="BW113" s="2909"/>
      <c r="BX113" s="2909"/>
      <c r="BY113" s="2909"/>
      <c r="BZ113" s="2909"/>
      <c r="CA113" s="2909"/>
      <c r="CB113" s="2909"/>
      <c r="CC113" s="2909"/>
      <c r="CD113" s="2909"/>
      <c r="CE113" s="2909"/>
      <c r="CF113" s="2909"/>
      <c r="CG113" s="2909"/>
      <c r="CH113" s="2909"/>
      <c r="CI113" s="2910"/>
    </row>
    <row r="114" spans="2:87" ht="17" customHeight="1"/>
    <row r="115" spans="2:87">
      <c r="B115" s="2851" t="str">
        <f>IF(CF30=0,"书籍是人类进步的阶梯，快去找本书看吧","你已经浏览过了"&amp;CF30&amp;"本书了！")</f>
        <v>书籍是人类进步的阶梯，快去找本书看吧</v>
      </c>
      <c r="C115" s="2851"/>
      <c r="D115" s="2851"/>
      <c r="E115" s="2851"/>
      <c r="F115" s="2851"/>
      <c r="G115" s="2851"/>
      <c r="H115" s="2851"/>
      <c r="I115" s="2851"/>
      <c r="J115" s="2851"/>
      <c r="K115" s="2851"/>
      <c r="L115" s="2851"/>
      <c r="M115" s="2851"/>
      <c r="N115" s="2851"/>
      <c r="O115" s="2851"/>
      <c r="P115" s="2851"/>
      <c r="Q115" s="2851"/>
      <c r="R115" s="2851"/>
      <c r="S115" s="2851"/>
      <c r="T115" s="2851"/>
      <c r="U115" s="2851" t="str">
        <f>IF(CZ30=0,"韦编三而绝，书读百遍，其义才能自现","你已经翻过了"&amp;CZ30&amp;"次典籍了！")</f>
        <v>韦编三而绝，书读百遍，其义才能自现</v>
      </c>
      <c r="V115" s="2851"/>
      <c r="W115" s="2851"/>
      <c r="X115" s="2851"/>
      <c r="Y115" s="2851"/>
      <c r="Z115" s="2851"/>
      <c r="AA115" s="2851"/>
      <c r="AB115" s="2851"/>
      <c r="AC115" s="2851"/>
      <c r="AD115" s="2851"/>
      <c r="AE115" s="2851"/>
      <c r="AF115" s="2851"/>
      <c r="AG115" s="2851"/>
      <c r="AH115" s="2851"/>
      <c r="AI115" s="2851"/>
      <c r="AJ115" s="2851"/>
      <c r="AK115" s="2851"/>
      <c r="AL115" s="2851"/>
      <c r="AM115" s="2851"/>
      <c r="AN115" s="2851"/>
      <c r="AO115" s="2851"/>
    </row>
    <row r="116" spans="2:87" ht="14.5">
      <c r="B116" s="2911" t="s">
        <v>5587</v>
      </c>
      <c r="C116" s="2912"/>
      <c r="D116" s="2912"/>
      <c r="E116" s="2912"/>
      <c r="F116" s="2912"/>
      <c r="G116" s="2912"/>
      <c r="H116" s="2912"/>
      <c r="I116" s="2912"/>
      <c r="J116" s="2912"/>
      <c r="K116" s="2912"/>
      <c r="L116" s="2912"/>
      <c r="M116" s="2912"/>
      <c r="N116" s="2912"/>
      <c r="O116" s="2912"/>
      <c r="P116" s="2912"/>
      <c r="Q116" s="2912"/>
      <c r="R116" s="2912"/>
      <c r="S116" s="2912"/>
      <c r="T116" s="2912"/>
      <c r="U116" s="2912"/>
      <c r="V116" s="2912"/>
      <c r="W116" s="2912"/>
      <c r="X116" s="2912"/>
      <c r="Y116" s="2912"/>
      <c r="Z116" s="2912"/>
      <c r="AA116" s="2912"/>
      <c r="AB116" s="2912"/>
      <c r="AC116" s="2912"/>
      <c r="AD116" s="2912"/>
      <c r="AE116" s="2912"/>
      <c r="AF116" s="2912"/>
      <c r="AG116" s="2912"/>
      <c r="AH116" s="2912"/>
      <c r="AI116" s="2912"/>
      <c r="AJ116" s="2912"/>
      <c r="AK116" s="2912"/>
      <c r="AL116" s="2912"/>
      <c r="AM116" s="2912"/>
      <c r="AN116" s="2912"/>
      <c r="AO116" s="2912"/>
      <c r="AP116" s="2912"/>
      <c r="AQ116" s="2912"/>
      <c r="AR116" s="2912"/>
      <c r="AS116" s="2912"/>
      <c r="AT116" s="2912"/>
      <c r="AU116" s="2912"/>
      <c r="AV116" s="2912"/>
      <c r="AW116" s="2912"/>
      <c r="AX116" s="2912"/>
    </row>
    <row r="117" spans="2:87" ht="14.5">
      <c r="B117" s="2913" t="s">
        <v>5588</v>
      </c>
      <c r="C117" s="2914"/>
      <c r="D117" s="2914"/>
      <c r="E117" s="2914"/>
      <c r="F117" s="2914"/>
      <c r="G117" s="2914"/>
      <c r="H117" s="2914"/>
      <c r="I117" s="2914"/>
      <c r="J117" s="2914"/>
      <c r="K117" s="2914"/>
      <c r="L117" s="2914"/>
      <c r="M117" s="2914"/>
      <c r="N117" s="2914"/>
      <c r="O117" s="2914"/>
      <c r="P117" s="2914"/>
      <c r="Q117" s="2914"/>
      <c r="R117" s="2914"/>
      <c r="S117" s="2914"/>
      <c r="T117" s="2914"/>
      <c r="U117" s="2914"/>
      <c r="V117" s="2914"/>
      <c r="W117" s="2914"/>
      <c r="X117" s="2914"/>
      <c r="Y117" s="2914"/>
      <c r="Z117" s="2914"/>
      <c r="AA117" s="2914"/>
      <c r="AB117" s="2914"/>
      <c r="AC117" s="2914"/>
      <c r="AD117" s="2914"/>
      <c r="AE117" s="2914"/>
      <c r="AF117" s="2914"/>
      <c r="AG117" s="2914"/>
      <c r="AH117" s="2914"/>
      <c r="AI117" s="2914"/>
      <c r="AJ117" s="2914"/>
      <c r="AK117" s="2914"/>
      <c r="AL117" s="2914"/>
      <c r="AM117" s="2914"/>
      <c r="AN117" s="2914"/>
      <c r="AO117" s="2914"/>
      <c r="AP117" s="2914"/>
      <c r="AQ117" s="2914"/>
      <c r="AR117" s="2914"/>
      <c r="AS117" s="2914"/>
      <c r="AT117" s="2914"/>
      <c r="AU117" s="2914"/>
      <c r="AV117" s="2914"/>
      <c r="AW117" s="2914"/>
      <c r="AX117" s="2914"/>
    </row>
    <row r="118" spans="2:87" ht="16.5">
      <c r="B118" s="2915" t="s">
        <v>19</v>
      </c>
      <c r="C118" s="2916"/>
      <c r="D118" s="2916"/>
      <c r="E118" s="2916"/>
      <c r="F118" s="2916" t="s">
        <v>10</v>
      </c>
      <c r="G118" s="2916"/>
      <c r="H118" s="2916"/>
      <c r="I118" s="2916"/>
      <c r="J118" s="2916" t="s">
        <v>20</v>
      </c>
      <c r="K118" s="2916"/>
      <c r="L118" s="2916"/>
      <c r="M118" s="2916" t="s">
        <v>21</v>
      </c>
      <c r="N118" s="2916"/>
      <c r="O118" s="2916" t="s">
        <v>22</v>
      </c>
      <c r="P118" s="2916"/>
      <c r="Q118" s="2916"/>
      <c r="R118" s="2917" t="s">
        <v>5589</v>
      </c>
      <c r="S118" s="2917"/>
      <c r="T118" s="2917"/>
      <c r="U118" s="2917" t="s">
        <v>5590</v>
      </c>
      <c r="V118" s="2917"/>
      <c r="W118" s="2917"/>
      <c r="X118" s="2917" t="s">
        <v>25</v>
      </c>
      <c r="Y118" s="2917"/>
      <c r="Z118" s="2917"/>
      <c r="AA118" s="2917" t="s">
        <v>231</v>
      </c>
      <c r="AB118" s="2917"/>
      <c r="AC118" s="2916" t="s">
        <v>26</v>
      </c>
      <c r="AD118" s="2916"/>
      <c r="AE118" s="2916"/>
      <c r="AF118" s="2916" t="s">
        <v>5591</v>
      </c>
      <c r="AG118" s="2916"/>
      <c r="AH118" s="2916"/>
      <c r="AI118" s="2916"/>
      <c r="AJ118" s="2916"/>
      <c r="AK118" s="2916"/>
      <c r="AL118" s="2916"/>
      <c r="AM118" s="2916"/>
      <c r="AN118" s="2916"/>
      <c r="AO118" s="2916"/>
      <c r="AP118" s="2916" t="s">
        <v>5585</v>
      </c>
      <c r="AQ118" s="2916"/>
      <c r="AR118" s="2916"/>
      <c r="AS118" s="2916"/>
      <c r="AT118" s="2916" t="s">
        <v>4</v>
      </c>
      <c r="AU118" s="2916"/>
      <c r="AV118" s="2916"/>
      <c r="AW118" s="2916"/>
      <c r="AX118" s="2918"/>
    </row>
    <row r="119" spans="2:87" ht="14.5">
      <c r="B119" s="2895"/>
      <c r="C119" s="2896"/>
      <c r="D119" s="2896"/>
      <c r="E119" s="2896"/>
      <c r="F119" s="2896"/>
      <c r="G119" s="2896"/>
      <c r="H119" s="2896"/>
      <c r="I119" s="2896"/>
      <c r="J119" s="2896"/>
      <c r="K119" s="2896"/>
      <c r="L119" s="2896"/>
      <c r="M119" s="2896"/>
      <c r="N119" s="2896"/>
      <c r="O119" s="2906"/>
      <c r="P119" s="2896"/>
      <c r="Q119" s="2896"/>
      <c r="R119" s="2896"/>
      <c r="S119" s="2896"/>
      <c r="T119" s="2896"/>
      <c r="U119" s="2896"/>
      <c r="V119" s="2896"/>
      <c r="W119" s="2896"/>
      <c r="X119" s="2907"/>
      <c r="Y119" s="2907"/>
      <c r="Z119" s="2907"/>
      <c r="AA119" s="2906"/>
      <c r="AB119" s="2908"/>
      <c r="AC119" s="2896"/>
      <c r="AD119" s="2896"/>
      <c r="AE119" s="2896"/>
      <c r="AF119" s="2896"/>
      <c r="AG119" s="2896"/>
      <c r="AH119" s="2896"/>
      <c r="AI119" s="2896"/>
      <c r="AJ119" s="2896"/>
      <c r="AK119" s="2896"/>
      <c r="AL119" s="2896"/>
      <c r="AM119" s="2896"/>
      <c r="AN119" s="2896"/>
      <c r="AO119" s="2896"/>
      <c r="AP119" s="2896"/>
      <c r="AQ119" s="2896"/>
      <c r="AR119" s="2896"/>
      <c r="AS119" s="2896"/>
      <c r="AT119" s="2896"/>
      <c r="AU119" s="2896"/>
      <c r="AV119" s="2896"/>
      <c r="AW119" s="2896"/>
      <c r="AX119" s="2899"/>
    </row>
    <row r="120" spans="2:87" ht="14.5">
      <c r="B120" s="2900"/>
      <c r="C120" s="2901"/>
      <c r="D120" s="2901"/>
      <c r="E120" s="2901"/>
      <c r="F120" s="2902"/>
      <c r="G120" s="2902"/>
      <c r="H120" s="2902"/>
      <c r="I120" s="2902"/>
      <c r="J120" s="2901"/>
      <c r="K120" s="2901"/>
      <c r="L120" s="2901"/>
      <c r="M120" s="2901"/>
      <c r="N120" s="2901"/>
      <c r="O120" s="2902"/>
      <c r="P120" s="2902"/>
      <c r="Q120" s="2902"/>
      <c r="R120" s="2902"/>
      <c r="S120" s="2902"/>
      <c r="T120" s="2902"/>
      <c r="U120" s="2902"/>
      <c r="V120" s="2902"/>
      <c r="W120" s="2902"/>
      <c r="X120" s="2903"/>
      <c r="Y120" s="2903"/>
      <c r="Z120" s="2903"/>
      <c r="AA120" s="2904"/>
      <c r="AB120" s="2904"/>
      <c r="AC120" s="2904"/>
      <c r="AD120" s="2904"/>
      <c r="AE120" s="2904"/>
      <c r="AF120" s="2904"/>
      <c r="AG120" s="2904"/>
      <c r="AH120" s="2904"/>
      <c r="AI120" s="2904"/>
      <c r="AJ120" s="2904"/>
      <c r="AK120" s="2904"/>
      <c r="AL120" s="2904"/>
      <c r="AM120" s="2904"/>
      <c r="AN120" s="2904"/>
      <c r="AO120" s="2904"/>
      <c r="AP120" s="2904"/>
      <c r="AQ120" s="2904"/>
      <c r="AR120" s="2904"/>
      <c r="AS120" s="2904"/>
      <c r="AT120" s="2904"/>
      <c r="AU120" s="2904"/>
      <c r="AV120" s="2904"/>
      <c r="AW120" s="2904"/>
      <c r="AX120" s="2905"/>
    </row>
    <row r="121" spans="2:87" ht="14.5">
      <c r="B121" s="2895"/>
      <c r="C121" s="2896"/>
      <c r="D121" s="2896"/>
      <c r="E121" s="2896"/>
      <c r="F121" s="2897"/>
      <c r="G121" s="2897"/>
      <c r="H121" s="2897"/>
      <c r="I121" s="2897"/>
      <c r="J121" s="2896"/>
      <c r="K121" s="2896"/>
      <c r="L121" s="2896"/>
      <c r="M121" s="2896"/>
      <c r="N121" s="2896"/>
      <c r="O121" s="2897"/>
      <c r="P121" s="2897"/>
      <c r="Q121" s="2897"/>
      <c r="R121" s="2897"/>
      <c r="S121" s="2897"/>
      <c r="T121" s="2897"/>
      <c r="U121" s="2897"/>
      <c r="V121" s="2897"/>
      <c r="W121" s="2897"/>
      <c r="X121" s="2898"/>
      <c r="Y121" s="2898"/>
      <c r="Z121" s="2898"/>
      <c r="AA121" s="2897"/>
      <c r="AB121" s="2897"/>
      <c r="AC121" s="2897"/>
      <c r="AD121" s="2897"/>
      <c r="AE121" s="2897"/>
      <c r="AF121" s="2896"/>
      <c r="AG121" s="2896"/>
      <c r="AH121" s="2896"/>
      <c r="AI121" s="2896"/>
      <c r="AJ121" s="2896"/>
      <c r="AK121" s="2896"/>
      <c r="AL121" s="2896"/>
      <c r="AM121" s="2896"/>
      <c r="AN121" s="2896"/>
      <c r="AO121" s="2896"/>
      <c r="AP121" s="2896"/>
      <c r="AQ121" s="2896"/>
      <c r="AR121" s="2896"/>
      <c r="AS121" s="2896"/>
      <c r="AT121" s="2896"/>
      <c r="AU121" s="2896"/>
      <c r="AV121" s="2896"/>
      <c r="AW121" s="2896"/>
      <c r="AX121" s="2899"/>
    </row>
    <row r="122" spans="2:87" ht="14.5">
      <c r="B122" s="2900"/>
      <c r="C122" s="2901"/>
      <c r="D122" s="2901"/>
      <c r="E122" s="2901"/>
      <c r="F122" s="2902"/>
      <c r="G122" s="2902"/>
      <c r="H122" s="2902"/>
      <c r="I122" s="2902"/>
      <c r="J122" s="2901"/>
      <c r="K122" s="2901"/>
      <c r="L122" s="2901"/>
      <c r="M122" s="2901"/>
      <c r="N122" s="2901"/>
      <c r="O122" s="2902"/>
      <c r="P122" s="2902"/>
      <c r="Q122" s="2902"/>
      <c r="R122" s="2902"/>
      <c r="S122" s="2902"/>
      <c r="T122" s="2902"/>
      <c r="U122" s="2902"/>
      <c r="V122" s="2902"/>
      <c r="W122" s="2902"/>
      <c r="X122" s="2903"/>
      <c r="Y122" s="2903"/>
      <c r="Z122" s="2903"/>
      <c r="AA122" s="2904"/>
      <c r="AB122" s="2904"/>
      <c r="AC122" s="2904"/>
      <c r="AD122" s="2904"/>
      <c r="AE122" s="2904"/>
      <c r="AF122" s="2904"/>
      <c r="AG122" s="2904"/>
      <c r="AH122" s="2904"/>
      <c r="AI122" s="2904"/>
      <c r="AJ122" s="2904"/>
      <c r="AK122" s="2904"/>
      <c r="AL122" s="2904"/>
      <c r="AM122" s="2904"/>
      <c r="AN122" s="2904"/>
      <c r="AO122" s="2904"/>
      <c r="AP122" s="2904"/>
      <c r="AQ122" s="2904"/>
      <c r="AR122" s="2904"/>
      <c r="AS122" s="2904"/>
      <c r="AT122" s="2904"/>
      <c r="AU122" s="2904"/>
      <c r="AV122" s="2904"/>
      <c r="AW122" s="2904"/>
      <c r="AX122" s="2905"/>
    </row>
    <row r="123" spans="2:87" ht="14.5">
      <c r="B123" s="2895"/>
      <c r="C123" s="2896"/>
      <c r="D123" s="2896"/>
      <c r="E123" s="2896"/>
      <c r="F123" s="2897"/>
      <c r="G123" s="2897"/>
      <c r="H123" s="2897"/>
      <c r="I123" s="2897"/>
      <c r="J123" s="2896"/>
      <c r="K123" s="2896"/>
      <c r="L123" s="2896"/>
      <c r="M123" s="2896"/>
      <c r="N123" s="2896"/>
      <c r="O123" s="2897"/>
      <c r="P123" s="2897"/>
      <c r="Q123" s="2897"/>
      <c r="R123" s="2897"/>
      <c r="S123" s="2897"/>
      <c r="T123" s="2897"/>
      <c r="U123" s="2897"/>
      <c r="V123" s="2897"/>
      <c r="W123" s="2897"/>
      <c r="X123" s="2898"/>
      <c r="Y123" s="2898"/>
      <c r="Z123" s="2898"/>
      <c r="AA123" s="2897"/>
      <c r="AB123" s="2897"/>
      <c r="AC123" s="2897"/>
      <c r="AD123" s="2897"/>
      <c r="AE123" s="2897"/>
      <c r="AF123" s="2896"/>
      <c r="AG123" s="2896"/>
      <c r="AH123" s="2896"/>
      <c r="AI123" s="2896"/>
      <c r="AJ123" s="2896"/>
      <c r="AK123" s="2896"/>
      <c r="AL123" s="2896"/>
      <c r="AM123" s="2896"/>
      <c r="AN123" s="2896"/>
      <c r="AO123" s="2896"/>
      <c r="AP123" s="2896"/>
      <c r="AQ123" s="2896"/>
      <c r="AR123" s="2896"/>
      <c r="AS123" s="2896"/>
      <c r="AT123" s="2896"/>
      <c r="AU123" s="2896"/>
      <c r="AV123" s="2896"/>
      <c r="AW123" s="2896"/>
      <c r="AX123" s="2899"/>
    </row>
    <row r="124" spans="2:87" ht="14.5">
      <c r="B124" s="2900"/>
      <c r="C124" s="2901"/>
      <c r="D124" s="2901"/>
      <c r="E124" s="2901"/>
      <c r="F124" s="2902"/>
      <c r="G124" s="2902"/>
      <c r="H124" s="2902"/>
      <c r="I124" s="2902"/>
      <c r="J124" s="2901"/>
      <c r="K124" s="2901"/>
      <c r="L124" s="2901"/>
      <c r="M124" s="2901"/>
      <c r="N124" s="2901"/>
      <c r="O124" s="2902"/>
      <c r="P124" s="2902"/>
      <c r="Q124" s="2902"/>
      <c r="R124" s="2902"/>
      <c r="S124" s="2902"/>
      <c r="T124" s="2902"/>
      <c r="U124" s="2902"/>
      <c r="V124" s="2902"/>
      <c r="W124" s="2902"/>
      <c r="X124" s="2903"/>
      <c r="Y124" s="2903"/>
      <c r="Z124" s="2903"/>
      <c r="AA124" s="2904"/>
      <c r="AB124" s="2904"/>
      <c r="AC124" s="2904"/>
      <c r="AD124" s="2904"/>
      <c r="AE124" s="2904"/>
      <c r="AF124" s="2904"/>
      <c r="AG124" s="2904"/>
      <c r="AH124" s="2904"/>
      <c r="AI124" s="2904"/>
      <c r="AJ124" s="2904"/>
      <c r="AK124" s="2904"/>
      <c r="AL124" s="2904"/>
      <c r="AM124" s="2904"/>
      <c r="AN124" s="2904"/>
      <c r="AO124" s="2904"/>
      <c r="AP124" s="2904"/>
      <c r="AQ124" s="2904"/>
      <c r="AR124" s="2904"/>
      <c r="AS124" s="2904"/>
      <c r="AT124" s="2904"/>
      <c r="AU124" s="2904"/>
      <c r="AV124" s="2904"/>
      <c r="AW124" s="2904"/>
      <c r="AX124" s="2905"/>
    </row>
    <row r="125" spans="2:87" ht="14.5">
      <c r="B125" s="2895"/>
      <c r="C125" s="2896"/>
      <c r="D125" s="2896"/>
      <c r="E125" s="2896"/>
      <c r="F125" s="2897"/>
      <c r="G125" s="2897"/>
      <c r="H125" s="2897"/>
      <c r="I125" s="2897"/>
      <c r="J125" s="2896"/>
      <c r="K125" s="2896"/>
      <c r="L125" s="2896"/>
      <c r="M125" s="2896"/>
      <c r="N125" s="2896"/>
      <c r="O125" s="2897"/>
      <c r="P125" s="2897"/>
      <c r="Q125" s="2897"/>
      <c r="R125" s="2897"/>
      <c r="S125" s="2897"/>
      <c r="T125" s="2897"/>
      <c r="U125" s="2897"/>
      <c r="V125" s="2897"/>
      <c r="W125" s="2897"/>
      <c r="X125" s="2898"/>
      <c r="Y125" s="2898"/>
      <c r="Z125" s="2898"/>
      <c r="AA125" s="2897"/>
      <c r="AB125" s="2897"/>
      <c r="AC125" s="2897"/>
      <c r="AD125" s="2897"/>
      <c r="AE125" s="2897"/>
      <c r="AF125" s="2896"/>
      <c r="AG125" s="2896"/>
      <c r="AH125" s="2896"/>
      <c r="AI125" s="2896"/>
      <c r="AJ125" s="2896"/>
      <c r="AK125" s="2896"/>
      <c r="AL125" s="2896"/>
      <c r="AM125" s="2896"/>
      <c r="AN125" s="2896"/>
      <c r="AO125" s="2896"/>
      <c r="AP125" s="2896"/>
      <c r="AQ125" s="2896"/>
      <c r="AR125" s="2896"/>
      <c r="AS125" s="2896"/>
      <c r="AT125" s="2896"/>
      <c r="AU125" s="2896"/>
      <c r="AV125" s="2896"/>
      <c r="AW125" s="2896"/>
      <c r="AX125" s="2899"/>
    </row>
    <row r="126" spans="2:87" ht="14.5">
      <c r="B126" s="2900"/>
      <c r="C126" s="2901"/>
      <c r="D126" s="2901"/>
      <c r="E126" s="2901"/>
      <c r="F126" s="2902"/>
      <c r="G126" s="2902"/>
      <c r="H126" s="2902"/>
      <c r="I126" s="2902"/>
      <c r="J126" s="2901"/>
      <c r="K126" s="2901"/>
      <c r="L126" s="2901"/>
      <c r="M126" s="2901"/>
      <c r="N126" s="2901"/>
      <c r="O126" s="2902"/>
      <c r="P126" s="2902"/>
      <c r="Q126" s="2902"/>
      <c r="R126" s="2902"/>
      <c r="S126" s="2902"/>
      <c r="T126" s="2902"/>
      <c r="U126" s="2902"/>
      <c r="V126" s="2902"/>
      <c r="W126" s="2902"/>
      <c r="X126" s="2903"/>
      <c r="Y126" s="2903"/>
      <c r="Z126" s="2903"/>
      <c r="AA126" s="2904"/>
      <c r="AB126" s="2904"/>
      <c r="AC126" s="2904"/>
      <c r="AD126" s="2904"/>
      <c r="AE126" s="2904"/>
      <c r="AF126" s="2904"/>
      <c r="AG126" s="2904"/>
      <c r="AH126" s="2904"/>
      <c r="AI126" s="2904"/>
      <c r="AJ126" s="2904"/>
      <c r="AK126" s="2904"/>
      <c r="AL126" s="2904"/>
      <c r="AM126" s="2904"/>
      <c r="AN126" s="2904"/>
      <c r="AO126" s="2904"/>
      <c r="AP126" s="2904"/>
      <c r="AQ126" s="2904"/>
      <c r="AR126" s="2904"/>
      <c r="AS126" s="2904"/>
      <c r="AT126" s="2904"/>
      <c r="AU126" s="2904"/>
      <c r="AV126" s="2904"/>
      <c r="AW126" s="2904"/>
      <c r="AX126" s="2905"/>
    </row>
    <row r="127" spans="2:87" ht="14.5">
      <c r="B127" s="2895"/>
      <c r="C127" s="2896"/>
      <c r="D127" s="2896"/>
      <c r="E127" s="2896"/>
      <c r="F127" s="2897"/>
      <c r="G127" s="2897"/>
      <c r="H127" s="2897"/>
      <c r="I127" s="2897"/>
      <c r="J127" s="2896"/>
      <c r="K127" s="2896"/>
      <c r="L127" s="2896"/>
      <c r="M127" s="2896"/>
      <c r="N127" s="2896"/>
      <c r="O127" s="2897"/>
      <c r="P127" s="2897"/>
      <c r="Q127" s="2897"/>
      <c r="R127" s="2897"/>
      <c r="S127" s="2897"/>
      <c r="T127" s="2897"/>
      <c r="U127" s="2897"/>
      <c r="V127" s="2897"/>
      <c r="W127" s="2897"/>
      <c r="X127" s="2898"/>
      <c r="Y127" s="2898"/>
      <c r="Z127" s="2898"/>
      <c r="AA127" s="2897"/>
      <c r="AB127" s="2897"/>
      <c r="AC127" s="2897"/>
      <c r="AD127" s="2897"/>
      <c r="AE127" s="2897"/>
      <c r="AF127" s="2896"/>
      <c r="AG127" s="2896"/>
      <c r="AH127" s="2896"/>
      <c r="AI127" s="2896"/>
      <c r="AJ127" s="2896"/>
      <c r="AK127" s="2896"/>
      <c r="AL127" s="2896"/>
      <c r="AM127" s="2896"/>
      <c r="AN127" s="2896"/>
      <c r="AO127" s="2896"/>
      <c r="AP127" s="2896"/>
      <c r="AQ127" s="2896"/>
      <c r="AR127" s="2896"/>
      <c r="AS127" s="2896"/>
      <c r="AT127" s="2896"/>
      <c r="AU127" s="2896"/>
      <c r="AV127" s="2896"/>
      <c r="AW127" s="2896"/>
      <c r="AX127" s="2899"/>
    </row>
    <row r="128" spans="2:87" ht="14.5">
      <c r="B128" s="2900"/>
      <c r="C128" s="2901"/>
      <c r="D128" s="2901"/>
      <c r="E128" s="2901"/>
      <c r="F128" s="2902"/>
      <c r="G128" s="2902"/>
      <c r="H128" s="2902"/>
      <c r="I128" s="2902"/>
      <c r="J128" s="2901"/>
      <c r="K128" s="2901"/>
      <c r="L128" s="2901"/>
      <c r="M128" s="2901"/>
      <c r="N128" s="2901"/>
      <c r="O128" s="2902"/>
      <c r="P128" s="2902"/>
      <c r="Q128" s="2902"/>
      <c r="R128" s="2902"/>
      <c r="S128" s="2902"/>
      <c r="T128" s="2902"/>
      <c r="U128" s="2902"/>
      <c r="V128" s="2902"/>
      <c r="W128" s="2902"/>
      <c r="X128" s="2903"/>
      <c r="Y128" s="2903"/>
      <c r="Z128" s="2903"/>
      <c r="AA128" s="2904"/>
      <c r="AB128" s="2904"/>
      <c r="AC128" s="2904"/>
      <c r="AD128" s="2904"/>
      <c r="AE128" s="2904"/>
      <c r="AF128" s="2904"/>
      <c r="AG128" s="2904"/>
      <c r="AH128" s="2904"/>
      <c r="AI128" s="2904"/>
      <c r="AJ128" s="2904"/>
      <c r="AK128" s="2904"/>
      <c r="AL128" s="2904"/>
      <c r="AM128" s="2904"/>
      <c r="AN128" s="2904"/>
      <c r="AO128" s="2904"/>
      <c r="AP128" s="2904"/>
      <c r="AQ128" s="2904"/>
      <c r="AR128" s="2904"/>
      <c r="AS128" s="2904"/>
      <c r="AT128" s="2904"/>
      <c r="AU128" s="2904"/>
      <c r="AV128" s="2904"/>
      <c r="AW128" s="2904"/>
      <c r="AX128" s="2905"/>
    </row>
    <row r="129" spans="2:50" ht="14.5" outlineLevel="1">
      <c r="B129" s="2895"/>
      <c r="C129" s="2896"/>
      <c r="D129" s="2896"/>
      <c r="E129" s="2896"/>
      <c r="F129" s="2897"/>
      <c r="G129" s="2897"/>
      <c r="H129" s="2897"/>
      <c r="I129" s="2897"/>
      <c r="J129" s="2896"/>
      <c r="K129" s="2896"/>
      <c r="L129" s="2896"/>
      <c r="M129" s="2896"/>
      <c r="N129" s="2896"/>
      <c r="O129" s="2897"/>
      <c r="P129" s="2897"/>
      <c r="Q129" s="2897"/>
      <c r="R129" s="2897"/>
      <c r="S129" s="2897"/>
      <c r="T129" s="2897"/>
      <c r="U129" s="2897"/>
      <c r="V129" s="2897"/>
      <c r="W129" s="2897"/>
      <c r="X129" s="2898"/>
      <c r="Y129" s="2898"/>
      <c r="Z129" s="2898"/>
      <c r="AA129" s="2897"/>
      <c r="AB129" s="2897"/>
      <c r="AC129" s="2897"/>
      <c r="AD129" s="2897"/>
      <c r="AE129" s="2897"/>
      <c r="AF129" s="2896"/>
      <c r="AG129" s="2896"/>
      <c r="AH129" s="2896"/>
      <c r="AI129" s="2896"/>
      <c r="AJ129" s="2896"/>
      <c r="AK129" s="2896"/>
      <c r="AL129" s="2896"/>
      <c r="AM129" s="2896"/>
      <c r="AN129" s="2896"/>
      <c r="AO129" s="2896"/>
      <c r="AP129" s="2896"/>
      <c r="AQ129" s="2896"/>
      <c r="AR129" s="2896"/>
      <c r="AS129" s="2896"/>
      <c r="AT129" s="2896"/>
      <c r="AU129" s="2896"/>
      <c r="AV129" s="2896"/>
      <c r="AW129" s="2896"/>
      <c r="AX129" s="2899"/>
    </row>
    <row r="130" spans="2:50" ht="14.5" outlineLevel="1">
      <c r="B130" s="2900"/>
      <c r="C130" s="2901"/>
      <c r="D130" s="2901"/>
      <c r="E130" s="2901"/>
      <c r="F130" s="2902"/>
      <c r="G130" s="2902"/>
      <c r="H130" s="2902"/>
      <c r="I130" s="2902"/>
      <c r="J130" s="2901"/>
      <c r="K130" s="2901"/>
      <c r="L130" s="2901"/>
      <c r="M130" s="2901"/>
      <c r="N130" s="2901"/>
      <c r="O130" s="2902"/>
      <c r="P130" s="2902"/>
      <c r="Q130" s="2902"/>
      <c r="R130" s="2902"/>
      <c r="S130" s="2902"/>
      <c r="T130" s="2902"/>
      <c r="U130" s="2902"/>
      <c r="V130" s="2902"/>
      <c r="W130" s="2902"/>
      <c r="X130" s="2903"/>
      <c r="Y130" s="2903"/>
      <c r="Z130" s="2903"/>
      <c r="AA130" s="2904"/>
      <c r="AB130" s="2904"/>
      <c r="AC130" s="2904"/>
      <c r="AD130" s="2904"/>
      <c r="AE130" s="2904"/>
      <c r="AF130" s="2904"/>
      <c r="AG130" s="2904"/>
      <c r="AH130" s="2904"/>
      <c r="AI130" s="2904"/>
      <c r="AJ130" s="2904"/>
      <c r="AK130" s="2904"/>
      <c r="AL130" s="2904"/>
      <c r="AM130" s="2904"/>
      <c r="AN130" s="2904"/>
      <c r="AO130" s="2904"/>
      <c r="AP130" s="2904"/>
      <c r="AQ130" s="2904"/>
      <c r="AR130" s="2904"/>
      <c r="AS130" s="2904"/>
      <c r="AT130" s="2904"/>
      <c r="AU130" s="2904"/>
      <c r="AV130" s="2904"/>
      <c r="AW130" s="2904"/>
      <c r="AX130" s="2905"/>
    </row>
    <row r="131" spans="2:50" ht="14.5" outlineLevel="1">
      <c r="B131" s="2895"/>
      <c r="C131" s="2896"/>
      <c r="D131" s="2896"/>
      <c r="E131" s="2896"/>
      <c r="F131" s="2897"/>
      <c r="G131" s="2897"/>
      <c r="H131" s="2897"/>
      <c r="I131" s="2897"/>
      <c r="J131" s="2896"/>
      <c r="K131" s="2896"/>
      <c r="L131" s="2896"/>
      <c r="M131" s="2896"/>
      <c r="N131" s="2896"/>
      <c r="O131" s="2897"/>
      <c r="P131" s="2897"/>
      <c r="Q131" s="2897"/>
      <c r="R131" s="2897"/>
      <c r="S131" s="2897"/>
      <c r="T131" s="2897"/>
      <c r="U131" s="2897"/>
      <c r="V131" s="2897"/>
      <c r="W131" s="2897"/>
      <c r="X131" s="2898"/>
      <c r="Y131" s="2898"/>
      <c r="Z131" s="2898"/>
      <c r="AA131" s="2897"/>
      <c r="AB131" s="2897"/>
      <c r="AC131" s="2897"/>
      <c r="AD131" s="2897"/>
      <c r="AE131" s="2897"/>
      <c r="AF131" s="2896"/>
      <c r="AG131" s="2896"/>
      <c r="AH131" s="2896"/>
      <c r="AI131" s="2896"/>
      <c r="AJ131" s="2896"/>
      <c r="AK131" s="2896"/>
      <c r="AL131" s="2896"/>
      <c r="AM131" s="2896"/>
      <c r="AN131" s="2896"/>
      <c r="AO131" s="2896"/>
      <c r="AP131" s="2896"/>
      <c r="AQ131" s="2896"/>
      <c r="AR131" s="2896"/>
      <c r="AS131" s="2896"/>
      <c r="AT131" s="2896"/>
      <c r="AU131" s="2896"/>
      <c r="AV131" s="2896"/>
      <c r="AW131" s="2896"/>
      <c r="AX131" s="2899"/>
    </row>
    <row r="132" spans="2:50" ht="14.5" outlineLevel="1">
      <c r="B132" s="2900"/>
      <c r="C132" s="2901"/>
      <c r="D132" s="2901"/>
      <c r="E132" s="2901"/>
      <c r="F132" s="2902"/>
      <c r="G132" s="2902"/>
      <c r="H132" s="2902"/>
      <c r="I132" s="2902"/>
      <c r="J132" s="2901"/>
      <c r="K132" s="2901"/>
      <c r="L132" s="2901"/>
      <c r="M132" s="2901"/>
      <c r="N132" s="2901"/>
      <c r="O132" s="2902"/>
      <c r="P132" s="2902"/>
      <c r="Q132" s="2902"/>
      <c r="R132" s="2902"/>
      <c r="S132" s="2902"/>
      <c r="T132" s="2902"/>
      <c r="U132" s="2902"/>
      <c r="V132" s="2902"/>
      <c r="W132" s="2902"/>
      <c r="X132" s="2903"/>
      <c r="Y132" s="2903"/>
      <c r="Z132" s="2903"/>
      <c r="AA132" s="2904"/>
      <c r="AB132" s="2904"/>
      <c r="AC132" s="2904"/>
      <c r="AD132" s="2904"/>
      <c r="AE132" s="2904"/>
      <c r="AF132" s="2904"/>
      <c r="AG132" s="2904"/>
      <c r="AH132" s="2904"/>
      <c r="AI132" s="2904"/>
      <c r="AJ132" s="2904"/>
      <c r="AK132" s="2904"/>
      <c r="AL132" s="2904"/>
      <c r="AM132" s="2904"/>
      <c r="AN132" s="2904"/>
      <c r="AO132" s="2904"/>
      <c r="AP132" s="2904"/>
      <c r="AQ132" s="2904"/>
      <c r="AR132" s="2904"/>
      <c r="AS132" s="2904"/>
      <c r="AT132" s="2904"/>
      <c r="AU132" s="2904"/>
      <c r="AV132" s="2904"/>
      <c r="AW132" s="2904"/>
      <c r="AX132" s="2905"/>
    </row>
    <row r="133" spans="2:50" ht="14.5" outlineLevel="1">
      <c r="B133" s="2895"/>
      <c r="C133" s="2896"/>
      <c r="D133" s="2896"/>
      <c r="E133" s="2896"/>
      <c r="F133" s="2897"/>
      <c r="G133" s="2897"/>
      <c r="H133" s="2897"/>
      <c r="I133" s="2897"/>
      <c r="J133" s="2896"/>
      <c r="K133" s="2896"/>
      <c r="L133" s="2896"/>
      <c r="M133" s="2896"/>
      <c r="N133" s="2896"/>
      <c r="O133" s="2897"/>
      <c r="P133" s="2897"/>
      <c r="Q133" s="2897"/>
      <c r="R133" s="2897"/>
      <c r="S133" s="2897"/>
      <c r="T133" s="2897"/>
      <c r="U133" s="2897"/>
      <c r="V133" s="2897"/>
      <c r="W133" s="2897"/>
      <c r="X133" s="2898"/>
      <c r="Y133" s="2898"/>
      <c r="Z133" s="2898"/>
      <c r="AA133" s="2897"/>
      <c r="AB133" s="2897"/>
      <c r="AC133" s="2897"/>
      <c r="AD133" s="2897"/>
      <c r="AE133" s="2897"/>
      <c r="AF133" s="2896"/>
      <c r="AG133" s="2896"/>
      <c r="AH133" s="2896"/>
      <c r="AI133" s="2896"/>
      <c r="AJ133" s="2896"/>
      <c r="AK133" s="2896"/>
      <c r="AL133" s="2896"/>
      <c r="AM133" s="2896"/>
      <c r="AN133" s="2896"/>
      <c r="AO133" s="2896"/>
      <c r="AP133" s="2896"/>
      <c r="AQ133" s="2896"/>
      <c r="AR133" s="2896"/>
      <c r="AS133" s="2896"/>
      <c r="AT133" s="2896"/>
      <c r="AU133" s="2896"/>
      <c r="AV133" s="2896"/>
      <c r="AW133" s="2896"/>
      <c r="AX133" s="2899"/>
    </row>
    <row r="134" spans="2:50" ht="14.5" outlineLevel="1">
      <c r="B134" s="2900"/>
      <c r="C134" s="2901"/>
      <c r="D134" s="2901"/>
      <c r="E134" s="2901"/>
      <c r="F134" s="2902"/>
      <c r="G134" s="2902"/>
      <c r="H134" s="2902"/>
      <c r="I134" s="2902"/>
      <c r="J134" s="2901"/>
      <c r="K134" s="2901"/>
      <c r="L134" s="2901"/>
      <c r="M134" s="2901"/>
      <c r="N134" s="2901"/>
      <c r="O134" s="2902"/>
      <c r="P134" s="2902"/>
      <c r="Q134" s="2902"/>
      <c r="R134" s="2902"/>
      <c r="S134" s="2902"/>
      <c r="T134" s="2902"/>
      <c r="U134" s="2902"/>
      <c r="V134" s="2902"/>
      <c r="W134" s="2902"/>
      <c r="X134" s="2903"/>
      <c r="Y134" s="2903"/>
      <c r="Z134" s="2903"/>
      <c r="AA134" s="2904"/>
      <c r="AB134" s="2904"/>
      <c r="AC134" s="2904"/>
      <c r="AD134" s="2904"/>
      <c r="AE134" s="2904"/>
      <c r="AF134" s="2904"/>
      <c r="AG134" s="2904"/>
      <c r="AH134" s="2904"/>
      <c r="AI134" s="2904"/>
      <c r="AJ134" s="2904"/>
      <c r="AK134" s="2904"/>
      <c r="AL134" s="2904"/>
      <c r="AM134" s="2904"/>
      <c r="AN134" s="2904"/>
      <c r="AO134" s="2904"/>
      <c r="AP134" s="2904"/>
      <c r="AQ134" s="2904"/>
      <c r="AR134" s="2904"/>
      <c r="AS134" s="2904"/>
      <c r="AT134" s="2904"/>
      <c r="AU134" s="2904"/>
      <c r="AV134" s="2904"/>
      <c r="AW134" s="2904"/>
      <c r="AX134" s="2905"/>
    </row>
    <row r="135" spans="2:50" ht="14.5" outlineLevel="1">
      <c r="B135" s="2895"/>
      <c r="C135" s="2896"/>
      <c r="D135" s="2896"/>
      <c r="E135" s="2896"/>
      <c r="F135" s="2897"/>
      <c r="G135" s="2897"/>
      <c r="H135" s="2897"/>
      <c r="I135" s="2897"/>
      <c r="J135" s="2896"/>
      <c r="K135" s="2896"/>
      <c r="L135" s="2896"/>
      <c r="M135" s="2896"/>
      <c r="N135" s="2896"/>
      <c r="O135" s="2897"/>
      <c r="P135" s="2897"/>
      <c r="Q135" s="2897"/>
      <c r="R135" s="2897"/>
      <c r="S135" s="2897"/>
      <c r="T135" s="2897"/>
      <c r="U135" s="2897"/>
      <c r="V135" s="2897"/>
      <c r="W135" s="2897"/>
      <c r="X135" s="2898"/>
      <c r="Y135" s="2898"/>
      <c r="Z135" s="2898"/>
      <c r="AA135" s="2897"/>
      <c r="AB135" s="2897"/>
      <c r="AC135" s="2897"/>
      <c r="AD135" s="2897"/>
      <c r="AE135" s="2897"/>
      <c r="AF135" s="2896"/>
      <c r="AG135" s="2896"/>
      <c r="AH135" s="2896"/>
      <c r="AI135" s="2896"/>
      <c r="AJ135" s="2896"/>
      <c r="AK135" s="2896"/>
      <c r="AL135" s="2896"/>
      <c r="AM135" s="2896"/>
      <c r="AN135" s="2896"/>
      <c r="AO135" s="2896"/>
      <c r="AP135" s="2896"/>
      <c r="AQ135" s="2896"/>
      <c r="AR135" s="2896"/>
      <c r="AS135" s="2896"/>
      <c r="AT135" s="2896"/>
      <c r="AU135" s="2896"/>
      <c r="AV135" s="2896"/>
      <c r="AW135" s="2896"/>
      <c r="AX135" s="2899"/>
    </row>
    <row r="136" spans="2:50" ht="14.5" outlineLevel="1">
      <c r="B136" s="2900"/>
      <c r="C136" s="2901"/>
      <c r="D136" s="2901"/>
      <c r="E136" s="2901"/>
      <c r="F136" s="2902"/>
      <c r="G136" s="2902"/>
      <c r="H136" s="2902"/>
      <c r="I136" s="2902"/>
      <c r="J136" s="2901"/>
      <c r="K136" s="2901"/>
      <c r="L136" s="2901"/>
      <c r="M136" s="2901"/>
      <c r="N136" s="2901"/>
      <c r="O136" s="2902"/>
      <c r="P136" s="2902"/>
      <c r="Q136" s="2902"/>
      <c r="R136" s="2902"/>
      <c r="S136" s="2902"/>
      <c r="T136" s="2902"/>
      <c r="U136" s="2902"/>
      <c r="V136" s="2902"/>
      <c r="W136" s="2902"/>
      <c r="X136" s="2903"/>
      <c r="Y136" s="2903"/>
      <c r="Z136" s="2903"/>
      <c r="AA136" s="2904"/>
      <c r="AB136" s="2904"/>
      <c r="AC136" s="2904"/>
      <c r="AD136" s="2904"/>
      <c r="AE136" s="2904"/>
      <c r="AF136" s="2904"/>
      <c r="AG136" s="2904"/>
      <c r="AH136" s="2904"/>
      <c r="AI136" s="2904"/>
      <c r="AJ136" s="2904"/>
      <c r="AK136" s="2904"/>
      <c r="AL136" s="2904"/>
      <c r="AM136" s="2904"/>
      <c r="AN136" s="2904"/>
      <c r="AO136" s="2904"/>
      <c r="AP136" s="2904"/>
      <c r="AQ136" s="2904"/>
      <c r="AR136" s="2904"/>
      <c r="AS136" s="2904"/>
      <c r="AT136" s="2904"/>
      <c r="AU136" s="2904"/>
      <c r="AV136" s="2904"/>
      <c r="AW136" s="2904"/>
      <c r="AX136" s="2905"/>
    </row>
    <row r="137" spans="2:50" ht="14.5" outlineLevel="1">
      <c r="B137" s="2895"/>
      <c r="C137" s="2896"/>
      <c r="D137" s="2896"/>
      <c r="E137" s="2896"/>
      <c r="F137" s="2897"/>
      <c r="G137" s="2897"/>
      <c r="H137" s="2897"/>
      <c r="I137" s="2897"/>
      <c r="J137" s="2896"/>
      <c r="K137" s="2896"/>
      <c r="L137" s="2896"/>
      <c r="M137" s="2896"/>
      <c r="N137" s="2896"/>
      <c r="O137" s="2897"/>
      <c r="P137" s="2897"/>
      <c r="Q137" s="2897"/>
      <c r="R137" s="2897"/>
      <c r="S137" s="2897"/>
      <c r="T137" s="2897"/>
      <c r="U137" s="2897"/>
      <c r="V137" s="2897"/>
      <c r="W137" s="2897"/>
      <c r="X137" s="2898"/>
      <c r="Y137" s="2898"/>
      <c r="Z137" s="2898"/>
      <c r="AA137" s="2897"/>
      <c r="AB137" s="2897"/>
      <c r="AC137" s="2897"/>
      <c r="AD137" s="2897"/>
      <c r="AE137" s="2897"/>
      <c r="AF137" s="2896"/>
      <c r="AG137" s="2896"/>
      <c r="AH137" s="2896"/>
      <c r="AI137" s="2896"/>
      <c r="AJ137" s="2896"/>
      <c r="AK137" s="2896"/>
      <c r="AL137" s="2896"/>
      <c r="AM137" s="2896"/>
      <c r="AN137" s="2896"/>
      <c r="AO137" s="2896"/>
      <c r="AP137" s="2896"/>
      <c r="AQ137" s="2896"/>
      <c r="AR137" s="2896"/>
      <c r="AS137" s="2896"/>
      <c r="AT137" s="2896"/>
      <c r="AU137" s="2896"/>
      <c r="AV137" s="2896"/>
      <c r="AW137" s="2896"/>
      <c r="AX137" s="2899"/>
    </row>
    <row r="138" spans="2:50" ht="14.5" outlineLevel="1">
      <c r="B138" s="2900"/>
      <c r="C138" s="2901"/>
      <c r="D138" s="2901"/>
      <c r="E138" s="2901"/>
      <c r="F138" s="2902"/>
      <c r="G138" s="2902"/>
      <c r="H138" s="2902"/>
      <c r="I138" s="2902"/>
      <c r="J138" s="2901"/>
      <c r="K138" s="2901"/>
      <c r="L138" s="2901"/>
      <c r="M138" s="2901"/>
      <c r="N138" s="2901"/>
      <c r="O138" s="2902"/>
      <c r="P138" s="2902"/>
      <c r="Q138" s="2902"/>
      <c r="R138" s="2902"/>
      <c r="S138" s="2902"/>
      <c r="T138" s="2902"/>
      <c r="U138" s="2902"/>
      <c r="V138" s="2902"/>
      <c r="W138" s="2902"/>
      <c r="X138" s="2903"/>
      <c r="Y138" s="2903"/>
      <c r="Z138" s="2903"/>
      <c r="AA138" s="2904"/>
      <c r="AB138" s="2904"/>
      <c r="AC138" s="2904"/>
      <c r="AD138" s="2904"/>
      <c r="AE138" s="2904"/>
      <c r="AF138" s="2904"/>
      <c r="AG138" s="2904"/>
      <c r="AH138" s="2904"/>
      <c r="AI138" s="2904"/>
      <c r="AJ138" s="2904"/>
      <c r="AK138" s="2904"/>
      <c r="AL138" s="2904"/>
      <c r="AM138" s="2904"/>
      <c r="AN138" s="2904"/>
      <c r="AO138" s="2904"/>
      <c r="AP138" s="2904"/>
      <c r="AQ138" s="2904"/>
      <c r="AR138" s="2904"/>
      <c r="AS138" s="2904"/>
      <c r="AT138" s="2904"/>
      <c r="AU138" s="2904"/>
      <c r="AV138" s="2904"/>
      <c r="AW138" s="2904"/>
      <c r="AX138" s="2905"/>
    </row>
    <row r="139" spans="2:50" ht="14.5" outlineLevel="1">
      <c r="B139" s="2895"/>
      <c r="C139" s="2896"/>
      <c r="D139" s="2896"/>
      <c r="E139" s="2896"/>
      <c r="F139" s="2897"/>
      <c r="G139" s="2897"/>
      <c r="H139" s="2897"/>
      <c r="I139" s="2897"/>
      <c r="J139" s="2896"/>
      <c r="K139" s="2896"/>
      <c r="L139" s="2896"/>
      <c r="M139" s="2896"/>
      <c r="N139" s="2896"/>
      <c r="O139" s="2897"/>
      <c r="P139" s="2897"/>
      <c r="Q139" s="2897"/>
      <c r="R139" s="2897"/>
      <c r="S139" s="2897"/>
      <c r="T139" s="2897"/>
      <c r="U139" s="2897"/>
      <c r="V139" s="2897"/>
      <c r="W139" s="2897"/>
      <c r="X139" s="2898"/>
      <c r="Y139" s="2898"/>
      <c r="Z139" s="2898"/>
      <c r="AA139" s="2897"/>
      <c r="AB139" s="2897"/>
      <c r="AC139" s="2897"/>
      <c r="AD139" s="2897"/>
      <c r="AE139" s="2897"/>
      <c r="AF139" s="2896"/>
      <c r="AG139" s="2896"/>
      <c r="AH139" s="2896"/>
      <c r="AI139" s="2896"/>
      <c r="AJ139" s="2896"/>
      <c r="AK139" s="2896"/>
      <c r="AL139" s="2896"/>
      <c r="AM139" s="2896"/>
      <c r="AN139" s="2896"/>
      <c r="AO139" s="2896"/>
      <c r="AP139" s="2896"/>
      <c r="AQ139" s="2896"/>
      <c r="AR139" s="2896"/>
      <c r="AS139" s="2896"/>
      <c r="AT139" s="2896"/>
      <c r="AU139" s="2896"/>
      <c r="AV139" s="2896"/>
      <c r="AW139" s="2896"/>
      <c r="AX139" s="2899"/>
    </row>
    <row r="140" spans="2:50" ht="14.5" outlineLevel="1">
      <c r="B140" s="2900"/>
      <c r="C140" s="2901"/>
      <c r="D140" s="2901"/>
      <c r="E140" s="2901"/>
      <c r="F140" s="2902"/>
      <c r="G140" s="2902"/>
      <c r="H140" s="2902"/>
      <c r="I140" s="2902"/>
      <c r="J140" s="2901"/>
      <c r="K140" s="2901"/>
      <c r="L140" s="2901"/>
      <c r="M140" s="2901"/>
      <c r="N140" s="2901"/>
      <c r="O140" s="2902"/>
      <c r="P140" s="2902"/>
      <c r="Q140" s="2902"/>
      <c r="R140" s="2902"/>
      <c r="S140" s="2902"/>
      <c r="T140" s="2902"/>
      <c r="U140" s="2902"/>
      <c r="V140" s="2902"/>
      <c r="W140" s="2902"/>
      <c r="X140" s="2903"/>
      <c r="Y140" s="2903"/>
      <c r="Z140" s="2903"/>
      <c r="AA140" s="2904"/>
      <c r="AB140" s="2904"/>
      <c r="AC140" s="2904"/>
      <c r="AD140" s="2904"/>
      <c r="AE140" s="2904"/>
      <c r="AF140" s="2904"/>
      <c r="AG140" s="2904"/>
      <c r="AH140" s="2904"/>
      <c r="AI140" s="2904"/>
      <c r="AJ140" s="2904"/>
      <c r="AK140" s="2904"/>
      <c r="AL140" s="2904"/>
      <c r="AM140" s="2904"/>
      <c r="AN140" s="2904"/>
      <c r="AO140" s="2904"/>
      <c r="AP140" s="2904"/>
      <c r="AQ140" s="2904"/>
      <c r="AR140" s="2904"/>
      <c r="AS140" s="2904"/>
      <c r="AT140" s="2904"/>
      <c r="AU140" s="2904"/>
      <c r="AV140" s="2904"/>
      <c r="AW140" s="2904"/>
      <c r="AX140" s="2905"/>
    </row>
    <row r="141" spans="2:50" ht="14.5" outlineLevel="1">
      <c r="B141" s="2895"/>
      <c r="C141" s="2896"/>
      <c r="D141" s="2896"/>
      <c r="E141" s="2896"/>
      <c r="F141" s="2897"/>
      <c r="G141" s="2897"/>
      <c r="H141" s="2897"/>
      <c r="I141" s="2897"/>
      <c r="J141" s="2896"/>
      <c r="K141" s="2896"/>
      <c r="L141" s="2896"/>
      <c r="M141" s="2896"/>
      <c r="N141" s="2896"/>
      <c r="O141" s="2897"/>
      <c r="P141" s="2897"/>
      <c r="Q141" s="2897"/>
      <c r="R141" s="2897"/>
      <c r="S141" s="2897"/>
      <c r="T141" s="2897"/>
      <c r="U141" s="2897"/>
      <c r="V141" s="2897"/>
      <c r="W141" s="2897"/>
      <c r="X141" s="2898"/>
      <c r="Y141" s="2898"/>
      <c r="Z141" s="2898"/>
      <c r="AA141" s="2897"/>
      <c r="AB141" s="2897"/>
      <c r="AC141" s="2897"/>
      <c r="AD141" s="2897"/>
      <c r="AE141" s="2897"/>
      <c r="AF141" s="2896"/>
      <c r="AG141" s="2896"/>
      <c r="AH141" s="2896"/>
      <c r="AI141" s="2896"/>
      <c r="AJ141" s="2896"/>
      <c r="AK141" s="2896"/>
      <c r="AL141" s="2896"/>
      <c r="AM141" s="2896"/>
      <c r="AN141" s="2896"/>
      <c r="AO141" s="2896"/>
      <c r="AP141" s="2896"/>
      <c r="AQ141" s="2896"/>
      <c r="AR141" s="2896"/>
      <c r="AS141" s="2896"/>
      <c r="AT141" s="2896"/>
      <c r="AU141" s="2896"/>
      <c r="AV141" s="2896"/>
      <c r="AW141" s="2896"/>
      <c r="AX141" s="2899"/>
    </row>
    <row r="142" spans="2:50" ht="14.5">
      <c r="B142" s="2900"/>
      <c r="C142" s="2901"/>
      <c r="D142" s="2901"/>
      <c r="E142" s="2901"/>
      <c r="F142" s="2902"/>
      <c r="G142" s="2902"/>
      <c r="H142" s="2902"/>
      <c r="I142" s="2902"/>
      <c r="J142" s="2901"/>
      <c r="K142" s="2901"/>
      <c r="L142" s="2901"/>
      <c r="M142" s="2901"/>
      <c r="N142" s="2901"/>
      <c r="O142" s="2902"/>
      <c r="P142" s="2902"/>
      <c r="Q142" s="2902"/>
      <c r="R142" s="2902"/>
      <c r="S142" s="2902"/>
      <c r="T142" s="2902"/>
      <c r="U142" s="2902"/>
      <c r="V142" s="2902"/>
      <c r="W142" s="2902"/>
      <c r="X142" s="2903"/>
      <c r="Y142" s="2903"/>
      <c r="Z142" s="2903"/>
      <c r="AA142" s="2904"/>
      <c r="AB142" s="2904"/>
      <c r="AC142" s="2904"/>
      <c r="AD142" s="2904"/>
      <c r="AE142" s="2904"/>
      <c r="AF142" s="2904"/>
      <c r="AG142" s="2904"/>
      <c r="AH142" s="2904"/>
      <c r="AI142" s="2904"/>
      <c r="AJ142" s="2904"/>
      <c r="AK142" s="2904"/>
      <c r="AL142" s="2904"/>
      <c r="AM142" s="2904"/>
      <c r="AN142" s="2904"/>
      <c r="AO142" s="2904"/>
      <c r="AP142" s="2904"/>
      <c r="AQ142" s="2904"/>
      <c r="AR142" s="2904"/>
      <c r="AS142" s="2904"/>
      <c r="AT142" s="2904"/>
      <c r="AU142" s="2904"/>
      <c r="AV142" s="2904"/>
      <c r="AW142" s="2904"/>
      <c r="AX142" s="2905"/>
    </row>
    <row r="143" spans="2:50" ht="14.5" outlineLevel="1">
      <c r="B143" s="2895"/>
      <c r="C143" s="2896"/>
      <c r="D143" s="2896"/>
      <c r="E143" s="2896"/>
      <c r="F143" s="2897"/>
      <c r="G143" s="2897"/>
      <c r="H143" s="2897"/>
      <c r="I143" s="2897"/>
      <c r="J143" s="2896"/>
      <c r="K143" s="2896"/>
      <c r="L143" s="2896"/>
      <c r="M143" s="2896"/>
      <c r="N143" s="2896"/>
      <c r="O143" s="2897"/>
      <c r="P143" s="2897"/>
      <c r="Q143" s="2897"/>
      <c r="R143" s="2897"/>
      <c r="S143" s="2897"/>
      <c r="T143" s="2897"/>
      <c r="U143" s="2897"/>
      <c r="V143" s="2897"/>
      <c r="W143" s="2897"/>
      <c r="X143" s="2898"/>
      <c r="Y143" s="2898"/>
      <c r="Z143" s="2898"/>
      <c r="AA143" s="2897"/>
      <c r="AB143" s="2897"/>
      <c r="AC143" s="2897"/>
      <c r="AD143" s="2897"/>
      <c r="AE143" s="2897"/>
      <c r="AF143" s="2896"/>
      <c r="AG143" s="2896"/>
      <c r="AH143" s="2896"/>
      <c r="AI143" s="2896"/>
      <c r="AJ143" s="2896"/>
      <c r="AK143" s="2896"/>
      <c r="AL143" s="2896"/>
      <c r="AM143" s="2896"/>
      <c r="AN143" s="2896"/>
      <c r="AO143" s="2896"/>
      <c r="AP143" s="2896"/>
      <c r="AQ143" s="2896"/>
      <c r="AR143" s="2896"/>
      <c r="AS143" s="2896"/>
      <c r="AT143" s="2896"/>
      <c r="AU143" s="2896"/>
      <c r="AV143" s="2896"/>
      <c r="AW143" s="2896"/>
      <c r="AX143" s="2899"/>
    </row>
    <row r="144" spans="2:50" ht="14.5" outlineLevel="1">
      <c r="B144" s="2900"/>
      <c r="C144" s="2901"/>
      <c r="D144" s="2901"/>
      <c r="E144" s="2901"/>
      <c r="F144" s="2902"/>
      <c r="G144" s="2902"/>
      <c r="H144" s="2902"/>
      <c r="I144" s="2902"/>
      <c r="J144" s="2901"/>
      <c r="K144" s="2901"/>
      <c r="L144" s="2901"/>
      <c r="M144" s="2901"/>
      <c r="N144" s="2901"/>
      <c r="O144" s="2902"/>
      <c r="P144" s="2902"/>
      <c r="Q144" s="2902"/>
      <c r="R144" s="2902"/>
      <c r="S144" s="2902"/>
      <c r="T144" s="2902"/>
      <c r="U144" s="2902"/>
      <c r="V144" s="2902"/>
      <c r="W144" s="2902"/>
      <c r="X144" s="2903"/>
      <c r="Y144" s="2903"/>
      <c r="Z144" s="2903"/>
      <c r="AA144" s="2904"/>
      <c r="AB144" s="2904"/>
      <c r="AC144" s="2904"/>
      <c r="AD144" s="2904"/>
      <c r="AE144" s="2904"/>
      <c r="AF144" s="2904"/>
      <c r="AG144" s="2904"/>
      <c r="AH144" s="2904"/>
      <c r="AI144" s="2904"/>
      <c r="AJ144" s="2904"/>
      <c r="AK144" s="2904"/>
      <c r="AL144" s="2904"/>
      <c r="AM144" s="2904"/>
      <c r="AN144" s="2904"/>
      <c r="AO144" s="2904"/>
      <c r="AP144" s="2904"/>
      <c r="AQ144" s="2904"/>
      <c r="AR144" s="2904"/>
      <c r="AS144" s="2904"/>
      <c r="AT144" s="2904"/>
      <c r="AU144" s="2904"/>
      <c r="AV144" s="2904"/>
      <c r="AW144" s="2904"/>
      <c r="AX144" s="2905"/>
    </row>
    <row r="145" spans="2:50" ht="14.5" outlineLevel="1">
      <c r="B145" s="2895"/>
      <c r="C145" s="2896"/>
      <c r="D145" s="2896"/>
      <c r="E145" s="2896"/>
      <c r="F145" s="2897"/>
      <c r="G145" s="2897"/>
      <c r="H145" s="2897"/>
      <c r="I145" s="2897"/>
      <c r="J145" s="2896"/>
      <c r="K145" s="2896"/>
      <c r="L145" s="2896"/>
      <c r="M145" s="2896"/>
      <c r="N145" s="2896"/>
      <c r="O145" s="2897"/>
      <c r="P145" s="2897"/>
      <c r="Q145" s="2897"/>
      <c r="R145" s="2897"/>
      <c r="S145" s="2897"/>
      <c r="T145" s="2897"/>
      <c r="U145" s="2897"/>
      <c r="V145" s="2897"/>
      <c r="W145" s="2897"/>
      <c r="X145" s="2898"/>
      <c r="Y145" s="2898"/>
      <c r="Z145" s="2898"/>
      <c r="AA145" s="2897"/>
      <c r="AB145" s="2897"/>
      <c r="AC145" s="2897"/>
      <c r="AD145" s="2897"/>
      <c r="AE145" s="2897"/>
      <c r="AF145" s="2896"/>
      <c r="AG145" s="2896"/>
      <c r="AH145" s="2896"/>
      <c r="AI145" s="2896"/>
      <c r="AJ145" s="2896"/>
      <c r="AK145" s="2896"/>
      <c r="AL145" s="2896"/>
      <c r="AM145" s="2896"/>
      <c r="AN145" s="2896"/>
      <c r="AO145" s="2896"/>
      <c r="AP145" s="2896"/>
      <c r="AQ145" s="2896"/>
      <c r="AR145" s="2896"/>
      <c r="AS145" s="2896"/>
      <c r="AT145" s="2896"/>
      <c r="AU145" s="2896"/>
      <c r="AV145" s="2896"/>
      <c r="AW145" s="2896"/>
      <c r="AX145" s="2899"/>
    </row>
    <row r="146" spans="2:50" ht="14.5" outlineLevel="1">
      <c r="B146" s="2900"/>
      <c r="C146" s="2901"/>
      <c r="D146" s="2901"/>
      <c r="E146" s="2901"/>
      <c r="F146" s="2902"/>
      <c r="G146" s="2902"/>
      <c r="H146" s="2902"/>
      <c r="I146" s="2902"/>
      <c r="J146" s="2901"/>
      <c r="K146" s="2901"/>
      <c r="L146" s="2901"/>
      <c r="M146" s="2901"/>
      <c r="N146" s="2901"/>
      <c r="O146" s="2902"/>
      <c r="P146" s="2902"/>
      <c r="Q146" s="2902"/>
      <c r="R146" s="2902"/>
      <c r="S146" s="2902"/>
      <c r="T146" s="2902"/>
      <c r="U146" s="2902"/>
      <c r="V146" s="2902"/>
      <c r="W146" s="2902"/>
      <c r="X146" s="2903"/>
      <c r="Y146" s="2903"/>
      <c r="Z146" s="2903"/>
      <c r="AA146" s="2904"/>
      <c r="AB146" s="2904"/>
      <c r="AC146" s="2904"/>
      <c r="AD146" s="2904"/>
      <c r="AE146" s="2904"/>
      <c r="AF146" s="2904"/>
      <c r="AG146" s="2904"/>
      <c r="AH146" s="2904"/>
      <c r="AI146" s="2904"/>
      <c r="AJ146" s="2904"/>
      <c r="AK146" s="2904"/>
      <c r="AL146" s="2904"/>
      <c r="AM146" s="2904"/>
      <c r="AN146" s="2904"/>
      <c r="AO146" s="2904"/>
      <c r="AP146" s="2904"/>
      <c r="AQ146" s="2904"/>
      <c r="AR146" s="2904"/>
      <c r="AS146" s="2904"/>
      <c r="AT146" s="2904"/>
      <c r="AU146" s="2904"/>
      <c r="AV146" s="2904"/>
      <c r="AW146" s="2904"/>
      <c r="AX146" s="2905"/>
    </row>
    <row r="147" spans="2:50" ht="14.5" outlineLevel="1">
      <c r="B147" s="2895"/>
      <c r="C147" s="2896"/>
      <c r="D147" s="2896"/>
      <c r="E147" s="2896"/>
      <c r="F147" s="2897"/>
      <c r="G147" s="2897"/>
      <c r="H147" s="2897"/>
      <c r="I147" s="2897"/>
      <c r="J147" s="2896"/>
      <c r="K147" s="2896"/>
      <c r="L147" s="2896"/>
      <c r="M147" s="2896"/>
      <c r="N147" s="2896"/>
      <c r="O147" s="2897"/>
      <c r="P147" s="2897"/>
      <c r="Q147" s="2897"/>
      <c r="R147" s="2897"/>
      <c r="S147" s="2897"/>
      <c r="T147" s="2897"/>
      <c r="U147" s="2897"/>
      <c r="V147" s="2897"/>
      <c r="W147" s="2897"/>
      <c r="X147" s="2898"/>
      <c r="Y147" s="2898"/>
      <c r="Z147" s="2898"/>
      <c r="AA147" s="2897"/>
      <c r="AB147" s="2897"/>
      <c r="AC147" s="2897"/>
      <c r="AD147" s="2897"/>
      <c r="AE147" s="2897"/>
      <c r="AF147" s="2896"/>
      <c r="AG147" s="2896"/>
      <c r="AH147" s="2896"/>
      <c r="AI147" s="2896"/>
      <c r="AJ147" s="2896"/>
      <c r="AK147" s="2896"/>
      <c r="AL147" s="2896"/>
      <c r="AM147" s="2896"/>
      <c r="AN147" s="2896"/>
      <c r="AO147" s="2896"/>
      <c r="AP147" s="2896"/>
      <c r="AQ147" s="2896"/>
      <c r="AR147" s="2896"/>
      <c r="AS147" s="2896"/>
      <c r="AT147" s="2896"/>
      <c r="AU147" s="2896"/>
      <c r="AV147" s="2896"/>
      <c r="AW147" s="2896"/>
      <c r="AX147" s="2899"/>
    </row>
    <row r="148" spans="2:50" ht="14.5" outlineLevel="1">
      <c r="B148" s="2900"/>
      <c r="C148" s="2901"/>
      <c r="D148" s="2901"/>
      <c r="E148" s="2901"/>
      <c r="F148" s="2902"/>
      <c r="G148" s="2902"/>
      <c r="H148" s="2902"/>
      <c r="I148" s="2902"/>
      <c r="J148" s="2901"/>
      <c r="K148" s="2901"/>
      <c r="L148" s="2901"/>
      <c r="M148" s="2901"/>
      <c r="N148" s="2901"/>
      <c r="O148" s="2902"/>
      <c r="P148" s="2902"/>
      <c r="Q148" s="2902"/>
      <c r="R148" s="2902"/>
      <c r="S148" s="2902"/>
      <c r="T148" s="2902"/>
      <c r="U148" s="2902"/>
      <c r="V148" s="2902"/>
      <c r="W148" s="2902"/>
      <c r="X148" s="2903"/>
      <c r="Y148" s="2903"/>
      <c r="Z148" s="2903"/>
      <c r="AA148" s="2904"/>
      <c r="AB148" s="2904"/>
      <c r="AC148" s="2904"/>
      <c r="AD148" s="2904"/>
      <c r="AE148" s="2904"/>
      <c r="AF148" s="2904"/>
      <c r="AG148" s="2904"/>
      <c r="AH148" s="2904"/>
      <c r="AI148" s="2904"/>
      <c r="AJ148" s="2904"/>
      <c r="AK148" s="2904"/>
      <c r="AL148" s="2904"/>
      <c r="AM148" s="2904"/>
      <c r="AN148" s="2904"/>
      <c r="AO148" s="2904"/>
      <c r="AP148" s="2904"/>
      <c r="AQ148" s="2904"/>
      <c r="AR148" s="2904"/>
      <c r="AS148" s="2904"/>
      <c r="AT148" s="2904"/>
      <c r="AU148" s="2904"/>
      <c r="AV148" s="2904"/>
      <c r="AW148" s="2904"/>
      <c r="AX148" s="2905"/>
    </row>
    <row r="149" spans="2:50" ht="14.5" outlineLevel="1">
      <c r="B149" s="2895"/>
      <c r="C149" s="2896"/>
      <c r="D149" s="2896"/>
      <c r="E149" s="2896"/>
      <c r="F149" s="2897"/>
      <c r="G149" s="2897"/>
      <c r="H149" s="2897"/>
      <c r="I149" s="2897"/>
      <c r="J149" s="2896"/>
      <c r="K149" s="2896"/>
      <c r="L149" s="2896"/>
      <c r="M149" s="2896"/>
      <c r="N149" s="2896"/>
      <c r="O149" s="2897"/>
      <c r="P149" s="2897"/>
      <c r="Q149" s="2897"/>
      <c r="R149" s="2897"/>
      <c r="S149" s="2897"/>
      <c r="T149" s="2897"/>
      <c r="U149" s="2897"/>
      <c r="V149" s="2897"/>
      <c r="W149" s="2897"/>
      <c r="X149" s="2898"/>
      <c r="Y149" s="2898"/>
      <c r="Z149" s="2898"/>
      <c r="AA149" s="2897"/>
      <c r="AB149" s="2897"/>
      <c r="AC149" s="2897"/>
      <c r="AD149" s="2897"/>
      <c r="AE149" s="2897"/>
      <c r="AF149" s="2896"/>
      <c r="AG149" s="2896"/>
      <c r="AH149" s="2896"/>
      <c r="AI149" s="2896"/>
      <c r="AJ149" s="2896"/>
      <c r="AK149" s="2896"/>
      <c r="AL149" s="2896"/>
      <c r="AM149" s="2896"/>
      <c r="AN149" s="2896"/>
      <c r="AO149" s="2896"/>
      <c r="AP149" s="2896"/>
      <c r="AQ149" s="2896"/>
      <c r="AR149" s="2896"/>
      <c r="AS149" s="2896"/>
      <c r="AT149" s="2896"/>
      <c r="AU149" s="2896"/>
      <c r="AV149" s="2896"/>
      <c r="AW149" s="2896"/>
      <c r="AX149" s="2899"/>
    </row>
    <row r="150" spans="2:50" ht="14.5" outlineLevel="1">
      <c r="B150" s="2900"/>
      <c r="C150" s="2901"/>
      <c r="D150" s="2901"/>
      <c r="E150" s="2901"/>
      <c r="F150" s="2902"/>
      <c r="G150" s="2902"/>
      <c r="H150" s="2902"/>
      <c r="I150" s="2902"/>
      <c r="J150" s="2901"/>
      <c r="K150" s="2901"/>
      <c r="L150" s="2901"/>
      <c r="M150" s="2901"/>
      <c r="N150" s="2901"/>
      <c r="O150" s="2902"/>
      <c r="P150" s="2902"/>
      <c r="Q150" s="2902"/>
      <c r="R150" s="2902"/>
      <c r="S150" s="2902"/>
      <c r="T150" s="2902"/>
      <c r="U150" s="2902"/>
      <c r="V150" s="2902"/>
      <c r="W150" s="2902"/>
      <c r="X150" s="2903"/>
      <c r="Y150" s="2903"/>
      <c r="Z150" s="2903"/>
      <c r="AA150" s="2904"/>
      <c r="AB150" s="2904"/>
      <c r="AC150" s="2904"/>
      <c r="AD150" s="2904"/>
      <c r="AE150" s="2904"/>
      <c r="AF150" s="2904"/>
      <c r="AG150" s="2904"/>
      <c r="AH150" s="2904"/>
      <c r="AI150" s="2904"/>
      <c r="AJ150" s="2904"/>
      <c r="AK150" s="2904"/>
      <c r="AL150" s="2904"/>
      <c r="AM150" s="2904"/>
      <c r="AN150" s="2904"/>
      <c r="AO150" s="2904"/>
      <c r="AP150" s="2904"/>
      <c r="AQ150" s="2904"/>
      <c r="AR150" s="2904"/>
      <c r="AS150" s="2904"/>
      <c r="AT150" s="2904"/>
      <c r="AU150" s="2904"/>
      <c r="AV150" s="2904"/>
      <c r="AW150" s="2904"/>
      <c r="AX150" s="2905"/>
    </row>
    <row r="151" spans="2:50" ht="14.5" outlineLevel="1">
      <c r="B151" s="2895"/>
      <c r="C151" s="2896"/>
      <c r="D151" s="2896"/>
      <c r="E151" s="2896"/>
      <c r="F151" s="2897"/>
      <c r="G151" s="2897"/>
      <c r="H151" s="2897"/>
      <c r="I151" s="2897"/>
      <c r="J151" s="2896"/>
      <c r="K151" s="2896"/>
      <c r="L151" s="2896"/>
      <c r="M151" s="2896"/>
      <c r="N151" s="2896"/>
      <c r="O151" s="2897"/>
      <c r="P151" s="2897"/>
      <c r="Q151" s="2897"/>
      <c r="R151" s="2897"/>
      <c r="S151" s="2897"/>
      <c r="T151" s="2897"/>
      <c r="U151" s="2897"/>
      <c r="V151" s="2897"/>
      <c r="W151" s="2897"/>
      <c r="X151" s="2898"/>
      <c r="Y151" s="2898"/>
      <c r="Z151" s="2898"/>
      <c r="AA151" s="2897"/>
      <c r="AB151" s="2897"/>
      <c r="AC151" s="2897"/>
      <c r="AD151" s="2897"/>
      <c r="AE151" s="2897"/>
      <c r="AF151" s="2896"/>
      <c r="AG151" s="2896"/>
      <c r="AH151" s="2896"/>
      <c r="AI151" s="2896"/>
      <c r="AJ151" s="2896"/>
      <c r="AK151" s="2896"/>
      <c r="AL151" s="2896"/>
      <c r="AM151" s="2896"/>
      <c r="AN151" s="2896"/>
      <c r="AO151" s="2896"/>
      <c r="AP151" s="2896"/>
      <c r="AQ151" s="2896"/>
      <c r="AR151" s="2896"/>
      <c r="AS151" s="2896"/>
      <c r="AT151" s="2896"/>
      <c r="AU151" s="2896"/>
      <c r="AV151" s="2896"/>
      <c r="AW151" s="2896"/>
      <c r="AX151" s="2899"/>
    </row>
    <row r="152" spans="2:50" ht="14.5" outlineLevel="1">
      <c r="B152" s="2900"/>
      <c r="C152" s="2901"/>
      <c r="D152" s="2901"/>
      <c r="E152" s="2901"/>
      <c r="F152" s="2902"/>
      <c r="G152" s="2902"/>
      <c r="H152" s="2902"/>
      <c r="I152" s="2902"/>
      <c r="J152" s="2901"/>
      <c r="K152" s="2901"/>
      <c r="L152" s="2901"/>
      <c r="M152" s="2901"/>
      <c r="N152" s="2901"/>
      <c r="O152" s="2902"/>
      <c r="P152" s="2902"/>
      <c r="Q152" s="2902"/>
      <c r="R152" s="2902"/>
      <c r="S152" s="2902"/>
      <c r="T152" s="2902"/>
      <c r="U152" s="2902"/>
      <c r="V152" s="2902"/>
      <c r="W152" s="2902"/>
      <c r="X152" s="2903"/>
      <c r="Y152" s="2903"/>
      <c r="Z152" s="2903"/>
      <c r="AA152" s="2904"/>
      <c r="AB152" s="2904"/>
      <c r="AC152" s="2904"/>
      <c r="AD152" s="2904"/>
      <c r="AE152" s="2904"/>
      <c r="AF152" s="2904"/>
      <c r="AG152" s="2904"/>
      <c r="AH152" s="2904"/>
      <c r="AI152" s="2904"/>
      <c r="AJ152" s="2904"/>
      <c r="AK152" s="2904"/>
      <c r="AL152" s="2904"/>
      <c r="AM152" s="2904"/>
      <c r="AN152" s="2904"/>
      <c r="AO152" s="2904"/>
      <c r="AP152" s="2904"/>
      <c r="AQ152" s="2904"/>
      <c r="AR152" s="2904"/>
      <c r="AS152" s="2904"/>
      <c r="AT152" s="2904"/>
      <c r="AU152" s="2904"/>
      <c r="AV152" s="2904"/>
      <c r="AW152" s="2904"/>
      <c r="AX152" s="2905"/>
    </row>
    <row r="153" spans="2:50" ht="14.5" outlineLevel="1">
      <c r="B153" s="2895"/>
      <c r="C153" s="2896"/>
      <c r="D153" s="2896"/>
      <c r="E153" s="2896"/>
      <c r="F153" s="2897"/>
      <c r="G153" s="2897"/>
      <c r="H153" s="2897"/>
      <c r="I153" s="2897"/>
      <c r="J153" s="2896"/>
      <c r="K153" s="2896"/>
      <c r="L153" s="2896"/>
      <c r="M153" s="2896"/>
      <c r="N153" s="2896"/>
      <c r="O153" s="2897"/>
      <c r="P153" s="2897"/>
      <c r="Q153" s="2897"/>
      <c r="R153" s="2897"/>
      <c r="S153" s="2897"/>
      <c r="T153" s="2897"/>
      <c r="U153" s="2897"/>
      <c r="V153" s="2897"/>
      <c r="W153" s="2897"/>
      <c r="X153" s="2898"/>
      <c r="Y153" s="2898"/>
      <c r="Z153" s="2898"/>
      <c r="AA153" s="2897"/>
      <c r="AB153" s="2897"/>
      <c r="AC153" s="2897"/>
      <c r="AD153" s="2897"/>
      <c r="AE153" s="2897"/>
      <c r="AF153" s="2896"/>
      <c r="AG153" s="2896"/>
      <c r="AH153" s="2896"/>
      <c r="AI153" s="2896"/>
      <c r="AJ153" s="2896"/>
      <c r="AK153" s="2896"/>
      <c r="AL153" s="2896"/>
      <c r="AM153" s="2896"/>
      <c r="AN153" s="2896"/>
      <c r="AO153" s="2896"/>
      <c r="AP153" s="2896"/>
      <c r="AQ153" s="2896"/>
      <c r="AR153" s="2896"/>
      <c r="AS153" s="2896"/>
      <c r="AT153" s="2896"/>
      <c r="AU153" s="2896"/>
      <c r="AV153" s="2896"/>
      <c r="AW153" s="2896"/>
      <c r="AX153" s="2899"/>
    </row>
    <row r="154" spans="2:50" ht="14.5" outlineLevel="1">
      <c r="B154" s="2900"/>
      <c r="C154" s="2901"/>
      <c r="D154" s="2901"/>
      <c r="E154" s="2901"/>
      <c r="F154" s="2902"/>
      <c r="G154" s="2902"/>
      <c r="H154" s="2902"/>
      <c r="I154" s="2902"/>
      <c r="J154" s="2901"/>
      <c r="K154" s="2901"/>
      <c r="L154" s="2901"/>
      <c r="M154" s="2901"/>
      <c r="N154" s="2901"/>
      <c r="O154" s="2902"/>
      <c r="P154" s="2902"/>
      <c r="Q154" s="2902"/>
      <c r="R154" s="2902"/>
      <c r="S154" s="2902"/>
      <c r="T154" s="2902"/>
      <c r="U154" s="2902"/>
      <c r="V154" s="2902"/>
      <c r="W154" s="2902"/>
      <c r="X154" s="2903"/>
      <c r="Y154" s="2903"/>
      <c r="Z154" s="2903"/>
      <c r="AA154" s="2904"/>
      <c r="AB154" s="2904"/>
      <c r="AC154" s="2904"/>
      <c r="AD154" s="2904"/>
      <c r="AE154" s="2904"/>
      <c r="AF154" s="2904"/>
      <c r="AG154" s="2904"/>
      <c r="AH154" s="2904"/>
      <c r="AI154" s="2904"/>
      <c r="AJ154" s="2904"/>
      <c r="AK154" s="2904"/>
      <c r="AL154" s="2904"/>
      <c r="AM154" s="2904"/>
      <c r="AN154" s="2904"/>
      <c r="AO154" s="2904"/>
      <c r="AP154" s="2904"/>
      <c r="AQ154" s="2904"/>
      <c r="AR154" s="2904"/>
      <c r="AS154" s="2904"/>
      <c r="AT154" s="2904"/>
      <c r="AU154" s="2904"/>
      <c r="AV154" s="2904"/>
      <c r="AW154" s="2904"/>
      <c r="AX154" s="2905"/>
    </row>
    <row r="155" spans="2:50" ht="14.5" outlineLevel="1">
      <c r="B155" s="2889"/>
      <c r="C155" s="2890"/>
      <c r="D155" s="2890"/>
      <c r="E155" s="2890"/>
      <c r="F155" s="2891"/>
      <c r="G155" s="2891"/>
      <c r="H155" s="2891"/>
      <c r="I155" s="2891"/>
      <c r="J155" s="2890"/>
      <c r="K155" s="2890"/>
      <c r="L155" s="2890"/>
      <c r="M155" s="2890"/>
      <c r="N155" s="2890"/>
      <c r="O155" s="2891"/>
      <c r="P155" s="2891"/>
      <c r="Q155" s="2891"/>
      <c r="R155" s="2891"/>
      <c r="S155" s="2891"/>
      <c r="T155" s="2891"/>
      <c r="U155" s="2891"/>
      <c r="V155" s="2891"/>
      <c r="W155" s="2891"/>
      <c r="X155" s="2892"/>
      <c r="Y155" s="2892"/>
      <c r="Z155" s="2892"/>
      <c r="AA155" s="2891"/>
      <c r="AB155" s="2891"/>
      <c r="AC155" s="2891"/>
      <c r="AD155" s="2891"/>
      <c r="AE155" s="2891"/>
      <c r="AF155" s="2890"/>
      <c r="AG155" s="2890"/>
      <c r="AH155" s="2890"/>
      <c r="AI155" s="2890"/>
      <c r="AJ155" s="2890"/>
      <c r="AK155" s="2890"/>
      <c r="AL155" s="2890"/>
      <c r="AM155" s="2890"/>
      <c r="AN155" s="2890"/>
      <c r="AO155" s="2890"/>
      <c r="AP155" s="2890"/>
      <c r="AQ155" s="2890"/>
      <c r="AR155" s="2890"/>
      <c r="AS155" s="2890"/>
      <c r="AT155" s="2890"/>
      <c r="AU155" s="2890"/>
      <c r="AV155" s="2890"/>
      <c r="AW155" s="2890"/>
      <c r="AX155" s="2893"/>
    </row>
  </sheetData>
  <sheetProtection selectLockedCells="1"/>
  <protectedRanges>
    <protectedRange sqref="BB40 P116:U117 BB42 BB44" name="技能表往下"/>
  </protectedRanges>
  <mergeCells count="2100">
    <mergeCell ref="CQ27:CW27"/>
    <mergeCell ref="B28:AE28"/>
    <mergeCell ref="N29:O29"/>
    <mergeCell ref="B2:CW2"/>
    <mergeCell ref="B3:U3"/>
    <mergeCell ref="V3:AO3"/>
    <mergeCell ref="AP3:BI3"/>
    <mergeCell ref="BJ3:CC3"/>
    <mergeCell ref="CD3:CW3"/>
    <mergeCell ref="B4:C4"/>
    <mergeCell ref="D4:J4"/>
    <mergeCell ref="K4:Q4"/>
    <mergeCell ref="R4:X4"/>
    <mergeCell ref="Y4:AE4"/>
    <mergeCell ref="AF4:AL4"/>
    <mergeCell ref="AM4:AS4"/>
    <mergeCell ref="AT4:AZ4"/>
    <mergeCell ref="BA4:BG4"/>
    <mergeCell ref="BH4:BN4"/>
    <mergeCell ref="BO4:BU4"/>
    <mergeCell ref="BV4:CB4"/>
    <mergeCell ref="CC4:CI4"/>
    <mergeCell ref="CJ4:CP4"/>
    <mergeCell ref="CQ4:CW4"/>
    <mergeCell ref="BP34:BS34"/>
    <mergeCell ref="BT34:BW34"/>
    <mergeCell ref="BX34:CE34"/>
    <mergeCell ref="CF34:CJ34"/>
    <mergeCell ref="B27:C27"/>
    <mergeCell ref="D27:J27"/>
    <mergeCell ref="K27:Q27"/>
    <mergeCell ref="R27:X27"/>
    <mergeCell ref="Y27:AE27"/>
    <mergeCell ref="AF27:AL27"/>
    <mergeCell ref="AM27:AS27"/>
    <mergeCell ref="AT27:AZ27"/>
    <mergeCell ref="BA27:BG27"/>
    <mergeCell ref="BH27:BN27"/>
    <mergeCell ref="BO27:BU27"/>
    <mergeCell ref="BV27:CB27"/>
    <mergeCell ref="CC27:CI27"/>
    <mergeCell ref="CJ27:CP27"/>
    <mergeCell ref="BK35:BO35"/>
    <mergeCell ref="BP35:BS35"/>
    <mergeCell ref="BT35:BW35"/>
    <mergeCell ref="BX35:CE35"/>
    <mergeCell ref="K31:AE31"/>
    <mergeCell ref="B32:Z32"/>
    <mergeCell ref="AA32:AY32"/>
    <mergeCell ref="B33:E33"/>
    <mergeCell ref="F33:J33"/>
    <mergeCell ref="K33:N33"/>
    <mergeCell ref="O33:T33"/>
    <mergeCell ref="U33:Z33"/>
    <mergeCell ref="AA33:AD33"/>
    <mergeCell ref="AE33:AI33"/>
    <mergeCell ref="AJ33:AM33"/>
    <mergeCell ref="AN33:AS33"/>
    <mergeCell ref="AT33:AY33"/>
    <mergeCell ref="BA33:CJ33"/>
    <mergeCell ref="B34:E34"/>
    <mergeCell ref="F34:J34"/>
    <mergeCell ref="K34:N34"/>
    <mergeCell ref="O34:T34"/>
    <mergeCell ref="U34:Z34"/>
    <mergeCell ref="AA34:AD34"/>
    <mergeCell ref="AE34:AI34"/>
    <mergeCell ref="AJ34:AM34"/>
    <mergeCell ref="AN34:AS34"/>
    <mergeCell ref="AT34:AY34"/>
    <mergeCell ref="BA34:BD34"/>
    <mergeCell ref="BE34:BH34"/>
    <mergeCell ref="BI34:BJ34"/>
    <mergeCell ref="BK34:BO34"/>
    <mergeCell ref="CF35:CJ35"/>
    <mergeCell ref="B36:E36"/>
    <mergeCell ref="F36:J36"/>
    <mergeCell ref="K36:N36"/>
    <mergeCell ref="O36:T36"/>
    <mergeCell ref="U36:Z36"/>
    <mergeCell ref="AA36:AD36"/>
    <mergeCell ref="AE36:AI36"/>
    <mergeCell ref="AJ36:AM36"/>
    <mergeCell ref="AN36:AS36"/>
    <mergeCell ref="AT36:AY36"/>
    <mergeCell ref="BA36:BD36"/>
    <mergeCell ref="BE36:BH36"/>
    <mergeCell ref="BI36:BJ36"/>
    <mergeCell ref="BK36:BO36"/>
    <mergeCell ref="BP36:BS36"/>
    <mergeCell ref="BT36:BW36"/>
    <mergeCell ref="BX36:CE36"/>
    <mergeCell ref="CF36:CJ36"/>
    <mergeCell ref="B35:E35"/>
    <mergeCell ref="F35:J35"/>
    <mergeCell ref="K35:N35"/>
    <mergeCell ref="O35:T35"/>
    <mergeCell ref="U35:Z35"/>
    <mergeCell ref="AA35:AD35"/>
    <mergeCell ref="AE35:AI35"/>
    <mergeCell ref="AJ35:AM35"/>
    <mergeCell ref="AN35:AS35"/>
    <mergeCell ref="AT35:AY35"/>
    <mergeCell ref="BA35:BD35"/>
    <mergeCell ref="BE35:BH35"/>
    <mergeCell ref="BI35:BJ35"/>
    <mergeCell ref="B37:E37"/>
    <mergeCell ref="F37:J37"/>
    <mergeCell ref="K37:N37"/>
    <mergeCell ref="O37:T37"/>
    <mergeCell ref="U37:Z37"/>
    <mergeCell ref="AA37:AD37"/>
    <mergeCell ref="AE37:AI37"/>
    <mergeCell ref="AJ37:AM37"/>
    <mergeCell ref="AN37:AS37"/>
    <mergeCell ref="AT37:AY37"/>
    <mergeCell ref="BA37:BD37"/>
    <mergeCell ref="BE37:BH37"/>
    <mergeCell ref="BI37:BJ37"/>
    <mergeCell ref="BK37:BO37"/>
    <mergeCell ref="BP37:BS37"/>
    <mergeCell ref="BT37:BW37"/>
    <mergeCell ref="BX37:CE37"/>
    <mergeCell ref="B38:E38"/>
    <mergeCell ref="F38:J38"/>
    <mergeCell ref="K38:N38"/>
    <mergeCell ref="O38:T38"/>
    <mergeCell ref="U38:Z38"/>
    <mergeCell ref="AA38:AD38"/>
    <mergeCell ref="AE38:AI38"/>
    <mergeCell ref="AJ38:AM38"/>
    <mergeCell ref="AN38:AS38"/>
    <mergeCell ref="AT38:AY38"/>
    <mergeCell ref="BA38:BD38"/>
    <mergeCell ref="BE38:BH38"/>
    <mergeCell ref="BI38:BJ38"/>
    <mergeCell ref="BK38:BO38"/>
    <mergeCell ref="BP38:BS38"/>
    <mergeCell ref="BT38:BW38"/>
    <mergeCell ref="BX38:CE38"/>
    <mergeCell ref="F39:J39"/>
    <mergeCell ref="K39:N39"/>
    <mergeCell ref="O39:T39"/>
    <mergeCell ref="U39:Z39"/>
    <mergeCell ref="AA39:AD39"/>
    <mergeCell ref="AE39:AI39"/>
    <mergeCell ref="AJ39:AM39"/>
    <mergeCell ref="AN39:AS39"/>
    <mergeCell ref="AT39:AY39"/>
    <mergeCell ref="BA39:BD39"/>
    <mergeCell ref="BE39:BH39"/>
    <mergeCell ref="BI39:BJ39"/>
    <mergeCell ref="BK39:BO39"/>
    <mergeCell ref="BP39:BS39"/>
    <mergeCell ref="BT39:BW39"/>
    <mergeCell ref="BX39:CE39"/>
    <mergeCell ref="CF37:CJ37"/>
    <mergeCell ref="CF38:CJ38"/>
    <mergeCell ref="AA41:AD41"/>
    <mergeCell ref="AE41:AI41"/>
    <mergeCell ref="AJ41:AM41"/>
    <mergeCell ref="AN41:AS41"/>
    <mergeCell ref="AT41:AY41"/>
    <mergeCell ref="BA41:BD41"/>
    <mergeCell ref="BE41:BH41"/>
    <mergeCell ref="BI41:BJ41"/>
    <mergeCell ref="BK41:BO41"/>
    <mergeCell ref="BP41:BS41"/>
    <mergeCell ref="BT41:BW41"/>
    <mergeCell ref="BX41:CE41"/>
    <mergeCell ref="CF39:CJ39"/>
    <mergeCell ref="B40:E40"/>
    <mergeCell ref="F40:J40"/>
    <mergeCell ref="K40:N40"/>
    <mergeCell ref="O40:T40"/>
    <mergeCell ref="U40:Z40"/>
    <mergeCell ref="AA40:AD40"/>
    <mergeCell ref="AE40:AI40"/>
    <mergeCell ref="AJ40:AM40"/>
    <mergeCell ref="AN40:AS40"/>
    <mergeCell ref="AT40:AY40"/>
    <mergeCell ref="BA40:BD40"/>
    <mergeCell ref="BE40:BH40"/>
    <mergeCell ref="BI40:BJ40"/>
    <mergeCell ref="BK40:BO40"/>
    <mergeCell ref="BP40:BS40"/>
    <mergeCell ref="BT40:BW40"/>
    <mergeCell ref="BX40:CE40"/>
    <mergeCell ref="CF40:CJ40"/>
    <mergeCell ref="B39:E39"/>
    <mergeCell ref="AT43:AY43"/>
    <mergeCell ref="BA43:BD43"/>
    <mergeCell ref="BE43:BH43"/>
    <mergeCell ref="BI43:BJ43"/>
    <mergeCell ref="BK43:BO43"/>
    <mergeCell ref="BP43:BS43"/>
    <mergeCell ref="BT43:BW43"/>
    <mergeCell ref="BX43:CE43"/>
    <mergeCell ref="CF41:CJ41"/>
    <mergeCell ref="B42:E42"/>
    <mergeCell ref="F42:J42"/>
    <mergeCell ref="K42:N42"/>
    <mergeCell ref="O42:T42"/>
    <mergeCell ref="U42:Z42"/>
    <mergeCell ref="AA42:AD42"/>
    <mergeCell ref="AE42:AI42"/>
    <mergeCell ref="AJ42:AM42"/>
    <mergeCell ref="AN42:AS42"/>
    <mergeCell ref="AT42:AY42"/>
    <mergeCell ref="BA42:BD42"/>
    <mergeCell ref="BE42:BH42"/>
    <mergeCell ref="BI42:BJ42"/>
    <mergeCell ref="BK42:BO42"/>
    <mergeCell ref="BP42:BS42"/>
    <mergeCell ref="BT42:BW42"/>
    <mergeCell ref="BX42:CE42"/>
    <mergeCell ref="CF42:CJ42"/>
    <mergeCell ref="B41:E41"/>
    <mergeCell ref="F41:J41"/>
    <mergeCell ref="K41:N41"/>
    <mergeCell ref="O41:T41"/>
    <mergeCell ref="U41:Z41"/>
    <mergeCell ref="BK45:BO45"/>
    <mergeCell ref="BP45:BS45"/>
    <mergeCell ref="BT45:BW45"/>
    <mergeCell ref="BX45:CE45"/>
    <mergeCell ref="CF43:CJ43"/>
    <mergeCell ref="B44:E44"/>
    <mergeCell ref="F44:J44"/>
    <mergeCell ref="K44:N44"/>
    <mergeCell ref="O44:T44"/>
    <mergeCell ref="U44:Z44"/>
    <mergeCell ref="AA44:AD44"/>
    <mergeCell ref="AE44:AI44"/>
    <mergeCell ref="AJ44:AM44"/>
    <mergeCell ref="AN44:AS44"/>
    <mergeCell ref="AT44:AY44"/>
    <mergeCell ref="BA44:BD44"/>
    <mergeCell ref="BE44:BH44"/>
    <mergeCell ref="BI44:BJ44"/>
    <mergeCell ref="BK44:BO44"/>
    <mergeCell ref="BP44:BS44"/>
    <mergeCell ref="BT44:BW44"/>
    <mergeCell ref="BX44:CE44"/>
    <mergeCell ref="CF44:CJ44"/>
    <mergeCell ref="B43:E43"/>
    <mergeCell ref="F43:J43"/>
    <mergeCell ref="K43:N43"/>
    <mergeCell ref="O43:T43"/>
    <mergeCell ref="U43:Z43"/>
    <mergeCell ref="AA43:AD43"/>
    <mergeCell ref="AE43:AI43"/>
    <mergeCell ref="AJ43:AM43"/>
    <mergeCell ref="AN43:AS43"/>
    <mergeCell ref="CF45:CJ45"/>
    <mergeCell ref="B46:E46"/>
    <mergeCell ref="F46:J46"/>
    <mergeCell ref="K46:N46"/>
    <mergeCell ref="O46:T46"/>
    <mergeCell ref="U46:Z46"/>
    <mergeCell ref="AA46:AD46"/>
    <mergeCell ref="AE46:AI46"/>
    <mergeCell ref="AJ46:AM46"/>
    <mergeCell ref="AN46:AS46"/>
    <mergeCell ref="AT46:AY46"/>
    <mergeCell ref="BA46:BD46"/>
    <mergeCell ref="BE46:BH46"/>
    <mergeCell ref="BI46:BJ46"/>
    <mergeCell ref="BK46:BO46"/>
    <mergeCell ref="BP46:BS46"/>
    <mergeCell ref="BT46:BW46"/>
    <mergeCell ref="BX46:CE46"/>
    <mergeCell ref="CF46:CJ46"/>
    <mergeCell ref="B45:E45"/>
    <mergeCell ref="F45:J45"/>
    <mergeCell ref="K45:N45"/>
    <mergeCell ref="O45:T45"/>
    <mergeCell ref="U45:Z45"/>
    <mergeCell ref="AA45:AD45"/>
    <mergeCell ref="AE45:AI45"/>
    <mergeCell ref="AJ45:AM45"/>
    <mergeCell ref="AN45:AS45"/>
    <mergeCell ref="AT45:AY45"/>
    <mergeCell ref="BA45:BD45"/>
    <mergeCell ref="BE45:BH45"/>
    <mergeCell ref="BI45:BJ45"/>
    <mergeCell ref="B47:E47"/>
    <mergeCell ref="F47:J47"/>
    <mergeCell ref="K47:N47"/>
    <mergeCell ref="O47:T47"/>
    <mergeCell ref="U47:Z47"/>
    <mergeCell ref="AA47:AD47"/>
    <mergeCell ref="AE47:AI47"/>
    <mergeCell ref="AJ47:AM47"/>
    <mergeCell ref="AN47:AS47"/>
    <mergeCell ref="AT47:AY47"/>
    <mergeCell ref="BA47:BD47"/>
    <mergeCell ref="BE47:BH47"/>
    <mergeCell ref="BI47:BJ47"/>
    <mergeCell ref="BK47:BO47"/>
    <mergeCell ref="BP47:BS47"/>
    <mergeCell ref="BT47:BW47"/>
    <mergeCell ref="BX47:CE47"/>
    <mergeCell ref="B48:E48"/>
    <mergeCell ref="F48:J48"/>
    <mergeCell ref="K48:N48"/>
    <mergeCell ref="O48:T48"/>
    <mergeCell ref="U48:Z48"/>
    <mergeCell ref="AA48:AD48"/>
    <mergeCell ref="AE48:AI48"/>
    <mergeCell ref="AJ48:AM48"/>
    <mergeCell ref="AN48:AS48"/>
    <mergeCell ref="AT48:AY48"/>
    <mergeCell ref="BA48:BD48"/>
    <mergeCell ref="BE48:BH48"/>
    <mergeCell ref="BI48:BJ48"/>
    <mergeCell ref="BK48:BO48"/>
    <mergeCell ref="BP48:BS48"/>
    <mergeCell ref="BT48:BW48"/>
    <mergeCell ref="BX48:CE48"/>
    <mergeCell ref="F49:J49"/>
    <mergeCell ref="K49:N49"/>
    <mergeCell ref="O49:T49"/>
    <mergeCell ref="U49:Z49"/>
    <mergeCell ref="AA49:AD49"/>
    <mergeCell ref="AE49:AI49"/>
    <mergeCell ref="AJ49:AM49"/>
    <mergeCell ref="AN49:AS49"/>
    <mergeCell ref="AT49:AY49"/>
    <mergeCell ref="BA49:BD49"/>
    <mergeCell ref="BE49:BH49"/>
    <mergeCell ref="BI49:BJ49"/>
    <mergeCell ref="BK49:BO49"/>
    <mergeCell ref="BP49:BS49"/>
    <mergeCell ref="BT49:BW49"/>
    <mergeCell ref="BX49:CE49"/>
    <mergeCell ref="CF47:CJ47"/>
    <mergeCell ref="CF48:CJ48"/>
    <mergeCell ref="AA51:AD51"/>
    <mergeCell ref="AE51:AI51"/>
    <mergeCell ref="AJ51:AM51"/>
    <mergeCell ref="AN51:AS51"/>
    <mergeCell ref="AT51:AY51"/>
    <mergeCell ref="BA51:BD51"/>
    <mergeCell ref="BE51:BH51"/>
    <mergeCell ref="BI51:BJ51"/>
    <mergeCell ref="BK51:BO51"/>
    <mergeCell ref="BP51:BS51"/>
    <mergeCell ref="BT51:BW51"/>
    <mergeCell ref="BX51:CE51"/>
    <mergeCell ref="CF49:CJ49"/>
    <mergeCell ref="B50:E50"/>
    <mergeCell ref="F50:J50"/>
    <mergeCell ref="K50:N50"/>
    <mergeCell ref="O50:T50"/>
    <mergeCell ref="U50:Z50"/>
    <mergeCell ref="AA50:AD50"/>
    <mergeCell ref="AE50:AI50"/>
    <mergeCell ref="AJ50:AM50"/>
    <mergeCell ref="AN50:AS50"/>
    <mergeCell ref="AT50:AY50"/>
    <mergeCell ref="BA50:BD50"/>
    <mergeCell ref="BE50:BH50"/>
    <mergeCell ref="BI50:BJ50"/>
    <mergeCell ref="BK50:BO50"/>
    <mergeCell ref="BP50:BS50"/>
    <mergeCell ref="BT50:BW50"/>
    <mergeCell ref="BX50:CE50"/>
    <mergeCell ref="CF50:CJ50"/>
    <mergeCell ref="B49:E49"/>
    <mergeCell ref="AT53:AY53"/>
    <mergeCell ref="BA53:BD53"/>
    <mergeCell ref="BE53:BH53"/>
    <mergeCell ref="BI53:BJ53"/>
    <mergeCell ref="BK53:BO53"/>
    <mergeCell ref="BP53:BS53"/>
    <mergeCell ref="BT53:BW53"/>
    <mergeCell ref="BX53:CE53"/>
    <mergeCell ref="CF51:CJ51"/>
    <mergeCell ref="B52:E52"/>
    <mergeCell ref="F52:J52"/>
    <mergeCell ref="K52:N52"/>
    <mergeCell ref="O52:T52"/>
    <mergeCell ref="U52:Z52"/>
    <mergeCell ref="AA52:AD52"/>
    <mergeCell ref="AE52:AI52"/>
    <mergeCell ref="AJ52:AM52"/>
    <mergeCell ref="AN52:AS52"/>
    <mergeCell ref="AT52:AY52"/>
    <mergeCell ref="BA52:BD52"/>
    <mergeCell ref="BE52:BH52"/>
    <mergeCell ref="BI52:BJ52"/>
    <mergeCell ref="BK52:BO52"/>
    <mergeCell ref="BP52:BS52"/>
    <mergeCell ref="BT52:BW52"/>
    <mergeCell ref="BX52:CE52"/>
    <mergeCell ref="CF52:CJ52"/>
    <mergeCell ref="B51:E51"/>
    <mergeCell ref="F51:J51"/>
    <mergeCell ref="K51:N51"/>
    <mergeCell ref="O51:T51"/>
    <mergeCell ref="U51:Z51"/>
    <mergeCell ref="BK55:BO55"/>
    <mergeCell ref="BP55:BS55"/>
    <mergeCell ref="BT55:BW55"/>
    <mergeCell ref="BX55:CE55"/>
    <mergeCell ref="CF53:CJ53"/>
    <mergeCell ref="B54:E54"/>
    <mergeCell ref="F54:J54"/>
    <mergeCell ref="K54:N54"/>
    <mergeCell ref="O54:T54"/>
    <mergeCell ref="U54:Z54"/>
    <mergeCell ref="AA54:AD54"/>
    <mergeCell ref="AE54:AI54"/>
    <mergeCell ref="AJ54:AM54"/>
    <mergeCell ref="AN54:AS54"/>
    <mergeCell ref="AT54:AY54"/>
    <mergeCell ref="BA54:BD54"/>
    <mergeCell ref="BE54:BH54"/>
    <mergeCell ref="BI54:BJ54"/>
    <mergeCell ref="BK54:BO54"/>
    <mergeCell ref="BP54:BS54"/>
    <mergeCell ref="BT54:BW54"/>
    <mergeCell ref="BX54:CE54"/>
    <mergeCell ref="CF54:CJ54"/>
    <mergeCell ref="B53:E53"/>
    <mergeCell ref="F53:J53"/>
    <mergeCell ref="K53:N53"/>
    <mergeCell ref="O53:T53"/>
    <mergeCell ref="U53:Z53"/>
    <mergeCell ref="AA53:AD53"/>
    <mergeCell ref="AE53:AI53"/>
    <mergeCell ref="AJ53:AM53"/>
    <mergeCell ref="AN53:AS53"/>
    <mergeCell ref="CF55:CJ55"/>
    <mergeCell ref="B56:E56"/>
    <mergeCell ref="F56:J56"/>
    <mergeCell ref="K56:N56"/>
    <mergeCell ref="O56:T56"/>
    <mergeCell ref="U56:Z56"/>
    <mergeCell ref="AA56:AD56"/>
    <mergeCell ref="AE56:AI56"/>
    <mergeCell ref="AJ56:AM56"/>
    <mergeCell ref="AN56:AS56"/>
    <mergeCell ref="AT56:AY56"/>
    <mergeCell ref="BA56:BD56"/>
    <mergeCell ref="BE56:BH56"/>
    <mergeCell ref="BI56:BJ56"/>
    <mergeCell ref="BK56:BO56"/>
    <mergeCell ref="BP56:BS56"/>
    <mergeCell ref="BT56:BW56"/>
    <mergeCell ref="BX56:CE56"/>
    <mergeCell ref="CF56:CJ56"/>
    <mergeCell ref="B55:E55"/>
    <mergeCell ref="F55:J55"/>
    <mergeCell ref="K55:N55"/>
    <mergeCell ref="O55:T55"/>
    <mergeCell ref="U55:Z55"/>
    <mergeCell ref="AA55:AD55"/>
    <mergeCell ref="AE55:AI55"/>
    <mergeCell ref="AJ55:AM55"/>
    <mergeCell ref="AN55:AS55"/>
    <mergeCell ref="AT55:AY55"/>
    <mergeCell ref="BA55:BD55"/>
    <mergeCell ref="BE55:BH55"/>
    <mergeCell ref="BI55:BJ55"/>
    <mergeCell ref="B57:E57"/>
    <mergeCell ref="F57:J57"/>
    <mergeCell ref="K57:N57"/>
    <mergeCell ref="O57:T57"/>
    <mergeCell ref="U57:Z57"/>
    <mergeCell ref="AA57:AD57"/>
    <mergeCell ref="AE57:AI57"/>
    <mergeCell ref="AJ57:AM57"/>
    <mergeCell ref="AN57:AS57"/>
    <mergeCell ref="AT57:AY57"/>
    <mergeCell ref="BA57:BD57"/>
    <mergeCell ref="BE57:BH57"/>
    <mergeCell ref="BI57:BJ57"/>
    <mergeCell ref="BK57:BO57"/>
    <mergeCell ref="BP57:BS57"/>
    <mergeCell ref="BT57:BW57"/>
    <mergeCell ref="BX57:CE57"/>
    <mergeCell ref="B58:E58"/>
    <mergeCell ref="F58:J58"/>
    <mergeCell ref="K58:N58"/>
    <mergeCell ref="O58:T58"/>
    <mergeCell ref="U58:Z58"/>
    <mergeCell ref="AA58:AD58"/>
    <mergeCell ref="AE58:AI58"/>
    <mergeCell ref="AJ58:AM58"/>
    <mergeCell ref="AN58:AS58"/>
    <mergeCell ref="AT58:AY58"/>
    <mergeCell ref="BA58:BD58"/>
    <mergeCell ref="BE58:BH58"/>
    <mergeCell ref="BI58:BJ58"/>
    <mergeCell ref="BK58:BO58"/>
    <mergeCell ref="BP58:BS58"/>
    <mergeCell ref="BT58:BW58"/>
    <mergeCell ref="BX58:CE58"/>
    <mergeCell ref="F59:J59"/>
    <mergeCell ref="K59:N59"/>
    <mergeCell ref="O59:T59"/>
    <mergeCell ref="U59:Z59"/>
    <mergeCell ref="AA59:AD59"/>
    <mergeCell ref="AE59:AI59"/>
    <mergeCell ref="AJ59:AM59"/>
    <mergeCell ref="AN59:AS59"/>
    <mergeCell ref="AT59:AY59"/>
    <mergeCell ref="BA59:BD59"/>
    <mergeCell ref="BE59:BH59"/>
    <mergeCell ref="BI59:BJ59"/>
    <mergeCell ref="BK59:BO59"/>
    <mergeCell ref="BP59:BS59"/>
    <mergeCell ref="BT59:BW59"/>
    <mergeCell ref="BX59:CE59"/>
    <mergeCell ref="CF57:CJ57"/>
    <mergeCell ref="CF58:CJ58"/>
    <mergeCell ref="AA61:AD61"/>
    <mergeCell ref="AE61:AI61"/>
    <mergeCell ref="AJ61:AM61"/>
    <mergeCell ref="AN61:AS61"/>
    <mergeCell ref="AT61:AY61"/>
    <mergeCell ref="BA61:BD61"/>
    <mergeCell ref="BE61:BH61"/>
    <mergeCell ref="BI61:BJ61"/>
    <mergeCell ref="BK61:BO61"/>
    <mergeCell ref="BP61:BS61"/>
    <mergeCell ref="BT61:BW61"/>
    <mergeCell ref="BX61:CE61"/>
    <mergeCell ref="CF59:CJ59"/>
    <mergeCell ref="B60:E60"/>
    <mergeCell ref="F60:J60"/>
    <mergeCell ref="K60:N60"/>
    <mergeCell ref="O60:T60"/>
    <mergeCell ref="U60:Z60"/>
    <mergeCell ref="AA60:AD60"/>
    <mergeCell ref="AE60:AI60"/>
    <mergeCell ref="AJ60:AM60"/>
    <mergeCell ref="AN60:AS60"/>
    <mergeCell ref="AT60:AY60"/>
    <mergeCell ref="BA60:BD60"/>
    <mergeCell ref="BE60:BH60"/>
    <mergeCell ref="BI60:BJ60"/>
    <mergeCell ref="BK60:BO60"/>
    <mergeCell ref="BP60:BS60"/>
    <mergeCell ref="BT60:BW60"/>
    <mergeCell ref="BX60:CE60"/>
    <mergeCell ref="CF60:CJ60"/>
    <mergeCell ref="B59:E59"/>
    <mergeCell ref="AT63:AY63"/>
    <mergeCell ref="BA63:BD63"/>
    <mergeCell ref="BE63:BH63"/>
    <mergeCell ref="BI63:BJ63"/>
    <mergeCell ref="BK63:BO63"/>
    <mergeCell ref="BP63:BS63"/>
    <mergeCell ref="BT63:BW63"/>
    <mergeCell ref="BX63:CE63"/>
    <mergeCell ref="CF61:CJ61"/>
    <mergeCell ref="B62:E62"/>
    <mergeCell ref="F62:J62"/>
    <mergeCell ref="K62:N62"/>
    <mergeCell ref="O62:T62"/>
    <mergeCell ref="U62:Z62"/>
    <mergeCell ref="AA62:AD62"/>
    <mergeCell ref="AE62:AI62"/>
    <mergeCell ref="AJ62:AM62"/>
    <mergeCell ref="AN62:AS62"/>
    <mergeCell ref="AT62:AY62"/>
    <mergeCell ref="BA62:BD62"/>
    <mergeCell ref="BE62:BH62"/>
    <mergeCell ref="BI62:BJ62"/>
    <mergeCell ref="BK62:BO62"/>
    <mergeCell ref="BP62:BS62"/>
    <mergeCell ref="BT62:BW62"/>
    <mergeCell ref="BX62:CE62"/>
    <mergeCell ref="CF62:CJ62"/>
    <mergeCell ref="B61:E61"/>
    <mergeCell ref="F61:J61"/>
    <mergeCell ref="K61:N61"/>
    <mergeCell ref="O61:T61"/>
    <mergeCell ref="U61:Z61"/>
    <mergeCell ref="BK65:BO65"/>
    <mergeCell ref="BP65:BS65"/>
    <mergeCell ref="BT65:BW65"/>
    <mergeCell ref="BX65:CE65"/>
    <mergeCell ref="CF63:CJ63"/>
    <mergeCell ref="B64:E64"/>
    <mergeCell ref="F64:J64"/>
    <mergeCell ref="K64:N64"/>
    <mergeCell ref="O64:T64"/>
    <mergeCell ref="U64:Z64"/>
    <mergeCell ref="AA64:AD64"/>
    <mergeCell ref="AE64:AI64"/>
    <mergeCell ref="AJ64:AM64"/>
    <mergeCell ref="AN64:AS64"/>
    <mergeCell ref="AT64:AY64"/>
    <mergeCell ref="BA64:BD64"/>
    <mergeCell ref="BE64:BH64"/>
    <mergeCell ref="BI64:BJ64"/>
    <mergeCell ref="BK64:BO64"/>
    <mergeCell ref="BP64:BS64"/>
    <mergeCell ref="BT64:BW64"/>
    <mergeCell ref="BX64:CE64"/>
    <mergeCell ref="CF64:CJ64"/>
    <mergeCell ref="B63:E63"/>
    <mergeCell ref="F63:J63"/>
    <mergeCell ref="K63:N63"/>
    <mergeCell ref="O63:T63"/>
    <mergeCell ref="U63:Z63"/>
    <mergeCell ref="AA63:AD63"/>
    <mergeCell ref="AE63:AI63"/>
    <mergeCell ref="AJ63:AM63"/>
    <mergeCell ref="AN63:AS63"/>
    <mergeCell ref="CF65:CJ65"/>
    <mergeCell ref="B66:E66"/>
    <mergeCell ref="F66:J66"/>
    <mergeCell ref="K66:N66"/>
    <mergeCell ref="O66:T66"/>
    <mergeCell ref="U66:Z66"/>
    <mergeCell ref="AA66:AD66"/>
    <mergeCell ref="AE66:AI66"/>
    <mergeCell ref="AJ66:AM66"/>
    <mergeCell ref="AN66:AS66"/>
    <mergeCell ref="AT66:AY66"/>
    <mergeCell ref="BA66:BD66"/>
    <mergeCell ref="BE66:BH66"/>
    <mergeCell ref="BI66:BJ66"/>
    <mergeCell ref="BK66:BO66"/>
    <mergeCell ref="BP66:BS66"/>
    <mergeCell ref="BT66:BW66"/>
    <mergeCell ref="BX66:CE66"/>
    <mergeCell ref="CF66:CJ66"/>
    <mergeCell ref="B65:E65"/>
    <mergeCell ref="F65:J65"/>
    <mergeCell ref="K65:N65"/>
    <mergeCell ref="O65:T65"/>
    <mergeCell ref="U65:Z65"/>
    <mergeCell ref="AA65:AD65"/>
    <mergeCell ref="AE65:AI65"/>
    <mergeCell ref="AJ65:AM65"/>
    <mergeCell ref="AN65:AS65"/>
    <mergeCell ref="AT65:AY65"/>
    <mergeCell ref="BA65:BD65"/>
    <mergeCell ref="BE65:BH65"/>
    <mergeCell ref="BI65:BJ65"/>
    <mergeCell ref="CF68:CJ68"/>
    <mergeCell ref="B67:E67"/>
    <mergeCell ref="F67:J67"/>
    <mergeCell ref="K67:N67"/>
    <mergeCell ref="O67:T67"/>
    <mergeCell ref="U67:Z67"/>
    <mergeCell ref="AA67:AD67"/>
    <mergeCell ref="AE67:AI67"/>
    <mergeCell ref="AJ67:AM67"/>
    <mergeCell ref="AN67:AS67"/>
    <mergeCell ref="AT67:AY67"/>
    <mergeCell ref="BA67:BD67"/>
    <mergeCell ref="BE67:BH67"/>
    <mergeCell ref="BI67:BJ67"/>
    <mergeCell ref="BK67:BO67"/>
    <mergeCell ref="BP67:BS67"/>
    <mergeCell ref="BT67:BW67"/>
    <mergeCell ref="BX67:CE67"/>
    <mergeCell ref="O69:T69"/>
    <mergeCell ref="U69:Z69"/>
    <mergeCell ref="AA69:AD69"/>
    <mergeCell ref="AE69:AI69"/>
    <mergeCell ref="AJ69:AM69"/>
    <mergeCell ref="AN69:AS69"/>
    <mergeCell ref="AT69:AY69"/>
    <mergeCell ref="BA69:BD69"/>
    <mergeCell ref="BE69:BH69"/>
    <mergeCell ref="BI69:BJ69"/>
    <mergeCell ref="BK69:BO69"/>
    <mergeCell ref="BP69:BS69"/>
    <mergeCell ref="BT69:BW69"/>
    <mergeCell ref="BX69:CE69"/>
    <mergeCell ref="CF67:CJ67"/>
    <mergeCell ref="B68:E68"/>
    <mergeCell ref="F68:J68"/>
    <mergeCell ref="K68:N68"/>
    <mergeCell ref="O68:T68"/>
    <mergeCell ref="U68:Z68"/>
    <mergeCell ref="AA68:AD68"/>
    <mergeCell ref="AE68:AI68"/>
    <mergeCell ref="AJ68:AM68"/>
    <mergeCell ref="AN68:AS68"/>
    <mergeCell ref="AT68:AY68"/>
    <mergeCell ref="BA68:BD68"/>
    <mergeCell ref="BE68:BH68"/>
    <mergeCell ref="BI68:BJ68"/>
    <mergeCell ref="BK68:BO68"/>
    <mergeCell ref="BP68:BS68"/>
    <mergeCell ref="BT68:BW68"/>
    <mergeCell ref="BX68:CE68"/>
    <mergeCell ref="AJ71:AM71"/>
    <mergeCell ref="AN71:AS71"/>
    <mergeCell ref="AT71:AY71"/>
    <mergeCell ref="BA71:BD71"/>
    <mergeCell ref="BE71:BH71"/>
    <mergeCell ref="BI71:BJ71"/>
    <mergeCell ref="BK71:BO71"/>
    <mergeCell ref="BP71:BS71"/>
    <mergeCell ref="BT71:BW71"/>
    <mergeCell ref="BX71:CE71"/>
    <mergeCell ref="CF69:CJ69"/>
    <mergeCell ref="B70:E70"/>
    <mergeCell ref="F70:J70"/>
    <mergeCell ref="K70:N70"/>
    <mergeCell ref="O70:T70"/>
    <mergeCell ref="U70:Z70"/>
    <mergeCell ref="AA70:AD70"/>
    <mergeCell ref="AE70:AI70"/>
    <mergeCell ref="AJ70:AM70"/>
    <mergeCell ref="AN70:AS70"/>
    <mergeCell ref="AT70:AY70"/>
    <mergeCell ref="BA70:BD70"/>
    <mergeCell ref="BE70:BH70"/>
    <mergeCell ref="BI70:BJ70"/>
    <mergeCell ref="BK70:BO70"/>
    <mergeCell ref="BP70:BS70"/>
    <mergeCell ref="BT70:BW70"/>
    <mergeCell ref="BX70:CE70"/>
    <mergeCell ref="CF70:CJ70"/>
    <mergeCell ref="B69:E69"/>
    <mergeCell ref="F69:J69"/>
    <mergeCell ref="K69:N69"/>
    <mergeCell ref="CF71:CJ71"/>
    <mergeCell ref="B75:Y75"/>
    <mergeCell ref="AB75:AY75"/>
    <mergeCell ref="BA75:CI75"/>
    <mergeCell ref="B76:F76"/>
    <mergeCell ref="G76:K76"/>
    <mergeCell ref="L76:P76"/>
    <mergeCell ref="Q76:R76"/>
    <mergeCell ref="S76:T76"/>
    <mergeCell ref="U76:Y76"/>
    <mergeCell ref="AB76:AF76"/>
    <mergeCell ref="AG76:AK76"/>
    <mergeCell ref="AL76:AP76"/>
    <mergeCell ref="AQ76:AR76"/>
    <mergeCell ref="AS76:AT76"/>
    <mergeCell ref="AU76:AY76"/>
    <mergeCell ref="BA76:BD76"/>
    <mergeCell ref="BE76:BH76"/>
    <mergeCell ref="BI76:BK76"/>
    <mergeCell ref="BL76:BO76"/>
    <mergeCell ref="BP76:BS76"/>
    <mergeCell ref="BT76:BW76"/>
    <mergeCell ref="BX76:CA76"/>
    <mergeCell ref="CB76:CE76"/>
    <mergeCell ref="CF76:CI76"/>
    <mergeCell ref="B71:E71"/>
    <mergeCell ref="F71:J71"/>
    <mergeCell ref="K71:N71"/>
    <mergeCell ref="O71:T71"/>
    <mergeCell ref="U71:Z71"/>
    <mergeCell ref="AA71:AD71"/>
    <mergeCell ref="AE71:AI71"/>
    <mergeCell ref="BX78:CA78"/>
    <mergeCell ref="CB78:CE78"/>
    <mergeCell ref="CF78:CI78"/>
    <mergeCell ref="B77:F77"/>
    <mergeCell ref="G77:K77"/>
    <mergeCell ref="L77:P77"/>
    <mergeCell ref="Q77:R77"/>
    <mergeCell ref="S77:T77"/>
    <mergeCell ref="U77:Y77"/>
    <mergeCell ref="AB77:AF77"/>
    <mergeCell ref="AG77:AK77"/>
    <mergeCell ref="AL77:AP77"/>
    <mergeCell ref="AQ77:AR77"/>
    <mergeCell ref="AS77:AT77"/>
    <mergeCell ref="AU77:AY77"/>
    <mergeCell ref="BA77:BD77"/>
    <mergeCell ref="BE77:BH77"/>
    <mergeCell ref="BI77:BK77"/>
    <mergeCell ref="BL77:BO77"/>
    <mergeCell ref="BP77:BS77"/>
    <mergeCell ref="AG79:AK79"/>
    <mergeCell ref="AL79:AP79"/>
    <mergeCell ref="AQ79:AR79"/>
    <mergeCell ref="AS79:AT79"/>
    <mergeCell ref="AU79:AY79"/>
    <mergeCell ref="BA79:BD79"/>
    <mergeCell ref="BE79:BH79"/>
    <mergeCell ref="BI79:BK79"/>
    <mergeCell ref="BL79:BO79"/>
    <mergeCell ref="BP79:BS79"/>
    <mergeCell ref="BT77:BW77"/>
    <mergeCell ref="BX77:CA77"/>
    <mergeCell ref="CB77:CE77"/>
    <mergeCell ref="CF77:CI77"/>
    <mergeCell ref="B78:F78"/>
    <mergeCell ref="G78:K78"/>
    <mergeCell ref="L78:P78"/>
    <mergeCell ref="Q78:R78"/>
    <mergeCell ref="S78:T78"/>
    <mergeCell ref="U78:Y78"/>
    <mergeCell ref="AB78:AF78"/>
    <mergeCell ref="AG78:AK78"/>
    <mergeCell ref="AL78:AP78"/>
    <mergeCell ref="AQ78:AR78"/>
    <mergeCell ref="AS78:AT78"/>
    <mergeCell ref="AU78:AY78"/>
    <mergeCell ref="BA78:BD78"/>
    <mergeCell ref="BE78:BH78"/>
    <mergeCell ref="BI78:BK78"/>
    <mergeCell ref="BL78:BO78"/>
    <mergeCell ref="BP78:BS78"/>
    <mergeCell ref="BT78:BW78"/>
    <mergeCell ref="BT79:BW79"/>
    <mergeCell ref="BX79:CA79"/>
    <mergeCell ref="CB79:CE79"/>
    <mergeCell ref="CF79:CI79"/>
    <mergeCell ref="B80:F80"/>
    <mergeCell ref="G80:K80"/>
    <mergeCell ref="L80:P80"/>
    <mergeCell ref="Q80:R80"/>
    <mergeCell ref="S80:T80"/>
    <mergeCell ref="U80:Y80"/>
    <mergeCell ref="AB80:AF80"/>
    <mergeCell ref="AG80:AK80"/>
    <mergeCell ref="AL80:AP80"/>
    <mergeCell ref="AQ80:AR80"/>
    <mergeCell ref="AS80:AT80"/>
    <mergeCell ref="AU80:AY80"/>
    <mergeCell ref="BA80:BD80"/>
    <mergeCell ref="BE80:BH80"/>
    <mergeCell ref="BI80:BK80"/>
    <mergeCell ref="BL80:BO80"/>
    <mergeCell ref="BP80:BS80"/>
    <mergeCell ref="BT80:BW80"/>
    <mergeCell ref="BX80:CA80"/>
    <mergeCell ref="CB80:CE80"/>
    <mergeCell ref="CF80:CI80"/>
    <mergeCell ref="B79:F79"/>
    <mergeCell ref="G79:K79"/>
    <mergeCell ref="L79:P79"/>
    <mergeCell ref="Q79:R79"/>
    <mergeCell ref="S79:T79"/>
    <mergeCell ref="U79:Y79"/>
    <mergeCell ref="AB79:AF79"/>
    <mergeCell ref="BX82:CA82"/>
    <mergeCell ref="CB82:CE82"/>
    <mergeCell ref="CF82:CI82"/>
    <mergeCell ref="B81:F81"/>
    <mergeCell ref="G81:K81"/>
    <mergeCell ref="L81:P81"/>
    <mergeCell ref="Q81:R81"/>
    <mergeCell ref="S81:T81"/>
    <mergeCell ref="U81:Y81"/>
    <mergeCell ref="AB81:AF81"/>
    <mergeCell ref="AG81:AK81"/>
    <mergeCell ref="AL81:AP81"/>
    <mergeCell ref="AQ81:AR81"/>
    <mergeCell ref="AS81:AT81"/>
    <mergeCell ref="AU81:AY81"/>
    <mergeCell ref="BA81:BD81"/>
    <mergeCell ref="BE81:BH81"/>
    <mergeCell ref="BI81:BK81"/>
    <mergeCell ref="BL81:BO81"/>
    <mergeCell ref="BP81:BS81"/>
    <mergeCell ref="AG83:AK83"/>
    <mergeCell ref="AL83:AP83"/>
    <mergeCell ref="AQ83:AR83"/>
    <mergeCell ref="AS83:AT83"/>
    <mergeCell ref="AU83:AY83"/>
    <mergeCell ref="BA83:BD83"/>
    <mergeCell ref="BE83:BH83"/>
    <mergeCell ref="BI83:BK83"/>
    <mergeCell ref="BL83:BO83"/>
    <mergeCell ref="BP83:BS83"/>
    <mergeCell ref="BT81:BW81"/>
    <mergeCell ref="BX81:CA81"/>
    <mergeCell ref="CB81:CE81"/>
    <mergeCell ref="CF81:CI81"/>
    <mergeCell ref="B82:F82"/>
    <mergeCell ref="G82:K82"/>
    <mergeCell ref="L82:P82"/>
    <mergeCell ref="Q82:R82"/>
    <mergeCell ref="S82:T82"/>
    <mergeCell ref="U82:Y82"/>
    <mergeCell ref="AB82:AF82"/>
    <mergeCell ref="AG82:AK82"/>
    <mergeCell ref="AL82:AP82"/>
    <mergeCell ref="AQ82:AR82"/>
    <mergeCell ref="AS82:AT82"/>
    <mergeCell ref="AU82:AY82"/>
    <mergeCell ref="BA82:BD82"/>
    <mergeCell ref="BE82:BH82"/>
    <mergeCell ref="BI82:BK82"/>
    <mergeCell ref="BL82:BO82"/>
    <mergeCell ref="BP82:BS82"/>
    <mergeCell ref="BT82:BW82"/>
    <mergeCell ref="BT83:BW83"/>
    <mergeCell ref="BX83:CA83"/>
    <mergeCell ref="CB83:CE83"/>
    <mergeCell ref="CF83:CI83"/>
    <mergeCell ref="B84:F84"/>
    <mergeCell ref="G84:K84"/>
    <mergeCell ref="L84:P84"/>
    <mergeCell ref="Q84:R84"/>
    <mergeCell ref="S84:T84"/>
    <mergeCell ref="U84:Y84"/>
    <mergeCell ref="AB84:AF84"/>
    <mergeCell ref="AG84:AK84"/>
    <mergeCell ref="AL84:AP84"/>
    <mergeCell ref="AQ84:AR84"/>
    <mergeCell ref="AS84:AT84"/>
    <mergeCell ref="AU84:AY84"/>
    <mergeCell ref="BA84:BD84"/>
    <mergeCell ref="BE84:BH84"/>
    <mergeCell ref="BI84:BK84"/>
    <mergeCell ref="BL84:BO84"/>
    <mergeCell ref="BP84:BS84"/>
    <mergeCell ref="BT84:BW84"/>
    <mergeCell ref="BX84:CA84"/>
    <mergeCell ref="CB84:CE84"/>
    <mergeCell ref="CF84:CI84"/>
    <mergeCell ref="B83:F83"/>
    <mergeCell ref="G83:K83"/>
    <mergeCell ref="L83:P83"/>
    <mergeCell ref="Q83:R83"/>
    <mergeCell ref="S83:T83"/>
    <mergeCell ref="U83:Y83"/>
    <mergeCell ref="AB83:AF83"/>
    <mergeCell ref="BX86:CA86"/>
    <mergeCell ref="CB86:CE86"/>
    <mergeCell ref="CF86:CI86"/>
    <mergeCell ref="B85:F85"/>
    <mergeCell ref="G85:K85"/>
    <mergeCell ref="L85:P85"/>
    <mergeCell ref="Q85:R85"/>
    <mergeCell ref="S85:T85"/>
    <mergeCell ref="U85:Y85"/>
    <mergeCell ref="AB85:AF85"/>
    <mergeCell ref="AG85:AK85"/>
    <mergeCell ref="AL85:AP85"/>
    <mergeCell ref="AQ85:AR85"/>
    <mergeCell ref="AS85:AT85"/>
    <mergeCell ref="AU85:AY85"/>
    <mergeCell ref="BA85:BD85"/>
    <mergeCell ref="BE85:BH85"/>
    <mergeCell ref="BI85:BK85"/>
    <mergeCell ref="BL85:BO85"/>
    <mergeCell ref="BP85:BS85"/>
    <mergeCell ref="AG87:AK87"/>
    <mergeCell ref="AL87:AP87"/>
    <mergeCell ref="AQ87:AR87"/>
    <mergeCell ref="AS87:AT87"/>
    <mergeCell ref="AU87:AY87"/>
    <mergeCell ref="BA87:BD87"/>
    <mergeCell ref="BE87:BH87"/>
    <mergeCell ref="BI87:BK87"/>
    <mergeCell ref="BL87:BO87"/>
    <mergeCell ref="BP87:BS87"/>
    <mergeCell ref="BT85:BW85"/>
    <mergeCell ref="BX85:CA85"/>
    <mergeCell ref="CB85:CE85"/>
    <mergeCell ref="CF85:CI85"/>
    <mergeCell ref="B86:F86"/>
    <mergeCell ref="G86:K86"/>
    <mergeCell ref="L86:P86"/>
    <mergeCell ref="Q86:R86"/>
    <mergeCell ref="S86:T86"/>
    <mergeCell ref="U86:Y86"/>
    <mergeCell ref="AB86:AF86"/>
    <mergeCell ref="AG86:AK86"/>
    <mergeCell ref="AL86:AP86"/>
    <mergeCell ref="AQ86:AR86"/>
    <mergeCell ref="AS86:AT86"/>
    <mergeCell ref="AU86:AY86"/>
    <mergeCell ref="BA86:BD86"/>
    <mergeCell ref="BE86:BH86"/>
    <mergeCell ref="BI86:BK86"/>
    <mergeCell ref="BL86:BO86"/>
    <mergeCell ref="BP86:BS86"/>
    <mergeCell ref="BT86:BW86"/>
    <mergeCell ref="BT87:BW87"/>
    <mergeCell ref="BX87:CA87"/>
    <mergeCell ref="CB87:CE87"/>
    <mergeCell ref="CF87:CI87"/>
    <mergeCell ref="B88:F88"/>
    <mergeCell ref="G88:K88"/>
    <mergeCell ref="L88:P88"/>
    <mergeCell ref="Q88:R88"/>
    <mergeCell ref="S88:T88"/>
    <mergeCell ref="U88:Y88"/>
    <mergeCell ref="AB88:AF88"/>
    <mergeCell ref="AG88:AK88"/>
    <mergeCell ref="AL88:AP88"/>
    <mergeCell ref="AQ88:AR88"/>
    <mergeCell ref="AS88:AT88"/>
    <mergeCell ref="AU88:AY88"/>
    <mergeCell ref="BA88:BD88"/>
    <mergeCell ref="BE88:BH88"/>
    <mergeCell ref="BI88:BK88"/>
    <mergeCell ref="BL88:BO88"/>
    <mergeCell ref="BP88:BS88"/>
    <mergeCell ref="BT88:BW88"/>
    <mergeCell ref="BX88:CA88"/>
    <mergeCell ref="CB88:CE88"/>
    <mergeCell ref="CF88:CI88"/>
    <mergeCell ref="B87:F87"/>
    <mergeCell ref="G87:K87"/>
    <mergeCell ref="L87:P87"/>
    <mergeCell ref="Q87:R87"/>
    <mergeCell ref="S87:T87"/>
    <mergeCell ref="U87:Y87"/>
    <mergeCell ref="AB87:AF87"/>
    <mergeCell ref="BX90:CA90"/>
    <mergeCell ref="CB90:CE90"/>
    <mergeCell ref="CF90:CI90"/>
    <mergeCell ref="B89:F89"/>
    <mergeCell ref="G89:K89"/>
    <mergeCell ref="L89:P89"/>
    <mergeCell ref="Q89:R89"/>
    <mergeCell ref="S89:T89"/>
    <mergeCell ref="U89:Y89"/>
    <mergeCell ref="AB89:AF89"/>
    <mergeCell ref="AG89:AK89"/>
    <mergeCell ref="AL89:AP89"/>
    <mergeCell ref="AQ89:AR89"/>
    <mergeCell ref="AS89:AT89"/>
    <mergeCell ref="AU89:AY89"/>
    <mergeCell ref="BA89:BD89"/>
    <mergeCell ref="BE89:BH89"/>
    <mergeCell ref="BI89:BK89"/>
    <mergeCell ref="BL89:BO89"/>
    <mergeCell ref="BP89:BS89"/>
    <mergeCell ref="AG91:AK91"/>
    <mergeCell ref="AL91:AP91"/>
    <mergeCell ref="AQ91:AR91"/>
    <mergeCell ref="AS91:AT91"/>
    <mergeCell ref="AU91:AY91"/>
    <mergeCell ref="BA91:BD91"/>
    <mergeCell ref="BE91:BH91"/>
    <mergeCell ref="BI91:BK91"/>
    <mergeCell ref="BL91:BO91"/>
    <mergeCell ref="BP91:BS91"/>
    <mergeCell ref="BT89:BW89"/>
    <mergeCell ref="BX89:CA89"/>
    <mergeCell ref="CB89:CE89"/>
    <mergeCell ref="CF89:CI89"/>
    <mergeCell ref="B90:F90"/>
    <mergeCell ref="G90:K90"/>
    <mergeCell ref="L90:P90"/>
    <mergeCell ref="Q90:R90"/>
    <mergeCell ref="S90:T90"/>
    <mergeCell ref="U90:Y90"/>
    <mergeCell ref="AB90:AF90"/>
    <mergeCell ref="AG90:AK90"/>
    <mergeCell ref="AL90:AP90"/>
    <mergeCell ref="AQ90:AR90"/>
    <mergeCell ref="AS90:AT90"/>
    <mergeCell ref="AU90:AY90"/>
    <mergeCell ref="BA90:BD90"/>
    <mergeCell ref="BE90:BH90"/>
    <mergeCell ref="BI90:BK90"/>
    <mergeCell ref="BL90:BO90"/>
    <mergeCell ref="BP90:BS90"/>
    <mergeCell ref="BT90:BW90"/>
    <mergeCell ref="BT91:BW91"/>
    <mergeCell ref="BX91:CA91"/>
    <mergeCell ref="CB91:CE91"/>
    <mergeCell ref="CF91:CI91"/>
    <mergeCell ref="B92:F92"/>
    <mergeCell ref="G92:K92"/>
    <mergeCell ref="L92:P92"/>
    <mergeCell ref="Q92:R92"/>
    <mergeCell ref="S92:T92"/>
    <mergeCell ref="U92:Y92"/>
    <mergeCell ref="AB92:AF92"/>
    <mergeCell ref="AG92:AK92"/>
    <mergeCell ref="AL92:AP92"/>
    <mergeCell ref="AQ92:AR92"/>
    <mergeCell ref="AS92:AT92"/>
    <mergeCell ref="AU92:AY92"/>
    <mergeCell ref="BA92:BD92"/>
    <mergeCell ref="BE92:BH92"/>
    <mergeCell ref="BI92:BK92"/>
    <mergeCell ref="BL92:BO92"/>
    <mergeCell ref="BP92:BS92"/>
    <mergeCell ref="BT92:BW92"/>
    <mergeCell ref="BX92:CA92"/>
    <mergeCell ref="CB92:CE92"/>
    <mergeCell ref="CF92:CI92"/>
    <mergeCell ref="B91:F91"/>
    <mergeCell ref="G91:K91"/>
    <mergeCell ref="L91:P91"/>
    <mergeCell ref="Q91:R91"/>
    <mergeCell ref="S91:T91"/>
    <mergeCell ref="U91:Y91"/>
    <mergeCell ref="AB91:AF91"/>
    <mergeCell ref="BX94:CA94"/>
    <mergeCell ref="CB94:CE94"/>
    <mergeCell ref="CF94:CI94"/>
    <mergeCell ref="B93:F93"/>
    <mergeCell ref="G93:K93"/>
    <mergeCell ref="L93:P93"/>
    <mergeCell ref="Q93:R93"/>
    <mergeCell ref="S93:T93"/>
    <mergeCell ref="U93:Y93"/>
    <mergeCell ref="AB93:AF93"/>
    <mergeCell ref="AG93:AK93"/>
    <mergeCell ref="AL93:AP93"/>
    <mergeCell ref="AQ93:AR93"/>
    <mergeCell ref="AS93:AT93"/>
    <mergeCell ref="AU93:AY93"/>
    <mergeCell ref="BA93:BD93"/>
    <mergeCell ref="BE93:BH93"/>
    <mergeCell ref="BI93:BK93"/>
    <mergeCell ref="BL93:BO93"/>
    <mergeCell ref="BP93:BS93"/>
    <mergeCell ref="AG95:AK95"/>
    <mergeCell ref="AL95:AP95"/>
    <mergeCell ref="AQ95:AR95"/>
    <mergeCell ref="AS95:AT95"/>
    <mergeCell ref="AU95:AY95"/>
    <mergeCell ref="BA95:BD95"/>
    <mergeCell ref="BE95:BH95"/>
    <mergeCell ref="BI95:BK95"/>
    <mergeCell ref="BL95:BO95"/>
    <mergeCell ref="BP95:BS95"/>
    <mergeCell ref="BT93:BW93"/>
    <mergeCell ref="BX93:CA93"/>
    <mergeCell ref="CB93:CE93"/>
    <mergeCell ref="CF93:CI93"/>
    <mergeCell ref="B94:F94"/>
    <mergeCell ref="G94:K94"/>
    <mergeCell ref="L94:P94"/>
    <mergeCell ref="Q94:R94"/>
    <mergeCell ref="S94:T94"/>
    <mergeCell ref="U94:Y94"/>
    <mergeCell ref="AB94:AF94"/>
    <mergeCell ref="AG94:AK94"/>
    <mergeCell ref="AL94:AP94"/>
    <mergeCell ref="AQ94:AR94"/>
    <mergeCell ref="AS94:AT94"/>
    <mergeCell ref="AU94:AY94"/>
    <mergeCell ref="BA94:BD94"/>
    <mergeCell ref="BE94:BH94"/>
    <mergeCell ref="BI94:BK94"/>
    <mergeCell ref="BL94:BO94"/>
    <mergeCell ref="BP94:BS94"/>
    <mergeCell ref="BT94:BW94"/>
    <mergeCell ref="BT95:BW95"/>
    <mergeCell ref="BX95:CA95"/>
    <mergeCell ref="CB95:CE95"/>
    <mergeCell ref="CF95:CI95"/>
    <mergeCell ref="B96:F96"/>
    <mergeCell ref="G96:K96"/>
    <mergeCell ref="L96:P96"/>
    <mergeCell ref="Q96:R96"/>
    <mergeCell ref="S96:T96"/>
    <mergeCell ref="U96:Y96"/>
    <mergeCell ref="AB96:AF96"/>
    <mergeCell ref="AG96:AK96"/>
    <mergeCell ref="AL96:AP96"/>
    <mergeCell ref="AQ96:AR96"/>
    <mergeCell ref="AS96:AT96"/>
    <mergeCell ref="AU96:AY96"/>
    <mergeCell ref="BA96:BD96"/>
    <mergeCell ref="BE96:BH96"/>
    <mergeCell ref="BI96:BK96"/>
    <mergeCell ref="BL96:BO96"/>
    <mergeCell ref="BP96:BS96"/>
    <mergeCell ref="BT96:BW96"/>
    <mergeCell ref="BX96:CA96"/>
    <mergeCell ref="CB96:CE96"/>
    <mergeCell ref="CF96:CI96"/>
    <mergeCell ref="B95:F95"/>
    <mergeCell ref="G95:K95"/>
    <mergeCell ref="L95:P95"/>
    <mergeCell ref="Q95:R95"/>
    <mergeCell ref="S95:T95"/>
    <mergeCell ref="U95:Y95"/>
    <mergeCell ref="AB95:AF95"/>
    <mergeCell ref="BX98:CA98"/>
    <mergeCell ref="CB98:CE98"/>
    <mergeCell ref="CF98:CI98"/>
    <mergeCell ref="B97:F97"/>
    <mergeCell ref="G97:K97"/>
    <mergeCell ref="L97:P97"/>
    <mergeCell ref="Q97:R97"/>
    <mergeCell ref="S97:T97"/>
    <mergeCell ref="U97:Y97"/>
    <mergeCell ref="AB97:AF97"/>
    <mergeCell ref="AG97:AK97"/>
    <mergeCell ref="AL97:AP97"/>
    <mergeCell ref="AQ97:AR97"/>
    <mergeCell ref="AS97:AT97"/>
    <mergeCell ref="AU97:AY97"/>
    <mergeCell ref="BA97:BD97"/>
    <mergeCell ref="BE97:BH97"/>
    <mergeCell ref="BI97:BK97"/>
    <mergeCell ref="BL97:BO97"/>
    <mergeCell ref="BP97:BS97"/>
    <mergeCell ref="AG99:AK99"/>
    <mergeCell ref="AL99:AP99"/>
    <mergeCell ref="AQ99:AR99"/>
    <mergeCell ref="AS99:AT99"/>
    <mergeCell ref="AU99:AY99"/>
    <mergeCell ref="BA99:BD99"/>
    <mergeCell ref="BE99:BH99"/>
    <mergeCell ref="BI99:BK99"/>
    <mergeCell ref="BL99:BO99"/>
    <mergeCell ref="BP99:BS99"/>
    <mergeCell ref="BT97:BW97"/>
    <mergeCell ref="BX97:CA97"/>
    <mergeCell ref="CB97:CE97"/>
    <mergeCell ref="CF97:CI97"/>
    <mergeCell ref="B98:F98"/>
    <mergeCell ref="G98:K98"/>
    <mergeCell ref="L98:P98"/>
    <mergeCell ref="Q98:R98"/>
    <mergeCell ref="S98:T98"/>
    <mergeCell ref="U98:Y98"/>
    <mergeCell ref="AB98:AF98"/>
    <mergeCell ref="AG98:AK98"/>
    <mergeCell ref="AL98:AP98"/>
    <mergeCell ref="AQ98:AR98"/>
    <mergeCell ref="AS98:AT98"/>
    <mergeCell ref="AU98:AY98"/>
    <mergeCell ref="BA98:BD98"/>
    <mergeCell ref="BE98:BH98"/>
    <mergeCell ref="BI98:BK98"/>
    <mergeCell ref="BL98:BO98"/>
    <mergeCell ref="BP98:BS98"/>
    <mergeCell ref="BT98:BW98"/>
    <mergeCell ref="BT99:BW99"/>
    <mergeCell ref="BX99:CA99"/>
    <mergeCell ref="CB99:CE99"/>
    <mergeCell ref="CF99:CI99"/>
    <mergeCell ref="B100:F100"/>
    <mergeCell ref="G100:K100"/>
    <mergeCell ref="L100:P100"/>
    <mergeCell ref="Q100:R100"/>
    <mergeCell ref="S100:T100"/>
    <mergeCell ref="U100:Y100"/>
    <mergeCell ref="AB100:AF100"/>
    <mergeCell ref="AG100:AK100"/>
    <mergeCell ref="AL100:AP100"/>
    <mergeCell ref="AQ100:AR100"/>
    <mergeCell ref="AS100:AT100"/>
    <mergeCell ref="AU100:AY100"/>
    <mergeCell ref="BA100:BD100"/>
    <mergeCell ref="BE100:BH100"/>
    <mergeCell ref="BI100:BK100"/>
    <mergeCell ref="BL100:BO100"/>
    <mergeCell ref="BP100:BS100"/>
    <mergeCell ref="BT100:BW100"/>
    <mergeCell ref="BX100:CA100"/>
    <mergeCell ref="CB100:CE100"/>
    <mergeCell ref="CF100:CI100"/>
    <mergeCell ref="B99:F99"/>
    <mergeCell ref="G99:K99"/>
    <mergeCell ref="L99:P99"/>
    <mergeCell ref="Q99:R99"/>
    <mergeCell ref="S99:T99"/>
    <mergeCell ref="U99:Y99"/>
    <mergeCell ref="AB99:AF99"/>
    <mergeCell ref="BX102:CA102"/>
    <mergeCell ref="CB102:CE102"/>
    <mergeCell ref="CF102:CI102"/>
    <mergeCell ref="B101:F101"/>
    <mergeCell ref="G101:K101"/>
    <mergeCell ref="L101:P101"/>
    <mergeCell ref="Q101:R101"/>
    <mergeCell ref="S101:T101"/>
    <mergeCell ref="U101:Y101"/>
    <mergeCell ref="AB101:AF101"/>
    <mergeCell ref="AG101:AK101"/>
    <mergeCell ref="AL101:AP101"/>
    <mergeCell ref="AQ101:AR101"/>
    <mergeCell ref="AS101:AT101"/>
    <mergeCell ref="AU101:AY101"/>
    <mergeCell ref="BA101:BD101"/>
    <mergeCell ref="BE101:BH101"/>
    <mergeCell ref="BI101:BK101"/>
    <mergeCell ref="BL101:BO101"/>
    <mergeCell ref="BP101:BS101"/>
    <mergeCell ref="AG103:AK103"/>
    <mergeCell ref="AL103:AP103"/>
    <mergeCell ref="AQ103:AR103"/>
    <mergeCell ref="AS103:AT103"/>
    <mergeCell ref="AU103:AY103"/>
    <mergeCell ref="BA103:BD103"/>
    <mergeCell ref="BE103:BH103"/>
    <mergeCell ref="BI103:BK103"/>
    <mergeCell ref="BL103:BO103"/>
    <mergeCell ref="BP103:BS103"/>
    <mergeCell ref="BT101:BW101"/>
    <mergeCell ref="BX101:CA101"/>
    <mergeCell ref="CB101:CE101"/>
    <mergeCell ref="CF101:CI101"/>
    <mergeCell ref="B102:F102"/>
    <mergeCell ref="G102:K102"/>
    <mergeCell ref="L102:P102"/>
    <mergeCell ref="Q102:R102"/>
    <mergeCell ref="S102:T102"/>
    <mergeCell ref="U102:Y102"/>
    <mergeCell ref="AB102:AF102"/>
    <mergeCell ref="AG102:AK102"/>
    <mergeCell ref="AL102:AP102"/>
    <mergeCell ref="AQ102:AR102"/>
    <mergeCell ref="AS102:AT102"/>
    <mergeCell ref="AU102:AY102"/>
    <mergeCell ref="BA102:BD102"/>
    <mergeCell ref="BE102:BH102"/>
    <mergeCell ref="BI102:BK102"/>
    <mergeCell ref="BL102:BO102"/>
    <mergeCell ref="BP102:BS102"/>
    <mergeCell ref="BT102:BW102"/>
    <mergeCell ref="BT103:BW103"/>
    <mergeCell ref="BX103:CA103"/>
    <mergeCell ref="CB103:CE103"/>
    <mergeCell ref="CF103:CI103"/>
    <mergeCell ref="B104:F104"/>
    <mergeCell ref="G104:K104"/>
    <mergeCell ref="L104:P104"/>
    <mergeCell ref="Q104:R104"/>
    <mergeCell ref="S104:T104"/>
    <mergeCell ref="U104:Y104"/>
    <mergeCell ref="AB104:AF104"/>
    <mergeCell ref="AG104:AK104"/>
    <mergeCell ref="AL104:AP104"/>
    <mergeCell ref="AQ104:AR104"/>
    <mergeCell ref="AS104:AT104"/>
    <mergeCell ref="AU104:AY104"/>
    <mergeCell ref="BA104:BD104"/>
    <mergeCell ref="BE104:BH104"/>
    <mergeCell ref="BI104:BK104"/>
    <mergeCell ref="BL104:BO104"/>
    <mergeCell ref="BP104:BS104"/>
    <mergeCell ref="BT104:BW104"/>
    <mergeCell ref="BX104:CA104"/>
    <mergeCell ref="CB104:CE104"/>
    <mergeCell ref="CF104:CI104"/>
    <mergeCell ref="B103:F103"/>
    <mergeCell ref="G103:K103"/>
    <mergeCell ref="L103:P103"/>
    <mergeCell ref="Q103:R103"/>
    <mergeCell ref="S103:T103"/>
    <mergeCell ref="U103:Y103"/>
    <mergeCell ref="AB103:AF103"/>
    <mergeCell ref="BX106:CA106"/>
    <mergeCell ref="CB106:CE106"/>
    <mergeCell ref="CF106:CI106"/>
    <mergeCell ref="B105:F105"/>
    <mergeCell ref="G105:K105"/>
    <mergeCell ref="L105:P105"/>
    <mergeCell ref="Q105:R105"/>
    <mergeCell ref="S105:T105"/>
    <mergeCell ref="U105:Y105"/>
    <mergeCell ref="AB105:AF105"/>
    <mergeCell ref="AG105:AK105"/>
    <mergeCell ref="AL105:AP105"/>
    <mergeCell ref="AQ105:AR105"/>
    <mergeCell ref="AS105:AT105"/>
    <mergeCell ref="AU105:AY105"/>
    <mergeCell ref="BA105:BD105"/>
    <mergeCell ref="BE105:BH105"/>
    <mergeCell ref="BI105:BK105"/>
    <mergeCell ref="BL105:BO105"/>
    <mergeCell ref="BP105:BS105"/>
    <mergeCell ref="AG107:AK107"/>
    <mergeCell ref="AL107:AP107"/>
    <mergeCell ref="AQ107:AR107"/>
    <mergeCell ref="AS107:AT107"/>
    <mergeCell ref="AU107:AY107"/>
    <mergeCell ref="BA107:BD107"/>
    <mergeCell ref="BE107:BH107"/>
    <mergeCell ref="BI107:BK107"/>
    <mergeCell ref="BL107:BO107"/>
    <mergeCell ref="BP107:BS107"/>
    <mergeCell ref="BT105:BW105"/>
    <mergeCell ref="BX105:CA105"/>
    <mergeCell ref="CB105:CE105"/>
    <mergeCell ref="CF105:CI105"/>
    <mergeCell ref="B106:F106"/>
    <mergeCell ref="G106:K106"/>
    <mergeCell ref="L106:P106"/>
    <mergeCell ref="Q106:R106"/>
    <mergeCell ref="S106:T106"/>
    <mergeCell ref="U106:Y106"/>
    <mergeCell ref="AB106:AF106"/>
    <mergeCell ref="AG106:AK106"/>
    <mergeCell ref="AL106:AP106"/>
    <mergeCell ref="AQ106:AR106"/>
    <mergeCell ref="AS106:AT106"/>
    <mergeCell ref="AU106:AY106"/>
    <mergeCell ref="BA106:BD106"/>
    <mergeCell ref="BE106:BH106"/>
    <mergeCell ref="BI106:BK106"/>
    <mergeCell ref="BL106:BO106"/>
    <mergeCell ref="BP106:BS106"/>
    <mergeCell ref="BT106:BW106"/>
    <mergeCell ref="BT107:BW107"/>
    <mergeCell ref="BX107:CA107"/>
    <mergeCell ref="CB107:CE107"/>
    <mergeCell ref="CF107:CI107"/>
    <mergeCell ref="B108:F108"/>
    <mergeCell ref="G108:K108"/>
    <mergeCell ref="L108:P108"/>
    <mergeCell ref="Q108:R108"/>
    <mergeCell ref="S108:T108"/>
    <mergeCell ref="U108:Y108"/>
    <mergeCell ref="AB108:AF108"/>
    <mergeCell ref="AG108:AK108"/>
    <mergeCell ref="AL108:AP108"/>
    <mergeCell ref="AQ108:AR108"/>
    <mergeCell ref="AS108:AT108"/>
    <mergeCell ref="AU108:AY108"/>
    <mergeCell ref="BA108:BD108"/>
    <mergeCell ref="BE108:BH108"/>
    <mergeCell ref="BI108:BK108"/>
    <mergeCell ref="BL108:BO108"/>
    <mergeCell ref="BP108:BS108"/>
    <mergeCell ref="BT108:BW108"/>
    <mergeCell ref="BX108:CA108"/>
    <mergeCell ref="CB108:CE108"/>
    <mergeCell ref="CF108:CI108"/>
    <mergeCell ref="B107:F107"/>
    <mergeCell ref="G107:K107"/>
    <mergeCell ref="L107:P107"/>
    <mergeCell ref="Q107:R107"/>
    <mergeCell ref="S107:T107"/>
    <mergeCell ref="U107:Y107"/>
    <mergeCell ref="AB107:AF107"/>
    <mergeCell ref="BX109:CA109"/>
    <mergeCell ref="CB109:CE109"/>
    <mergeCell ref="CF109:CI109"/>
    <mergeCell ref="B110:F110"/>
    <mergeCell ref="G110:K110"/>
    <mergeCell ref="L110:P110"/>
    <mergeCell ref="Q110:R110"/>
    <mergeCell ref="S110:T110"/>
    <mergeCell ref="U110:Y110"/>
    <mergeCell ref="AB110:AF110"/>
    <mergeCell ref="AG110:AK110"/>
    <mergeCell ref="AL110:AP110"/>
    <mergeCell ref="AQ110:AR110"/>
    <mergeCell ref="AS110:AT110"/>
    <mergeCell ref="AU110:AY110"/>
    <mergeCell ref="BA110:BD110"/>
    <mergeCell ref="BE110:BH110"/>
    <mergeCell ref="BI110:BK110"/>
    <mergeCell ref="BL110:BO110"/>
    <mergeCell ref="BP110:BS110"/>
    <mergeCell ref="BT110:BW110"/>
    <mergeCell ref="BX110:CA110"/>
    <mergeCell ref="CB110:CE110"/>
    <mergeCell ref="CF110:CI110"/>
    <mergeCell ref="B109:F109"/>
    <mergeCell ref="G109:K109"/>
    <mergeCell ref="L109:P109"/>
    <mergeCell ref="Q109:R109"/>
    <mergeCell ref="S109:T109"/>
    <mergeCell ref="U109:Y109"/>
    <mergeCell ref="AB109:AF109"/>
    <mergeCell ref="AG109:AK109"/>
    <mergeCell ref="G111:K111"/>
    <mergeCell ref="L111:P111"/>
    <mergeCell ref="Q111:R111"/>
    <mergeCell ref="S111:T111"/>
    <mergeCell ref="U111:Y111"/>
    <mergeCell ref="AB111:AF111"/>
    <mergeCell ref="AG111:AK111"/>
    <mergeCell ref="AL111:AP111"/>
    <mergeCell ref="AQ111:AR111"/>
    <mergeCell ref="AS111:AT111"/>
    <mergeCell ref="AU111:AY111"/>
    <mergeCell ref="BA111:BD111"/>
    <mergeCell ref="BE111:BH111"/>
    <mergeCell ref="BI111:BK111"/>
    <mergeCell ref="BL111:BO111"/>
    <mergeCell ref="BP111:BS111"/>
    <mergeCell ref="BT109:BW109"/>
    <mergeCell ref="AL109:AP109"/>
    <mergeCell ref="AQ109:AR109"/>
    <mergeCell ref="AS109:AT109"/>
    <mergeCell ref="AU109:AY109"/>
    <mergeCell ref="BA109:BD109"/>
    <mergeCell ref="BE109:BH109"/>
    <mergeCell ref="BI109:BK109"/>
    <mergeCell ref="BL109:BO109"/>
    <mergeCell ref="BP109:BS109"/>
    <mergeCell ref="AU113:AY113"/>
    <mergeCell ref="BA113:BD113"/>
    <mergeCell ref="BE113:BH113"/>
    <mergeCell ref="BI113:BK113"/>
    <mergeCell ref="BL113:BO113"/>
    <mergeCell ref="BP113:BS113"/>
    <mergeCell ref="BT111:BW111"/>
    <mergeCell ref="BX111:CA111"/>
    <mergeCell ref="CB111:CE111"/>
    <mergeCell ref="CF111:CI111"/>
    <mergeCell ref="B112:F112"/>
    <mergeCell ref="G112:K112"/>
    <mergeCell ref="L112:P112"/>
    <mergeCell ref="Q112:R112"/>
    <mergeCell ref="S112:T112"/>
    <mergeCell ref="U112:Y112"/>
    <mergeCell ref="AB112:AF112"/>
    <mergeCell ref="AG112:AK112"/>
    <mergeCell ref="AL112:AP112"/>
    <mergeCell ref="AQ112:AR112"/>
    <mergeCell ref="AS112:AT112"/>
    <mergeCell ref="AU112:AY112"/>
    <mergeCell ref="BA112:BD112"/>
    <mergeCell ref="BE112:BH112"/>
    <mergeCell ref="BI112:BK112"/>
    <mergeCell ref="BL112:BO112"/>
    <mergeCell ref="BP112:BS112"/>
    <mergeCell ref="BT112:BW112"/>
    <mergeCell ref="BX112:CA112"/>
    <mergeCell ref="CB112:CE112"/>
    <mergeCell ref="CF112:CI112"/>
    <mergeCell ref="B111:F111"/>
    <mergeCell ref="BT113:BW113"/>
    <mergeCell ref="BX113:CA113"/>
    <mergeCell ref="CB113:CE113"/>
    <mergeCell ref="CF113:CI113"/>
    <mergeCell ref="B115:T115"/>
    <mergeCell ref="U115:AO115"/>
    <mergeCell ref="B116:AX116"/>
    <mergeCell ref="B117:AX117"/>
    <mergeCell ref="B118:E118"/>
    <mergeCell ref="F118:I118"/>
    <mergeCell ref="J118:L118"/>
    <mergeCell ref="M118:N118"/>
    <mergeCell ref="O118:Q118"/>
    <mergeCell ref="R118:T118"/>
    <mergeCell ref="U118:W118"/>
    <mergeCell ref="X118:Z118"/>
    <mergeCell ref="AA118:AB118"/>
    <mergeCell ref="AC118:AE118"/>
    <mergeCell ref="AF118:AO118"/>
    <mergeCell ref="AP118:AS118"/>
    <mergeCell ref="AT118:AX118"/>
    <mergeCell ref="B113:F113"/>
    <mergeCell ref="G113:K113"/>
    <mergeCell ref="L113:P113"/>
    <mergeCell ref="Q113:R113"/>
    <mergeCell ref="S113:T113"/>
    <mergeCell ref="U113:Y113"/>
    <mergeCell ref="AB113:AF113"/>
    <mergeCell ref="AG113:AK113"/>
    <mergeCell ref="AL113:AP113"/>
    <mergeCell ref="AQ113:AR113"/>
    <mergeCell ref="AS113:AT113"/>
    <mergeCell ref="B119:E119"/>
    <mergeCell ref="F119:I119"/>
    <mergeCell ref="J119:L119"/>
    <mergeCell ref="M119:N119"/>
    <mergeCell ref="O119:Q119"/>
    <mergeCell ref="R119:T119"/>
    <mergeCell ref="U119:W119"/>
    <mergeCell ref="X119:Z119"/>
    <mergeCell ref="AA119:AB119"/>
    <mergeCell ref="AC119:AE119"/>
    <mergeCell ref="AF119:AO119"/>
    <mergeCell ref="AP119:AS119"/>
    <mergeCell ref="AT119:AX119"/>
    <mergeCell ref="B120:E120"/>
    <mergeCell ref="F120:I120"/>
    <mergeCell ref="J120:L120"/>
    <mergeCell ref="M120:N120"/>
    <mergeCell ref="O120:Q120"/>
    <mergeCell ref="R120:T120"/>
    <mergeCell ref="U120:W120"/>
    <mergeCell ref="X120:Z120"/>
    <mergeCell ref="AA120:AB120"/>
    <mergeCell ref="AC120:AE120"/>
    <mergeCell ref="AF120:AO120"/>
    <mergeCell ref="AP120:AS120"/>
    <mergeCell ref="AT120:AX120"/>
    <mergeCell ref="B121:E121"/>
    <mergeCell ref="F121:I121"/>
    <mergeCell ref="J121:L121"/>
    <mergeCell ref="M121:N121"/>
    <mergeCell ref="O121:Q121"/>
    <mergeCell ref="R121:T121"/>
    <mergeCell ref="U121:W121"/>
    <mergeCell ref="X121:Z121"/>
    <mergeCell ref="AA121:AB121"/>
    <mergeCell ref="AC121:AE121"/>
    <mergeCell ref="AF121:AO121"/>
    <mergeCell ref="AP121:AS121"/>
    <mergeCell ref="AT121:AX121"/>
    <mergeCell ref="B122:E122"/>
    <mergeCell ref="F122:I122"/>
    <mergeCell ref="J122:L122"/>
    <mergeCell ref="M122:N122"/>
    <mergeCell ref="O122:Q122"/>
    <mergeCell ref="R122:T122"/>
    <mergeCell ref="U122:W122"/>
    <mergeCell ref="X122:Z122"/>
    <mergeCell ref="AA122:AB122"/>
    <mergeCell ref="AC122:AE122"/>
    <mergeCell ref="AF122:AO122"/>
    <mergeCell ref="AP122:AS122"/>
    <mergeCell ref="AT122:AX122"/>
    <mergeCell ref="B123:E123"/>
    <mergeCell ref="F123:I123"/>
    <mergeCell ref="J123:L123"/>
    <mergeCell ref="M123:N123"/>
    <mergeCell ref="O123:Q123"/>
    <mergeCell ref="R123:T123"/>
    <mergeCell ref="U123:W123"/>
    <mergeCell ref="X123:Z123"/>
    <mergeCell ref="AA123:AB123"/>
    <mergeCell ref="AC123:AE123"/>
    <mergeCell ref="AF123:AO123"/>
    <mergeCell ref="AP123:AS123"/>
    <mergeCell ref="AT123:AX123"/>
    <mergeCell ref="B124:E124"/>
    <mergeCell ref="F124:I124"/>
    <mergeCell ref="J124:L124"/>
    <mergeCell ref="M124:N124"/>
    <mergeCell ref="O124:Q124"/>
    <mergeCell ref="R124:T124"/>
    <mergeCell ref="U124:W124"/>
    <mergeCell ref="X124:Z124"/>
    <mergeCell ref="AA124:AB124"/>
    <mergeCell ref="AC124:AE124"/>
    <mergeCell ref="AF124:AO124"/>
    <mergeCell ref="AP124:AS124"/>
    <mergeCell ref="AT124:AX124"/>
    <mergeCell ref="B125:E125"/>
    <mergeCell ref="F125:I125"/>
    <mergeCell ref="J125:L125"/>
    <mergeCell ref="M125:N125"/>
    <mergeCell ref="O125:Q125"/>
    <mergeCell ref="R125:T125"/>
    <mergeCell ref="U125:W125"/>
    <mergeCell ref="X125:Z125"/>
    <mergeCell ref="AA125:AB125"/>
    <mergeCell ref="AC125:AE125"/>
    <mergeCell ref="AF125:AO125"/>
    <mergeCell ref="AP125:AS125"/>
    <mergeCell ref="AT125:AX125"/>
    <mergeCell ref="B126:E126"/>
    <mergeCell ref="F126:I126"/>
    <mergeCell ref="J126:L126"/>
    <mergeCell ref="M126:N126"/>
    <mergeCell ref="O126:Q126"/>
    <mergeCell ref="R126:T126"/>
    <mergeCell ref="U126:W126"/>
    <mergeCell ref="X126:Z126"/>
    <mergeCell ref="AA126:AB126"/>
    <mergeCell ref="AC126:AE126"/>
    <mergeCell ref="AF126:AO126"/>
    <mergeCell ref="AP126:AS126"/>
    <mergeCell ref="AT126:AX126"/>
    <mergeCell ref="B127:E127"/>
    <mergeCell ref="F127:I127"/>
    <mergeCell ref="J127:L127"/>
    <mergeCell ref="M127:N127"/>
    <mergeCell ref="O127:Q127"/>
    <mergeCell ref="R127:T127"/>
    <mergeCell ref="U127:W127"/>
    <mergeCell ref="X127:Z127"/>
    <mergeCell ref="AA127:AB127"/>
    <mergeCell ref="AC127:AE127"/>
    <mergeCell ref="AF127:AO127"/>
    <mergeCell ref="AP127:AS127"/>
    <mergeCell ref="AT127:AX127"/>
    <mergeCell ref="B128:E128"/>
    <mergeCell ref="F128:I128"/>
    <mergeCell ref="J128:L128"/>
    <mergeCell ref="M128:N128"/>
    <mergeCell ref="O128:Q128"/>
    <mergeCell ref="R128:T128"/>
    <mergeCell ref="U128:W128"/>
    <mergeCell ref="X128:Z128"/>
    <mergeCell ref="AA128:AB128"/>
    <mergeCell ref="AC128:AE128"/>
    <mergeCell ref="AF128:AO128"/>
    <mergeCell ref="AP128:AS128"/>
    <mergeCell ref="AT128:AX128"/>
    <mergeCell ref="B129:E129"/>
    <mergeCell ref="F129:I129"/>
    <mergeCell ref="J129:L129"/>
    <mergeCell ref="M129:N129"/>
    <mergeCell ref="O129:Q129"/>
    <mergeCell ref="R129:T129"/>
    <mergeCell ref="U129:W129"/>
    <mergeCell ref="X129:Z129"/>
    <mergeCell ref="AA129:AB129"/>
    <mergeCell ref="AC129:AE129"/>
    <mergeCell ref="AF129:AO129"/>
    <mergeCell ref="AP129:AS129"/>
    <mergeCell ref="AT129:AX129"/>
    <mergeCell ref="B130:E130"/>
    <mergeCell ref="F130:I130"/>
    <mergeCell ref="J130:L130"/>
    <mergeCell ref="M130:N130"/>
    <mergeCell ref="O130:Q130"/>
    <mergeCell ref="R130:T130"/>
    <mergeCell ref="U130:W130"/>
    <mergeCell ref="X130:Z130"/>
    <mergeCell ref="AA130:AB130"/>
    <mergeCell ref="AC130:AE130"/>
    <mergeCell ref="AF130:AO130"/>
    <mergeCell ref="AP130:AS130"/>
    <mergeCell ref="AT130:AX130"/>
    <mergeCell ref="B131:E131"/>
    <mergeCell ref="F131:I131"/>
    <mergeCell ref="J131:L131"/>
    <mergeCell ref="M131:N131"/>
    <mergeCell ref="O131:Q131"/>
    <mergeCell ref="R131:T131"/>
    <mergeCell ref="U131:W131"/>
    <mergeCell ref="X131:Z131"/>
    <mergeCell ref="AA131:AB131"/>
    <mergeCell ref="AC131:AE131"/>
    <mergeCell ref="AF131:AO131"/>
    <mergeCell ref="AP131:AS131"/>
    <mergeCell ref="AT131:AX131"/>
    <mergeCell ref="B132:E132"/>
    <mergeCell ref="F132:I132"/>
    <mergeCell ref="J132:L132"/>
    <mergeCell ref="M132:N132"/>
    <mergeCell ref="O132:Q132"/>
    <mergeCell ref="R132:T132"/>
    <mergeCell ref="U132:W132"/>
    <mergeCell ref="X132:Z132"/>
    <mergeCell ref="AA132:AB132"/>
    <mergeCell ref="AC132:AE132"/>
    <mergeCell ref="AF132:AO132"/>
    <mergeCell ref="AP132:AS132"/>
    <mergeCell ref="AT132:AX132"/>
    <mergeCell ref="B133:E133"/>
    <mergeCell ref="F133:I133"/>
    <mergeCell ref="J133:L133"/>
    <mergeCell ref="M133:N133"/>
    <mergeCell ref="O133:Q133"/>
    <mergeCell ref="R133:T133"/>
    <mergeCell ref="U133:W133"/>
    <mergeCell ref="X133:Z133"/>
    <mergeCell ref="AA133:AB133"/>
    <mergeCell ref="AC133:AE133"/>
    <mergeCell ref="AF133:AO133"/>
    <mergeCell ref="AP133:AS133"/>
    <mergeCell ref="AT133:AX133"/>
    <mergeCell ref="B134:E134"/>
    <mergeCell ref="F134:I134"/>
    <mergeCell ref="J134:L134"/>
    <mergeCell ref="M134:N134"/>
    <mergeCell ref="O134:Q134"/>
    <mergeCell ref="R134:T134"/>
    <mergeCell ref="U134:W134"/>
    <mergeCell ref="X134:Z134"/>
    <mergeCell ref="AA134:AB134"/>
    <mergeCell ref="AC134:AE134"/>
    <mergeCell ref="AF134:AO134"/>
    <mergeCell ref="AP134:AS134"/>
    <mergeCell ref="AT134:AX134"/>
    <mergeCell ref="B135:E135"/>
    <mergeCell ref="F135:I135"/>
    <mergeCell ref="J135:L135"/>
    <mergeCell ref="M135:N135"/>
    <mergeCell ref="O135:Q135"/>
    <mergeCell ref="R135:T135"/>
    <mergeCell ref="U135:W135"/>
    <mergeCell ref="X135:Z135"/>
    <mergeCell ref="AA135:AB135"/>
    <mergeCell ref="AC135:AE135"/>
    <mergeCell ref="AF135:AO135"/>
    <mergeCell ref="AP135:AS135"/>
    <mergeCell ref="AT135:AX135"/>
    <mergeCell ref="B136:E136"/>
    <mergeCell ref="F136:I136"/>
    <mergeCell ref="J136:L136"/>
    <mergeCell ref="M136:N136"/>
    <mergeCell ref="O136:Q136"/>
    <mergeCell ref="R136:T136"/>
    <mergeCell ref="U136:W136"/>
    <mergeCell ref="X136:Z136"/>
    <mergeCell ref="AA136:AB136"/>
    <mergeCell ref="AC136:AE136"/>
    <mergeCell ref="AF136:AO136"/>
    <mergeCell ref="AP136:AS136"/>
    <mergeCell ref="AT136:AX136"/>
    <mergeCell ref="B137:E137"/>
    <mergeCell ref="F137:I137"/>
    <mergeCell ref="J137:L137"/>
    <mergeCell ref="M137:N137"/>
    <mergeCell ref="O137:Q137"/>
    <mergeCell ref="R137:T137"/>
    <mergeCell ref="U137:W137"/>
    <mergeCell ref="X137:Z137"/>
    <mergeCell ref="AA137:AB137"/>
    <mergeCell ref="AC137:AE137"/>
    <mergeCell ref="AF137:AO137"/>
    <mergeCell ref="AP137:AS137"/>
    <mergeCell ref="AT137:AX137"/>
    <mergeCell ref="B138:E138"/>
    <mergeCell ref="F138:I138"/>
    <mergeCell ref="J138:L138"/>
    <mergeCell ref="M138:N138"/>
    <mergeCell ref="O138:Q138"/>
    <mergeCell ref="R138:T138"/>
    <mergeCell ref="U138:W138"/>
    <mergeCell ref="X138:Z138"/>
    <mergeCell ref="AA138:AB138"/>
    <mergeCell ref="AC138:AE138"/>
    <mergeCell ref="AF138:AO138"/>
    <mergeCell ref="AP138:AS138"/>
    <mergeCell ref="AT138:AX138"/>
    <mergeCell ref="B139:E139"/>
    <mergeCell ref="F139:I139"/>
    <mergeCell ref="J139:L139"/>
    <mergeCell ref="M139:N139"/>
    <mergeCell ref="O139:Q139"/>
    <mergeCell ref="R139:T139"/>
    <mergeCell ref="U139:W139"/>
    <mergeCell ref="X139:Z139"/>
    <mergeCell ref="AA139:AB139"/>
    <mergeCell ref="AC139:AE139"/>
    <mergeCell ref="AF139:AO139"/>
    <mergeCell ref="AP139:AS139"/>
    <mergeCell ref="AT139:AX139"/>
    <mergeCell ref="B140:E140"/>
    <mergeCell ref="F140:I140"/>
    <mergeCell ref="J140:L140"/>
    <mergeCell ref="M140:N140"/>
    <mergeCell ref="O140:Q140"/>
    <mergeCell ref="R140:T140"/>
    <mergeCell ref="U140:W140"/>
    <mergeCell ref="X140:Z140"/>
    <mergeCell ref="AA140:AB140"/>
    <mergeCell ref="AC140:AE140"/>
    <mergeCell ref="AF140:AO140"/>
    <mergeCell ref="AP140:AS140"/>
    <mergeCell ref="AT140:AX140"/>
    <mergeCell ref="B141:E141"/>
    <mergeCell ref="F141:I141"/>
    <mergeCell ref="J141:L141"/>
    <mergeCell ref="M141:N141"/>
    <mergeCell ref="O141:Q141"/>
    <mergeCell ref="R141:T141"/>
    <mergeCell ref="U141:W141"/>
    <mergeCell ref="X141:Z141"/>
    <mergeCell ref="AA141:AB141"/>
    <mergeCell ref="AC141:AE141"/>
    <mergeCell ref="AF141:AO141"/>
    <mergeCell ref="AP141:AS141"/>
    <mergeCell ref="AT141:AX141"/>
    <mergeCell ref="B142:E142"/>
    <mergeCell ref="F142:I142"/>
    <mergeCell ref="J142:L142"/>
    <mergeCell ref="M142:N142"/>
    <mergeCell ref="O142:Q142"/>
    <mergeCell ref="R142:T142"/>
    <mergeCell ref="U142:W142"/>
    <mergeCell ref="X142:Z142"/>
    <mergeCell ref="AA142:AB142"/>
    <mergeCell ref="AC142:AE142"/>
    <mergeCell ref="AF142:AO142"/>
    <mergeCell ref="AP142:AS142"/>
    <mergeCell ref="AT142:AX142"/>
    <mergeCell ref="B143:E143"/>
    <mergeCell ref="F143:I143"/>
    <mergeCell ref="J143:L143"/>
    <mergeCell ref="M143:N143"/>
    <mergeCell ref="O143:Q143"/>
    <mergeCell ref="R143:T143"/>
    <mergeCell ref="U143:W143"/>
    <mergeCell ref="X143:Z143"/>
    <mergeCell ref="AA143:AB143"/>
    <mergeCell ref="AC143:AE143"/>
    <mergeCell ref="AF143:AO143"/>
    <mergeCell ref="AP143:AS143"/>
    <mergeCell ref="AT143:AX143"/>
    <mergeCell ref="B144:E144"/>
    <mergeCell ref="F144:I144"/>
    <mergeCell ref="J144:L144"/>
    <mergeCell ref="M144:N144"/>
    <mergeCell ref="O144:Q144"/>
    <mergeCell ref="R144:T144"/>
    <mergeCell ref="U144:W144"/>
    <mergeCell ref="X144:Z144"/>
    <mergeCell ref="AA144:AB144"/>
    <mergeCell ref="AC144:AE144"/>
    <mergeCell ref="AF144:AO144"/>
    <mergeCell ref="AP144:AS144"/>
    <mergeCell ref="AT144:AX144"/>
    <mergeCell ref="B145:E145"/>
    <mergeCell ref="F145:I145"/>
    <mergeCell ref="J145:L145"/>
    <mergeCell ref="M145:N145"/>
    <mergeCell ref="O145:Q145"/>
    <mergeCell ref="R145:T145"/>
    <mergeCell ref="U145:W145"/>
    <mergeCell ref="X145:Z145"/>
    <mergeCell ref="AA145:AB145"/>
    <mergeCell ref="AC145:AE145"/>
    <mergeCell ref="AF145:AO145"/>
    <mergeCell ref="AP145:AS145"/>
    <mergeCell ref="AT145:AX145"/>
    <mergeCell ref="B146:E146"/>
    <mergeCell ref="F146:I146"/>
    <mergeCell ref="J146:L146"/>
    <mergeCell ref="M146:N146"/>
    <mergeCell ref="O146:Q146"/>
    <mergeCell ref="R146:T146"/>
    <mergeCell ref="U146:W146"/>
    <mergeCell ref="X146:Z146"/>
    <mergeCell ref="AA146:AB146"/>
    <mergeCell ref="AC146:AE146"/>
    <mergeCell ref="AF146:AO146"/>
    <mergeCell ref="AP146:AS146"/>
    <mergeCell ref="AT146:AX146"/>
    <mergeCell ref="B147:E147"/>
    <mergeCell ref="F147:I147"/>
    <mergeCell ref="J147:L147"/>
    <mergeCell ref="M147:N147"/>
    <mergeCell ref="O147:Q147"/>
    <mergeCell ref="R147:T147"/>
    <mergeCell ref="U147:W147"/>
    <mergeCell ref="X147:Z147"/>
    <mergeCell ref="AA147:AB147"/>
    <mergeCell ref="AC147:AE147"/>
    <mergeCell ref="AF147:AO147"/>
    <mergeCell ref="AP147:AS147"/>
    <mergeCell ref="AT147:AX147"/>
    <mergeCell ref="B148:E148"/>
    <mergeCell ref="F148:I148"/>
    <mergeCell ref="J148:L148"/>
    <mergeCell ref="M148:N148"/>
    <mergeCell ref="O148:Q148"/>
    <mergeCell ref="R148:T148"/>
    <mergeCell ref="U148:W148"/>
    <mergeCell ref="X148:Z148"/>
    <mergeCell ref="AA148:AB148"/>
    <mergeCell ref="AC148:AE148"/>
    <mergeCell ref="AF148:AO148"/>
    <mergeCell ref="AP148:AS148"/>
    <mergeCell ref="AT148:AX148"/>
    <mergeCell ref="B149:E149"/>
    <mergeCell ref="F149:I149"/>
    <mergeCell ref="J149:L149"/>
    <mergeCell ref="M149:N149"/>
    <mergeCell ref="O149:Q149"/>
    <mergeCell ref="R149:T149"/>
    <mergeCell ref="U149:W149"/>
    <mergeCell ref="X149:Z149"/>
    <mergeCell ref="AA149:AB149"/>
    <mergeCell ref="AC149:AE149"/>
    <mergeCell ref="AF149:AO149"/>
    <mergeCell ref="AP149:AS149"/>
    <mergeCell ref="AT149:AX149"/>
    <mergeCell ref="B150:E150"/>
    <mergeCell ref="F150:I150"/>
    <mergeCell ref="J150:L150"/>
    <mergeCell ref="M150:N150"/>
    <mergeCell ref="O150:Q150"/>
    <mergeCell ref="R150:T150"/>
    <mergeCell ref="U150:W150"/>
    <mergeCell ref="X150:Z150"/>
    <mergeCell ref="AA150:AB150"/>
    <mergeCell ref="AC150:AE150"/>
    <mergeCell ref="AF150:AO150"/>
    <mergeCell ref="AP150:AS150"/>
    <mergeCell ref="AT150:AX150"/>
    <mergeCell ref="B151:E151"/>
    <mergeCell ref="F151:I151"/>
    <mergeCell ref="J151:L151"/>
    <mergeCell ref="M151:N151"/>
    <mergeCell ref="O151:Q151"/>
    <mergeCell ref="R151:T151"/>
    <mergeCell ref="U151:W151"/>
    <mergeCell ref="X151:Z151"/>
    <mergeCell ref="AA151:AB151"/>
    <mergeCell ref="AC151:AE151"/>
    <mergeCell ref="AF151:AO151"/>
    <mergeCell ref="AP151:AS151"/>
    <mergeCell ref="AT151:AX151"/>
    <mergeCell ref="B152:E152"/>
    <mergeCell ref="F152:I152"/>
    <mergeCell ref="J152:L152"/>
    <mergeCell ref="M152:N152"/>
    <mergeCell ref="O152:Q152"/>
    <mergeCell ref="R152:T152"/>
    <mergeCell ref="U152:W152"/>
    <mergeCell ref="X152:Z152"/>
    <mergeCell ref="AA152:AB152"/>
    <mergeCell ref="AC152:AE152"/>
    <mergeCell ref="AF152:AO152"/>
    <mergeCell ref="AP152:AS152"/>
    <mergeCell ref="AT152:AX152"/>
    <mergeCell ref="X153:Z153"/>
    <mergeCell ref="AA153:AB153"/>
    <mergeCell ref="AC153:AE153"/>
    <mergeCell ref="AF153:AO153"/>
    <mergeCell ref="AP153:AS153"/>
    <mergeCell ref="AT153:AX153"/>
    <mergeCell ref="B154:E154"/>
    <mergeCell ref="F154:I154"/>
    <mergeCell ref="J154:L154"/>
    <mergeCell ref="M154:N154"/>
    <mergeCell ref="O154:Q154"/>
    <mergeCell ref="R154:T154"/>
    <mergeCell ref="U154:W154"/>
    <mergeCell ref="X154:Z154"/>
    <mergeCell ref="AA154:AB154"/>
    <mergeCell ref="AC154:AE154"/>
    <mergeCell ref="AF154:AO154"/>
    <mergeCell ref="AP154:AS154"/>
    <mergeCell ref="AT154:AX154"/>
    <mergeCell ref="B155:E155"/>
    <mergeCell ref="F155:I155"/>
    <mergeCell ref="J155:L155"/>
    <mergeCell ref="M155:N155"/>
    <mergeCell ref="O155:Q155"/>
    <mergeCell ref="R155:T155"/>
    <mergeCell ref="U155:W155"/>
    <mergeCell ref="X155:Z155"/>
    <mergeCell ref="AA155:AB155"/>
    <mergeCell ref="AC155:AE155"/>
    <mergeCell ref="AF155:AO155"/>
    <mergeCell ref="AP155:AS155"/>
    <mergeCell ref="AT155:AX155"/>
    <mergeCell ref="A32:A43"/>
    <mergeCell ref="A75:A86"/>
    <mergeCell ref="G5:G6"/>
    <mergeCell ref="N5:N6"/>
    <mergeCell ref="U5:U6"/>
    <mergeCell ref="AB5:AB6"/>
    <mergeCell ref="AI5:AI6"/>
    <mergeCell ref="AP5:AP6"/>
    <mergeCell ref="AW5:AW6"/>
    <mergeCell ref="B73:Q74"/>
    <mergeCell ref="R73:AH74"/>
    <mergeCell ref="AI73:AY74"/>
    <mergeCell ref="B153:E153"/>
    <mergeCell ref="F153:I153"/>
    <mergeCell ref="J153:L153"/>
    <mergeCell ref="M153:N153"/>
    <mergeCell ref="O153:Q153"/>
    <mergeCell ref="R153:T153"/>
    <mergeCell ref="U153:W153"/>
    <mergeCell ref="BY5:BY6"/>
    <mergeCell ref="CF5:CF6"/>
    <mergeCell ref="CM5:CM6"/>
    <mergeCell ref="CT5:CT6"/>
    <mergeCell ref="D7:J26"/>
    <mergeCell ref="K7:Q26"/>
    <mergeCell ref="R7:X26"/>
    <mergeCell ref="Y7:AE26"/>
    <mergeCell ref="AF7:AL26"/>
    <mergeCell ref="AM7:AS26"/>
    <mergeCell ref="AT7:AZ26"/>
    <mergeCell ref="BA7:BG26"/>
    <mergeCell ref="BH7:BN26"/>
    <mergeCell ref="BO7:BU26"/>
    <mergeCell ref="BV7:CB26"/>
    <mergeCell ref="CC7:CI26"/>
    <mergeCell ref="CJ7:CP26"/>
    <mergeCell ref="CQ7:CW26"/>
    <mergeCell ref="CN5:CP6"/>
    <mergeCell ref="CQ5:CS6"/>
    <mergeCell ref="CU5:CW6"/>
    <mergeCell ref="BA31:CJ32"/>
    <mergeCell ref="BA73:CI74"/>
    <mergeCell ref="B5:C6"/>
    <mergeCell ref="B7:C26"/>
    <mergeCell ref="D5:F6"/>
    <mergeCell ref="V5:X6"/>
    <mergeCell ref="Y5:AA6"/>
    <mergeCell ref="AQ5:AS6"/>
    <mergeCell ref="AT5:AV6"/>
    <mergeCell ref="BL5:BN6"/>
    <mergeCell ref="BO5:BQ6"/>
    <mergeCell ref="CG5:CI6"/>
    <mergeCell ref="CJ5:CL6"/>
    <mergeCell ref="H5:J6"/>
    <mergeCell ref="K5:M6"/>
    <mergeCell ref="AC5:AE6"/>
    <mergeCell ref="AF5:AH6"/>
    <mergeCell ref="AX5:AZ6"/>
    <mergeCell ref="BA5:BC6"/>
    <mergeCell ref="BS5:BU6"/>
    <mergeCell ref="BV5:BX6"/>
    <mergeCell ref="O5:Q6"/>
    <mergeCell ref="R5:T6"/>
    <mergeCell ref="AJ5:AL6"/>
    <mergeCell ref="AM5:AO6"/>
    <mergeCell ref="BE5:BG6"/>
    <mergeCell ref="BH5:BJ6"/>
    <mergeCell ref="BZ5:CB6"/>
    <mergeCell ref="CC5:CE6"/>
    <mergeCell ref="BD5:BD6"/>
    <mergeCell ref="BK5:BK6"/>
    <mergeCell ref="BR5:BR6"/>
  </mergeCells>
  <phoneticPr fontId="282" type="noConversion"/>
  <dataValidations count="36">
    <dataValidation allowBlank="1" showInputMessage="1" showErrorMessage="1" promptTitle="编号" prompt="编号用于属性栏内的“使用过的魔法”。" sqref="BA34" xr:uid="{00000000-0002-0000-0200-000000000000}"/>
    <dataValidation allowBlank="1" showInputMessage="1" showErrorMessage="1" promptTitle="别名" prompt="PC所知道的法术的名字。" sqref="BA35:BD35" xr:uid="{00000000-0002-0000-0200-000001000000}"/>
    <dataValidation allowBlank="1" showInputMessage="1" showErrorMessage="1" promptTitle="实名" prompt="- PC从某位大师或者神话典籍中得知的法术的真正名字._x000a_- KP所应该知道的法术名字。" sqref="BE35:BH35" xr:uid="{00000000-0002-0000-0200-000002000000}"/>
    <dataValidation type="list" allowBlank="1" showInputMessage="1" showErrorMessage="1" promptTitle="分类" prompt="PS：请咨询KP以获取准确的数据_x000a_※ 驱逐和控制〔驱〕_x000a_※ 召唤怪物和神祇〔召〕_x000a_※ 战斗〔战〕_x000a_※ 交流〔交〕_x000a_※ 幻梦境〔梦〕_x000a_※ 附魔〔附〕_x000a_※ 环境〔环〕_x000a_※ 续命〔续〕_x000a_※ 民俗魔法〔民〕_x000a_※ 加害魔法（只能在战斗外使用〕_x000a_〔害〕※ 支配他人〔支〕_x000a_※ 制造怪物〔造〕_x000a_※ 其他法术（通常有用）〔他〕_x000a_※ 保护〔保〕_x000a_※ 时间相关〔时〕_x000a_※ 变形〔变〕_x000a_※ 旅行和交通〔旅〕" sqref="BI35:BJ35" xr:uid="{00000000-0002-0000-0200-000003000000}">
      <formula1>"〔驱〕,〔召〕,〔战〕,〔交〕,〔梦〕,〔附〕,〔环〕,〔续〕,〔民〕,〔害〕,〔支〕,〔造〕,〔他〕,〔保〕,〔时〕,〔变〕,〔旅〕"</formula1>
    </dataValidation>
    <dataValidation allowBlank="1" showInputMessage="1" showErrorMessage="1" promptTitle="消耗" prompt="施展法术所消耗的MP、SAN、意志。" sqref="BK35:BO35" xr:uid="{00000000-0002-0000-0200-000004000000}"/>
    <dataValidation allowBlank="1" showInputMessage="1" showErrorMessage="1" promptTitle="用时" prompt="施展法术所需要的时间。" sqref="BP35:BS35" xr:uid="{00000000-0002-0000-0200-000005000000}"/>
    <dataValidation allowBlank="1" showInputMessage="1" showErrorMessage="1" promptTitle="条件" prompt="- 施展法术所需要的条件。_x000a_- 有可能是需要祭品，也有可能是特定的位置或时间。" sqref="BT35:BW35" xr:uid="{00000000-0002-0000-0200-000006000000}"/>
    <dataValidation allowBlank="1" showInputMessage="1" showErrorMessage="1" promptTitle="效果" prompt="法术被成功的完整施展后所产生的效果。" sqref="BX35:CE35" xr:uid="{00000000-0002-0000-0200-000007000000}"/>
    <dataValidation allowBlank="1" showInputMessage="1" showErrorMessage="1" promptTitle="伪名" prompt="“伪名”是指PC在模组中所得知的名字，意为“PC对该生物的称呼”，应当能够持续到PC得知真正的名字前。（从神话典籍上或者富有经验的大师口中）" sqref="B77:F77" xr:uid="{00000000-0002-0000-0200-000008000000}"/>
    <dataValidation allowBlank="1" showInputMessage="1" showErrorMessage="1" promptTitle="实名" prompt="PC从某种途径得知的该生物的真正名字。也可以是PL对该生物的称呼。(可以在模组结束后主动询问KP而得知。)" sqref="G77:K77" xr:uid="{00000000-0002-0000-0200-000009000000}"/>
    <dataValidation allowBlank="1" showInputMessage="1" showErrorMessage="1" promptTitle="SC检定" prompt="PC目击该生物时需进行的SC检定。可以在模组结束后询问KP。" sqref="L77:P77" xr:uid="{00000000-0002-0000-0200-00000A000000}"/>
    <dataValidation allowBlank="1" showInputMessage="1" showErrorMessage="1" promptTitle="SC减免" prompt="由于“习惯恐惧”而导致的减免，PC由于多次目击该生物，从而产生的一种习惯性免疫，减免数值应当与SC次数成正比。" sqref="Q77:R77" xr:uid="{00000000-0002-0000-0200-00000B000000}"/>
    <dataValidation type="list" allowBlank="1" showInputMessage="1" showErrorMessage="1" promptTitle="免疫" prompt="由于“习惯恐惧”而导致的完全免疫，PC由于多次目击该生物，从而产生的一种暂时性的免疫，即PC对于该生物的SC次数已经大于等于目击该生物能造成的最大理智损失。" sqref="S77:T77" xr:uid="{00000000-0002-0000-0200-00000C000000}">
      <formula1>"☐,☑"</formula1>
    </dataValidation>
    <dataValidation allowBlank="1" showInputMessage="1" showErrorMessage="1" promptTitle="初次目击" prompt="可填写初次目击该生物的模组以及地点、时间。" sqref="U77:X77 AU77:AX77 U79:X79 AU79:AX79 U81:X81 AU81:AX81 U83:X83 AU83:AX83 U85:X85 AU85:AX85 U87:X87 AU87:AX87 U89:X89 AU89:AX89 U91:X91 AU91:AX91 U93:X93 AU93:AX93 U95:X95 AU95:AX95 U97:X97 AU97:AX97 U99:X99 AU99:AX99 U101:X101 AU101:AX101 U103:X103 AU103:AX103 U105:X105 AU105:AX105 U107:X107 AU107:AX107 U109:X109 AU109:AX109 U111:X111 AU111:AX111 U113:X113 AU113:AX113" xr:uid="{00000000-0002-0000-0200-00000D000000}"/>
    <dataValidation allowBlank="1" showInputMessage="1" showErrorMessage="1" promptTitle="称号" prompt="“称号”是指PC在模组中所得知的称呼，意为“PC对该神灵的称呼”，应当能够持续到PC得知真正的名字前。（从神话典籍上或者富有经验的大师口中）" sqref="AB77:AF77" xr:uid="{00000000-0002-0000-0200-00000E000000}"/>
    <dataValidation allowBlank="1" showInputMessage="1" showErrorMessage="1" promptTitle="名讳" prompt="PC从某种途径得知的该神灵的真正名字。也可以是PL对该神灵的称呼。(可以在模组结束后主动询问KP而得知。)" sqref="AG77:AK77" xr:uid="{00000000-0002-0000-0200-00000F000000}"/>
    <dataValidation allowBlank="1" showInputMessage="1" showErrorMessage="1" promptTitle="SC检定" prompt="PC目击该神灵时需进行的SC检定。可以在模组结束后询问KP。" sqref="AL77:AP77" xr:uid="{00000000-0002-0000-0200-000010000000}"/>
    <dataValidation allowBlank="1" showInputMessage="1" showErrorMessage="1" promptTitle="SC减免" prompt="由于“习惯恐惧”而导致的减免，PC由于多次目击该神灵，从而产生的一种习惯性免疫，减免数值应当与SC次数成正比。" sqref="AQ77:AR77" xr:uid="{00000000-0002-0000-0200-000011000000}"/>
    <dataValidation type="list" allowBlank="1" showInputMessage="1" showErrorMessage="1" promptTitle="免疫" prompt="由于“习惯恐惧”而导致的完全免疫，PC由于多次目击该神灵，从而产生的一种暂时性的免疫，即PC对于该神灵的SC次数已经大于等于目击该神灵能造成的最大理智损失。" sqref="AS77:AT77" xr:uid="{00000000-0002-0000-0200-000012000000}">
      <formula1>"☐,☑"</formula1>
    </dataValidation>
    <dataValidation allowBlank="1" showInputMessage="1" showErrorMessage="1" promptTitle="别名" prompt="- PC对于此物品的称呼，或是打听到的名字。_x000a_- 在得知真正的名字前，PC应当使用此称呼。_x000a_" sqref="BA77:BD77" xr:uid="{00000000-0002-0000-0200-000013000000}"/>
    <dataValidation allowBlank="1" showInputMessage="1" showErrorMessage="1" promptTitle="实名" prompt="- KP与PL得知的物品真实名字_x000a_- PC也可以通过自己的努力，通过某种途径得知物品的真实名字" sqref="BE77:BH77" xr:uid="{00000000-0002-0000-0200-000014000000}"/>
    <dataValidation allowBlank="1" showInputMessage="1" showErrorMessage="1" promptTitle="书名" prompt="PC从模组中获取的书的名字，没有封面的书籍，通常由打听而得。" sqref="B119:E119" xr:uid="{00000000-0002-0000-0200-000015000000}"/>
    <dataValidation allowBlank="1" showInputMessage="1" showErrorMessage="1" promptTitle="实名" prompt="这本书籍真正的名字，通常是由询问KP而得，或是PC遇见了真正了解该书籍的角色，或是通过某种特殊途径得知。" sqref="F119:I119" xr:uid="{00000000-0002-0000-0200-000016000000}"/>
    <dataValidation type="list" allowBlank="1" showInputMessage="1" showErrorMessage="1" promptTitle="类别" prompt="- 神话典籍：记载了和禁忌与混沌有关的知识，通常能够从中获取“神秘学”“克苏鲁神话”等等；_x000a_- 民俗技艺：记载了和技术与技能有关的信息，通常能够给调查员带来某方面技能的增长。" sqref="J119:L119" xr:uid="{00000000-0002-0000-0200-000017000000}">
      <formula1>"神话典籍,民俗技艺"</formula1>
    </dataValidation>
    <dataValidation allowBlank="1" showInputMessage="1" showErrorMessage="1" promptTitle="技能" prompt="PC通过阅读该书籍能获得对应技能的增长。" sqref="M119:N119" xr:uid="{00000000-0002-0000-0200-000018000000}"/>
    <dataValidation allowBlank="1" showInputMessage="1" showErrorMessage="1" promptTitle="等级" prompt="- 神话等级：将其与PC的CM相比。_x000a_  若PC更低，PC能够通过反复阅读，该书籍达到神话等级的CM；_x000a_  若PC更高，PC只能从中获取最多泛读值的CM。_x000a_- 技艺等级：将其与PC的该技能相比。_x000a_  若PC更低，PC能够通过反复阅读，该书籍达到技能等级的技能值；_x000a_  若PC更高，PC只能从中获取最多泛读值的技能值。" sqref="O119:Q119" xr:uid="{00000000-0002-0000-0200-000019000000}"/>
    <dataValidation allowBlank="1" showInputMessage="1" showErrorMessage="1" promptTitle="耗时" prompt="PS：在语言鉴定成功前，PC从该书籍中获取不到任何知识，同样也不会损失。_x000a_泛读：粗略的阅读书籍的封面目录等等，时间相较于精读明显缩短，但只能获取泛读值。_x000a_精读：有规划的系统性的阅读整本书籍，时间消耗较长，且能够获取精读值。" sqref="R119:T119" xr:uid="{00000000-0002-0000-0200-00001A000000}"/>
    <dataValidation allowBlank="1" showInputMessage="1" showErrorMessage="1" promptTitle="消耗" prompt="- PS：在语言鉴定成功前，PC从该书籍中获取不到任何知识，同样也不会损失。_x000a_- 泛读：粗略的阅读书籍的封面目录等等，时间相较于精读明显缩短，但只能获取泛读值。_x000a_- 精读：有规划的系统性的阅读整本书籍，时间消耗较长，且能够获取精读值。" sqref="U119:W119" xr:uid="{00000000-0002-0000-0200-00001B000000}"/>
    <dataValidation allowBlank="1" showInputMessage="1" showErrorMessage="1" promptTitle="受益" prompt="PC通过阅读该书籍而得到的收益。" sqref="X119:Z119" xr:uid="{00000000-0002-0000-0200-00001C000000}"/>
    <dataValidation allowBlank="1" showInputMessage="1" showErrorMessage="1" promptTitle="阅读次数" prompt="- PC阅读该书籍的次数，每阅读一次，下一次的阅读时间就会翻倍。" sqref="AA119:AB119" xr:uid="{00000000-0002-0000-0200-00001D000000}"/>
    <dataValidation allowBlank="1" showInputMessage="1" showErrorMessage="1" promptTitle="语言" prompt="- 该书籍记载内容所使用的语言。_x000a_- PC成功精读后，应当能获得对应语言的一次成长鉴定。_x000a_- PS：在语言鉴定成功前，PC从该书籍中获取不到任何知识，同样也不会损失。" sqref="AC119:AE119" xr:uid="{00000000-0002-0000-0200-00001E000000}"/>
    <dataValidation allowBlank="1" showInputMessage="1" showErrorMessage="1" promptTitle="介绍" prompt="- PC从何处何人手中得到此书籍，书籍的由来以及相关的内容介绍。_x000a_- 也可以介绍一下书籍的封面、外观。" sqref="AF119:AO119" xr:uid="{00000000-0002-0000-0200-00001F000000}"/>
    <dataValidation type="list" allowBlank="1" showInputMessage="1" showErrorMessage="1" sqref="S78:T113 AS78:AT113" xr:uid="{00000000-0002-0000-0200-000020000000}">
      <formula1>"☐,☑"</formula1>
    </dataValidation>
    <dataValidation type="list" allowBlank="1" showInputMessage="1" showErrorMessage="1" sqref="BI36:BJ71" xr:uid="{00000000-0002-0000-0200-000021000000}">
      <formula1>"〔驱〕,〔召〕,〔战〕,〔交〕,〔梦〕,〔附〕,〔环〕,〔续〕,〔民〕,〔害〕,〔支〕,〔造〕,〔他〕,〔保〕,〔时〕,〔变〕,〔旅〕"</formula1>
    </dataValidation>
    <dataValidation type="list" allowBlank="1" showInputMessage="1" showErrorMessage="1" sqref="J120:L155" xr:uid="{00000000-0002-0000-0200-000022000000}">
      <formula1>"神话典籍,民俗技艺"</formula1>
    </dataValidation>
    <dataValidation type="list" allowBlank="1" showInputMessage="1" showErrorMessage="1" sqref="BI77:BK113" xr:uid="{00000000-0002-0000-0200-000023000000}">
      <formula1>"武器,防具,符文,设备,其他"</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Y130"/>
  <sheetViews>
    <sheetView showGridLines="0" topLeftCell="A37" zoomScale="85" zoomScaleNormal="85" workbookViewId="0">
      <selection activeCell="Z37" sqref="Z37:AE37"/>
    </sheetView>
  </sheetViews>
  <sheetFormatPr defaultColWidth="5.6328125" defaultRowHeight="17" customHeight="1"/>
  <cols>
    <col min="1" max="19" width="5.6328125" style="792" customWidth="1"/>
    <col min="20" max="20" width="5.90625" style="792" customWidth="1"/>
    <col min="21" max="21" width="5.6328125" style="792" customWidth="1"/>
    <col min="22" max="47" width="5.6328125" style="792"/>
    <col min="48" max="51" width="5.6328125" style="792" hidden="1" customWidth="1"/>
    <col min="52" max="16384" width="5.6328125" style="792"/>
  </cols>
  <sheetData>
    <row r="1" spans="2:31" ht="7" customHeight="1"/>
    <row r="2" spans="2:31" ht="17" customHeight="1">
      <c r="B2" s="3195" t="str">
        <f>人物卡!BD9&amp;"，"&amp;人物卡!BL12&amp;"，"&amp;人物卡!BD12&amp;"岁"&amp;"，"&amp;人物卡!BD11&amp;"，"&amp;人物卡!BL10&amp;"，"&amp;"现居："&amp;人物卡!BD14&amp;"，"&amp;人物卡!BL14&amp;"人"</f>
        <v>，，时间未填岁，，1920s，现居：，人</v>
      </c>
      <c r="C2" s="3196"/>
      <c r="D2" s="3196"/>
      <c r="E2" s="3196"/>
      <c r="F2" s="3196"/>
      <c r="G2" s="3196"/>
      <c r="H2" s="3196"/>
      <c r="I2" s="3196"/>
      <c r="J2" s="3196"/>
      <c r="K2" s="3196"/>
      <c r="L2" s="3196"/>
      <c r="M2" s="3205"/>
      <c r="N2" s="3195" t="s">
        <v>21</v>
      </c>
      <c r="O2" s="3196"/>
      <c r="P2" s="3196"/>
      <c r="Q2" s="3196"/>
      <c r="R2" s="3196"/>
      <c r="S2" s="3196"/>
      <c r="T2" s="3196"/>
      <c r="U2" s="3196"/>
      <c r="V2" s="3196"/>
      <c r="W2" s="3196"/>
      <c r="X2" s="3196"/>
      <c r="Y2" s="3205"/>
      <c r="Z2" s="3206" t="s">
        <v>5592</v>
      </c>
      <c r="AA2" s="3207"/>
      <c r="AB2" s="3207"/>
      <c r="AC2" s="3207"/>
      <c r="AD2" s="3207"/>
      <c r="AE2" s="3208"/>
    </row>
    <row r="3" spans="2:31" ht="17" customHeight="1">
      <c r="B3" s="3083" t="s">
        <v>5593</v>
      </c>
      <c r="C3" s="3072" t="str">
        <f>STRA</f>
        <v>未填写</v>
      </c>
      <c r="D3" s="793" t="str">
        <f>IFERROR(INT(C3/2),"")</f>
        <v/>
      </c>
      <c r="E3" s="3067" t="s">
        <v>5594</v>
      </c>
      <c r="F3" s="3071" t="str">
        <f>DEXA</f>
        <v>未填写</v>
      </c>
      <c r="G3" s="794" t="str">
        <f>IFERROR(INT(F3/2),"")</f>
        <v/>
      </c>
      <c r="H3" s="3068" t="s">
        <v>5595</v>
      </c>
      <c r="I3" s="3072" t="str">
        <f>POWA</f>
        <v>未填写</v>
      </c>
      <c r="J3" s="793" t="str">
        <f>IFERROR(INT(I3/2),"")</f>
        <v/>
      </c>
      <c r="K3" s="3067" t="s">
        <v>5596</v>
      </c>
      <c r="L3" s="3071" t="str">
        <f>INTA</f>
        <v>未填写</v>
      </c>
      <c r="M3" s="794" t="str">
        <f>IFERROR(INT(L3/2),"")</f>
        <v/>
      </c>
      <c r="N3" s="3209" t="str">
        <f>IF(Q3=0,"",人物卡!BE25)</f>
        <v/>
      </c>
      <c r="O3" s="3210"/>
      <c r="P3" s="3210"/>
      <c r="Q3" s="795">
        <f>IF(人物卡!BQ25-人物卡!BI25=0,0,人物卡!BQ25)</f>
        <v>0</v>
      </c>
      <c r="R3" s="796">
        <f t="shared" ref="R3:R29" si="0">INT(Q3/2)</f>
        <v>0</v>
      </c>
      <c r="S3" s="797">
        <f t="shared" ref="S3:S29" si="1">INT(Q3/5)</f>
        <v>0</v>
      </c>
      <c r="T3" s="3211" t="str">
        <f>IF(W3=0,"",人物卡!CA25)</f>
        <v/>
      </c>
      <c r="U3" s="3211"/>
      <c r="V3" s="3211"/>
      <c r="W3" s="798">
        <f>IF(人物卡!CM25-人物卡!CE25=0,0,人物卡!CM25)</f>
        <v>0</v>
      </c>
      <c r="X3" s="799">
        <f>INT(W3/2)</f>
        <v>0</v>
      </c>
      <c r="Y3" s="800">
        <f>INT(W3/5)</f>
        <v>0</v>
      </c>
      <c r="Z3" s="1542" t="str">
        <f>人物卡!BD17</f>
        <v>公元</v>
      </c>
      <c r="AA3" s="1542">
        <f>人物卡!BF17</f>
        <v>0</v>
      </c>
      <c r="AB3" s="1542"/>
      <c r="AC3" s="801">
        <f>人物卡!BI17</f>
        <v>0</v>
      </c>
      <c r="AD3" s="3212">
        <f>人物卡!BM17</f>
        <v>0</v>
      </c>
      <c r="AE3" s="3213"/>
    </row>
    <row r="4" spans="2:31" ht="17" customHeight="1">
      <c r="B4" s="3083"/>
      <c r="C4" s="3072"/>
      <c r="D4" s="802" t="str">
        <f>IFERROR(INT(C3/5),"")</f>
        <v/>
      </c>
      <c r="E4" s="3067"/>
      <c r="F4" s="3071"/>
      <c r="G4" s="802" t="str">
        <f>IFERROR(INT(F3/5),"")</f>
        <v/>
      </c>
      <c r="H4" s="3068"/>
      <c r="I4" s="3072"/>
      <c r="J4" s="802" t="str">
        <f>IFERROR(INT(I3/5),"")</f>
        <v/>
      </c>
      <c r="K4" s="3067"/>
      <c r="L4" s="3071"/>
      <c r="M4" s="802" t="str">
        <f>IFERROR(INT(L3/5),"")</f>
        <v/>
      </c>
      <c r="N4" s="3177" t="str">
        <f>IF(Q4=0,"",人物卡!BE26)</f>
        <v/>
      </c>
      <c r="O4" s="3072"/>
      <c r="P4" s="3072"/>
      <c r="Q4" s="803">
        <f>IF(人物卡!BQ26-人物卡!BI26=0,0,人物卡!BQ26)</f>
        <v>0</v>
      </c>
      <c r="R4" s="804">
        <f t="shared" si="0"/>
        <v>0</v>
      </c>
      <c r="S4" s="805">
        <f t="shared" si="1"/>
        <v>0</v>
      </c>
      <c r="T4" s="3071" t="str">
        <f>IF(W4=0,"",人物卡!CA26)</f>
        <v/>
      </c>
      <c r="U4" s="3071"/>
      <c r="V4" s="3071"/>
      <c r="W4" s="806">
        <f>IF(人物卡!CM26-人物卡!CE26=0,0,人物卡!CM26)</f>
        <v>0</v>
      </c>
      <c r="X4" s="807">
        <f>INT(W4/2)</f>
        <v>0</v>
      </c>
      <c r="Y4" s="808">
        <f>INT(W4/5)</f>
        <v>0</v>
      </c>
      <c r="Z4" s="3074"/>
      <c r="AA4" s="3074"/>
      <c r="AB4" s="3074"/>
      <c r="AC4" s="809">
        <f>人物卡!BK17</f>
        <v>0</v>
      </c>
      <c r="AD4" s="3214"/>
      <c r="AE4" s="3215"/>
    </row>
    <row r="5" spans="2:31" ht="17" customHeight="1">
      <c r="B5" s="3084" t="s">
        <v>5597</v>
      </c>
      <c r="C5" s="3071" t="str">
        <f>CONA</f>
        <v>未填写</v>
      </c>
      <c r="D5" s="794" t="str">
        <f>IFERROR(INT(C5/2),"")</f>
        <v/>
      </c>
      <c r="E5" s="3068" t="s">
        <v>5598</v>
      </c>
      <c r="F5" s="3072" t="str">
        <f>APPA</f>
        <v>未填写</v>
      </c>
      <c r="G5" s="793" t="str">
        <f>IFERROR(INT(F5/2),"")</f>
        <v/>
      </c>
      <c r="H5" s="3067" t="s">
        <v>5599</v>
      </c>
      <c r="I5" s="3071" t="str">
        <f>EDUA</f>
        <v>未填写</v>
      </c>
      <c r="J5" s="794" t="str">
        <f>IFERROR(INT(I5/2),"")</f>
        <v/>
      </c>
      <c r="K5" s="3068" t="s">
        <v>5600</v>
      </c>
      <c r="L5" s="3072" t="str">
        <f>SIZA</f>
        <v>未填写</v>
      </c>
      <c r="M5" s="793" t="str">
        <f>IFERROR(INT(L5/2),"")</f>
        <v/>
      </c>
      <c r="N5" s="3177" t="str">
        <f>IF(Q5=0,"",人物卡!BE27)</f>
        <v/>
      </c>
      <c r="O5" s="3072"/>
      <c r="P5" s="3072"/>
      <c r="Q5" s="803">
        <f>IF(人物卡!BQ27-人物卡!BI27=0,0,人物卡!BQ27)</f>
        <v>0</v>
      </c>
      <c r="R5" s="804">
        <f t="shared" si="0"/>
        <v>0</v>
      </c>
      <c r="S5" s="805">
        <f t="shared" si="1"/>
        <v>0</v>
      </c>
      <c r="T5" s="3071" t="str">
        <f>IF(W5=0,"",人物卡!CA27)</f>
        <v/>
      </c>
      <c r="U5" s="3071"/>
      <c r="V5" s="3071"/>
      <c r="W5" s="806">
        <f>IF(人物卡!CM27-人物卡!CE27=0,0,人物卡!CM27)</f>
        <v>0</v>
      </c>
      <c r="X5" s="807">
        <f t="shared" ref="X5:X42" si="2">INT(W5/2)</f>
        <v>0</v>
      </c>
      <c r="Y5" s="808">
        <f t="shared" ref="Y5:Y42" si="3">INT(W5/5)</f>
        <v>0</v>
      </c>
      <c r="Z5" s="1684" t="s">
        <v>5601</v>
      </c>
      <c r="AA5" s="1684"/>
      <c r="AB5" s="1684"/>
      <c r="AC5" s="1684"/>
      <c r="AD5" s="1684"/>
      <c r="AE5" s="1685"/>
    </row>
    <row r="6" spans="2:31" ht="17" customHeight="1">
      <c r="B6" s="3085"/>
      <c r="C6" s="3089"/>
      <c r="D6" s="810" t="str">
        <f>IFERROR(INT(C5/5),"")</f>
        <v/>
      </c>
      <c r="E6" s="3069"/>
      <c r="F6" s="3073"/>
      <c r="G6" s="810" t="str">
        <f>IFERROR(INT(F5/5),"")</f>
        <v/>
      </c>
      <c r="H6" s="3094"/>
      <c r="I6" s="3089"/>
      <c r="J6" s="810" t="str">
        <f>IFERROR(INT(I5/5),"")</f>
        <v/>
      </c>
      <c r="K6" s="3069"/>
      <c r="L6" s="3073"/>
      <c r="M6" s="810" t="str">
        <f>IFERROR(INT(L5/5),"")</f>
        <v/>
      </c>
      <c r="N6" s="3177" t="str">
        <f>IF(Q6=0,"",人物卡!BE28)</f>
        <v/>
      </c>
      <c r="O6" s="3072"/>
      <c r="P6" s="3072"/>
      <c r="Q6" s="803">
        <f>IF(人物卡!BQ28-人物卡!BI28=0,0,人物卡!BQ28)</f>
        <v>0</v>
      </c>
      <c r="R6" s="804">
        <f t="shared" si="0"/>
        <v>0</v>
      </c>
      <c r="S6" s="805">
        <f t="shared" si="1"/>
        <v>0</v>
      </c>
      <c r="T6" s="3071" t="str">
        <f>IF(W6=0,"",人物卡!CA28)</f>
        <v/>
      </c>
      <c r="U6" s="3071"/>
      <c r="V6" s="3071"/>
      <c r="W6" s="806">
        <f>IF(人物卡!CM28-人物卡!CE28=0,0,人物卡!CM28)</f>
        <v>0</v>
      </c>
      <c r="X6" s="807">
        <f t="shared" si="2"/>
        <v>0</v>
      </c>
      <c r="Y6" s="808">
        <f t="shared" si="3"/>
        <v>0</v>
      </c>
      <c r="Z6" s="3203" t="s">
        <v>1</v>
      </c>
      <c r="AA6" s="3203"/>
      <c r="AB6" s="3203" t="s">
        <v>5602</v>
      </c>
      <c r="AC6" s="3203"/>
      <c r="AD6" s="3203"/>
      <c r="AE6" s="3204"/>
    </row>
    <row r="7" spans="2:31" ht="17" customHeight="1">
      <c r="B7" s="3086" t="s">
        <v>5603</v>
      </c>
      <c r="C7" s="3063">
        <f>人物卡!BD19</f>
        <v>0</v>
      </c>
      <c r="D7" s="3065">
        <f>人物卡!BF19</f>
        <v>0</v>
      </c>
      <c r="E7" s="3075" t="s">
        <v>5604</v>
      </c>
      <c r="F7" s="3090">
        <f>人物卡!BM19</f>
        <v>0</v>
      </c>
      <c r="G7" s="3092">
        <f>人物卡!BO19</f>
        <v>99</v>
      </c>
      <c r="H7" s="3095" t="s">
        <v>5605</v>
      </c>
      <c r="I7" s="3063">
        <f>人物卡!BV19</f>
        <v>0</v>
      </c>
      <c r="J7" s="3065">
        <f>MP</f>
        <v>0</v>
      </c>
      <c r="K7" s="3070" t="s">
        <v>5606</v>
      </c>
      <c r="L7" s="3075" t="str">
        <f>人物卡!CM19</f>
        <v>无</v>
      </c>
      <c r="M7" s="3075"/>
      <c r="N7" s="3177" t="str">
        <f>IF(Q7=0,"",人物卡!BE29)</f>
        <v/>
      </c>
      <c r="O7" s="3072"/>
      <c r="P7" s="3072"/>
      <c r="Q7" s="803">
        <f>IF(人物卡!BQ29-人物卡!BI29=0,0,人物卡!BQ29)</f>
        <v>0</v>
      </c>
      <c r="R7" s="804">
        <f t="shared" si="0"/>
        <v>0</v>
      </c>
      <c r="S7" s="805">
        <f t="shared" si="1"/>
        <v>0</v>
      </c>
      <c r="T7" s="3071" t="str">
        <f>IF(W7=0,"",人物卡!CA29)</f>
        <v/>
      </c>
      <c r="U7" s="3071"/>
      <c r="V7" s="3071"/>
      <c r="W7" s="806">
        <f>IF(人物卡!CM29-人物卡!CE29=0,0,人物卡!CM29)</f>
        <v>0</v>
      </c>
      <c r="X7" s="807">
        <f t="shared" si="2"/>
        <v>0</v>
      </c>
      <c r="Y7" s="808">
        <f t="shared" si="3"/>
        <v>0</v>
      </c>
      <c r="Z7" s="3201" t="str">
        <f>成长经历!AA34</f>
        <v>例：比尔·季默李</v>
      </c>
      <c r="AA7" s="3201"/>
      <c r="AB7" s="3201" t="str">
        <f>成长经历!AJ34</f>
        <v>信仰启发者</v>
      </c>
      <c r="AC7" s="3201"/>
      <c r="AD7" s="3201"/>
      <c r="AE7" s="3202"/>
    </row>
    <row r="8" spans="2:31" ht="17" customHeight="1">
      <c r="B8" s="3087"/>
      <c r="C8" s="3064"/>
      <c r="D8" s="3066"/>
      <c r="E8" s="3068"/>
      <c r="F8" s="3091"/>
      <c r="G8" s="3093"/>
      <c r="H8" s="3076"/>
      <c r="I8" s="3064"/>
      <c r="J8" s="3066"/>
      <c r="K8" s="2329"/>
      <c r="L8" s="3068"/>
      <c r="M8" s="3068"/>
      <c r="N8" s="3177" t="str">
        <f>IF(Q8=0,"",人物卡!BE30)</f>
        <v/>
      </c>
      <c r="O8" s="3072"/>
      <c r="P8" s="3072"/>
      <c r="Q8" s="803">
        <f>IF(人物卡!BQ30-人物卡!BI30=0,0,人物卡!BQ30)</f>
        <v>0</v>
      </c>
      <c r="R8" s="804">
        <f t="shared" si="0"/>
        <v>0</v>
      </c>
      <c r="S8" s="805">
        <f t="shared" si="1"/>
        <v>0</v>
      </c>
      <c r="T8" s="3071" t="str">
        <f>IF(W8=0,"",人物卡!CA30)</f>
        <v/>
      </c>
      <c r="U8" s="3071"/>
      <c r="V8" s="3071"/>
      <c r="W8" s="806">
        <f>IF(人物卡!CM30-人物卡!CE30=0,0,人物卡!CM30)</f>
        <v>0</v>
      </c>
      <c r="X8" s="807">
        <f t="shared" si="2"/>
        <v>0</v>
      </c>
      <c r="Y8" s="808">
        <f t="shared" si="3"/>
        <v>0</v>
      </c>
      <c r="Z8" s="3201">
        <f>成长经历!AA35</f>
        <v>0</v>
      </c>
      <c r="AA8" s="3201"/>
      <c r="AB8" s="3201">
        <f>成长经历!AJ35</f>
        <v>0</v>
      </c>
      <c r="AC8" s="3201"/>
      <c r="AD8" s="3201"/>
      <c r="AE8" s="3202"/>
    </row>
    <row r="9" spans="2:31" ht="17" customHeight="1">
      <c r="B9" s="3087" t="s">
        <v>5607</v>
      </c>
      <c r="C9" s="3076" t="str">
        <f>人物卡!CP67</f>
        <v>0</v>
      </c>
      <c r="D9" s="3076"/>
      <c r="E9" s="3068" t="s">
        <v>5608</v>
      </c>
      <c r="F9" s="3068" t="str">
        <f>人物卡!CP70</f>
        <v>0</v>
      </c>
      <c r="G9" s="3068"/>
      <c r="H9" s="3076" t="s">
        <v>5609</v>
      </c>
      <c r="I9" s="3076">
        <f>Luck</f>
        <v>0</v>
      </c>
      <c r="J9" s="3076"/>
      <c r="K9" s="3068" t="s">
        <v>359</v>
      </c>
      <c r="L9" s="3068">
        <f>人物卡!CE19</f>
        <v>8</v>
      </c>
      <c r="M9" s="3068"/>
      <c r="N9" s="3177" t="str">
        <f>IF(Q9=0,"",人物卡!BE31)</f>
        <v/>
      </c>
      <c r="O9" s="3072"/>
      <c r="P9" s="3072"/>
      <c r="Q9" s="803">
        <f>IF(人物卡!BQ31-人物卡!BI31=0,0,人物卡!BQ31)</f>
        <v>0</v>
      </c>
      <c r="R9" s="804">
        <f t="shared" si="0"/>
        <v>0</v>
      </c>
      <c r="S9" s="805">
        <f t="shared" si="1"/>
        <v>0</v>
      </c>
      <c r="T9" s="3071" t="str">
        <f>IF(W9=0,"",人物卡!CA31)</f>
        <v/>
      </c>
      <c r="U9" s="3071"/>
      <c r="V9" s="3071"/>
      <c r="W9" s="806">
        <f>IF(人物卡!CM31-人物卡!CE31=0,0,人物卡!CM31)</f>
        <v>0</v>
      </c>
      <c r="X9" s="807">
        <f t="shared" si="2"/>
        <v>0</v>
      </c>
      <c r="Y9" s="808">
        <f t="shared" si="3"/>
        <v>0</v>
      </c>
      <c r="Z9" s="3201">
        <f>成长经历!AA36</f>
        <v>0</v>
      </c>
      <c r="AA9" s="3201"/>
      <c r="AB9" s="3201">
        <f>成长经历!AJ36</f>
        <v>0</v>
      </c>
      <c r="AC9" s="3201"/>
      <c r="AD9" s="3201"/>
      <c r="AE9" s="3202"/>
    </row>
    <row r="10" spans="2:31" ht="17" customHeight="1">
      <c r="B10" s="3088"/>
      <c r="C10" s="3077"/>
      <c r="D10" s="3077"/>
      <c r="E10" s="3069"/>
      <c r="F10" s="3069"/>
      <c r="G10" s="3069"/>
      <c r="H10" s="3077"/>
      <c r="I10" s="3077"/>
      <c r="J10" s="3077"/>
      <c r="K10" s="3069"/>
      <c r="L10" s="3069"/>
      <c r="M10" s="3069"/>
      <c r="N10" s="3177" t="str">
        <f>IF(Q10=0,"",人物卡!BE32)</f>
        <v/>
      </c>
      <c r="O10" s="3072"/>
      <c r="P10" s="3072"/>
      <c r="Q10" s="803">
        <f>IF(人物卡!BQ32-人物卡!BI32=0,0,人物卡!BQ32)</f>
        <v>0</v>
      </c>
      <c r="R10" s="804">
        <f t="shared" si="0"/>
        <v>0</v>
      </c>
      <c r="S10" s="805">
        <f t="shared" si="1"/>
        <v>0</v>
      </c>
      <c r="T10" s="3071" t="str">
        <f>IF(W10=0,"",人物卡!CA32)</f>
        <v/>
      </c>
      <c r="U10" s="3071"/>
      <c r="V10" s="3071"/>
      <c r="W10" s="806">
        <f>IF(人物卡!CM32-人物卡!CE32=0,0,人物卡!CM32)</f>
        <v>0</v>
      </c>
      <c r="X10" s="807">
        <f t="shared" si="2"/>
        <v>0</v>
      </c>
      <c r="Y10" s="808">
        <f t="shared" si="3"/>
        <v>0</v>
      </c>
      <c r="Z10" s="3201">
        <f>成长经历!AA37</f>
        <v>0</v>
      </c>
      <c r="AA10" s="3201"/>
      <c r="AB10" s="3201">
        <f>成长经历!AJ37</f>
        <v>0</v>
      </c>
      <c r="AC10" s="3201"/>
      <c r="AD10" s="3201"/>
      <c r="AE10" s="3202"/>
    </row>
    <row r="11" spans="2:31" ht="17" customHeight="1">
      <c r="B11" s="3195" t="s">
        <v>222</v>
      </c>
      <c r="C11" s="3196"/>
      <c r="D11" s="3196"/>
      <c r="E11" s="3196"/>
      <c r="F11" s="3196"/>
      <c r="G11" s="3196"/>
      <c r="H11" s="3196"/>
      <c r="I11" s="3196"/>
      <c r="J11" s="3196"/>
      <c r="K11" s="3196"/>
      <c r="L11" s="3196"/>
      <c r="M11" s="3196"/>
      <c r="N11" s="3177" t="s">
        <v>150</v>
      </c>
      <c r="O11" s="3072"/>
      <c r="P11" s="3072"/>
      <c r="Q11" s="803">
        <f>人物卡!BQ33</f>
        <v>0</v>
      </c>
      <c r="R11" s="804">
        <f t="shared" si="0"/>
        <v>0</v>
      </c>
      <c r="S11" s="805">
        <f t="shared" si="1"/>
        <v>0</v>
      </c>
      <c r="T11" s="3071" t="str">
        <f>IF(W11=0,"",人物卡!CA33)</f>
        <v/>
      </c>
      <c r="U11" s="3071"/>
      <c r="V11" s="3071"/>
      <c r="W11" s="806">
        <f>IF(人物卡!CM33-人物卡!CE33=0,0,人物卡!CM33)</f>
        <v>0</v>
      </c>
      <c r="X11" s="807">
        <f t="shared" si="2"/>
        <v>0</v>
      </c>
      <c r="Y11" s="808">
        <f t="shared" si="3"/>
        <v>0</v>
      </c>
      <c r="Z11" s="3201">
        <f>成长经历!AA38</f>
        <v>0</v>
      </c>
      <c r="AA11" s="3201"/>
      <c r="AB11" s="3201">
        <f>成长经历!AJ38</f>
        <v>0</v>
      </c>
      <c r="AC11" s="3201"/>
      <c r="AD11" s="3201"/>
      <c r="AE11" s="3202"/>
    </row>
    <row r="12" spans="2:31" ht="17" customHeight="1">
      <c r="B12" s="812" t="str">
        <f>人物卡!BA68</f>
        <v>无</v>
      </c>
      <c r="C12" s="813" t="str">
        <f>人物卡!BF68</f>
        <v>肉搏</v>
      </c>
      <c r="D12" s="813" t="str">
        <f>人物卡!BK68</f>
        <v>斗殴</v>
      </c>
      <c r="E12" s="813">
        <f>人物卡!BO68</f>
        <v>25</v>
      </c>
      <c r="F12" s="813">
        <f>人物卡!BQ68</f>
        <v>12</v>
      </c>
      <c r="G12" s="813">
        <f>人物卡!BS68</f>
        <v>5</v>
      </c>
      <c r="H12" s="813" t="str">
        <f>人物卡!BU68</f>
        <v>1D3+DB</v>
      </c>
      <c r="I12" s="813" t="str">
        <f>人物卡!BY68</f>
        <v>——</v>
      </c>
      <c r="J12" s="813" t="str">
        <f>人物卡!CA68</f>
        <v>×</v>
      </c>
      <c r="K12" s="813">
        <f>人物卡!CC68</f>
        <v>1</v>
      </c>
      <c r="L12" s="813" t="str">
        <f>人物卡!CE68</f>
        <v>——</v>
      </c>
      <c r="M12" s="813" t="str">
        <f>人物卡!CH68</f>
        <v>——</v>
      </c>
      <c r="N12" s="3177" t="str">
        <f>IF(Q12=0,"",人物卡!BE34)</f>
        <v/>
      </c>
      <c r="O12" s="3072"/>
      <c r="P12" s="3072"/>
      <c r="Q12" s="803">
        <f>IF(人物卡!BQ34-人物卡!BI34=0,0,人物卡!BQ34)</f>
        <v>0</v>
      </c>
      <c r="R12" s="804">
        <f t="shared" si="0"/>
        <v>0</v>
      </c>
      <c r="S12" s="805">
        <f t="shared" si="1"/>
        <v>0</v>
      </c>
      <c r="T12" s="3071" t="str">
        <f>IF(W12=0,"",人物卡!CA34)</f>
        <v/>
      </c>
      <c r="U12" s="3071"/>
      <c r="V12" s="3071"/>
      <c r="W12" s="806">
        <f>IF(人物卡!CM34-人物卡!CE34=0,0,人物卡!CM34)</f>
        <v>0</v>
      </c>
      <c r="X12" s="807">
        <f t="shared" si="2"/>
        <v>0</v>
      </c>
      <c r="Y12" s="808">
        <f t="shared" si="3"/>
        <v>0</v>
      </c>
      <c r="Z12" s="3201">
        <f>成长经历!AA39</f>
        <v>0</v>
      </c>
      <c r="AA12" s="3201"/>
      <c r="AB12" s="3201">
        <f>成长经历!AJ39</f>
        <v>0</v>
      </c>
      <c r="AC12" s="3201"/>
      <c r="AD12" s="3201"/>
      <c r="AE12" s="3202"/>
    </row>
    <row r="13" spans="2:31" ht="17" customHeight="1">
      <c r="B13" s="814">
        <f>人物卡!BA69</f>
        <v>0</v>
      </c>
      <c r="C13" s="815">
        <f>人物卡!BF69</f>
        <v>0</v>
      </c>
      <c r="D13" s="815" t="str">
        <f>IF(人物卡!BK69="请选择类型","",人物卡!BK69)</f>
        <v>←请选择类型</v>
      </c>
      <c r="E13" s="815" t="str">
        <f>人物卡!BO69</f>
        <v/>
      </c>
      <c r="F13" s="815" t="str">
        <f>人物卡!BQ69</f>
        <v/>
      </c>
      <c r="G13" s="815" t="str">
        <f>人物卡!BS69</f>
        <v/>
      </c>
      <c r="H13" s="815" t="str">
        <f>人物卡!BU69</f>
        <v/>
      </c>
      <c r="I13" s="815" t="str">
        <f>人物卡!BY69</f>
        <v/>
      </c>
      <c r="J13" s="815" t="str">
        <f>人物卡!CA69</f>
        <v/>
      </c>
      <c r="K13" s="815" t="str">
        <f>人物卡!CC69</f>
        <v/>
      </c>
      <c r="L13" s="815" t="str">
        <f>人物卡!CE69</f>
        <v/>
      </c>
      <c r="M13" s="815" t="str">
        <f>人物卡!CH69</f>
        <v/>
      </c>
      <c r="N13" s="3177" t="str">
        <f>IF(Q13=0,"",人物卡!BE35)</f>
        <v/>
      </c>
      <c r="O13" s="3072"/>
      <c r="P13" s="3072"/>
      <c r="Q13" s="803">
        <f>IF(人物卡!BQ35-人物卡!BI35=0,0,人物卡!BQ35)</f>
        <v>0</v>
      </c>
      <c r="R13" s="804">
        <f t="shared" si="0"/>
        <v>0</v>
      </c>
      <c r="S13" s="805">
        <f t="shared" si="1"/>
        <v>0</v>
      </c>
      <c r="T13" s="3071" t="str">
        <f>IF(W13=0,"",人物卡!CA35)</f>
        <v/>
      </c>
      <c r="U13" s="3071"/>
      <c r="V13" s="3071"/>
      <c r="W13" s="806">
        <f>IF(人物卡!CM35-人物卡!CE35=0,0,人物卡!CM35)</f>
        <v>0</v>
      </c>
      <c r="X13" s="807">
        <f t="shared" si="2"/>
        <v>0</v>
      </c>
      <c r="Y13" s="808">
        <f t="shared" si="3"/>
        <v>0</v>
      </c>
      <c r="Z13" s="3201">
        <f>成长经历!AA40</f>
        <v>0</v>
      </c>
      <c r="AA13" s="3201"/>
      <c r="AB13" s="3201">
        <f>成长经历!AJ40</f>
        <v>0</v>
      </c>
      <c r="AC13" s="3201"/>
      <c r="AD13" s="3201"/>
      <c r="AE13" s="3202"/>
    </row>
    <row r="14" spans="2:31" ht="17" customHeight="1">
      <c r="B14" s="816">
        <f>人物卡!BA70</f>
        <v>0</v>
      </c>
      <c r="C14" s="817">
        <f>人物卡!BF70</f>
        <v>0</v>
      </c>
      <c r="D14" s="817" t="str">
        <f>IF(人物卡!BK70="请选择类型","",人物卡!BK70)</f>
        <v/>
      </c>
      <c r="E14" s="817" t="str">
        <f>人物卡!BO70</f>
        <v/>
      </c>
      <c r="F14" s="817" t="str">
        <f>人物卡!BQ70</f>
        <v/>
      </c>
      <c r="G14" s="817" t="str">
        <f>人物卡!BS70</f>
        <v/>
      </c>
      <c r="H14" s="817" t="str">
        <f>人物卡!BU70</f>
        <v/>
      </c>
      <c r="I14" s="817" t="str">
        <f>人物卡!BY70</f>
        <v/>
      </c>
      <c r="J14" s="817" t="str">
        <f>人物卡!CA70</f>
        <v/>
      </c>
      <c r="K14" s="817" t="str">
        <f>人物卡!CC70</f>
        <v/>
      </c>
      <c r="L14" s="817" t="str">
        <f>人物卡!CE70</f>
        <v/>
      </c>
      <c r="M14" s="817" t="str">
        <f>人物卡!CH70</f>
        <v/>
      </c>
      <c r="N14" s="3177" t="str">
        <f>IF(Q14=0,"",人物卡!BE36)</f>
        <v/>
      </c>
      <c r="O14" s="3072"/>
      <c r="P14" s="3072"/>
      <c r="Q14" s="803">
        <f>IF(人物卡!BQ36-人物卡!BI36=0,0,人物卡!BQ36)</f>
        <v>0</v>
      </c>
      <c r="R14" s="804">
        <f t="shared" si="0"/>
        <v>0</v>
      </c>
      <c r="S14" s="805">
        <f t="shared" si="1"/>
        <v>0</v>
      </c>
      <c r="T14" s="3071" t="str">
        <f>IF(W14=0,"",人物卡!CA36)</f>
        <v/>
      </c>
      <c r="U14" s="3071"/>
      <c r="V14" s="3071"/>
      <c r="W14" s="806">
        <f>IF(人物卡!CM36-人物卡!CE36=0,0,人物卡!CM36)</f>
        <v>0</v>
      </c>
      <c r="X14" s="807">
        <f t="shared" si="2"/>
        <v>0</v>
      </c>
      <c r="Y14" s="808">
        <f t="shared" si="3"/>
        <v>0</v>
      </c>
      <c r="Z14" s="3201">
        <f>成长经历!AA41</f>
        <v>0</v>
      </c>
      <c r="AA14" s="3201"/>
      <c r="AB14" s="3201">
        <f>成长经历!AJ41</f>
        <v>0</v>
      </c>
      <c r="AC14" s="3201"/>
      <c r="AD14" s="3201"/>
      <c r="AE14" s="3202"/>
    </row>
    <row r="15" spans="2:31" ht="17" customHeight="1">
      <c r="B15" s="814">
        <f>人物卡!BA71</f>
        <v>0</v>
      </c>
      <c r="C15" s="815">
        <f>人物卡!BF71</f>
        <v>0</v>
      </c>
      <c r="D15" s="815" t="str">
        <f>IF(人物卡!BK71="请选择类型","",人物卡!BK71)</f>
        <v/>
      </c>
      <c r="E15" s="815" t="str">
        <f>人物卡!BO71</f>
        <v/>
      </c>
      <c r="F15" s="815" t="str">
        <f>人物卡!BQ71</f>
        <v/>
      </c>
      <c r="G15" s="815" t="str">
        <f>人物卡!BS71</f>
        <v/>
      </c>
      <c r="H15" s="815" t="str">
        <f>人物卡!BU71</f>
        <v/>
      </c>
      <c r="I15" s="815" t="str">
        <f>人物卡!BY71</f>
        <v/>
      </c>
      <c r="J15" s="815" t="str">
        <f>人物卡!CA71</f>
        <v/>
      </c>
      <c r="K15" s="815" t="str">
        <f>人物卡!CC71</f>
        <v/>
      </c>
      <c r="L15" s="815" t="str">
        <f>人物卡!CE71</f>
        <v/>
      </c>
      <c r="M15" s="815" t="str">
        <f>人物卡!CH71</f>
        <v/>
      </c>
      <c r="N15" s="3177" t="str">
        <f>IF(Q15=0,"",人物卡!BE37)</f>
        <v/>
      </c>
      <c r="O15" s="3072"/>
      <c r="P15" s="3072"/>
      <c r="Q15" s="803">
        <f>IF(人物卡!BQ37-人物卡!BI37=0,0,人物卡!BQ37)</f>
        <v>0</v>
      </c>
      <c r="R15" s="804">
        <f t="shared" si="0"/>
        <v>0</v>
      </c>
      <c r="S15" s="805">
        <f t="shared" si="1"/>
        <v>0</v>
      </c>
      <c r="T15" s="3071" t="str">
        <f>IF(W15=0,"",人物卡!CA37)</f>
        <v/>
      </c>
      <c r="U15" s="3071"/>
      <c r="V15" s="3071"/>
      <c r="W15" s="806">
        <f>IF(人物卡!CM37-人物卡!CE37=0,0,人物卡!CM37)</f>
        <v>0</v>
      </c>
      <c r="X15" s="807">
        <f t="shared" si="2"/>
        <v>0</v>
      </c>
      <c r="Y15" s="808">
        <f t="shared" si="3"/>
        <v>0</v>
      </c>
      <c r="Z15" s="3201">
        <f>成长经历!AA42</f>
        <v>0</v>
      </c>
      <c r="AA15" s="3201"/>
      <c r="AB15" s="3201">
        <f>成长经历!AJ42</f>
        <v>0</v>
      </c>
      <c r="AC15" s="3201"/>
      <c r="AD15" s="3201"/>
      <c r="AE15" s="3202"/>
    </row>
    <row r="16" spans="2:31" ht="17" customHeight="1">
      <c r="B16" s="816">
        <f>人物卡!BA72</f>
        <v>0</v>
      </c>
      <c r="C16" s="817">
        <f>人物卡!BF72</f>
        <v>0</v>
      </c>
      <c r="D16" s="817" t="str">
        <f>IF(人物卡!BK72="请选择类型","",人物卡!BK72)</f>
        <v/>
      </c>
      <c r="E16" s="817" t="str">
        <f>人物卡!BO72</f>
        <v/>
      </c>
      <c r="F16" s="817" t="str">
        <f>人物卡!BQ72</f>
        <v/>
      </c>
      <c r="G16" s="817" t="str">
        <f>人物卡!BS72</f>
        <v/>
      </c>
      <c r="H16" s="817" t="str">
        <f>人物卡!BU72</f>
        <v/>
      </c>
      <c r="I16" s="817" t="str">
        <f>人物卡!BY72</f>
        <v/>
      </c>
      <c r="J16" s="817" t="str">
        <f>人物卡!CA72</f>
        <v/>
      </c>
      <c r="K16" s="817" t="str">
        <f>人物卡!CC72</f>
        <v/>
      </c>
      <c r="L16" s="817" t="str">
        <f>人物卡!CE72</f>
        <v/>
      </c>
      <c r="M16" s="817" t="str">
        <f>人物卡!CH72</f>
        <v/>
      </c>
      <c r="N16" s="3177" t="str">
        <f>IF(Q16=0,"",人物卡!BE38)</f>
        <v/>
      </c>
      <c r="O16" s="3072"/>
      <c r="P16" s="3072"/>
      <c r="Q16" s="803">
        <f>IF(人物卡!BQ38-人物卡!BI38=0,0,人物卡!BQ38)</f>
        <v>0</v>
      </c>
      <c r="R16" s="804">
        <f t="shared" si="0"/>
        <v>0</v>
      </c>
      <c r="S16" s="805">
        <f t="shared" si="1"/>
        <v>0</v>
      </c>
      <c r="T16" s="3071" t="str">
        <f>IF(W16=0,"",人物卡!CA38)</f>
        <v/>
      </c>
      <c r="U16" s="3071"/>
      <c r="V16" s="3071"/>
      <c r="W16" s="806">
        <f>IF(人物卡!CM38-人物卡!CE38=0,0,人物卡!CM38)</f>
        <v>0</v>
      </c>
      <c r="X16" s="807">
        <f t="shared" si="2"/>
        <v>0</v>
      </c>
      <c r="Y16" s="808">
        <f t="shared" si="3"/>
        <v>0</v>
      </c>
      <c r="Z16" s="3201">
        <f>成长经历!AA43</f>
        <v>0</v>
      </c>
      <c r="AA16" s="3201"/>
      <c r="AB16" s="3201">
        <f>成长经历!AJ43</f>
        <v>0</v>
      </c>
      <c r="AC16" s="3201"/>
      <c r="AD16" s="3201"/>
      <c r="AE16" s="3202"/>
    </row>
    <row r="17" spans="2:51" ht="17" customHeight="1">
      <c r="B17" s="3195" t="s">
        <v>245</v>
      </c>
      <c r="C17" s="3196"/>
      <c r="D17" s="3196"/>
      <c r="E17" s="3196"/>
      <c r="F17" s="3196"/>
      <c r="G17" s="3196"/>
      <c r="H17" s="3196"/>
      <c r="I17" s="3196"/>
      <c r="J17" s="3196"/>
      <c r="K17" s="3196"/>
      <c r="L17" s="3196"/>
      <c r="M17" s="3196"/>
      <c r="N17" s="3177" t="str">
        <f>IF(Q17=0,"",人物卡!BE39)</f>
        <v/>
      </c>
      <c r="O17" s="3072"/>
      <c r="P17" s="3072"/>
      <c r="Q17" s="803">
        <f>IF(人物卡!BQ39-人物卡!BI39=0,0,人物卡!BQ39)</f>
        <v>0</v>
      </c>
      <c r="R17" s="804">
        <f t="shared" si="0"/>
        <v>0</v>
      </c>
      <c r="S17" s="805">
        <f t="shared" si="1"/>
        <v>0</v>
      </c>
      <c r="T17" s="3071" t="str">
        <f>IF(W17=0,"",人物卡!CA39)</f>
        <v/>
      </c>
      <c r="U17" s="3071"/>
      <c r="V17" s="3071"/>
      <c r="W17" s="806">
        <f>IF(人物卡!CM39-人物卡!CE39=0,0,人物卡!CM39)</f>
        <v>0</v>
      </c>
      <c r="X17" s="807">
        <f t="shared" si="2"/>
        <v>0</v>
      </c>
      <c r="Y17" s="808">
        <f t="shared" si="3"/>
        <v>0</v>
      </c>
      <c r="Z17" s="3201">
        <f>成长经历!AA44</f>
        <v>0</v>
      </c>
      <c r="AA17" s="3201"/>
      <c r="AB17" s="3201">
        <f>成长经历!AJ44</f>
        <v>0</v>
      </c>
      <c r="AC17" s="3201"/>
      <c r="AD17" s="3201"/>
      <c r="AE17" s="3202"/>
    </row>
    <row r="18" spans="2:51" ht="17" customHeight="1">
      <c r="B18" s="2051" t="s">
        <v>150</v>
      </c>
      <c r="C18" s="2052"/>
      <c r="D18" s="2052"/>
      <c r="E18" s="2052" t="s">
        <v>248</v>
      </c>
      <c r="F18" s="2052"/>
      <c r="G18" s="2052" t="s">
        <v>249</v>
      </c>
      <c r="H18" s="2052"/>
      <c r="I18" s="2052" t="s">
        <v>250</v>
      </c>
      <c r="J18" s="2052"/>
      <c r="K18" s="2052" t="s">
        <v>251</v>
      </c>
      <c r="L18" s="2052"/>
      <c r="M18" s="818" t="s">
        <v>252</v>
      </c>
      <c r="N18" s="3177" t="str">
        <f>IF(Q18=0,"",人物卡!BE40)</f>
        <v/>
      </c>
      <c r="O18" s="3072"/>
      <c r="P18" s="3072"/>
      <c r="Q18" s="803">
        <f>IFERROR(IF(人物卡!BQ40-人物卡!BI40=0,0,人物卡!BQ40),0)</f>
        <v>0</v>
      </c>
      <c r="R18" s="804">
        <f t="shared" si="0"/>
        <v>0</v>
      </c>
      <c r="S18" s="805">
        <f t="shared" si="1"/>
        <v>0</v>
      </c>
      <c r="T18" s="3071" t="str">
        <f>IF(W18=0,"",人物卡!CA40)</f>
        <v/>
      </c>
      <c r="U18" s="3071"/>
      <c r="V18" s="3071"/>
      <c r="W18" s="806">
        <f>IF(人物卡!CM40-人物卡!CE40=0,0,人物卡!CM40)</f>
        <v>0</v>
      </c>
      <c r="X18" s="807">
        <f t="shared" si="2"/>
        <v>0</v>
      </c>
      <c r="Y18" s="808">
        <f t="shared" si="3"/>
        <v>0</v>
      </c>
      <c r="Z18" s="1542"/>
      <c r="AA18" s="1542"/>
      <c r="AB18" s="1542"/>
      <c r="AC18" s="1542"/>
      <c r="AD18" s="1542"/>
      <c r="AE18" s="3198"/>
    </row>
    <row r="19" spans="2:51" ht="17" customHeight="1">
      <c r="B19" s="3200" t="str">
        <f>人物卡!BA77</f>
        <v>0%/0%/0%</v>
      </c>
      <c r="C19" s="2329"/>
      <c r="D19" s="2329"/>
      <c r="E19" s="2329" t="str">
        <f>人物卡!BE77</f>
        <v>身无分文</v>
      </c>
      <c r="F19" s="2329"/>
      <c r="G19" s="2329" t="str">
        <f>人物卡!BH77</f>
        <v>0.5</v>
      </c>
      <c r="H19" s="2329"/>
      <c r="I19" s="2329" t="str">
        <f>人物卡!BK77</f>
        <v>没有</v>
      </c>
      <c r="J19" s="2329"/>
      <c r="K19" s="2329" t="str">
        <f>人物卡!BN77</f>
        <v>0.5</v>
      </c>
      <c r="L19" s="2329"/>
      <c r="M19" s="811" t="str">
        <f>人物卡!BR77</f>
        <v>美元</v>
      </c>
      <c r="N19" s="820" t="str">
        <f>IF(Q19=0,"","科学：")</f>
        <v/>
      </c>
      <c r="O19" s="3169" t="str">
        <f>IF(Q19=0,"",人物卡!BG41)</f>
        <v/>
      </c>
      <c r="P19" s="3169"/>
      <c r="Q19" s="803">
        <f>IF(人物卡!BQ41-人物卡!BI41=0,0,人物卡!BQ41)</f>
        <v>0</v>
      </c>
      <c r="R19" s="804">
        <f t="shared" si="0"/>
        <v>0</v>
      </c>
      <c r="S19" s="805">
        <f t="shared" si="1"/>
        <v>0</v>
      </c>
      <c r="T19" s="821" t="str">
        <f>IF(W19=0,"","生存：")</f>
        <v/>
      </c>
      <c r="U19" s="3071" t="str">
        <f>IF(W19=0,"",人物卡!CC41)</f>
        <v/>
      </c>
      <c r="V19" s="3071"/>
      <c r="W19" s="806">
        <f>IF(人物卡!CM41-人物卡!CE41=0,0,人物卡!CM41)</f>
        <v>0</v>
      </c>
      <c r="X19" s="807">
        <f t="shared" si="2"/>
        <v>0</v>
      </c>
      <c r="Y19" s="808">
        <f t="shared" si="3"/>
        <v>0</v>
      </c>
      <c r="Z19" s="1542"/>
      <c r="AA19" s="1542"/>
      <c r="AB19" s="1542"/>
      <c r="AC19" s="1542"/>
      <c r="AD19" s="1542"/>
      <c r="AE19" s="3198"/>
    </row>
    <row r="20" spans="2:51" ht="17" customHeight="1">
      <c r="B20" s="3193">
        <f>人物卡!BK78</f>
        <v>0</v>
      </c>
      <c r="C20" s="3194"/>
      <c r="D20" s="3194"/>
      <c r="E20" s="3194"/>
      <c r="F20" s="3194"/>
      <c r="G20" s="3194"/>
      <c r="H20" s="3194"/>
      <c r="I20" s="3194"/>
      <c r="J20" s="3194"/>
      <c r="K20" s="3194"/>
      <c r="L20" s="3194"/>
      <c r="M20" s="3194"/>
      <c r="N20" s="820" t="str">
        <f>IF(Q20=0,"","科学：")</f>
        <v/>
      </c>
      <c r="O20" s="3169" t="str">
        <f>IF(Q20=0,"",人物卡!BG42)</f>
        <v/>
      </c>
      <c r="P20" s="3169"/>
      <c r="Q20" s="803">
        <f>IF(人物卡!BQ42-人物卡!BI42=0,0,人物卡!BQ42)</f>
        <v>0</v>
      </c>
      <c r="R20" s="804">
        <f t="shared" si="0"/>
        <v>0</v>
      </c>
      <c r="S20" s="805">
        <f t="shared" si="1"/>
        <v>0</v>
      </c>
      <c r="T20" s="821" t="str">
        <f>IF(W20=0,"","生存：")</f>
        <v/>
      </c>
      <c r="U20" s="3071" t="str">
        <f>IF(W20=0,"",人物卡!CC42)</f>
        <v/>
      </c>
      <c r="V20" s="3071"/>
      <c r="W20" s="806">
        <f>IF(人物卡!CM42-人物卡!CE42=0,0,人物卡!CM42)</f>
        <v>0</v>
      </c>
      <c r="X20" s="807">
        <f t="shared" si="2"/>
        <v>0</v>
      </c>
      <c r="Y20" s="808">
        <f t="shared" si="3"/>
        <v>0</v>
      </c>
      <c r="Z20" s="3074"/>
      <c r="AA20" s="3074"/>
      <c r="AB20" s="3074"/>
      <c r="AC20" s="3074"/>
      <c r="AD20" s="3074"/>
      <c r="AE20" s="3199"/>
    </row>
    <row r="21" spans="2:51" ht="17" customHeight="1">
      <c r="B21" s="3195" t="s">
        <v>5610</v>
      </c>
      <c r="C21" s="3196"/>
      <c r="D21" s="3196"/>
      <c r="E21" s="3196"/>
      <c r="F21" s="3196"/>
      <c r="G21" s="3196"/>
      <c r="H21" s="3196"/>
      <c r="I21" s="3196"/>
      <c r="J21" s="3196"/>
      <c r="K21" s="3196"/>
      <c r="L21" s="3196"/>
      <c r="M21" s="3196"/>
      <c r="N21" s="820" t="str">
        <f>IF(Q21=0,"","科学：")</f>
        <v/>
      </c>
      <c r="O21" s="3169" t="str">
        <f>IF(Q21=0,"",人物卡!BG43)</f>
        <v/>
      </c>
      <c r="P21" s="3169"/>
      <c r="Q21" s="803">
        <f>IF(人物卡!BQ43-人物卡!BI43=0,0,人物卡!BQ43)</f>
        <v>0</v>
      </c>
      <c r="R21" s="804">
        <f t="shared" si="0"/>
        <v>0</v>
      </c>
      <c r="S21" s="805">
        <f t="shared" si="1"/>
        <v>0</v>
      </c>
      <c r="T21" s="3071" t="str">
        <f>IF(W21=0,"",人物卡!CA43)</f>
        <v/>
      </c>
      <c r="U21" s="3071"/>
      <c r="V21" s="3071"/>
      <c r="W21" s="806">
        <f>IF(人物卡!CM43-人物卡!CE43=0,0,人物卡!CM43)</f>
        <v>0</v>
      </c>
      <c r="X21" s="807">
        <f t="shared" si="2"/>
        <v>0</v>
      </c>
      <c r="Y21" s="808">
        <f t="shared" si="3"/>
        <v>0</v>
      </c>
      <c r="Z21" s="1684" t="s">
        <v>5611</v>
      </c>
      <c r="AA21" s="1684"/>
      <c r="AB21" s="1684"/>
      <c r="AC21" s="1684"/>
      <c r="AD21" s="1684"/>
      <c r="AE21" s="1685"/>
    </row>
    <row r="22" spans="2:51" ht="17" customHeight="1">
      <c r="B22" s="3192">
        <f>人物卡!BE99</f>
        <v>0</v>
      </c>
      <c r="C22" s="3171"/>
      <c r="D22" s="3171"/>
      <c r="E22" s="3171">
        <f>人物卡!BE100</f>
        <v>0</v>
      </c>
      <c r="F22" s="3171"/>
      <c r="G22" s="3171"/>
      <c r="H22" s="3171">
        <f>人物卡!BE101</f>
        <v>0</v>
      </c>
      <c r="I22" s="3171"/>
      <c r="J22" s="3171"/>
      <c r="K22" s="3171">
        <f>人物卡!BE102</f>
        <v>0</v>
      </c>
      <c r="L22" s="3171"/>
      <c r="M22" s="3171"/>
      <c r="N22" s="820" t="str">
        <f>IF(Q22=0,"","科学：")</f>
        <v/>
      </c>
      <c r="O22" s="3169" t="str">
        <f>IF(Q22=0,"",人物卡!BG44)</f>
        <v/>
      </c>
      <c r="P22" s="3169"/>
      <c r="Q22" s="803">
        <f>IF(人物卡!BQ44-人物卡!BI44=0,0,人物卡!BQ44)</f>
        <v>0</v>
      </c>
      <c r="R22" s="804">
        <f t="shared" si="0"/>
        <v>0</v>
      </c>
      <c r="S22" s="805">
        <f t="shared" si="1"/>
        <v>0</v>
      </c>
      <c r="T22" s="3071" t="str">
        <f>IF(W22=0,"",人物卡!CA44)</f>
        <v/>
      </c>
      <c r="U22" s="3071"/>
      <c r="V22" s="3071"/>
      <c r="W22" s="806">
        <f>IF(人物卡!CM44-人物卡!CE44=0,0,人物卡!CM44)</f>
        <v>0</v>
      </c>
      <c r="X22" s="807">
        <f t="shared" si="2"/>
        <v>0</v>
      </c>
      <c r="Y22" s="808">
        <f t="shared" si="3"/>
        <v>0</v>
      </c>
      <c r="Z22" s="2484" t="s">
        <v>5612</v>
      </c>
      <c r="AA22" s="2484"/>
      <c r="AB22" s="2484"/>
      <c r="AC22" s="2484"/>
      <c r="AD22" s="2484" t="s">
        <v>5613</v>
      </c>
      <c r="AE22" s="3197"/>
    </row>
    <row r="23" spans="2:51" ht="17" customHeight="1">
      <c r="B23" s="3189">
        <f>人物卡!BE103</f>
        <v>0</v>
      </c>
      <c r="C23" s="3172"/>
      <c r="D23" s="3172"/>
      <c r="E23" s="3172">
        <f>人物卡!BE104</f>
        <v>0</v>
      </c>
      <c r="F23" s="3172"/>
      <c r="G23" s="3172"/>
      <c r="H23" s="3172">
        <f>人物卡!BE105</f>
        <v>0</v>
      </c>
      <c r="I23" s="3172"/>
      <c r="J23" s="3172"/>
      <c r="K23" s="3172">
        <f>人物卡!BE86</f>
        <v>0</v>
      </c>
      <c r="L23" s="3172"/>
      <c r="M23" s="3172"/>
      <c r="N23" s="820" t="str">
        <f>IF(Q23=0,"","科学：")</f>
        <v/>
      </c>
      <c r="O23" s="3169" t="str">
        <f>IF(Q23=0,"",人物卡!BG45)</f>
        <v/>
      </c>
      <c r="P23" s="3169"/>
      <c r="Q23" s="803">
        <f>IF(人物卡!BQ45-人物卡!BI45=0,0,人物卡!BQ45)</f>
        <v>0</v>
      </c>
      <c r="R23" s="804">
        <f t="shared" si="0"/>
        <v>0</v>
      </c>
      <c r="S23" s="805">
        <f t="shared" si="1"/>
        <v>0</v>
      </c>
      <c r="T23" s="3071" t="str">
        <f>IF(W23=0,"",人物卡!CA45)</f>
        <v/>
      </c>
      <c r="U23" s="3071"/>
      <c r="V23" s="3071"/>
      <c r="W23" s="806">
        <f>IF(人物卡!CM45-人物卡!CE45=0,0,人物卡!CM45)</f>
        <v>0</v>
      </c>
      <c r="X23" s="807">
        <f t="shared" si="2"/>
        <v>0</v>
      </c>
      <c r="Y23" s="808">
        <f t="shared" si="3"/>
        <v>0</v>
      </c>
      <c r="Z23" s="3172">
        <f>成长经历!G77</f>
        <v>0</v>
      </c>
      <c r="AA23" s="3172"/>
      <c r="AB23" s="3172"/>
      <c r="AC23" s="3172"/>
      <c r="AD23" s="3172">
        <f>成长经历!Q77</f>
        <v>0</v>
      </c>
      <c r="AE23" s="3173"/>
    </row>
    <row r="24" spans="2:51" ht="17" customHeight="1">
      <c r="B24" s="3192">
        <f>人物卡!BE87</f>
        <v>0</v>
      </c>
      <c r="C24" s="3171"/>
      <c r="D24" s="3171"/>
      <c r="E24" s="3171">
        <f>人物卡!BE88</f>
        <v>0</v>
      </c>
      <c r="F24" s="3171"/>
      <c r="G24" s="3171"/>
      <c r="H24" s="3171">
        <f>人物卡!BM99</f>
        <v>0</v>
      </c>
      <c r="I24" s="3171"/>
      <c r="J24" s="3171"/>
      <c r="K24" s="3171">
        <f>人物卡!BM100</f>
        <v>0</v>
      </c>
      <c r="L24" s="3171"/>
      <c r="M24" s="3171"/>
      <c r="N24" s="820" t="str">
        <f>IF(Q24=0,"","学识：")</f>
        <v/>
      </c>
      <c r="O24" s="3169" t="str">
        <f>IF(Q24=0,"",人物卡!BG46)</f>
        <v/>
      </c>
      <c r="P24" s="3169"/>
      <c r="Q24" s="803">
        <f>IF(人物卡!BQ46-人物卡!BI46=0,0,人物卡!BQ46)</f>
        <v>0</v>
      </c>
      <c r="R24" s="804">
        <f t="shared" si="0"/>
        <v>0</v>
      </c>
      <c r="S24" s="805">
        <f t="shared" si="1"/>
        <v>0</v>
      </c>
      <c r="T24" s="3071" t="str">
        <f>IF(W24=0,"",人物卡!CA46)</f>
        <v/>
      </c>
      <c r="U24" s="3071"/>
      <c r="V24" s="3071"/>
      <c r="W24" s="806">
        <f>IF(人物卡!CM46-人物卡!CE46=0,0,人物卡!CM46)</f>
        <v>0</v>
      </c>
      <c r="X24" s="807">
        <f t="shared" si="2"/>
        <v>0</v>
      </c>
      <c r="Y24" s="808">
        <f t="shared" si="3"/>
        <v>0</v>
      </c>
      <c r="Z24" s="3172">
        <f>成长经历!G78</f>
        <v>0</v>
      </c>
      <c r="AA24" s="3172"/>
      <c r="AB24" s="3172"/>
      <c r="AC24" s="3172"/>
      <c r="AD24" s="3172">
        <f>成长经历!Q78</f>
        <v>0</v>
      </c>
      <c r="AE24" s="3173"/>
    </row>
    <row r="25" spans="2:51" ht="17" customHeight="1">
      <c r="B25" s="3189">
        <f>人物卡!BM101</f>
        <v>0</v>
      </c>
      <c r="C25" s="3172"/>
      <c r="D25" s="3172"/>
      <c r="E25" s="3172">
        <f>人物卡!BM102</f>
        <v>0</v>
      </c>
      <c r="F25" s="3172"/>
      <c r="G25" s="3172"/>
      <c r="H25" s="3172">
        <f>人物卡!BM103</f>
        <v>0</v>
      </c>
      <c r="I25" s="3172"/>
      <c r="J25" s="3172"/>
      <c r="K25" s="3172">
        <f>人物卡!BM104</f>
        <v>0</v>
      </c>
      <c r="L25" s="3172"/>
      <c r="M25" s="3172"/>
      <c r="N25" s="820" t="str">
        <f>IF(Q25=0,"","技艺：")</f>
        <v/>
      </c>
      <c r="O25" s="3169" t="str">
        <f>IF(Q25=0,"",人物卡!BG47)</f>
        <v/>
      </c>
      <c r="P25" s="3169"/>
      <c r="Q25" s="803">
        <f>IF(人物卡!BQ47-人物卡!BI47=0,0,人物卡!BQ47)</f>
        <v>0</v>
      </c>
      <c r="R25" s="804">
        <f t="shared" si="0"/>
        <v>0</v>
      </c>
      <c r="S25" s="805">
        <f t="shared" si="1"/>
        <v>0</v>
      </c>
      <c r="T25" s="821" t="str">
        <f>IF(W25=0,"",人物卡!CA47)</f>
        <v/>
      </c>
      <c r="U25" s="3071" t="str">
        <f>IF(W25=0,"",人物卡!CC47)</f>
        <v/>
      </c>
      <c r="V25" s="3071"/>
      <c r="W25" s="806">
        <f>IF(人物卡!CM47-人物卡!CE47=0,0,人物卡!CM47)</f>
        <v>0</v>
      </c>
      <c r="X25" s="807">
        <f t="shared" si="2"/>
        <v>0</v>
      </c>
      <c r="Y25" s="808">
        <f t="shared" si="3"/>
        <v>0</v>
      </c>
      <c r="Z25" s="3172">
        <f>成长经历!G79</f>
        <v>0</v>
      </c>
      <c r="AA25" s="3172"/>
      <c r="AB25" s="3172"/>
      <c r="AC25" s="3172"/>
      <c r="AD25" s="3172">
        <f>成长经历!Q79</f>
        <v>0</v>
      </c>
      <c r="AE25" s="3173"/>
    </row>
    <row r="26" spans="2:51" ht="17" customHeight="1">
      <c r="B26" s="3190">
        <f>人物卡!BM105</f>
        <v>0</v>
      </c>
      <c r="C26" s="3191"/>
      <c r="D26" s="3191"/>
      <c r="E26" s="3191">
        <f>人物卡!BM86</f>
        <v>0</v>
      </c>
      <c r="F26" s="3191"/>
      <c r="G26" s="3191"/>
      <c r="H26" s="3191">
        <f>人物卡!BM87</f>
        <v>0</v>
      </c>
      <c r="I26" s="3191"/>
      <c r="J26" s="3191"/>
      <c r="K26" s="3191">
        <f>人物卡!BM88</f>
        <v>0</v>
      </c>
      <c r="L26" s="3191"/>
      <c r="M26" s="3191"/>
      <c r="N26" s="820" t="str">
        <f>IF(Q26=0,"","技艺：")</f>
        <v/>
      </c>
      <c r="O26" s="3169" t="str">
        <f>IF(Q26=0,"",人物卡!BG48)</f>
        <v/>
      </c>
      <c r="P26" s="3169"/>
      <c r="Q26" s="803">
        <f>IF(人物卡!BQ48-人物卡!BI48=0,0,人物卡!BQ48)</f>
        <v>0</v>
      </c>
      <c r="R26" s="804">
        <f t="shared" si="0"/>
        <v>0</v>
      </c>
      <c r="S26" s="805">
        <f t="shared" si="1"/>
        <v>0</v>
      </c>
      <c r="T26" s="821" t="str">
        <f>IF(W26=0,"",人物卡!CA48)</f>
        <v/>
      </c>
      <c r="U26" s="3071" t="str">
        <f>IF(W26=0,"",人物卡!CC48)</f>
        <v/>
      </c>
      <c r="V26" s="3071"/>
      <c r="W26" s="806">
        <f>IF(人物卡!CM48-人物卡!CE48=0,0,人物卡!CM48)</f>
        <v>0</v>
      </c>
      <c r="X26" s="807">
        <f t="shared" si="2"/>
        <v>0</v>
      </c>
      <c r="Y26" s="808">
        <f t="shared" si="3"/>
        <v>0</v>
      </c>
      <c r="Z26" s="3172">
        <f>成长经历!G80</f>
        <v>0</v>
      </c>
      <c r="AA26" s="3172"/>
      <c r="AB26" s="3172"/>
      <c r="AC26" s="3172"/>
      <c r="AD26" s="3172">
        <f>成长经历!Q80</f>
        <v>0</v>
      </c>
      <c r="AE26" s="3173"/>
    </row>
    <row r="27" spans="2:51" ht="17" customHeight="1">
      <c r="B27" s="3187" t="s">
        <v>246</v>
      </c>
      <c r="C27" s="3188"/>
      <c r="D27" s="3188"/>
      <c r="E27" s="3188"/>
      <c r="F27" s="3188"/>
      <c r="G27" s="3188"/>
      <c r="H27" s="3188"/>
      <c r="I27" s="3188"/>
      <c r="J27" s="3188"/>
      <c r="K27" s="3188"/>
      <c r="L27" s="3188"/>
      <c r="M27" s="3188"/>
      <c r="N27" s="820" t="str">
        <f>IF(Q27=0,"","技艺：")</f>
        <v/>
      </c>
      <c r="O27" s="3169" t="str">
        <f>IF(Q27=0,"",人物卡!BG49)</f>
        <v/>
      </c>
      <c r="P27" s="3169"/>
      <c r="Q27" s="803">
        <f>IF(人物卡!BQ49-人物卡!BI49=0,0,人物卡!BQ49)</f>
        <v>0</v>
      </c>
      <c r="R27" s="804">
        <f t="shared" si="0"/>
        <v>0</v>
      </c>
      <c r="S27" s="805">
        <f t="shared" si="1"/>
        <v>0</v>
      </c>
      <c r="T27" s="3071" t="str">
        <f>IF(W27=0,"",人物卡!CA49)</f>
        <v/>
      </c>
      <c r="U27" s="3071"/>
      <c r="V27" s="3071"/>
      <c r="W27" s="806">
        <f>IF(人物卡!CM49-人物卡!CE49=0,0,人物卡!CM49)</f>
        <v>0</v>
      </c>
      <c r="X27" s="807">
        <f t="shared" si="2"/>
        <v>0</v>
      </c>
      <c r="Y27" s="808">
        <f t="shared" si="3"/>
        <v>0</v>
      </c>
      <c r="Z27" s="3172">
        <f>成长经历!G81</f>
        <v>0</v>
      </c>
      <c r="AA27" s="3172"/>
      <c r="AB27" s="3172"/>
      <c r="AC27" s="3172"/>
      <c r="AD27" s="3172">
        <f>成长经历!Q81</f>
        <v>0</v>
      </c>
      <c r="AE27" s="3173"/>
      <c r="AV27" s="2781" t="str">
        <f>_xlfn.CONCAT(AV46,AV55)</f>
        <v>.st力量str敏捷dex意志pow体质con外貌app教育edu体型siz智力int灵感san0san值0理智0理智值0幸运未改运运气未改运mp0魔法0hp0体力0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AW27" s="2781"/>
      <c r="AX27" s="2781"/>
      <c r="AY27" s="2781"/>
    </row>
    <row r="28" spans="2:51" ht="17" customHeight="1">
      <c r="B28" s="819" t="s">
        <v>410</v>
      </c>
      <c r="C28" s="3185">
        <f>人物卡!CC76</f>
        <v>0</v>
      </c>
      <c r="D28" s="3186"/>
      <c r="E28" s="3186"/>
      <c r="F28" s="3186"/>
      <c r="G28" s="822" t="s">
        <v>247</v>
      </c>
      <c r="H28" s="3178" t="str">
        <f>人物卡!BV92</f>
        <v>诞辰</v>
      </c>
      <c r="I28" s="3179"/>
      <c r="J28" s="3179"/>
      <c r="K28" s="3179"/>
      <c r="L28" s="3179"/>
      <c r="M28" s="3179"/>
      <c r="N28" s="820" t="str">
        <f>IF(Q28=0,"","技艺：")</f>
        <v/>
      </c>
      <c r="O28" s="3169" t="str">
        <f>IF(Q28=0,"",人物卡!BG50)</f>
        <v/>
      </c>
      <c r="P28" s="3169"/>
      <c r="Q28" s="803">
        <f>IF(人物卡!BQ50-人物卡!BI50=0,0,人物卡!BQ50)</f>
        <v>0</v>
      </c>
      <c r="R28" s="804">
        <f t="shared" si="0"/>
        <v>0</v>
      </c>
      <c r="S28" s="805">
        <f t="shared" si="1"/>
        <v>0</v>
      </c>
      <c r="T28" s="3071" t="str">
        <f>IF(W28=0,"",人物卡!CA50)</f>
        <v/>
      </c>
      <c r="U28" s="3071"/>
      <c r="V28" s="3071"/>
      <c r="W28" s="806">
        <f>IF(人物卡!CM50-人物卡!CE50=0,0,人物卡!CM50)</f>
        <v>0</v>
      </c>
      <c r="X28" s="807">
        <f t="shared" si="2"/>
        <v>0</v>
      </c>
      <c r="Y28" s="808">
        <f t="shared" si="3"/>
        <v>0</v>
      </c>
      <c r="Z28" s="3172">
        <f>成长经历!G82</f>
        <v>0</v>
      </c>
      <c r="AA28" s="3172"/>
      <c r="AB28" s="3172"/>
      <c r="AC28" s="3172"/>
      <c r="AD28" s="3172">
        <f>成长经历!Q82</f>
        <v>0</v>
      </c>
      <c r="AE28" s="3173"/>
      <c r="AV28" s="2781"/>
      <c r="AW28" s="2781"/>
      <c r="AX28" s="2781"/>
      <c r="AY28" s="2781"/>
    </row>
    <row r="29" spans="2:51" ht="17" customHeight="1">
      <c r="B29" s="399" t="s">
        <v>5614</v>
      </c>
      <c r="C29" s="3170">
        <f>人物卡!CC78</f>
        <v>0</v>
      </c>
      <c r="D29" s="3171"/>
      <c r="E29" s="3171"/>
      <c r="F29" s="3171"/>
      <c r="G29" s="823" t="str">
        <f>人物卡!CQ78</f>
        <v>☐</v>
      </c>
      <c r="H29" s="3180"/>
      <c r="I29" s="3181"/>
      <c r="J29" s="3181"/>
      <c r="K29" s="3181"/>
      <c r="L29" s="3181"/>
      <c r="M29" s="3181"/>
      <c r="N29" s="820" t="str">
        <f>IF(Q29=0,"","技艺：")</f>
        <v/>
      </c>
      <c r="O29" s="3169" t="str">
        <f>IF(Q29=0,"",人物卡!BG51)</f>
        <v/>
      </c>
      <c r="P29" s="3169"/>
      <c r="Q29" s="803">
        <f>IF(人物卡!BQ51-人物卡!BI51=0,0,人物卡!BQ51)</f>
        <v>0</v>
      </c>
      <c r="R29" s="804">
        <f t="shared" si="0"/>
        <v>0</v>
      </c>
      <c r="S29" s="805">
        <f t="shared" si="1"/>
        <v>0</v>
      </c>
      <c r="T29" s="3071" t="str">
        <f>IF(W29=0,"",人物卡!CA51)</f>
        <v/>
      </c>
      <c r="U29" s="3071"/>
      <c r="V29" s="3071"/>
      <c r="W29" s="806">
        <f>IF(人物卡!CM51-人物卡!CE51=0,0,人物卡!CM51)</f>
        <v>0</v>
      </c>
      <c r="X29" s="807">
        <f t="shared" si="2"/>
        <v>0</v>
      </c>
      <c r="Y29" s="808">
        <f t="shared" si="3"/>
        <v>0</v>
      </c>
      <c r="Z29" s="3172">
        <f>成长经历!G83</f>
        <v>0</v>
      </c>
      <c r="AA29" s="3172"/>
      <c r="AB29" s="3172"/>
      <c r="AC29" s="3172"/>
      <c r="AD29" s="3172">
        <f>成长经历!Q83</f>
        <v>0</v>
      </c>
      <c r="AE29" s="3173"/>
      <c r="AV29" s="2781"/>
      <c r="AW29" s="2781"/>
      <c r="AX29" s="2781"/>
      <c r="AY29" s="2781"/>
    </row>
    <row r="30" spans="2:51" ht="17" customHeight="1">
      <c r="B30" s="819" t="s">
        <v>5615</v>
      </c>
      <c r="C30" s="3185">
        <f>人物卡!CC80</f>
        <v>0</v>
      </c>
      <c r="D30" s="3186"/>
      <c r="E30" s="3186"/>
      <c r="F30" s="3186"/>
      <c r="G30" s="822" t="str">
        <f>人物卡!CQ80</f>
        <v>☐</v>
      </c>
      <c r="H30" s="3180"/>
      <c r="I30" s="3181"/>
      <c r="J30" s="3181"/>
      <c r="K30" s="3181"/>
      <c r="L30" s="3181"/>
      <c r="M30" s="3181"/>
      <c r="N30" s="820" t="str">
        <f>"母语："</f>
        <v>母语：</v>
      </c>
      <c r="O30" s="3169" t="str">
        <f>IF(人物卡!BG52=0,"",人物卡!BG52)</f>
        <v/>
      </c>
      <c r="P30" s="3169"/>
      <c r="Q30" s="803">
        <f>人物卡!BQ52</f>
        <v>0</v>
      </c>
      <c r="R30" s="804">
        <f t="shared" ref="R30:R35" si="4">INT(Q30/2)</f>
        <v>0</v>
      </c>
      <c r="S30" s="805">
        <f t="shared" ref="S30:S35" si="5">INT(Q30/5)</f>
        <v>0</v>
      </c>
      <c r="T30" s="3071" t="str">
        <f>IF(W30=0,"",人物卡!CA52)</f>
        <v/>
      </c>
      <c r="U30" s="3071"/>
      <c r="V30" s="3071"/>
      <c r="W30" s="806">
        <f>IF(人物卡!CM52-人物卡!CE52=0,0,人物卡!CM52)</f>
        <v>0</v>
      </c>
      <c r="X30" s="807">
        <f t="shared" si="2"/>
        <v>0</v>
      </c>
      <c r="Y30" s="808">
        <f t="shared" si="3"/>
        <v>0</v>
      </c>
      <c r="Z30" s="3172">
        <f>成长经历!G84</f>
        <v>0</v>
      </c>
      <c r="AA30" s="3172"/>
      <c r="AB30" s="3172"/>
      <c r="AC30" s="3172"/>
      <c r="AD30" s="3172">
        <f>成长经历!Q84</f>
        <v>0</v>
      </c>
      <c r="AE30" s="3173"/>
      <c r="AV30" s="2781"/>
      <c r="AW30" s="2781"/>
      <c r="AX30" s="2781"/>
      <c r="AY30" s="2781"/>
    </row>
    <row r="31" spans="2:51" ht="17" customHeight="1">
      <c r="B31" s="399" t="s">
        <v>5616</v>
      </c>
      <c r="C31" s="3170">
        <f>人物卡!CC82</f>
        <v>0</v>
      </c>
      <c r="D31" s="3171"/>
      <c r="E31" s="3171"/>
      <c r="F31" s="3171"/>
      <c r="G31" s="823" t="str">
        <f>人物卡!CQ82</f>
        <v>☐</v>
      </c>
      <c r="H31" s="3180"/>
      <c r="I31" s="3181"/>
      <c r="J31" s="3181"/>
      <c r="K31" s="3181"/>
      <c r="L31" s="3181"/>
      <c r="M31" s="3181"/>
      <c r="N31" s="820" t="str">
        <f>IF(Q31=0,"","外语：")</f>
        <v/>
      </c>
      <c r="O31" s="3169" t="str">
        <f>IF(Q31=0,"",人物卡!BG53)</f>
        <v/>
      </c>
      <c r="P31" s="3169"/>
      <c r="Q31" s="803">
        <f>IF(人物卡!BQ53-人物卡!BI53=0,0,人物卡!BQ53)</f>
        <v>0</v>
      </c>
      <c r="R31" s="804">
        <f t="shared" si="4"/>
        <v>0</v>
      </c>
      <c r="S31" s="805">
        <f t="shared" si="5"/>
        <v>0</v>
      </c>
      <c r="T31" s="3071" t="str">
        <f>IF(W31=0,"",人物卡!CA53)</f>
        <v/>
      </c>
      <c r="U31" s="3071"/>
      <c r="V31" s="3071"/>
      <c r="W31" s="806">
        <f>IF(人物卡!CM53-人物卡!CE53=0,0,人物卡!CM53)</f>
        <v>0</v>
      </c>
      <c r="X31" s="807">
        <f t="shared" si="2"/>
        <v>0</v>
      </c>
      <c r="Y31" s="808">
        <f t="shared" si="3"/>
        <v>0</v>
      </c>
      <c r="Z31" s="3172">
        <f>成长经历!G85</f>
        <v>0</v>
      </c>
      <c r="AA31" s="3172"/>
      <c r="AB31" s="3172"/>
      <c r="AC31" s="3172"/>
      <c r="AD31" s="3172">
        <f>成长经历!Q85</f>
        <v>0</v>
      </c>
      <c r="AE31" s="3173"/>
      <c r="AV31" s="2781"/>
      <c r="AW31" s="2781"/>
      <c r="AX31" s="2781"/>
      <c r="AY31" s="2781"/>
    </row>
    <row r="32" spans="2:51" ht="17" customHeight="1">
      <c r="B32" s="819" t="s">
        <v>5617</v>
      </c>
      <c r="C32" s="3185">
        <f>人物卡!CC84</f>
        <v>0</v>
      </c>
      <c r="D32" s="3186"/>
      <c r="E32" s="3186"/>
      <c r="F32" s="3186"/>
      <c r="G32" s="822" t="str">
        <f>人物卡!CQ84</f>
        <v>☐</v>
      </c>
      <c r="H32" s="3180"/>
      <c r="I32" s="3181"/>
      <c r="J32" s="3181"/>
      <c r="K32" s="3181"/>
      <c r="L32" s="3181"/>
      <c r="M32" s="3181"/>
      <c r="N32" s="820" t="str">
        <f>IF(Q32=0,"","外语：")</f>
        <v/>
      </c>
      <c r="O32" s="3169" t="str">
        <f>IF(Q32=0,"",人物卡!BG54)</f>
        <v/>
      </c>
      <c r="P32" s="3169"/>
      <c r="Q32" s="803">
        <f>IF(人物卡!BQ54-人物卡!BI54=0,0,人物卡!BQ54)</f>
        <v>0</v>
      </c>
      <c r="R32" s="804">
        <f t="shared" si="4"/>
        <v>0</v>
      </c>
      <c r="S32" s="805">
        <f t="shared" si="5"/>
        <v>0</v>
      </c>
      <c r="T32" s="3071" t="str">
        <f>IF(W32=0,"",人物卡!CA54)</f>
        <v/>
      </c>
      <c r="U32" s="3071"/>
      <c r="V32" s="3071"/>
      <c r="W32" s="806">
        <f>IF(人物卡!CM54-人物卡!CE54=0,0,人物卡!CM54)</f>
        <v>0</v>
      </c>
      <c r="X32" s="807">
        <f t="shared" si="2"/>
        <v>0</v>
      </c>
      <c r="Y32" s="808">
        <f t="shared" si="3"/>
        <v>0</v>
      </c>
      <c r="Z32" s="3172">
        <f>成长经历!G86</f>
        <v>0</v>
      </c>
      <c r="AA32" s="3172"/>
      <c r="AB32" s="3172"/>
      <c r="AC32" s="3172"/>
      <c r="AD32" s="3172">
        <f>成长经历!Q86</f>
        <v>0</v>
      </c>
      <c r="AE32" s="3173"/>
      <c r="AV32" s="2781"/>
      <c r="AW32" s="2781"/>
      <c r="AX32" s="2781"/>
      <c r="AY32" s="2781"/>
    </row>
    <row r="33" spans="2:51" ht="17" customHeight="1">
      <c r="B33" s="399" t="s">
        <v>267</v>
      </c>
      <c r="C33" s="3170">
        <f>人物卡!CC86</f>
        <v>0</v>
      </c>
      <c r="D33" s="3171"/>
      <c r="E33" s="3171"/>
      <c r="F33" s="3171"/>
      <c r="G33" s="823" t="str">
        <f>人物卡!CQ86</f>
        <v>☐</v>
      </c>
      <c r="H33" s="3180"/>
      <c r="I33" s="3181"/>
      <c r="J33" s="3181"/>
      <c r="K33" s="3181"/>
      <c r="L33" s="3181"/>
      <c r="M33" s="3181"/>
      <c r="N33" s="820" t="str">
        <f>IF(Q33=0,"","外语：")</f>
        <v/>
      </c>
      <c r="O33" s="3169" t="str">
        <f>IF(Q33=0,"",人物卡!BG55)</f>
        <v/>
      </c>
      <c r="P33" s="3169"/>
      <c r="Q33" s="803">
        <f>IF(人物卡!BQ55-人物卡!BI55=0,0,人物卡!BQ55)</f>
        <v>0</v>
      </c>
      <c r="R33" s="804">
        <f t="shared" si="4"/>
        <v>0</v>
      </c>
      <c r="S33" s="805">
        <f t="shared" si="5"/>
        <v>0</v>
      </c>
      <c r="T33" s="821" t="str">
        <f>IF(W33=0,"","自：")</f>
        <v/>
      </c>
      <c r="U33" s="3071" t="str">
        <f>IF(W33=0,"",人物卡!CD55)</f>
        <v/>
      </c>
      <c r="V33" s="3071"/>
      <c r="W33" s="806">
        <f>IF(人物卡!CM55-人物卡!CE55=0,0,人物卡!CM55)</f>
        <v>0</v>
      </c>
      <c r="X33" s="807">
        <f t="shared" si="2"/>
        <v>0</v>
      </c>
      <c r="Y33" s="808">
        <f t="shared" si="3"/>
        <v>0</v>
      </c>
      <c r="Z33" s="3172">
        <f>成长经历!G87</f>
        <v>0</v>
      </c>
      <c r="AA33" s="3172"/>
      <c r="AB33" s="3172"/>
      <c r="AC33" s="3172"/>
      <c r="AD33" s="3172">
        <f>成长经历!Q87</f>
        <v>0</v>
      </c>
      <c r="AE33" s="3173"/>
      <c r="AV33" s="2781"/>
      <c r="AW33" s="2781"/>
      <c r="AX33" s="2781"/>
      <c r="AY33" s="2781"/>
    </row>
    <row r="34" spans="2:51" ht="17" customHeight="1">
      <c r="B34" s="819" t="s">
        <v>5618</v>
      </c>
      <c r="C34" s="3184">
        <f>人物卡!CC88</f>
        <v>0</v>
      </c>
      <c r="D34" s="3172"/>
      <c r="E34" s="3172"/>
      <c r="F34" s="3172"/>
      <c r="G34" s="822" t="str">
        <f>人物卡!CQ88</f>
        <v>☐</v>
      </c>
      <c r="H34" s="3180"/>
      <c r="I34" s="3181"/>
      <c r="J34" s="3181"/>
      <c r="K34" s="3181"/>
      <c r="L34" s="3181"/>
      <c r="M34" s="3181"/>
      <c r="N34" s="820" t="str">
        <f>IF(Q34=0,"","外语：")</f>
        <v/>
      </c>
      <c r="O34" s="3169" t="str">
        <f>IF(Q34=0,"",人物卡!BG56)</f>
        <v/>
      </c>
      <c r="P34" s="3169"/>
      <c r="Q34" s="803">
        <f>IF(人物卡!BQ56-人物卡!BI56=0,0,人物卡!BQ56)</f>
        <v>0</v>
      </c>
      <c r="R34" s="804">
        <f t="shared" si="4"/>
        <v>0</v>
      </c>
      <c r="S34" s="805">
        <f t="shared" si="5"/>
        <v>0</v>
      </c>
      <c r="T34" s="821" t="str">
        <f>IF(W34=0,"","自：")</f>
        <v/>
      </c>
      <c r="U34" s="3071" t="str">
        <f>IF(W34=0,"",人物卡!CD56)</f>
        <v/>
      </c>
      <c r="V34" s="3071"/>
      <c r="W34" s="806">
        <f>IF(人物卡!CM56-人物卡!CE56=0,0,人物卡!CM56)</f>
        <v>0</v>
      </c>
      <c r="X34" s="807">
        <f t="shared" si="2"/>
        <v>0</v>
      </c>
      <c r="Y34" s="808">
        <f t="shared" si="3"/>
        <v>0</v>
      </c>
      <c r="Z34" s="3172">
        <f>成长经历!G88</f>
        <v>0</v>
      </c>
      <c r="AA34" s="3172"/>
      <c r="AB34" s="3172"/>
      <c r="AC34" s="3172"/>
      <c r="AD34" s="3172">
        <f>成长经历!Q88</f>
        <v>0</v>
      </c>
      <c r="AE34" s="3173"/>
      <c r="AV34" s="2781"/>
      <c r="AW34" s="2781"/>
      <c r="AX34" s="2781"/>
      <c r="AY34" s="2781"/>
    </row>
    <row r="35" spans="2:51" ht="17" customHeight="1">
      <c r="B35" s="399" t="s">
        <v>277</v>
      </c>
      <c r="C35" s="3170">
        <f>人物卡!CC90</f>
        <v>0</v>
      </c>
      <c r="D35" s="3171"/>
      <c r="E35" s="3171"/>
      <c r="F35" s="3171"/>
      <c r="G35" s="823" t="str">
        <f>人物卡!CQ90</f>
        <v>☐</v>
      </c>
      <c r="H35" s="3180"/>
      <c r="I35" s="3181"/>
      <c r="J35" s="3181"/>
      <c r="K35" s="3181"/>
      <c r="L35" s="3181"/>
      <c r="M35" s="3181"/>
      <c r="N35" s="820" t="str">
        <f>IF(Q35=0,"","外语：")</f>
        <v/>
      </c>
      <c r="O35" s="3169" t="str">
        <f>IF(Q35=0,"",人物卡!BG57)</f>
        <v/>
      </c>
      <c r="P35" s="3169"/>
      <c r="Q35" s="803">
        <f>IF(人物卡!BQ57-人物卡!BI57=0,0,人物卡!BQ57)</f>
        <v>0</v>
      </c>
      <c r="R35" s="804">
        <f t="shared" si="4"/>
        <v>0</v>
      </c>
      <c r="S35" s="805">
        <f t="shared" si="5"/>
        <v>0</v>
      </c>
      <c r="T35" s="3071" t="str">
        <f>IF(W35=0,"",人物卡!CA57)</f>
        <v/>
      </c>
      <c r="U35" s="3071"/>
      <c r="V35" s="3071"/>
      <c r="W35" s="806">
        <f>IF(人物卡!CM57-人物卡!CE57=0,0,人物卡!CM57)</f>
        <v>0</v>
      </c>
      <c r="X35" s="807">
        <f t="shared" si="2"/>
        <v>0</v>
      </c>
      <c r="Y35" s="808">
        <f t="shared" si="3"/>
        <v>0</v>
      </c>
      <c r="Z35" s="3172">
        <f>成长经历!G89</f>
        <v>0</v>
      </c>
      <c r="AA35" s="3172"/>
      <c r="AB35" s="3172"/>
      <c r="AC35" s="3172"/>
      <c r="AD35" s="3172">
        <f>成长经历!Q89</f>
        <v>0</v>
      </c>
      <c r="AE35" s="3173"/>
      <c r="AV35" s="2781"/>
      <c r="AW35" s="2781"/>
      <c r="AX35" s="2781"/>
      <c r="AY35" s="2781"/>
    </row>
    <row r="36" spans="2:51" ht="17" customHeight="1">
      <c r="B36" s="824"/>
      <c r="C36" s="3174"/>
      <c r="D36" s="3175"/>
      <c r="E36" s="3175"/>
      <c r="F36" s="3175"/>
      <c r="G36" s="3176"/>
      <c r="H36" s="3182"/>
      <c r="I36" s="3183"/>
      <c r="J36" s="3183"/>
      <c r="K36" s="3183"/>
      <c r="L36" s="3183"/>
      <c r="M36" s="3183"/>
      <c r="N36" s="3177" t="s">
        <v>205</v>
      </c>
      <c r="O36" s="3072"/>
      <c r="P36" s="3072"/>
      <c r="Q36" s="803">
        <f>IFERROR(人物卡!BQ58,"")</f>
        <v>0</v>
      </c>
      <c r="R36" s="804">
        <f>IFERROR(INT(Q36/2),"")</f>
        <v>0</v>
      </c>
      <c r="S36" s="805">
        <f>IFERROR(INT(Q36/5),"")</f>
        <v>0</v>
      </c>
      <c r="T36" s="3071" t="str">
        <f>IF(W36=0,"",人物卡!CA58)</f>
        <v/>
      </c>
      <c r="U36" s="3071"/>
      <c r="V36" s="3071"/>
      <c r="W36" s="806">
        <f>IF(人物卡!CM58-人物卡!CE58=0,0,人物卡!CM58)</f>
        <v>0</v>
      </c>
      <c r="X36" s="807">
        <f t="shared" si="2"/>
        <v>0</v>
      </c>
      <c r="Y36" s="808">
        <f t="shared" si="3"/>
        <v>0</v>
      </c>
      <c r="Z36" s="3172">
        <f>成长经历!G90</f>
        <v>0</v>
      </c>
      <c r="AA36" s="3172"/>
      <c r="AB36" s="3172"/>
      <c r="AC36" s="3172"/>
      <c r="AD36" s="3172">
        <f>成长经历!Q90</f>
        <v>0</v>
      </c>
      <c r="AE36" s="3173"/>
      <c r="AF36" s="3138" t="s">
        <v>5619</v>
      </c>
      <c r="AG36" s="3138"/>
      <c r="AH36" s="3138"/>
      <c r="AI36" s="3138"/>
      <c r="AJ36" s="3138"/>
      <c r="AK36" s="3138"/>
      <c r="AL36" s="3138"/>
      <c r="AM36" s="3138"/>
      <c r="AN36" s="3138"/>
      <c r="AO36" s="3138"/>
      <c r="AV36" s="2781"/>
      <c r="AW36" s="2781"/>
      <c r="AX36" s="2781"/>
      <c r="AY36" s="2781"/>
    </row>
    <row r="37" spans="2:51" ht="17" customHeight="1">
      <c r="B37" s="395"/>
      <c r="C37" s="395"/>
      <c r="D37" s="395"/>
      <c r="E37" s="395"/>
      <c r="F37" s="395"/>
      <c r="G37" s="395"/>
      <c r="H37" s="395"/>
      <c r="I37" s="395"/>
      <c r="J37" s="395"/>
      <c r="K37" s="395"/>
      <c r="L37" s="395"/>
      <c r="M37" s="395"/>
      <c r="N37" s="820" t="s">
        <v>208</v>
      </c>
      <c r="O37" s="3169" t="s">
        <v>209</v>
      </c>
      <c r="P37" s="3169"/>
      <c r="Q37" s="803">
        <f>人物卡!BQ59</f>
        <v>25</v>
      </c>
      <c r="R37" s="804">
        <f t="shared" ref="R37:R42" si="6">INT(Q37/2)</f>
        <v>12</v>
      </c>
      <c r="S37" s="805">
        <f t="shared" ref="S37:S42" si="7">INT(Q37/5)</f>
        <v>5</v>
      </c>
      <c r="T37" s="821" t="s">
        <v>210</v>
      </c>
      <c r="U37" s="3071" t="str">
        <f>人物卡!CC59</f>
        <v>手枪</v>
      </c>
      <c r="V37" s="3071"/>
      <c r="W37" s="806">
        <f>人物卡!CM59</f>
        <v>20</v>
      </c>
      <c r="X37" s="807">
        <f t="shared" si="2"/>
        <v>10</v>
      </c>
      <c r="Y37" s="808">
        <f t="shared" si="3"/>
        <v>4</v>
      </c>
      <c r="Z37" s="1542" t="str">
        <f>附表!AD40</f>
        <v/>
      </c>
      <c r="AA37" s="1542"/>
      <c r="AB37" s="1542"/>
      <c r="AC37" s="1542"/>
      <c r="AD37" s="1542"/>
      <c r="AE37" s="1542"/>
      <c r="AF37" s="825"/>
      <c r="AG37" s="825"/>
      <c r="AH37" s="825"/>
      <c r="AI37" s="825"/>
      <c r="AJ37" s="825"/>
      <c r="AK37" s="825"/>
      <c r="AL37" s="825"/>
      <c r="AM37" s="825"/>
      <c r="AN37" s="825"/>
      <c r="AO37" s="825"/>
      <c r="AV37" s="2781"/>
      <c r="AW37" s="2781"/>
      <c r="AX37" s="2781"/>
      <c r="AY37" s="2781"/>
    </row>
    <row r="38" spans="2:51" ht="17" customHeight="1">
      <c r="B38" s="395"/>
      <c r="C38" s="395"/>
      <c r="D38" s="395"/>
      <c r="E38" s="395"/>
      <c r="F38" s="395"/>
      <c r="G38" s="395"/>
      <c r="H38" s="395"/>
      <c r="I38" s="395"/>
      <c r="J38" s="395"/>
      <c r="K38" s="395"/>
      <c r="L38" s="395"/>
      <c r="M38" s="395"/>
      <c r="N38" s="820" t="str">
        <f>IF(Q38=0,"","格斗：")</f>
        <v/>
      </c>
      <c r="O38" s="3169" t="str">
        <f>IF(Q38=0,"",人物卡!BG60)</f>
        <v/>
      </c>
      <c r="P38" s="3169"/>
      <c r="Q38" s="803">
        <f>IF(人物卡!BQ60-人物卡!BI60=0,0,人物卡!BQ60)</f>
        <v>0</v>
      </c>
      <c r="R38" s="804">
        <f t="shared" si="6"/>
        <v>0</v>
      </c>
      <c r="S38" s="805">
        <f t="shared" si="7"/>
        <v>0</v>
      </c>
      <c r="T38" s="821" t="str">
        <f>IF(W38=0,"","射击：")</f>
        <v/>
      </c>
      <c r="U38" s="3071" t="str">
        <f>IF(W38=0,"",人物卡!CC60)</f>
        <v/>
      </c>
      <c r="V38" s="3071"/>
      <c r="W38" s="806">
        <f>IF(人物卡!CM60-人物卡!CE60=0,0,人物卡!CM60)</f>
        <v>0</v>
      </c>
      <c r="X38" s="807">
        <f t="shared" si="2"/>
        <v>0</v>
      </c>
      <c r="Y38" s="808">
        <f t="shared" si="3"/>
        <v>0</v>
      </c>
      <c r="Z38" s="1542"/>
      <c r="AA38" s="1542"/>
      <c r="AB38" s="1542"/>
      <c r="AC38" s="1542"/>
      <c r="AD38" s="1542"/>
      <c r="AE38" s="1542"/>
      <c r="AF38" s="825"/>
      <c r="AG38" s="825"/>
      <c r="AH38" s="825"/>
      <c r="AI38" s="825"/>
      <c r="AJ38" s="825"/>
      <c r="AK38" s="825"/>
      <c r="AL38" s="825"/>
      <c r="AM38" s="825"/>
      <c r="AN38" s="825"/>
      <c r="AO38" s="825"/>
      <c r="AV38" s="2781"/>
      <c r="AW38" s="2781"/>
      <c r="AX38" s="2781"/>
      <c r="AY38" s="2781"/>
    </row>
    <row r="39" spans="2:51" ht="17" customHeight="1">
      <c r="B39" s="395"/>
      <c r="C39" s="395"/>
      <c r="D39" s="395"/>
      <c r="E39" s="395"/>
      <c r="F39" s="395"/>
      <c r="G39" s="395"/>
      <c r="H39" s="395"/>
      <c r="I39" s="395"/>
      <c r="J39" s="395"/>
      <c r="K39" s="395"/>
      <c r="L39" s="395"/>
      <c r="M39" s="395"/>
      <c r="N39" s="820" t="str">
        <f>IF(Q39=0,"","格斗：")</f>
        <v/>
      </c>
      <c r="O39" s="3169" t="str">
        <f>IF(Q39=0,"",人物卡!BG61)</f>
        <v/>
      </c>
      <c r="P39" s="3169"/>
      <c r="Q39" s="803">
        <f>IF(人物卡!BQ61-人物卡!BI61=0,0,人物卡!BQ61)</f>
        <v>0</v>
      </c>
      <c r="R39" s="804">
        <f t="shared" si="6"/>
        <v>0</v>
      </c>
      <c r="S39" s="805">
        <f t="shared" si="7"/>
        <v>0</v>
      </c>
      <c r="T39" s="821" t="str">
        <f>IF(W39=0,"","射击：")</f>
        <v/>
      </c>
      <c r="U39" s="3071" t="str">
        <f>IF(W39=0,"",人物卡!CC61)</f>
        <v/>
      </c>
      <c r="V39" s="3071"/>
      <c r="W39" s="806">
        <f>IF(人物卡!CM61-人物卡!CE61=0,0,人物卡!CM61)</f>
        <v>0</v>
      </c>
      <c r="X39" s="807">
        <f t="shared" si="2"/>
        <v>0</v>
      </c>
      <c r="Y39" s="808">
        <f t="shared" si="3"/>
        <v>0</v>
      </c>
      <c r="Z39" s="1542"/>
      <c r="AA39" s="1542"/>
      <c r="AB39" s="1542"/>
      <c r="AC39" s="1542"/>
      <c r="AD39" s="1542"/>
      <c r="AE39" s="1542"/>
      <c r="AF39" s="825"/>
      <c r="AG39" s="825"/>
      <c r="AH39" s="825"/>
      <c r="AI39" s="825"/>
      <c r="AJ39" s="825"/>
      <c r="AK39" s="825"/>
      <c r="AL39" s="825"/>
      <c r="AM39" s="825"/>
      <c r="AN39" s="825"/>
      <c r="AO39" s="825"/>
      <c r="AV39" s="2781"/>
      <c r="AW39" s="2781"/>
      <c r="AX39" s="2781"/>
      <c r="AY39" s="2781"/>
    </row>
    <row r="40" spans="2:51" ht="17" customHeight="1">
      <c r="B40" s="395"/>
      <c r="C40" s="395"/>
      <c r="D40" s="395"/>
      <c r="E40" s="395"/>
      <c r="F40" s="395"/>
      <c r="G40" s="395"/>
      <c r="H40" s="395"/>
      <c r="I40" s="395"/>
      <c r="J40" s="395"/>
      <c r="K40" s="395"/>
      <c r="L40" s="395"/>
      <c r="M40" s="395"/>
      <c r="N40" s="820" t="str">
        <f>IF(Q40=0,"","格斗：")</f>
        <v/>
      </c>
      <c r="O40" s="3169" t="str">
        <f>IF(Q40=0,"",人物卡!BG62)</f>
        <v/>
      </c>
      <c r="P40" s="3169"/>
      <c r="Q40" s="803">
        <f>IF(人物卡!BQ62-人物卡!BI62=0,0,人物卡!BQ62)</f>
        <v>0</v>
      </c>
      <c r="R40" s="804">
        <f t="shared" si="6"/>
        <v>0</v>
      </c>
      <c r="S40" s="805">
        <f t="shared" si="7"/>
        <v>0</v>
      </c>
      <c r="T40" s="821" t="str">
        <f>IF(W40=0,"","射击：")</f>
        <v/>
      </c>
      <c r="U40" s="3071" t="str">
        <f>IF(W40=0,"",人物卡!CC62)</f>
        <v/>
      </c>
      <c r="V40" s="3071"/>
      <c r="W40" s="806">
        <f>IF(人物卡!CM62-人物卡!CE62=0,0,人物卡!CM62)</f>
        <v>0</v>
      </c>
      <c r="X40" s="807">
        <f t="shared" si="2"/>
        <v>0</v>
      </c>
      <c r="Y40" s="808">
        <f t="shared" si="3"/>
        <v>0</v>
      </c>
      <c r="Z40" s="1542"/>
      <c r="AA40" s="1542"/>
      <c r="AB40" s="1542"/>
      <c r="AC40" s="1542"/>
      <c r="AD40" s="1542"/>
      <c r="AE40" s="1542"/>
      <c r="AF40" s="825"/>
      <c r="AG40" s="825"/>
      <c r="AH40" s="825"/>
      <c r="AI40" s="825"/>
      <c r="AJ40" s="825"/>
      <c r="AK40" s="825"/>
      <c r="AL40" s="825"/>
      <c r="AM40" s="825"/>
      <c r="AN40" s="825"/>
      <c r="AO40" s="825"/>
      <c r="AV40" s="2781"/>
      <c r="AW40" s="2781"/>
      <c r="AX40" s="2781"/>
      <c r="AY40" s="2781"/>
    </row>
    <row r="41" spans="2:51" ht="17" customHeight="1">
      <c r="B41" s="395"/>
      <c r="C41" s="395"/>
      <c r="D41" s="395"/>
      <c r="E41" s="395"/>
      <c r="F41" s="395"/>
      <c r="G41" s="395"/>
      <c r="H41" s="395"/>
      <c r="I41" s="395"/>
      <c r="J41" s="395"/>
      <c r="K41" s="395"/>
      <c r="L41" s="395"/>
      <c r="M41" s="395"/>
      <c r="N41" s="820" t="str">
        <f>IF(Q41=0,"","格斗：")</f>
        <v/>
      </c>
      <c r="O41" s="3169" t="str">
        <f>IF(Q41=0,"",人物卡!BG63)</f>
        <v/>
      </c>
      <c r="P41" s="3169"/>
      <c r="Q41" s="803">
        <f>IF(人物卡!BQ63-人物卡!BI63=0,0,人物卡!BQ63)</f>
        <v>0</v>
      </c>
      <c r="R41" s="804">
        <f t="shared" si="6"/>
        <v>0</v>
      </c>
      <c r="S41" s="805">
        <f t="shared" si="7"/>
        <v>0</v>
      </c>
      <c r="T41" s="821" t="str">
        <f>IF(W41=0,"","射击：")</f>
        <v/>
      </c>
      <c r="U41" s="3071" t="str">
        <f>IF(W41=0,"",人物卡!CC63)</f>
        <v/>
      </c>
      <c r="V41" s="3071"/>
      <c r="W41" s="806">
        <f>IF(人物卡!CM63-人物卡!CE63=0,0,人物卡!CM63)</f>
        <v>0</v>
      </c>
      <c r="X41" s="807">
        <f t="shared" si="2"/>
        <v>0</v>
      </c>
      <c r="Y41" s="808">
        <f t="shared" si="3"/>
        <v>0</v>
      </c>
      <c r="Z41" s="1542"/>
      <c r="AA41" s="1542"/>
      <c r="AB41" s="1542"/>
      <c r="AC41" s="1542"/>
      <c r="AD41" s="1542"/>
      <c r="AE41" s="1542"/>
      <c r="AF41" s="825"/>
      <c r="AG41" s="825"/>
      <c r="AH41" s="825"/>
      <c r="AI41" s="825"/>
      <c r="AJ41" s="825"/>
      <c r="AK41" s="825"/>
      <c r="AL41" s="825"/>
      <c r="AM41" s="825"/>
      <c r="AN41" s="825"/>
      <c r="AO41" s="825"/>
      <c r="AV41" s="2781"/>
      <c r="AW41" s="2781"/>
      <c r="AX41" s="2781"/>
      <c r="AY41" s="2781"/>
    </row>
    <row r="42" spans="2:51" ht="17" customHeight="1">
      <c r="B42" s="395"/>
      <c r="C42" s="395"/>
      <c r="D42" s="395"/>
      <c r="E42" s="395"/>
      <c r="F42" s="395"/>
      <c r="G42" s="395"/>
      <c r="H42" s="395"/>
      <c r="I42" s="395"/>
      <c r="J42" s="395"/>
      <c r="K42" s="395"/>
      <c r="L42" s="395"/>
      <c r="M42" s="395"/>
      <c r="N42" s="820" t="str">
        <f>IF(Q42=0,"","格斗：")</f>
        <v/>
      </c>
      <c r="O42" s="3169" t="str">
        <f>IF(Q42=0,"",人物卡!BG64)</f>
        <v/>
      </c>
      <c r="P42" s="3169"/>
      <c r="Q42" s="803">
        <f>IF(人物卡!BQ64-人物卡!BI64=0,0,人物卡!BQ64)</f>
        <v>0</v>
      </c>
      <c r="R42" s="804">
        <f t="shared" si="6"/>
        <v>0</v>
      </c>
      <c r="S42" s="805">
        <f t="shared" si="7"/>
        <v>0</v>
      </c>
      <c r="T42" s="821" t="str">
        <f>IF(W42=0,"","射击：")</f>
        <v/>
      </c>
      <c r="U42" s="3071" t="str">
        <f>IF(W42=0,"",人物卡!CC64)</f>
        <v/>
      </c>
      <c r="V42" s="3071"/>
      <c r="W42" s="806">
        <f>IF(人物卡!CM64-人物卡!CE64=0,0,人物卡!CM64)</f>
        <v>0</v>
      </c>
      <c r="X42" s="807">
        <f t="shared" si="2"/>
        <v>0</v>
      </c>
      <c r="Y42" s="808">
        <f t="shared" si="3"/>
        <v>0</v>
      </c>
      <c r="Z42" s="1542"/>
      <c r="AA42" s="1542"/>
      <c r="AB42" s="1542"/>
      <c r="AC42" s="1542"/>
      <c r="AD42" s="1542"/>
      <c r="AE42" s="1542"/>
      <c r="AF42" s="825"/>
      <c r="AG42" s="825"/>
      <c r="AH42" s="825"/>
      <c r="AI42" s="825"/>
      <c r="AJ42" s="825"/>
      <c r="AK42" s="825"/>
      <c r="AL42" s="825"/>
      <c r="AM42" s="825"/>
      <c r="AN42" s="825"/>
      <c r="AO42" s="825"/>
      <c r="AV42" s="2781"/>
      <c r="AW42" s="2781"/>
      <c r="AX42" s="2781"/>
      <c r="AY42" s="2781"/>
    </row>
    <row r="43" spans="2:51" ht="17" customHeight="1">
      <c r="B43" s="3138" t="s">
        <v>5620</v>
      </c>
      <c r="C43" s="3138"/>
      <c r="D43" s="3138"/>
      <c r="E43" s="3138"/>
      <c r="F43" s="3138"/>
      <c r="G43" s="3138"/>
      <c r="H43" s="3138"/>
      <c r="I43" s="3138"/>
      <c r="J43" s="3138"/>
      <c r="K43" s="3138"/>
      <c r="L43" s="3138"/>
      <c r="M43" s="3138"/>
      <c r="N43" s="3138"/>
      <c r="O43" s="3138"/>
      <c r="P43" s="3145" t="s">
        <v>5621</v>
      </c>
      <c r="Q43" s="3145"/>
      <c r="R43" s="3145"/>
      <c r="S43" s="3145"/>
      <c r="T43" s="3145"/>
      <c r="U43" s="3145"/>
      <c r="V43" s="3145"/>
      <c r="W43" s="3145"/>
      <c r="X43" s="3145"/>
      <c r="Y43" s="3145"/>
      <c r="Z43" s="395"/>
      <c r="AA43" s="395"/>
      <c r="AB43" s="395"/>
      <c r="AC43" s="395"/>
      <c r="AD43" s="395"/>
      <c r="AE43" s="395"/>
      <c r="AF43" s="3168" t="s">
        <v>5622</v>
      </c>
      <c r="AG43" s="3168"/>
      <c r="AH43" s="3168"/>
      <c r="AI43" s="3168"/>
      <c r="AJ43" s="3168"/>
      <c r="AK43" s="3168"/>
      <c r="AL43" s="3168"/>
      <c r="AV43" s="2781"/>
      <c r="AW43" s="2781"/>
      <c r="AX43" s="2781"/>
      <c r="AY43" s="2781"/>
    </row>
    <row r="44" spans="2:51" ht="17" customHeight="1">
      <c r="B44" s="3146" t="s">
        <v>5623</v>
      </c>
      <c r="C44" s="3146"/>
      <c r="D44" s="3146"/>
      <c r="E44" s="3146"/>
      <c r="F44" s="3146"/>
      <c r="G44" s="3146"/>
      <c r="H44" s="3146"/>
      <c r="I44" s="3146"/>
      <c r="J44" s="3146"/>
      <c r="K44" s="3146"/>
      <c r="L44" s="3146"/>
      <c r="M44" s="3146"/>
      <c r="N44" s="3146"/>
      <c r="O44" s="3146"/>
      <c r="P44" s="3146"/>
      <c r="Q44" s="3146"/>
      <c r="R44" s="3146"/>
      <c r="S44" s="3146"/>
      <c r="T44" s="3146"/>
      <c r="U44" s="3146"/>
      <c r="V44" s="3146"/>
      <c r="W44" s="3146"/>
      <c r="X44" s="3146"/>
      <c r="Y44" s="3146"/>
      <c r="Z44" s="391"/>
      <c r="AA44" s="826"/>
      <c r="AB44" s="826"/>
      <c r="AC44" s="826"/>
      <c r="AD44" s="826"/>
      <c r="AE44" s="826"/>
      <c r="AF44" s="3168"/>
      <c r="AG44" s="3168"/>
      <c r="AH44" s="3168"/>
      <c r="AI44" s="3168"/>
      <c r="AJ44" s="3168"/>
      <c r="AK44" s="3168"/>
      <c r="AL44" s="3168"/>
      <c r="AV44" s="2781"/>
      <c r="AW44" s="2781"/>
      <c r="AX44" s="2781"/>
      <c r="AY44" s="2781"/>
    </row>
    <row r="45" spans="2:51" ht="17" customHeight="1">
      <c r="B45" s="3147" t="s">
        <v>5624</v>
      </c>
      <c r="C45" s="3147"/>
      <c r="D45" s="3147"/>
      <c r="E45" s="3147"/>
      <c r="F45" s="3147"/>
      <c r="G45" s="3147"/>
      <c r="H45" s="3147"/>
      <c r="I45" s="3147"/>
      <c r="J45" s="3147"/>
      <c r="K45" s="3147"/>
      <c r="L45" s="3147"/>
      <c r="M45" s="3147"/>
      <c r="N45" s="3147"/>
      <c r="O45" s="3147"/>
      <c r="P45" s="3147"/>
      <c r="Q45" s="3147"/>
      <c r="R45" s="3147"/>
      <c r="S45" s="3147"/>
      <c r="T45" s="3147"/>
      <c r="U45" s="3147"/>
      <c r="V45" s="3147"/>
      <c r="W45" s="3147"/>
      <c r="X45" s="3147"/>
      <c r="Y45" s="3147"/>
      <c r="Z45" s="391" t="s">
        <v>5625</v>
      </c>
      <c r="AA45" s="3037" t="s">
        <v>5626</v>
      </c>
      <c r="AB45" s="3152"/>
      <c r="AC45" s="3152"/>
      <c r="AD45" s="3152"/>
      <c r="AE45" s="3153"/>
      <c r="AF45" s="3148" t="s">
        <v>5627</v>
      </c>
      <c r="AG45" s="3148"/>
      <c r="AH45" s="3148"/>
      <c r="AI45" s="3148"/>
      <c r="AJ45" s="3148"/>
      <c r="AK45" s="3148"/>
      <c r="AL45" s="3148"/>
      <c r="AM45" s="3148"/>
      <c r="AN45" s="3148"/>
    </row>
    <row r="46" spans="2:51" ht="17" customHeight="1">
      <c r="B46" s="3048" t="str">
        <f>附表!AA34</f>
        <v>.st力量未填写str未填写敏捷未填写dex未填写意志未填写pow未填写体质未填写con未填写外貌未填写app未填写教育未填写edu未填写体型未填写siz未填写智力未填写int未填写灵感未填写san0san值0理智0理智值0幸运0运气0mp0魔法0hp0体力0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C46" s="3048"/>
      <c r="D46" s="3048"/>
      <c r="E46" s="3048"/>
      <c r="F46" s="3048"/>
      <c r="G46" s="3048"/>
      <c r="H46" s="3048"/>
      <c r="I46" s="3048"/>
      <c r="J46" s="3048"/>
      <c r="K46" s="3048"/>
      <c r="L46" s="3048"/>
      <c r="M46" s="3048"/>
      <c r="N46" s="3048"/>
      <c r="O46" s="3048"/>
      <c r="P46" s="3048"/>
      <c r="Q46" s="3048"/>
      <c r="R46" s="3048"/>
      <c r="S46" s="3048"/>
      <c r="T46" s="3048"/>
      <c r="U46" s="3048"/>
      <c r="V46" s="3048"/>
      <c r="W46" s="3048"/>
      <c r="X46" s="3048"/>
      <c r="Y46" s="3048"/>
      <c r="Z46" s="391"/>
      <c r="AA46" s="3154"/>
      <c r="AB46" s="3155"/>
      <c r="AC46" s="3155"/>
      <c r="AD46" s="3155"/>
      <c r="AE46" s="3156"/>
      <c r="AF46" s="391"/>
      <c r="AG46" s="391"/>
      <c r="AV46" s="3046" t="str">
        <f>".st"&amp;"力量"&amp;STR&amp;"str"&amp;STR&amp;"敏捷"&amp;DEX&amp;"dex"&amp;DEX&amp;"意志"&amp;POW&amp;"pow"&amp;POW&amp;"体质"&amp;CON&amp;"con"&amp;CON&amp;"外貌"&amp;APP&amp;"app"&amp;APP&amp;"教育"&amp;EDU&amp;"edu"&amp;EDU&amp;"体型"&amp;SIZ&amp;"siz"&amp;SIZ&amp;"智力"&amp;INT&amp;"int"&amp;INT&amp;"灵感"&amp;INT&amp;"san"&amp;SAN&amp;"san值"&amp;SAN&amp;"理智"&amp;SAN&amp;"理智值"&amp;SAN&amp;"幸运"&amp;LuckA&amp;"运气"&amp;LuckA&amp;"mp"&amp;MP&amp;"魔法"&amp;MP&amp;"hp"&amp;hp&amp;"体力"&amp;hp</f>
        <v>.st力量str敏捷dex意志pow体质con外貌app教育edu体型siz智力int灵感san0san值0理智0理智值0幸运未改运运气未改运mp0魔法0hp0体力0</v>
      </c>
      <c r="AW46" s="2781"/>
      <c r="AX46" s="2781"/>
      <c r="AY46" s="2781"/>
    </row>
    <row r="47" spans="2:51" s="10" customFormat="1" ht="14">
      <c r="B47" s="3048"/>
      <c r="C47" s="3048"/>
      <c r="D47" s="3048"/>
      <c r="E47" s="3048"/>
      <c r="F47" s="3048"/>
      <c r="G47" s="3048"/>
      <c r="H47" s="3048"/>
      <c r="I47" s="3048"/>
      <c r="J47" s="3048"/>
      <c r="K47" s="3048"/>
      <c r="L47" s="3048"/>
      <c r="M47" s="3048"/>
      <c r="N47" s="3048"/>
      <c r="O47" s="3048"/>
      <c r="P47" s="3048"/>
      <c r="Q47" s="3048"/>
      <c r="R47" s="3048"/>
      <c r="S47" s="3048"/>
      <c r="T47" s="3048"/>
      <c r="U47" s="3048"/>
      <c r="V47" s="3048"/>
      <c r="W47" s="3048"/>
      <c r="X47" s="3048"/>
      <c r="Y47" s="3048"/>
      <c r="Z47" s="391"/>
      <c r="AA47" s="3154"/>
      <c r="AB47" s="3155"/>
      <c r="AC47" s="3155"/>
      <c r="AD47" s="3155"/>
      <c r="AE47" s="3156"/>
      <c r="AF47" s="391"/>
      <c r="AG47" s="391"/>
      <c r="AV47" s="3046"/>
      <c r="AW47" s="2781"/>
      <c r="AX47" s="2781"/>
      <c r="AY47" s="2781"/>
    </row>
    <row r="48" spans="2:51" s="10" customFormat="1" ht="14">
      <c r="B48" s="3048"/>
      <c r="C48" s="3048"/>
      <c r="D48" s="3048"/>
      <c r="E48" s="3048"/>
      <c r="F48" s="3048"/>
      <c r="G48" s="3048"/>
      <c r="H48" s="3048"/>
      <c r="I48" s="3048"/>
      <c r="J48" s="3048"/>
      <c r="K48" s="3048"/>
      <c r="L48" s="3048"/>
      <c r="M48" s="3048"/>
      <c r="N48" s="3048"/>
      <c r="O48" s="3048"/>
      <c r="P48" s="3048"/>
      <c r="Q48" s="3048"/>
      <c r="R48" s="3048"/>
      <c r="S48" s="3048"/>
      <c r="T48" s="3048"/>
      <c r="U48" s="3048"/>
      <c r="V48" s="3048"/>
      <c r="W48" s="3048"/>
      <c r="X48" s="3048"/>
      <c r="Y48" s="3048"/>
      <c r="Z48" s="391"/>
      <c r="AA48" s="3154"/>
      <c r="AB48" s="3155"/>
      <c r="AC48" s="3155"/>
      <c r="AD48" s="3155"/>
      <c r="AE48" s="3156"/>
      <c r="AF48" s="391"/>
      <c r="AG48" s="391"/>
      <c r="AV48" s="3046"/>
      <c r="AW48" s="2781"/>
      <c r="AX48" s="2781"/>
      <c r="AY48" s="2781"/>
    </row>
    <row r="49" spans="2:51" s="10" customFormat="1" ht="14">
      <c r="B49" s="3048"/>
      <c r="C49" s="3048"/>
      <c r="D49" s="3048"/>
      <c r="E49" s="3048"/>
      <c r="F49" s="3048"/>
      <c r="G49" s="3048"/>
      <c r="H49" s="3048"/>
      <c r="I49" s="3048"/>
      <c r="J49" s="3048"/>
      <c r="K49" s="3048"/>
      <c r="L49" s="3048"/>
      <c r="M49" s="3048"/>
      <c r="N49" s="3048"/>
      <c r="O49" s="3048"/>
      <c r="P49" s="3048"/>
      <c r="Q49" s="3048"/>
      <c r="R49" s="3048"/>
      <c r="S49" s="3048"/>
      <c r="T49" s="3048"/>
      <c r="U49" s="3048"/>
      <c r="V49" s="3048"/>
      <c r="W49" s="3048"/>
      <c r="X49" s="3048"/>
      <c r="Y49" s="3048"/>
      <c r="Z49" s="391"/>
      <c r="AA49" s="3157"/>
      <c r="AB49" s="3158"/>
      <c r="AC49" s="3158"/>
      <c r="AD49" s="3158"/>
      <c r="AE49" s="3159"/>
      <c r="AF49" s="391"/>
      <c r="AG49" s="391"/>
      <c r="AV49" s="3046"/>
      <c r="AW49" s="2781"/>
      <c r="AX49" s="2781"/>
      <c r="AY49" s="2781"/>
    </row>
    <row r="50" spans="2:51" s="10" customFormat="1" ht="14.5">
      <c r="B50" s="3149" t="s">
        <v>5628</v>
      </c>
      <c r="C50" s="3146"/>
      <c r="D50" s="3146"/>
      <c r="E50" s="3146"/>
      <c r="F50" s="3146"/>
      <c r="G50" s="3146"/>
      <c r="H50" s="3146"/>
      <c r="I50" s="3146"/>
      <c r="J50" s="3146"/>
      <c r="K50" s="3146"/>
      <c r="L50" s="3146"/>
      <c r="M50" s="3146"/>
      <c r="N50" s="3146"/>
      <c r="O50" s="3146"/>
      <c r="P50" s="3146"/>
      <c r="Q50" s="3146"/>
      <c r="R50" s="3146"/>
      <c r="S50" s="3146"/>
      <c r="T50" s="3146"/>
      <c r="U50" s="3146"/>
      <c r="V50" s="3146"/>
      <c r="W50" s="3146"/>
      <c r="X50" s="3146"/>
      <c r="Y50" s="3146"/>
      <c r="Z50" s="391"/>
      <c r="AA50" s="391"/>
      <c r="AB50" s="391"/>
      <c r="AC50" s="391"/>
      <c r="AD50" s="391"/>
      <c r="AE50" s="391"/>
      <c r="AF50" s="391"/>
      <c r="AG50" s="391"/>
      <c r="AV50" s="3046"/>
      <c r="AW50" s="2781"/>
      <c r="AX50" s="2781"/>
      <c r="AY50" s="2781"/>
    </row>
    <row r="51" spans="2:51" s="10" customFormat="1" ht="15.15" customHeight="1">
      <c r="B51" s="3147" t="s">
        <v>5624</v>
      </c>
      <c r="C51" s="3147"/>
      <c r="D51" s="3147"/>
      <c r="E51" s="3147"/>
      <c r="F51" s="3147"/>
      <c r="G51" s="3147"/>
      <c r="H51" s="3147"/>
      <c r="I51" s="3147"/>
      <c r="J51" s="3147"/>
      <c r="K51" s="3147"/>
      <c r="L51" s="3147"/>
      <c r="M51" s="3147"/>
      <c r="N51" s="3147"/>
      <c r="O51" s="3147"/>
      <c r="P51" s="3147"/>
      <c r="Q51" s="3147"/>
      <c r="R51" s="3147"/>
      <c r="S51" s="3147"/>
      <c r="T51" s="3147"/>
      <c r="U51" s="3147"/>
      <c r="V51" s="3147"/>
      <c r="W51" s="3147"/>
      <c r="X51" s="3147"/>
      <c r="Y51" s="3147"/>
      <c r="AF51" s="462"/>
      <c r="AG51" s="391"/>
      <c r="AV51" s="3046"/>
      <c r="AW51" s="2781"/>
      <c r="AX51" s="2781"/>
      <c r="AY51" s="2781"/>
    </row>
    <row r="52" spans="2:51" s="10" customFormat="1" ht="14.5" customHeight="1">
      <c r="B52" s="3160" t="str">
        <f>附表!AA34</f>
        <v>.st力量未填写str未填写敏捷未填写dex未填写意志未填写pow未填写体质未填写con未填写外貌未填写app未填写教育未填写edu未填写体型未填写siz未填写智力未填写int未填写灵感未填写san0san值0理智0理智值0幸运0运气0mp0魔法0hp0体力0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C52" s="3161"/>
      <c r="D52" s="3161"/>
      <c r="E52" s="3161"/>
      <c r="F52" s="3161"/>
      <c r="G52" s="3161"/>
      <c r="H52" s="3161"/>
      <c r="I52" s="3161"/>
      <c r="J52" s="3161"/>
      <c r="K52" s="3161"/>
      <c r="L52" s="3161"/>
      <c r="M52" s="3161"/>
      <c r="N52" s="3161"/>
      <c r="O52" s="3161"/>
      <c r="P52" s="3161"/>
      <c r="Q52" s="3161"/>
      <c r="R52" s="3161"/>
      <c r="S52" s="3161"/>
      <c r="T52" s="3161"/>
      <c r="U52" s="3161"/>
      <c r="V52" s="3161"/>
      <c r="W52" s="3161"/>
      <c r="X52" s="3161"/>
      <c r="Y52" s="3162"/>
      <c r="AF52" s="462"/>
      <c r="AG52" s="391"/>
      <c r="AV52" s="3046"/>
      <c r="AW52" s="2781"/>
      <c r="AX52" s="2781"/>
      <c r="AY52" s="2781"/>
    </row>
    <row r="53" spans="2:51" s="10" customFormat="1" ht="14.5" customHeight="1">
      <c r="B53" s="3163"/>
      <c r="C53" s="1856"/>
      <c r="D53" s="1856"/>
      <c r="E53" s="1856"/>
      <c r="F53" s="1856"/>
      <c r="G53" s="1856"/>
      <c r="H53" s="1856"/>
      <c r="I53" s="1856"/>
      <c r="J53" s="1856"/>
      <c r="K53" s="1856"/>
      <c r="L53" s="1856"/>
      <c r="M53" s="1856"/>
      <c r="N53" s="1856"/>
      <c r="O53" s="1856"/>
      <c r="P53" s="1856"/>
      <c r="Q53" s="1856"/>
      <c r="R53" s="1856"/>
      <c r="S53" s="1856"/>
      <c r="T53" s="1856"/>
      <c r="U53" s="1856"/>
      <c r="V53" s="1856"/>
      <c r="W53" s="1856"/>
      <c r="X53" s="1856"/>
      <c r="Y53" s="3164"/>
      <c r="AF53" s="462"/>
      <c r="AG53" s="391"/>
      <c r="AV53" s="3046"/>
      <c r="AW53" s="2781"/>
      <c r="AX53" s="2781"/>
      <c r="AY53" s="2781"/>
    </row>
    <row r="54" spans="2:51" s="10" customFormat="1" ht="14.5" customHeight="1">
      <c r="B54" s="3163"/>
      <c r="C54" s="1856"/>
      <c r="D54" s="1856"/>
      <c r="E54" s="1856"/>
      <c r="F54" s="1856"/>
      <c r="G54" s="1856"/>
      <c r="H54" s="1856"/>
      <c r="I54" s="1856"/>
      <c r="J54" s="1856"/>
      <c r="K54" s="1856"/>
      <c r="L54" s="1856"/>
      <c r="M54" s="1856"/>
      <c r="N54" s="1856"/>
      <c r="O54" s="1856"/>
      <c r="P54" s="1856"/>
      <c r="Q54" s="1856"/>
      <c r="R54" s="1856"/>
      <c r="S54" s="1856"/>
      <c r="T54" s="1856"/>
      <c r="U54" s="1856"/>
      <c r="V54" s="1856"/>
      <c r="W54" s="1856"/>
      <c r="X54" s="1856"/>
      <c r="Y54" s="3164"/>
      <c r="AF54" s="462"/>
      <c r="AG54" s="391"/>
    </row>
    <row r="55" spans="2:51" s="10" customFormat="1" ht="14.5" customHeight="1">
      <c r="B55" s="3165"/>
      <c r="C55" s="3166"/>
      <c r="D55" s="3166"/>
      <c r="E55" s="3166"/>
      <c r="F55" s="3166"/>
      <c r="G55" s="3166"/>
      <c r="H55" s="3166"/>
      <c r="I55" s="3166"/>
      <c r="J55" s="3166"/>
      <c r="K55" s="3166"/>
      <c r="L55" s="3166"/>
      <c r="M55" s="3166"/>
      <c r="N55" s="3166"/>
      <c r="O55" s="3166"/>
      <c r="P55" s="3166"/>
      <c r="Q55" s="3166"/>
      <c r="R55" s="3166"/>
      <c r="S55" s="3166"/>
      <c r="T55" s="3166"/>
      <c r="U55" s="3166"/>
      <c r="V55" s="3166"/>
      <c r="W55" s="3166"/>
      <c r="X55" s="3166"/>
      <c r="Y55" s="3167"/>
      <c r="AF55" s="462"/>
      <c r="AG55" s="391"/>
      <c r="AV55" s="3047" t="str">
        <f>_xlfn.CONCAT(附表!AA72:AA111,附表!AC72:AC111)</f>
        <v>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AW55" s="3047"/>
      <c r="AX55" s="3047"/>
      <c r="AY55" s="3047"/>
    </row>
    <row r="56" spans="2:51" ht="17" customHeight="1">
      <c r="B56" s="3150" t="s">
        <v>5629</v>
      </c>
      <c r="C56" s="3151"/>
      <c r="D56" s="3151"/>
      <c r="E56" s="3151"/>
      <c r="F56" s="3151"/>
      <c r="G56" s="3151"/>
      <c r="H56" s="3151"/>
      <c r="I56" s="3151"/>
      <c r="J56" s="3151"/>
      <c r="K56" s="3151"/>
      <c r="L56" s="3151"/>
      <c r="M56" s="3151"/>
      <c r="N56" s="3151"/>
      <c r="O56" s="3151"/>
      <c r="P56" s="3151"/>
      <c r="Q56" s="3151"/>
      <c r="R56" s="3151"/>
      <c r="S56" s="3151"/>
      <c r="T56" s="3151"/>
      <c r="U56" s="3151"/>
      <c r="V56" s="3151"/>
      <c r="W56" s="3151"/>
      <c r="X56" s="3151"/>
      <c r="Y56" s="3151"/>
      <c r="AF56" s="462"/>
      <c r="AG56" s="391"/>
      <c r="AV56" s="3047"/>
      <c r="AW56" s="3047"/>
      <c r="AX56" s="3047"/>
      <c r="AY56" s="3047"/>
    </row>
    <row r="57" spans="2:51" ht="17" customHeight="1">
      <c r="B57" s="3147" t="s">
        <v>5624</v>
      </c>
      <c r="C57" s="3147"/>
      <c r="D57" s="3147"/>
      <c r="E57" s="3147"/>
      <c r="F57" s="3147"/>
      <c r="G57" s="3147"/>
      <c r="H57" s="3147"/>
      <c r="I57" s="3147"/>
      <c r="J57" s="3147"/>
      <c r="K57" s="3147"/>
      <c r="L57" s="3147"/>
      <c r="M57" s="3147"/>
      <c r="N57" s="3147"/>
      <c r="O57" s="3147"/>
      <c r="P57" s="3147"/>
      <c r="Q57" s="3147"/>
      <c r="R57" s="3147"/>
      <c r="S57" s="3147"/>
      <c r="T57" s="3147"/>
      <c r="U57" s="3147"/>
      <c r="V57" s="3147"/>
      <c r="W57" s="3147"/>
      <c r="X57" s="3147"/>
      <c r="Y57" s="3147"/>
      <c r="AF57" s="391"/>
      <c r="AG57" s="391"/>
      <c r="AV57" s="3047"/>
      <c r="AW57" s="3047"/>
      <c r="AX57" s="3047"/>
      <c r="AY57" s="3047"/>
    </row>
    <row r="58" spans="2:51" ht="17" customHeight="1">
      <c r="B58" s="3048" t="str">
        <f>附表!AA34</f>
        <v>.st力量未填写str未填写敏捷未填写dex未填写意志未填写pow未填写体质未填写con未填写外貌未填写app未填写教育未填写edu未填写体型未填写siz未填写智力未填写int未填写灵感未填写san0san值0理智0理智值0幸运0运气0mp0魔法0hp0体力0会计5法律5历史5人类学1估价5考古学1博物学10神秘学5信用评级0克苏鲁神话0机械维修10电气维修10电子学1操作重型机械1爆破1计算机使用0母语0闪避0斗殴25锁匠1乔装5妙手10潜行20图书馆使用20聆听20侦查25追踪10导航10心理学10取悦15话术5恐吓15说服10跳跃20攀爬20游泳20精神分析1医学1急救30汽车驾驶20骑术5动物驯养5潜水1读唇1催眠1炮术1投掷20手枪20</v>
      </c>
      <c r="C58" s="3048"/>
      <c r="D58" s="3048"/>
      <c r="E58" s="3048"/>
      <c r="F58" s="3048"/>
      <c r="G58" s="3048"/>
      <c r="H58" s="3048"/>
      <c r="I58" s="3048"/>
      <c r="J58" s="3048"/>
      <c r="K58" s="3048"/>
      <c r="L58" s="3048"/>
      <c r="M58" s="3048"/>
      <c r="N58" s="3048"/>
      <c r="O58" s="3048"/>
      <c r="P58" s="3048"/>
      <c r="Q58" s="3048"/>
      <c r="R58" s="3048"/>
      <c r="S58" s="3048"/>
      <c r="T58" s="3048"/>
      <c r="U58" s="3048"/>
      <c r="V58" s="3048"/>
      <c r="W58" s="3048"/>
      <c r="X58" s="3048"/>
      <c r="Y58" s="3048"/>
      <c r="AF58" s="391"/>
      <c r="AG58" s="391"/>
      <c r="AV58" s="3047"/>
      <c r="AW58" s="3047"/>
      <c r="AX58" s="3047"/>
      <c r="AY58" s="3047"/>
    </row>
    <row r="59" spans="2:51" ht="17" customHeight="1">
      <c r="B59" s="3048"/>
      <c r="C59" s="3048"/>
      <c r="D59" s="3048"/>
      <c r="E59" s="3048"/>
      <c r="F59" s="3048"/>
      <c r="G59" s="3048"/>
      <c r="H59" s="3048"/>
      <c r="I59" s="3048"/>
      <c r="J59" s="3048"/>
      <c r="K59" s="3048"/>
      <c r="L59" s="3048"/>
      <c r="M59" s="3048"/>
      <c r="N59" s="3048"/>
      <c r="O59" s="3048"/>
      <c r="P59" s="3048"/>
      <c r="Q59" s="3048"/>
      <c r="R59" s="3048"/>
      <c r="S59" s="3048"/>
      <c r="T59" s="3048"/>
      <c r="U59" s="3048"/>
      <c r="V59" s="3048"/>
      <c r="W59" s="3048"/>
      <c r="X59" s="3048"/>
      <c r="Y59" s="3048"/>
      <c r="AF59" s="391"/>
      <c r="AG59" s="391"/>
      <c r="AV59" s="3047"/>
      <c r="AW59" s="3047"/>
      <c r="AX59" s="3047"/>
      <c r="AY59" s="3047"/>
    </row>
    <row r="60" spans="2:51" ht="17" customHeight="1">
      <c r="B60" s="3048"/>
      <c r="C60" s="3048"/>
      <c r="D60" s="3048"/>
      <c r="E60" s="3048"/>
      <c r="F60" s="3048"/>
      <c r="G60" s="3048"/>
      <c r="H60" s="3048"/>
      <c r="I60" s="3048"/>
      <c r="J60" s="3048"/>
      <c r="K60" s="3048"/>
      <c r="L60" s="3048"/>
      <c r="M60" s="3048"/>
      <c r="N60" s="3048"/>
      <c r="O60" s="3048"/>
      <c r="P60" s="3048"/>
      <c r="Q60" s="3048"/>
      <c r="R60" s="3048"/>
      <c r="S60" s="3048"/>
      <c r="T60" s="3048"/>
      <c r="U60" s="3048"/>
      <c r="V60" s="3048"/>
      <c r="W60" s="3048"/>
      <c r="X60" s="3048"/>
      <c r="Y60" s="3048"/>
      <c r="AF60" s="391"/>
      <c r="AG60" s="391"/>
      <c r="AV60" s="3047"/>
      <c r="AW60" s="3047"/>
      <c r="AX60" s="3047"/>
      <c r="AY60" s="3047"/>
    </row>
    <row r="61" spans="2:51" ht="17" customHeight="1">
      <c r="B61" s="3048"/>
      <c r="C61" s="3048"/>
      <c r="D61" s="3048"/>
      <c r="E61" s="3048"/>
      <c r="F61" s="3048"/>
      <c r="G61" s="3048"/>
      <c r="H61" s="3048"/>
      <c r="I61" s="3048"/>
      <c r="J61" s="3048"/>
      <c r="K61" s="3048"/>
      <c r="L61" s="3048"/>
      <c r="M61" s="3048"/>
      <c r="N61" s="3048"/>
      <c r="O61" s="3048"/>
      <c r="P61" s="3048"/>
      <c r="Q61" s="3048"/>
      <c r="R61" s="3048"/>
      <c r="S61" s="3048"/>
      <c r="T61" s="3048"/>
      <c r="U61" s="3048"/>
      <c r="V61" s="3048"/>
      <c r="W61" s="3048"/>
      <c r="X61" s="3048"/>
      <c r="Y61" s="3048"/>
      <c r="AF61" s="391"/>
      <c r="AG61" s="391"/>
      <c r="AV61" s="3047"/>
      <c r="AW61" s="3047"/>
      <c r="AX61" s="3047"/>
      <c r="AY61" s="3047"/>
    </row>
    <row r="62" spans="2:51" ht="17" customHeight="1">
      <c r="B62" s="827"/>
      <c r="C62" s="827"/>
      <c r="D62" s="827"/>
      <c r="E62" s="827"/>
      <c r="F62" s="827"/>
      <c r="G62" s="827"/>
      <c r="H62" s="827"/>
      <c r="I62" s="827"/>
      <c r="J62" s="827"/>
      <c r="K62" s="827"/>
      <c r="L62" s="827"/>
      <c r="M62" s="827"/>
      <c r="N62" s="827"/>
      <c r="O62" s="827"/>
      <c r="P62" s="827"/>
      <c r="Q62" s="827"/>
      <c r="R62" s="827"/>
      <c r="S62" s="827"/>
      <c r="T62" s="827"/>
      <c r="U62" s="827"/>
      <c r="V62" s="827"/>
      <c r="W62" s="827"/>
      <c r="X62" s="827"/>
      <c r="Y62" s="827"/>
      <c r="AA62" s="3138"/>
      <c r="AB62" s="3138"/>
      <c r="AC62" s="3138"/>
      <c r="AD62" s="3138"/>
      <c r="AE62" s="3138"/>
      <c r="AF62" s="391"/>
      <c r="AG62" s="391"/>
      <c r="AV62" s="3047"/>
      <c r="AW62" s="3047"/>
      <c r="AX62" s="3047"/>
      <c r="AY62" s="3047"/>
    </row>
    <row r="63" spans="2:51" ht="17" customHeight="1">
      <c r="AA63" s="3139"/>
      <c r="AB63" s="3139"/>
      <c r="AC63" s="3139"/>
      <c r="AD63" s="3139"/>
      <c r="AE63" s="3139"/>
      <c r="AF63" s="391"/>
      <c r="AG63" s="391"/>
      <c r="AV63" s="3047"/>
      <c r="AW63" s="3047"/>
      <c r="AX63" s="3047"/>
      <c r="AY63" s="3047"/>
    </row>
    <row r="64" spans="2:51" ht="17" customHeight="1">
      <c r="AF64" s="391"/>
      <c r="AG64" s="391"/>
      <c r="AV64" s="3047"/>
      <c r="AW64" s="3047"/>
      <c r="AX64" s="3047"/>
      <c r="AY64" s="3047"/>
    </row>
    <row r="65" spans="2:51" ht="17" customHeight="1">
      <c r="B65" s="828" t="s">
        <v>5630</v>
      </c>
      <c r="C65" s="829" t="s">
        <v>5603</v>
      </c>
      <c r="D65" s="829" t="s">
        <v>5604</v>
      </c>
      <c r="E65" s="829" t="s">
        <v>5605</v>
      </c>
      <c r="F65" s="829" t="s">
        <v>5594</v>
      </c>
      <c r="G65" s="829" t="s">
        <v>5631</v>
      </c>
      <c r="H65" s="829" t="s">
        <v>5632</v>
      </c>
      <c r="I65" s="829" t="s">
        <v>209</v>
      </c>
      <c r="J65" s="829" t="str">
        <f>O38</f>
        <v/>
      </c>
      <c r="K65" s="829" t="s">
        <v>211</v>
      </c>
      <c r="L65" s="829" t="str">
        <f>U38</f>
        <v/>
      </c>
      <c r="M65" s="830" t="s">
        <v>205</v>
      </c>
      <c r="AF65" s="391"/>
      <c r="AG65" s="391"/>
      <c r="AV65" s="3047"/>
      <c r="AW65" s="3047"/>
      <c r="AX65" s="3047"/>
      <c r="AY65" s="3047"/>
    </row>
    <row r="66" spans="2:51" ht="17" customHeight="1">
      <c r="B66" s="831" t="str">
        <f>LuckA</f>
        <v>未改运</v>
      </c>
      <c r="C66" s="832">
        <f>hp</f>
        <v>0</v>
      </c>
      <c r="D66" s="832">
        <f>SAN</f>
        <v>0</v>
      </c>
      <c r="E66" s="832">
        <f>MP</f>
        <v>0</v>
      </c>
      <c r="F66" s="832" t="str">
        <f>DEXA</f>
        <v>未填写</v>
      </c>
      <c r="G66" s="832" t="str">
        <f>F9</f>
        <v>0</v>
      </c>
      <c r="H66" s="832">
        <f>L9</f>
        <v>8</v>
      </c>
      <c r="I66" s="832">
        <f>Q37</f>
        <v>25</v>
      </c>
      <c r="J66" s="832">
        <f>Q38</f>
        <v>0</v>
      </c>
      <c r="K66" s="832">
        <f>W37</f>
        <v>20</v>
      </c>
      <c r="L66" s="832">
        <f>W38</f>
        <v>0</v>
      </c>
      <c r="M66" s="833">
        <f>Q36</f>
        <v>0</v>
      </c>
      <c r="AF66" s="391"/>
      <c r="AG66" s="391"/>
      <c r="AV66" s="3047"/>
      <c r="AW66" s="3047"/>
      <c r="AX66" s="3047"/>
      <c r="AY66" s="3047"/>
    </row>
    <row r="67" spans="2:51" ht="17" customHeight="1">
      <c r="AF67" s="391"/>
      <c r="AG67" s="391"/>
      <c r="AV67" s="3047"/>
      <c r="AW67" s="3047"/>
      <c r="AX67" s="3047"/>
      <c r="AY67" s="3047"/>
    </row>
    <row r="68" spans="2:51" ht="17" customHeight="1">
      <c r="AV68" s="3047"/>
      <c r="AW68" s="3047"/>
      <c r="AX68" s="3047"/>
      <c r="AY68" s="3047"/>
    </row>
    <row r="70" spans="2:51" ht="17" customHeight="1">
      <c r="B70" s="3140" t="s">
        <v>5633</v>
      </c>
      <c r="C70" s="3141"/>
      <c r="D70" s="3141"/>
      <c r="E70" s="3141"/>
      <c r="F70" s="3141"/>
      <c r="G70" s="3141"/>
      <c r="H70" s="3141"/>
      <c r="I70" s="3141"/>
      <c r="J70" s="3141"/>
      <c r="K70" s="3141"/>
      <c r="L70" s="3141"/>
      <c r="M70" s="3141"/>
      <c r="N70" s="3141"/>
      <c r="O70" s="3141"/>
      <c r="P70" s="3141"/>
      <c r="Q70" s="3141"/>
      <c r="R70" s="3141"/>
      <c r="S70" s="3141"/>
      <c r="T70" s="3141"/>
      <c r="U70" s="3141"/>
      <c r="V70" s="3141"/>
      <c r="W70" s="3141"/>
      <c r="X70" s="3141"/>
      <c r="Y70" s="3142"/>
      <c r="Z70" s="391" t="s">
        <v>5625</v>
      </c>
      <c r="AA70" s="3028" t="s">
        <v>5634</v>
      </c>
      <c r="AB70" s="3029"/>
      <c r="AC70" s="3029"/>
      <c r="AD70" s="3029"/>
      <c r="AE70" s="3030"/>
    </row>
    <row r="71" spans="2:51" ht="17" customHeight="1">
      <c r="B71" s="3143" t="s">
        <v>5635</v>
      </c>
      <c r="C71" s="2827"/>
      <c r="D71" s="2872" t="s">
        <v>5636</v>
      </c>
      <c r="E71" s="2872"/>
      <c r="F71" s="2872" t="s">
        <v>28</v>
      </c>
      <c r="G71" s="2872"/>
      <c r="H71" s="2872"/>
      <c r="I71" s="2872"/>
      <c r="J71" s="2827" t="s">
        <v>5635</v>
      </c>
      <c r="K71" s="2827"/>
      <c r="L71" s="2872" t="s">
        <v>5636</v>
      </c>
      <c r="M71" s="2872"/>
      <c r="N71" s="2872" t="s">
        <v>28</v>
      </c>
      <c r="O71" s="2872"/>
      <c r="P71" s="2872"/>
      <c r="Q71" s="2872"/>
      <c r="R71" s="2827" t="s">
        <v>5635</v>
      </c>
      <c r="S71" s="2827"/>
      <c r="T71" s="2872" t="s">
        <v>5636</v>
      </c>
      <c r="U71" s="2872"/>
      <c r="V71" s="2872" t="s">
        <v>28</v>
      </c>
      <c r="W71" s="2872"/>
      <c r="X71" s="2872"/>
      <c r="Y71" s="3144"/>
      <c r="Z71" s="391"/>
      <c r="AA71" s="3031"/>
      <c r="AB71" s="3032"/>
      <c r="AC71" s="3032"/>
      <c r="AD71" s="3032"/>
      <c r="AE71" s="3033"/>
      <c r="AF71" s="834"/>
      <c r="AG71" s="834"/>
      <c r="AH71" s="834"/>
    </row>
    <row r="72" spans="2:51" ht="17" customHeight="1">
      <c r="B72" s="3127" t="s">
        <v>57</v>
      </c>
      <c r="C72" s="1542"/>
      <c r="D72" s="1542" t="s">
        <v>5593</v>
      </c>
      <c r="E72" s="1542"/>
      <c r="F72" s="3119"/>
      <c r="G72" s="3119"/>
      <c r="H72" s="3119"/>
      <c r="I72" s="3128"/>
      <c r="J72" s="1542" t="s">
        <v>5637</v>
      </c>
      <c r="K72" s="1542"/>
      <c r="L72" s="1542" t="s">
        <v>5638</v>
      </c>
      <c r="M72" s="1542"/>
      <c r="N72" s="2780"/>
      <c r="O72" s="2780"/>
      <c r="P72" s="2780"/>
      <c r="Q72" s="3130"/>
      <c r="R72" s="3114" t="s">
        <v>187</v>
      </c>
      <c r="S72" s="3114"/>
      <c r="T72" s="3114" t="s">
        <v>5639</v>
      </c>
      <c r="U72" s="3114"/>
      <c r="V72" s="3117" t="s">
        <v>4438</v>
      </c>
      <c r="W72" s="3117"/>
      <c r="X72" s="3117"/>
      <c r="Y72" s="3137"/>
      <c r="Z72" s="391"/>
      <c r="AA72" s="3031"/>
      <c r="AB72" s="3032"/>
      <c r="AC72" s="3032"/>
      <c r="AD72" s="3032"/>
      <c r="AE72" s="3033"/>
      <c r="AF72" s="834"/>
      <c r="AG72" s="834"/>
      <c r="AH72" s="834"/>
    </row>
    <row r="73" spans="2:51" ht="17" customHeight="1">
      <c r="B73" s="3121" t="s">
        <v>70</v>
      </c>
      <c r="C73" s="2329"/>
      <c r="D73" s="2329" t="s">
        <v>5594</v>
      </c>
      <c r="E73" s="2329"/>
      <c r="F73" s="3132"/>
      <c r="G73" s="3132"/>
      <c r="H73" s="3132"/>
      <c r="I73" s="3122"/>
      <c r="J73" s="2329" t="s">
        <v>104</v>
      </c>
      <c r="K73" s="2329"/>
      <c r="L73" s="2329" t="s">
        <v>613</v>
      </c>
      <c r="M73" s="2329"/>
      <c r="N73" s="3133" t="s">
        <v>5640</v>
      </c>
      <c r="O73" s="3133"/>
      <c r="P73" s="3133"/>
      <c r="Q73" s="3134"/>
      <c r="R73" s="3135" t="s">
        <v>159</v>
      </c>
      <c r="S73" s="3135"/>
      <c r="T73" s="2329" t="s">
        <v>5641</v>
      </c>
      <c r="U73" s="2329"/>
      <c r="V73" s="2329"/>
      <c r="W73" s="2329"/>
      <c r="X73" s="2329"/>
      <c r="Y73" s="3136"/>
      <c r="Z73" s="391"/>
      <c r="AA73" s="3031"/>
      <c r="AB73" s="3032"/>
      <c r="AC73" s="3032"/>
      <c r="AD73" s="3032"/>
      <c r="AE73" s="3033"/>
      <c r="AF73" s="834"/>
      <c r="AG73" s="834"/>
      <c r="AH73" s="834"/>
    </row>
    <row r="74" spans="2:51" ht="17" customHeight="1">
      <c r="B74" s="3127" t="s">
        <v>60</v>
      </c>
      <c r="C74" s="1542"/>
      <c r="D74" s="1542" t="s">
        <v>5597</v>
      </c>
      <c r="E74" s="1542"/>
      <c r="F74" s="3119"/>
      <c r="G74" s="3119"/>
      <c r="H74" s="3119"/>
      <c r="I74" s="3128"/>
      <c r="J74" s="1542" t="s">
        <v>5642</v>
      </c>
      <c r="K74" s="1542"/>
      <c r="L74" s="1542" t="s">
        <v>5643</v>
      </c>
      <c r="M74" s="1542"/>
      <c r="N74" s="2780"/>
      <c r="O74" s="2780"/>
      <c r="P74" s="2780"/>
      <c r="Q74" s="3130"/>
      <c r="R74" s="1542" t="s">
        <v>3817</v>
      </c>
      <c r="S74" s="1542"/>
      <c r="T74" s="1542" t="s">
        <v>5644</v>
      </c>
      <c r="U74" s="1542"/>
      <c r="V74" s="1542" t="s">
        <v>5645</v>
      </c>
      <c r="W74" s="1542"/>
      <c r="X74" s="1542"/>
      <c r="Y74" s="3131"/>
      <c r="Z74" s="391"/>
      <c r="AA74" s="3034"/>
      <c r="AB74" s="3035"/>
      <c r="AC74" s="3035"/>
      <c r="AD74" s="3035"/>
      <c r="AE74" s="3036"/>
      <c r="AF74" s="834"/>
      <c r="AG74" s="834"/>
      <c r="AH74" s="834"/>
    </row>
    <row r="75" spans="2:51" ht="17" customHeight="1">
      <c r="B75" s="3121" t="s">
        <v>67</v>
      </c>
      <c r="C75" s="2329"/>
      <c r="D75" s="2329" t="s">
        <v>5600</v>
      </c>
      <c r="E75" s="2329"/>
      <c r="F75" s="3122"/>
      <c r="G75" s="3122"/>
      <c r="H75" s="3122"/>
      <c r="I75" s="3122"/>
      <c r="J75" s="839"/>
      <c r="K75" s="839"/>
      <c r="L75" s="839"/>
      <c r="M75" s="839"/>
      <c r="N75" s="839"/>
      <c r="O75" s="839"/>
      <c r="P75" s="839"/>
      <c r="Q75" s="840"/>
      <c r="R75" s="3107" t="s">
        <v>138</v>
      </c>
      <c r="S75" s="3107"/>
      <c r="T75" s="3107" t="s">
        <v>5646</v>
      </c>
      <c r="U75" s="3107"/>
      <c r="V75" s="3123"/>
      <c r="W75" s="3123"/>
      <c r="X75" s="3123"/>
      <c r="Y75" s="3124"/>
      <c r="Z75" s="3125"/>
      <c r="AA75" s="3126"/>
      <c r="AB75" s="3126"/>
      <c r="AC75" s="3126"/>
      <c r="AD75" s="3126"/>
      <c r="AE75" s="3126"/>
      <c r="AF75" s="834"/>
      <c r="AG75" s="834"/>
      <c r="AH75" s="834"/>
    </row>
    <row r="76" spans="2:51" ht="17" customHeight="1">
      <c r="B76" s="3127" t="s">
        <v>72</v>
      </c>
      <c r="C76" s="1542"/>
      <c r="D76" s="1542" t="s">
        <v>5598</v>
      </c>
      <c r="E76" s="1542"/>
      <c r="F76" s="3119"/>
      <c r="G76" s="3119"/>
      <c r="H76" s="3119"/>
      <c r="I76" s="3128"/>
      <c r="Q76" s="835"/>
      <c r="R76" s="1542" t="s">
        <v>129</v>
      </c>
      <c r="S76" s="1542"/>
      <c r="T76" s="1542" t="s">
        <v>5647</v>
      </c>
      <c r="U76" s="1542"/>
      <c r="V76" s="2780"/>
      <c r="W76" s="2780"/>
      <c r="X76" s="2780"/>
      <c r="Y76" s="3129"/>
      <c r="Z76" s="792" t="s">
        <v>5625</v>
      </c>
      <c r="AA76" s="3037" t="s">
        <v>5648</v>
      </c>
      <c r="AB76" s="3038"/>
      <c r="AC76" s="3038"/>
      <c r="AD76" s="3038"/>
      <c r="AE76" s="3039"/>
      <c r="AF76" s="834"/>
      <c r="AG76" s="834"/>
      <c r="AH76" s="834"/>
    </row>
    <row r="77" spans="2:51" ht="17" customHeight="1">
      <c r="B77" s="3106" t="s">
        <v>77</v>
      </c>
      <c r="C77" s="3107"/>
      <c r="D77" s="3107" t="s">
        <v>5596</v>
      </c>
      <c r="E77" s="3107"/>
      <c r="F77" s="3108" t="s">
        <v>5649</v>
      </c>
      <c r="G77" s="3108"/>
      <c r="H77" s="3108"/>
      <c r="I77" s="3109"/>
      <c r="J77" s="839"/>
      <c r="K77" s="839"/>
      <c r="L77" s="839"/>
      <c r="M77" s="839"/>
      <c r="N77" s="839"/>
      <c r="O77" s="839"/>
      <c r="P77" s="839"/>
      <c r="Q77" s="840"/>
      <c r="R77" s="3107" t="s">
        <v>143</v>
      </c>
      <c r="S77" s="3107"/>
      <c r="T77" s="3107"/>
      <c r="U77" s="3107"/>
      <c r="V77" s="3108" t="s">
        <v>5650</v>
      </c>
      <c r="W77" s="3108"/>
      <c r="X77" s="3108"/>
      <c r="Y77" s="3112"/>
      <c r="AA77" s="3040"/>
      <c r="AB77" s="3041"/>
      <c r="AC77" s="3041"/>
      <c r="AD77" s="3041"/>
      <c r="AE77" s="3042"/>
      <c r="AF77" s="834"/>
      <c r="AG77" s="834"/>
      <c r="AH77" s="834"/>
    </row>
    <row r="78" spans="2:51" ht="17" customHeight="1">
      <c r="B78" s="3113" t="s">
        <v>82</v>
      </c>
      <c r="C78" s="3114"/>
      <c r="D78" s="3114" t="s">
        <v>5595</v>
      </c>
      <c r="E78" s="3114"/>
      <c r="F78" s="3115"/>
      <c r="G78" s="3115"/>
      <c r="H78" s="3115"/>
      <c r="I78" s="3116"/>
      <c r="J78" s="1326" t="s">
        <v>165</v>
      </c>
      <c r="K78" s="1326"/>
      <c r="L78" s="3114" t="s">
        <v>5651</v>
      </c>
      <c r="M78" s="3114"/>
      <c r="N78" s="3117" t="s">
        <v>5652</v>
      </c>
      <c r="O78" s="3117"/>
      <c r="P78" s="3117"/>
      <c r="Q78" s="3118"/>
      <c r="R78" s="3114" t="s">
        <v>151</v>
      </c>
      <c r="S78" s="3114"/>
      <c r="T78" s="1542"/>
      <c r="U78" s="1542"/>
      <c r="V78" s="3119" t="s">
        <v>5653</v>
      </c>
      <c r="W78" s="3119"/>
      <c r="X78" s="3119"/>
      <c r="Y78" s="3120"/>
      <c r="AA78" s="3040"/>
      <c r="AB78" s="3041"/>
      <c r="AC78" s="3041"/>
      <c r="AD78" s="3041"/>
      <c r="AE78" s="3042"/>
      <c r="AF78" s="834"/>
      <c r="AG78" s="834"/>
      <c r="AH78" s="834"/>
    </row>
    <row r="79" spans="2:51" ht="17" customHeight="1">
      <c r="B79" s="3106" t="s">
        <v>86</v>
      </c>
      <c r="C79" s="3107"/>
      <c r="D79" s="3107" t="s">
        <v>5599</v>
      </c>
      <c r="E79" s="3107"/>
      <c r="F79" s="3108"/>
      <c r="G79" s="3108"/>
      <c r="H79" s="3108"/>
      <c r="I79" s="3109"/>
      <c r="J79" s="3107" t="s">
        <v>150</v>
      </c>
      <c r="K79" s="3107"/>
      <c r="L79" s="3107" t="s">
        <v>5654</v>
      </c>
      <c r="M79" s="3107"/>
      <c r="N79" s="3110" t="s">
        <v>5655</v>
      </c>
      <c r="O79" s="3110"/>
      <c r="P79" s="3110"/>
      <c r="Q79" s="3111"/>
      <c r="R79" s="3107" t="s">
        <v>161</v>
      </c>
      <c r="S79" s="3107"/>
      <c r="T79" s="3107" t="s">
        <v>5656</v>
      </c>
      <c r="U79" s="3107"/>
      <c r="V79" s="3108" t="s">
        <v>5657</v>
      </c>
      <c r="W79" s="3108"/>
      <c r="X79" s="3108"/>
      <c r="Y79" s="3112"/>
      <c r="AA79" s="3040"/>
      <c r="AB79" s="3041"/>
      <c r="AC79" s="3041"/>
      <c r="AD79" s="3041"/>
      <c r="AE79" s="3042"/>
      <c r="AF79" s="834"/>
      <c r="AG79" s="834"/>
      <c r="AH79" s="834"/>
    </row>
    <row r="80" spans="2:51" ht="17" customHeight="1">
      <c r="B80" s="3096" t="s">
        <v>97</v>
      </c>
      <c r="C80" s="3097"/>
      <c r="D80" s="3097"/>
      <c r="E80" s="3097"/>
      <c r="F80" s="3098" t="s">
        <v>5658</v>
      </c>
      <c r="G80" s="3098"/>
      <c r="H80" s="3098"/>
      <c r="I80" s="3099"/>
      <c r="J80" s="3100" t="s">
        <v>152</v>
      </c>
      <c r="K80" s="3100"/>
      <c r="L80" s="3100" t="s">
        <v>5659</v>
      </c>
      <c r="M80" s="3100"/>
      <c r="N80" s="3101" t="s">
        <v>5660</v>
      </c>
      <c r="O80" s="3101"/>
      <c r="P80" s="3101"/>
      <c r="Q80" s="3102"/>
      <c r="R80" s="3103" t="s">
        <v>2163</v>
      </c>
      <c r="S80" s="3103"/>
      <c r="T80" s="3100" t="s">
        <v>5661</v>
      </c>
      <c r="U80" s="3100"/>
      <c r="V80" s="3104"/>
      <c r="W80" s="3104"/>
      <c r="X80" s="3104"/>
      <c r="Y80" s="3105"/>
      <c r="AA80" s="3043"/>
      <c r="AB80" s="3044"/>
      <c r="AC80" s="3044"/>
      <c r="AD80" s="3044"/>
      <c r="AE80" s="3045"/>
      <c r="AF80" s="834"/>
      <c r="AG80" s="834"/>
      <c r="AH80" s="834"/>
    </row>
    <row r="81" spans="2:34" ht="17" customHeight="1">
      <c r="B81" s="1325" t="s">
        <v>5662</v>
      </c>
      <c r="C81" s="1325"/>
      <c r="D81" s="1325"/>
      <c r="E81" s="1325"/>
      <c r="F81" s="1325"/>
      <c r="G81" s="1325"/>
      <c r="Z81" s="391"/>
      <c r="AA81" s="391"/>
      <c r="AB81" s="391"/>
      <c r="AC81" s="391"/>
      <c r="AD81" s="391"/>
      <c r="AE81" s="391"/>
      <c r="AF81" s="834"/>
      <c r="AG81" s="834"/>
      <c r="AH81" s="834"/>
    </row>
    <row r="82" spans="2:34" ht="17" customHeight="1">
      <c r="B82" s="1325"/>
      <c r="C82" s="1325"/>
      <c r="D82" s="1325"/>
      <c r="E82" s="1325"/>
      <c r="F82" s="1325"/>
      <c r="G82" s="1325"/>
      <c r="H82" s="391"/>
      <c r="I82" s="391"/>
      <c r="J82" s="391"/>
      <c r="K82" s="391"/>
      <c r="L82" s="391"/>
      <c r="M82" s="391"/>
      <c r="N82" s="391"/>
      <c r="O82" s="391"/>
      <c r="P82" s="391"/>
      <c r="Q82" s="391"/>
      <c r="R82" s="391"/>
      <c r="S82" s="391"/>
      <c r="T82" s="391"/>
      <c r="U82" s="391"/>
      <c r="V82" s="391"/>
      <c r="W82" s="391"/>
      <c r="X82" s="391"/>
      <c r="Y82" s="391"/>
    </row>
    <row r="83" spans="2:34" ht="17" customHeight="1">
      <c r="B83" s="3049" t="s">
        <v>561</v>
      </c>
      <c r="C83" s="3050"/>
      <c r="D83" s="3050"/>
      <c r="E83" s="3050"/>
      <c r="F83" s="3050"/>
      <c r="G83" s="3050"/>
      <c r="H83" s="3050"/>
      <c r="I83" s="3050"/>
      <c r="J83" s="3050"/>
      <c r="K83" s="3050"/>
      <c r="L83" s="3050"/>
      <c r="M83" s="3050"/>
      <c r="N83" s="3050"/>
      <c r="O83" s="3050"/>
      <c r="P83" s="3050"/>
      <c r="Q83" s="3050"/>
      <c r="R83" s="3050"/>
      <c r="S83" s="3050"/>
      <c r="T83" s="3050"/>
      <c r="U83" s="3050"/>
      <c r="V83" s="3050"/>
      <c r="W83" s="3050"/>
      <c r="X83" s="3050"/>
      <c r="Y83" s="3050"/>
      <c r="Z83" s="3050"/>
      <c r="AA83" s="3050"/>
      <c r="AB83" s="3050"/>
      <c r="AC83" s="3050"/>
      <c r="AD83" s="3050"/>
      <c r="AE83" s="3051"/>
    </row>
    <row r="84" spans="2:34" ht="14.5">
      <c r="B84" s="3052"/>
      <c r="C84" s="3053"/>
      <c r="D84" s="3053"/>
      <c r="E84" s="3053"/>
      <c r="F84" s="3053"/>
      <c r="G84" s="3053"/>
      <c r="H84" s="3053"/>
      <c r="I84" s="3053"/>
      <c r="J84" s="3053"/>
      <c r="K84" s="3053"/>
      <c r="L84" s="3053"/>
      <c r="M84" s="3053"/>
      <c r="N84" s="3053"/>
      <c r="O84" s="3053"/>
      <c r="P84" s="3053"/>
      <c r="Q84" s="3053"/>
      <c r="R84" s="3053"/>
      <c r="S84" s="3053"/>
      <c r="T84" s="3053"/>
      <c r="U84" s="3053"/>
      <c r="V84" s="3053"/>
      <c r="W84" s="3053"/>
      <c r="X84" s="3053"/>
      <c r="Y84" s="3053"/>
      <c r="Z84" s="3053"/>
      <c r="AA84" s="3053"/>
      <c r="AB84" s="3053"/>
      <c r="AC84" s="3053"/>
      <c r="AD84" s="3053"/>
      <c r="AE84" s="3054"/>
    </row>
    <row r="85" spans="2:34" ht="17" customHeight="1">
      <c r="B85" s="3078" t="s">
        <v>305</v>
      </c>
      <c r="C85" s="3079"/>
      <c r="D85" s="3079"/>
      <c r="E85" s="3080" t="s">
        <v>5663</v>
      </c>
      <c r="F85" s="3080"/>
      <c r="G85" s="3080"/>
      <c r="H85" s="3080" t="s">
        <v>317</v>
      </c>
      <c r="I85" s="3080"/>
      <c r="J85" s="3081" t="s">
        <v>321</v>
      </c>
      <c r="K85" s="3081"/>
      <c r="L85" s="3081"/>
      <c r="M85" s="3081"/>
      <c r="N85" s="3081"/>
      <c r="O85" s="3081"/>
      <c r="P85" s="3081"/>
      <c r="Q85" s="3081"/>
      <c r="R85" s="3081"/>
      <c r="S85" s="3081"/>
      <c r="T85" s="3081"/>
      <c r="U85" s="3081"/>
      <c r="V85" s="3081"/>
      <c r="W85" s="3081"/>
      <c r="X85" s="3081"/>
      <c r="Y85" s="3081"/>
      <c r="Z85" s="3081"/>
      <c r="AA85" s="3081"/>
      <c r="AB85" s="3081"/>
      <c r="AC85" s="3081"/>
      <c r="AD85" s="3081"/>
      <c r="AE85" s="3082"/>
    </row>
    <row r="86" spans="2:34" ht="14.5">
      <c r="B86" s="3055" t="s">
        <v>632</v>
      </c>
      <c r="C86" s="3056"/>
      <c r="D86" s="3056"/>
      <c r="E86" s="3056" t="s">
        <v>5664</v>
      </c>
      <c r="F86" s="3056"/>
      <c r="G86" s="3056"/>
      <c r="H86" s="3056">
        <v>70</v>
      </c>
      <c r="I86" s="3056"/>
      <c r="J86" s="3061" t="s">
        <v>634</v>
      </c>
      <c r="K86" s="3061"/>
      <c r="L86" s="3061"/>
      <c r="M86" s="3061"/>
      <c r="N86" s="3061"/>
      <c r="O86" s="3061"/>
      <c r="P86" s="3061"/>
      <c r="Q86" s="3061"/>
      <c r="R86" s="3061"/>
      <c r="S86" s="3061"/>
      <c r="T86" s="3061"/>
      <c r="U86" s="3061"/>
      <c r="V86" s="3061"/>
      <c r="W86" s="3061"/>
      <c r="X86" s="3061"/>
      <c r="Y86" s="3061"/>
      <c r="Z86" s="3061"/>
      <c r="AA86" s="3061"/>
      <c r="AB86" s="3061"/>
      <c r="AC86" s="3061"/>
      <c r="AD86" s="3061"/>
      <c r="AE86" s="3062"/>
    </row>
    <row r="87" spans="2:34" ht="14.5">
      <c r="B87" s="3055"/>
      <c r="C87" s="3056"/>
      <c r="D87" s="3056"/>
      <c r="E87" s="3056"/>
      <c r="F87" s="3056"/>
      <c r="G87" s="3056"/>
      <c r="H87" s="3056"/>
      <c r="I87" s="3056"/>
      <c r="J87" s="3061"/>
      <c r="K87" s="3061"/>
      <c r="L87" s="3061"/>
      <c r="M87" s="3061"/>
      <c r="N87" s="3061"/>
      <c r="O87" s="3061"/>
      <c r="P87" s="3061"/>
      <c r="Q87" s="3061"/>
      <c r="R87" s="3061"/>
      <c r="S87" s="3061"/>
      <c r="T87" s="3061"/>
      <c r="U87" s="3061"/>
      <c r="V87" s="3061"/>
      <c r="W87" s="3061"/>
      <c r="X87" s="3061"/>
      <c r="Y87" s="3061"/>
      <c r="Z87" s="3061"/>
      <c r="AA87" s="3061"/>
      <c r="AB87" s="3061"/>
      <c r="AC87" s="3061"/>
      <c r="AD87" s="3061"/>
      <c r="AE87" s="3062"/>
    </row>
    <row r="88" spans="2:34" ht="14.5">
      <c r="B88" s="3020" t="s">
        <v>649</v>
      </c>
      <c r="C88" s="3021"/>
      <c r="D88" s="3021"/>
      <c r="E88" s="3021" t="s">
        <v>1106</v>
      </c>
      <c r="F88" s="3021"/>
      <c r="G88" s="3021"/>
      <c r="H88" s="3021">
        <v>60</v>
      </c>
      <c r="I88" s="3021"/>
      <c r="J88" s="3024" t="s">
        <v>5665</v>
      </c>
      <c r="K88" s="3024"/>
      <c r="L88" s="3024"/>
      <c r="M88" s="3024"/>
      <c r="N88" s="3024"/>
      <c r="O88" s="3024"/>
      <c r="P88" s="3024"/>
      <c r="Q88" s="3024"/>
      <c r="R88" s="3024"/>
      <c r="S88" s="3024"/>
      <c r="T88" s="3024"/>
      <c r="U88" s="3024"/>
      <c r="V88" s="3024"/>
      <c r="W88" s="3024"/>
      <c r="X88" s="3024"/>
      <c r="Y88" s="3024"/>
      <c r="Z88" s="3024"/>
      <c r="AA88" s="3024"/>
      <c r="AB88" s="3024"/>
      <c r="AC88" s="3024"/>
      <c r="AD88" s="3024"/>
      <c r="AE88" s="3025"/>
    </row>
    <row r="89" spans="2:34" ht="14.5">
      <c r="B89" s="3020"/>
      <c r="C89" s="3021"/>
      <c r="D89" s="3021"/>
      <c r="E89" s="3021"/>
      <c r="F89" s="3021"/>
      <c r="G89" s="3021"/>
      <c r="H89" s="3021"/>
      <c r="I89" s="3021"/>
      <c r="J89" s="3024"/>
      <c r="K89" s="3024"/>
      <c r="L89" s="3024"/>
      <c r="M89" s="3024"/>
      <c r="N89" s="3024"/>
      <c r="O89" s="3024"/>
      <c r="P89" s="3024"/>
      <c r="Q89" s="3024"/>
      <c r="R89" s="3024"/>
      <c r="S89" s="3024"/>
      <c r="T89" s="3024"/>
      <c r="U89" s="3024"/>
      <c r="V89" s="3024"/>
      <c r="W89" s="3024"/>
      <c r="X89" s="3024"/>
      <c r="Y89" s="3024"/>
      <c r="Z89" s="3024"/>
      <c r="AA89" s="3024"/>
      <c r="AB89" s="3024"/>
      <c r="AC89" s="3024"/>
      <c r="AD89" s="3024"/>
      <c r="AE89" s="3025"/>
    </row>
    <row r="90" spans="2:34" ht="14.5">
      <c r="B90" s="3055" t="s">
        <v>678</v>
      </c>
      <c r="C90" s="3056"/>
      <c r="D90" s="3056"/>
      <c r="E90" s="3056" t="s">
        <v>1106</v>
      </c>
      <c r="F90" s="3056"/>
      <c r="G90" s="3056"/>
      <c r="H90" s="3058">
        <v>60</v>
      </c>
      <c r="I90" s="3058"/>
      <c r="J90" s="3059" t="s">
        <v>679</v>
      </c>
      <c r="K90" s="3059"/>
      <c r="L90" s="3059"/>
      <c r="M90" s="3059"/>
      <c r="N90" s="3059"/>
      <c r="O90" s="3059"/>
      <c r="P90" s="3059"/>
      <c r="Q90" s="3059"/>
      <c r="R90" s="3059"/>
      <c r="S90" s="3059"/>
      <c r="T90" s="3059"/>
      <c r="U90" s="3059"/>
      <c r="V90" s="3059"/>
      <c r="W90" s="3059"/>
      <c r="X90" s="3059"/>
      <c r="Y90" s="3059"/>
      <c r="Z90" s="3059"/>
      <c r="AA90" s="3059"/>
      <c r="AB90" s="3059"/>
      <c r="AC90" s="3059"/>
      <c r="AD90" s="3059"/>
      <c r="AE90" s="3060"/>
    </row>
    <row r="91" spans="2:34" ht="14.5">
      <c r="B91" s="3055"/>
      <c r="C91" s="3056"/>
      <c r="D91" s="3056"/>
      <c r="E91" s="3056"/>
      <c r="F91" s="3056"/>
      <c r="G91" s="3056"/>
      <c r="H91" s="3058"/>
      <c r="I91" s="3058"/>
      <c r="J91" s="3059"/>
      <c r="K91" s="3059"/>
      <c r="L91" s="3059"/>
      <c r="M91" s="3059"/>
      <c r="N91" s="3059"/>
      <c r="O91" s="3059"/>
      <c r="P91" s="3059"/>
      <c r="Q91" s="3059"/>
      <c r="R91" s="3059"/>
      <c r="S91" s="3059"/>
      <c r="T91" s="3059"/>
      <c r="U91" s="3059"/>
      <c r="V91" s="3059"/>
      <c r="W91" s="3059"/>
      <c r="X91" s="3059"/>
      <c r="Y91" s="3059"/>
      <c r="Z91" s="3059"/>
      <c r="AA91" s="3059"/>
      <c r="AB91" s="3059"/>
      <c r="AC91" s="3059"/>
      <c r="AD91" s="3059"/>
      <c r="AE91" s="3060"/>
    </row>
    <row r="92" spans="2:34" ht="14.5">
      <c r="B92" s="3020" t="s">
        <v>681</v>
      </c>
      <c r="C92" s="3021"/>
      <c r="D92" s="3021"/>
      <c r="E92" s="3021" t="s">
        <v>1106</v>
      </c>
      <c r="F92" s="3021"/>
      <c r="G92" s="3021"/>
      <c r="H92" s="3021">
        <v>60</v>
      </c>
      <c r="I92" s="3021"/>
      <c r="J92" s="3024" t="s">
        <v>682</v>
      </c>
      <c r="K92" s="3024"/>
      <c r="L92" s="3024"/>
      <c r="M92" s="3024"/>
      <c r="N92" s="3024"/>
      <c r="O92" s="3024"/>
      <c r="P92" s="3024"/>
      <c r="Q92" s="3024"/>
      <c r="R92" s="3024"/>
      <c r="S92" s="3024"/>
      <c r="T92" s="3024"/>
      <c r="U92" s="3024"/>
      <c r="V92" s="3024"/>
      <c r="W92" s="3024"/>
      <c r="X92" s="3024"/>
      <c r="Y92" s="3024"/>
      <c r="Z92" s="3024"/>
      <c r="AA92" s="3024"/>
      <c r="AB92" s="3024"/>
      <c r="AC92" s="3024"/>
      <c r="AD92" s="3024"/>
      <c r="AE92" s="3025"/>
    </row>
    <row r="93" spans="2:34" ht="14.5">
      <c r="B93" s="3020"/>
      <c r="C93" s="3021"/>
      <c r="D93" s="3021"/>
      <c r="E93" s="3021"/>
      <c r="F93" s="3021"/>
      <c r="G93" s="3021"/>
      <c r="H93" s="3021"/>
      <c r="I93" s="3021"/>
      <c r="J93" s="3024"/>
      <c r="K93" s="3024"/>
      <c r="L93" s="3024"/>
      <c r="M93" s="3024"/>
      <c r="N93" s="3024"/>
      <c r="O93" s="3024"/>
      <c r="P93" s="3024"/>
      <c r="Q93" s="3024"/>
      <c r="R93" s="3024"/>
      <c r="S93" s="3024"/>
      <c r="T93" s="3024"/>
      <c r="U93" s="3024"/>
      <c r="V93" s="3024"/>
      <c r="W93" s="3024"/>
      <c r="X93" s="3024"/>
      <c r="Y93" s="3024"/>
      <c r="Z93" s="3024"/>
      <c r="AA93" s="3024"/>
      <c r="AB93" s="3024"/>
      <c r="AC93" s="3024"/>
      <c r="AD93" s="3024"/>
      <c r="AE93" s="3025"/>
    </row>
    <row r="94" spans="2:34" ht="14.5">
      <c r="B94" s="3055" t="s">
        <v>687</v>
      </c>
      <c r="C94" s="3056"/>
      <c r="D94" s="3056"/>
      <c r="E94" s="3057" t="s">
        <v>688</v>
      </c>
      <c r="F94" s="3057"/>
      <c r="G94" s="3057"/>
      <c r="H94" s="3058">
        <v>0</v>
      </c>
      <c r="I94" s="3058"/>
      <c r="J94" s="3059" t="s">
        <v>689</v>
      </c>
      <c r="K94" s="3059"/>
      <c r="L94" s="3059"/>
      <c r="M94" s="3059"/>
      <c r="N94" s="3059"/>
      <c r="O94" s="3059"/>
      <c r="P94" s="3059"/>
      <c r="Q94" s="3059"/>
      <c r="R94" s="3059"/>
      <c r="S94" s="3059"/>
      <c r="T94" s="3059"/>
      <c r="U94" s="3059"/>
      <c r="V94" s="3059"/>
      <c r="W94" s="3059"/>
      <c r="X94" s="3059"/>
      <c r="Y94" s="3059"/>
      <c r="Z94" s="3059"/>
      <c r="AA94" s="3059"/>
      <c r="AB94" s="3059"/>
      <c r="AC94" s="3059"/>
      <c r="AD94" s="3059"/>
      <c r="AE94" s="3060"/>
    </row>
    <row r="95" spans="2:34" ht="14.5">
      <c r="B95" s="3055"/>
      <c r="C95" s="3056"/>
      <c r="D95" s="3056"/>
      <c r="E95" s="3057"/>
      <c r="F95" s="3057"/>
      <c r="G95" s="3057"/>
      <c r="H95" s="3058"/>
      <c r="I95" s="3058"/>
      <c r="J95" s="3059"/>
      <c r="K95" s="3059"/>
      <c r="L95" s="3059"/>
      <c r="M95" s="3059"/>
      <c r="N95" s="3059"/>
      <c r="O95" s="3059"/>
      <c r="P95" s="3059"/>
      <c r="Q95" s="3059"/>
      <c r="R95" s="3059"/>
      <c r="S95" s="3059"/>
      <c r="T95" s="3059"/>
      <c r="U95" s="3059"/>
      <c r="V95" s="3059"/>
      <c r="W95" s="3059"/>
      <c r="X95" s="3059"/>
      <c r="Y95" s="3059"/>
      <c r="Z95" s="3059"/>
      <c r="AA95" s="3059"/>
      <c r="AB95" s="3059"/>
      <c r="AC95" s="3059"/>
      <c r="AD95" s="3059"/>
      <c r="AE95" s="3060"/>
    </row>
    <row r="96" spans="2:34" ht="14.5">
      <c r="B96" s="3020" t="str">
        <f>IF(ISBLANK(人物卡!AF108),"",人物卡!AF108)</f>
        <v/>
      </c>
      <c r="C96" s="3021"/>
      <c r="D96" s="3021"/>
      <c r="E96" s="3021" t="str">
        <f>IF(ISBLANK(人物卡!AF110),"",人物卡!AF110)</f>
        <v/>
      </c>
      <c r="F96" s="3021"/>
      <c r="G96" s="3021"/>
      <c r="H96" s="3021" t="str">
        <f>IF(ISBLANK(人物卡!AJ110),"",人物卡!AJ110)</f>
        <v/>
      </c>
      <c r="I96" s="3021"/>
      <c r="J96" s="3024" t="str">
        <f>IF(ISBLANK(人物卡!AF112),"",人物卡!AF112)</f>
        <v/>
      </c>
      <c r="K96" s="3024"/>
      <c r="L96" s="3024"/>
      <c r="M96" s="3024"/>
      <c r="N96" s="3024"/>
      <c r="O96" s="3024"/>
      <c r="P96" s="3024"/>
      <c r="Q96" s="3024"/>
      <c r="R96" s="3024"/>
      <c r="S96" s="3024"/>
      <c r="T96" s="3024"/>
      <c r="U96" s="3024"/>
      <c r="V96" s="3024"/>
      <c r="W96" s="3024"/>
      <c r="X96" s="3024"/>
      <c r="Y96" s="3024"/>
      <c r="Z96" s="3024"/>
      <c r="AA96" s="3024"/>
      <c r="AB96" s="3024"/>
      <c r="AC96" s="3024"/>
      <c r="AD96" s="3024"/>
      <c r="AE96" s="3025"/>
    </row>
    <row r="97" spans="2:31" ht="14.5">
      <c r="B97" s="3022"/>
      <c r="C97" s="3023"/>
      <c r="D97" s="3023"/>
      <c r="E97" s="3023"/>
      <c r="F97" s="3023"/>
      <c r="G97" s="3023"/>
      <c r="H97" s="3023"/>
      <c r="I97" s="3023"/>
      <c r="J97" s="3026"/>
      <c r="K97" s="3026"/>
      <c r="L97" s="3026"/>
      <c r="M97" s="3026"/>
      <c r="N97" s="3026"/>
      <c r="O97" s="3026"/>
      <c r="P97" s="3026"/>
      <c r="Q97" s="3026"/>
      <c r="R97" s="3026"/>
      <c r="S97" s="3026"/>
      <c r="T97" s="3026"/>
      <c r="U97" s="3026"/>
      <c r="V97" s="3026"/>
      <c r="W97" s="3026"/>
      <c r="X97" s="3026"/>
      <c r="Y97" s="3026"/>
      <c r="Z97" s="3026"/>
      <c r="AA97" s="3026"/>
      <c r="AB97" s="3026"/>
      <c r="AC97" s="3026"/>
      <c r="AD97" s="3026"/>
      <c r="AE97" s="3027"/>
    </row>
    <row r="103" spans="2:31" ht="14.5"/>
    <row r="104" spans="2:31" ht="14.5"/>
    <row r="105" spans="2:31" ht="14.5"/>
    <row r="106" spans="2:31" ht="14.5"/>
    <row r="107" spans="2:31" ht="14.5"/>
    <row r="108" spans="2:31" ht="14.5"/>
    <row r="109" spans="2:31" ht="14.5"/>
    <row r="110" spans="2:31" ht="14.5"/>
    <row r="111" spans="2:31" ht="14.5"/>
    <row r="112" spans="2:31" ht="14.5"/>
    <row r="113" ht="14.5"/>
    <row r="114" ht="14.5"/>
    <row r="115" ht="14.5"/>
    <row r="116" ht="14.5"/>
    <row r="117" ht="14.5"/>
    <row r="118" ht="14.5"/>
    <row r="119" ht="14.5"/>
    <row r="120" ht="14.5"/>
    <row r="121" ht="14.5"/>
    <row r="122" ht="14.5"/>
    <row r="123" ht="14.5"/>
    <row r="124" ht="14.5"/>
    <row r="125" ht="14.5"/>
    <row r="126" ht="14.5"/>
    <row r="127" ht="14.5"/>
    <row r="128" ht="14.5"/>
    <row r="129" ht="14.5"/>
    <row r="130" ht="14.5"/>
  </sheetData>
  <sheetProtection selectLockedCells="1"/>
  <protectedRanges>
    <protectedRange sqref="AG3:AG6 AJ3:AJ6" name="技能表以上"/>
    <protectedRange sqref="E3:E6 H3:H6 B3:B6 K3:K6 AA4 AD4" name="技能表以上_1"/>
  </protectedRanges>
  <mergeCells count="364">
    <mergeCell ref="B2:M2"/>
    <mergeCell ref="N2:Y2"/>
    <mergeCell ref="Z2:AE2"/>
    <mergeCell ref="N3:P3"/>
    <mergeCell ref="T3:V3"/>
    <mergeCell ref="N4:P4"/>
    <mergeCell ref="T4:V4"/>
    <mergeCell ref="N5:P5"/>
    <mergeCell ref="T5:V5"/>
    <mergeCell ref="Z5:AE5"/>
    <mergeCell ref="I3:I4"/>
    <mergeCell ref="I5:I6"/>
    <mergeCell ref="AA3:AB4"/>
    <mergeCell ref="AD3:AE4"/>
    <mergeCell ref="AB6:AE6"/>
    <mergeCell ref="N7:P7"/>
    <mergeCell ref="T7:V7"/>
    <mergeCell ref="Z7:AA7"/>
    <mergeCell ref="AB7:AE7"/>
    <mergeCell ref="N8:P8"/>
    <mergeCell ref="T8:V8"/>
    <mergeCell ref="Z8:AA8"/>
    <mergeCell ref="AB8:AE8"/>
    <mergeCell ref="AB9:AE9"/>
    <mergeCell ref="N10:P10"/>
    <mergeCell ref="T10:V10"/>
    <mergeCell ref="Z10:AA10"/>
    <mergeCell ref="AB10:AE10"/>
    <mergeCell ref="B11:M11"/>
    <mergeCell ref="N11:P11"/>
    <mergeCell ref="T11:V11"/>
    <mergeCell ref="Z11:AA11"/>
    <mergeCell ref="AB11:AE11"/>
    <mergeCell ref="C9:D10"/>
    <mergeCell ref="F9:G10"/>
    <mergeCell ref="N12:P12"/>
    <mergeCell ref="T12:V12"/>
    <mergeCell ref="Z12:AA12"/>
    <mergeCell ref="AB12:AE12"/>
    <mergeCell ref="N13:P13"/>
    <mergeCell ref="T13:V13"/>
    <mergeCell ref="Z13:AA13"/>
    <mergeCell ref="AB13:AE13"/>
    <mergeCell ref="N14:P14"/>
    <mergeCell ref="T14:V14"/>
    <mergeCell ref="Z14:AA14"/>
    <mergeCell ref="AB14:AE14"/>
    <mergeCell ref="AB15:AE15"/>
    <mergeCell ref="N16:P16"/>
    <mergeCell ref="T16:V16"/>
    <mergeCell ref="Z16:AA16"/>
    <mergeCell ref="AB16:AE16"/>
    <mergeCell ref="B17:M17"/>
    <mergeCell ref="N17:P17"/>
    <mergeCell ref="T17:V17"/>
    <mergeCell ref="Z17:AA17"/>
    <mergeCell ref="AB17:AE17"/>
    <mergeCell ref="E19:F19"/>
    <mergeCell ref="G19:H19"/>
    <mergeCell ref="I19:J19"/>
    <mergeCell ref="K19:L19"/>
    <mergeCell ref="O19:P19"/>
    <mergeCell ref="U19:V19"/>
    <mergeCell ref="N15:P15"/>
    <mergeCell ref="T15:V15"/>
    <mergeCell ref="Z15:AA15"/>
    <mergeCell ref="B20:M20"/>
    <mergeCell ref="O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Z18:AE20"/>
    <mergeCell ref="B18:D18"/>
    <mergeCell ref="E18:F18"/>
    <mergeCell ref="G18:H18"/>
    <mergeCell ref="I18:J18"/>
    <mergeCell ref="K18:L18"/>
    <mergeCell ref="N18:P18"/>
    <mergeCell ref="T18:V18"/>
    <mergeCell ref="B19:D19"/>
    <mergeCell ref="B23:D23"/>
    <mergeCell ref="E23:G23"/>
    <mergeCell ref="H23:J23"/>
    <mergeCell ref="K23:M23"/>
    <mergeCell ref="O23:P23"/>
    <mergeCell ref="T23:V23"/>
    <mergeCell ref="Z23:AC23"/>
    <mergeCell ref="AD23:AE23"/>
    <mergeCell ref="B24:D24"/>
    <mergeCell ref="E24:G24"/>
    <mergeCell ref="H24:J24"/>
    <mergeCell ref="K24:M24"/>
    <mergeCell ref="O24:P24"/>
    <mergeCell ref="T24:V24"/>
    <mergeCell ref="Z24:AC24"/>
    <mergeCell ref="AD24:AE24"/>
    <mergeCell ref="B25:D25"/>
    <mergeCell ref="E25:G25"/>
    <mergeCell ref="H25:J25"/>
    <mergeCell ref="K25:M25"/>
    <mergeCell ref="O25:P25"/>
    <mergeCell ref="U25:V25"/>
    <mergeCell ref="Z25:AC25"/>
    <mergeCell ref="AD25:AE25"/>
    <mergeCell ref="B26:D26"/>
    <mergeCell ref="E26:G26"/>
    <mergeCell ref="H26:J26"/>
    <mergeCell ref="K26:M26"/>
    <mergeCell ref="O26:P26"/>
    <mergeCell ref="U26:V26"/>
    <mergeCell ref="Z26:AC26"/>
    <mergeCell ref="AD26:AE26"/>
    <mergeCell ref="B27:M27"/>
    <mergeCell ref="O27:P27"/>
    <mergeCell ref="T27:V27"/>
    <mergeCell ref="Z27:AC27"/>
    <mergeCell ref="AD27:AE27"/>
    <mergeCell ref="C28:F28"/>
    <mergeCell ref="O28:P28"/>
    <mergeCell ref="T28:V28"/>
    <mergeCell ref="Z28:AC28"/>
    <mergeCell ref="AD28:AE28"/>
    <mergeCell ref="Z31:AC31"/>
    <mergeCell ref="AD31:AE31"/>
    <mergeCell ref="C32:F32"/>
    <mergeCell ref="O32:P32"/>
    <mergeCell ref="T32:V32"/>
    <mergeCell ref="Z32:AC32"/>
    <mergeCell ref="AD32:AE32"/>
    <mergeCell ref="C29:F29"/>
    <mergeCell ref="O29:P29"/>
    <mergeCell ref="T29:V29"/>
    <mergeCell ref="Z29:AC29"/>
    <mergeCell ref="AD29:AE29"/>
    <mergeCell ref="C30:F30"/>
    <mergeCell ref="O30:P30"/>
    <mergeCell ref="T30:V30"/>
    <mergeCell ref="Z30:AC30"/>
    <mergeCell ref="AD30:AE30"/>
    <mergeCell ref="C35:F35"/>
    <mergeCell ref="O35:P35"/>
    <mergeCell ref="T35:V35"/>
    <mergeCell ref="Z35:AC35"/>
    <mergeCell ref="AD35:AE35"/>
    <mergeCell ref="C36:G36"/>
    <mergeCell ref="N36:P36"/>
    <mergeCell ref="T36:V36"/>
    <mergeCell ref="Z36:AC36"/>
    <mergeCell ref="AD36:AE36"/>
    <mergeCell ref="H28:M36"/>
    <mergeCell ref="C33:F33"/>
    <mergeCell ref="O33:P33"/>
    <mergeCell ref="U33:V33"/>
    <mergeCell ref="Z33:AC33"/>
    <mergeCell ref="AD33:AE33"/>
    <mergeCell ref="C34:F34"/>
    <mergeCell ref="O34:P34"/>
    <mergeCell ref="U34:V34"/>
    <mergeCell ref="Z34:AC34"/>
    <mergeCell ref="AD34:AE34"/>
    <mergeCell ref="C31:F31"/>
    <mergeCell ref="O31:P31"/>
    <mergeCell ref="T31:V31"/>
    <mergeCell ref="AF36:AO36"/>
    <mergeCell ref="O37:P37"/>
    <mergeCell ref="U37:V37"/>
    <mergeCell ref="Z37:AE37"/>
    <mergeCell ref="O38:P38"/>
    <mergeCell ref="U38:V38"/>
    <mergeCell ref="Z38:AE38"/>
    <mergeCell ref="O39:P39"/>
    <mergeCell ref="U39:V39"/>
    <mergeCell ref="Z39:AE39"/>
    <mergeCell ref="O40:P40"/>
    <mergeCell ref="U40:V40"/>
    <mergeCell ref="Z40:AE40"/>
    <mergeCell ref="O41:P41"/>
    <mergeCell ref="U41:V41"/>
    <mergeCell ref="Z41:AE41"/>
    <mergeCell ref="O42:P42"/>
    <mergeCell ref="U42:V42"/>
    <mergeCell ref="Z42:AE42"/>
    <mergeCell ref="P43:Y43"/>
    <mergeCell ref="B44:Y44"/>
    <mergeCell ref="B45:Y45"/>
    <mergeCell ref="AF45:AN45"/>
    <mergeCell ref="B50:Y50"/>
    <mergeCell ref="B51:Y51"/>
    <mergeCell ref="B56:Y56"/>
    <mergeCell ref="B57:Y57"/>
    <mergeCell ref="AA45:AE49"/>
    <mergeCell ref="B46:Y49"/>
    <mergeCell ref="B52:Y55"/>
    <mergeCell ref="AF43:AL44"/>
    <mergeCell ref="J72:K72"/>
    <mergeCell ref="L72:M72"/>
    <mergeCell ref="N72:Q72"/>
    <mergeCell ref="R72:S72"/>
    <mergeCell ref="T72:U72"/>
    <mergeCell ref="V72:Y72"/>
    <mergeCell ref="AA62:AE62"/>
    <mergeCell ref="AA63:AE63"/>
    <mergeCell ref="B70:Y70"/>
    <mergeCell ref="B71:C71"/>
    <mergeCell ref="D71:E71"/>
    <mergeCell ref="F71:I71"/>
    <mergeCell ref="J71:K71"/>
    <mergeCell ref="L71:M71"/>
    <mergeCell ref="N71:Q71"/>
    <mergeCell ref="R71:S71"/>
    <mergeCell ref="T71:U71"/>
    <mergeCell ref="V71:Y71"/>
    <mergeCell ref="J74:K74"/>
    <mergeCell ref="L74:M74"/>
    <mergeCell ref="N74:Q74"/>
    <mergeCell ref="R74:S74"/>
    <mergeCell ref="T74:U74"/>
    <mergeCell ref="V74:Y74"/>
    <mergeCell ref="B73:C73"/>
    <mergeCell ref="D73:E73"/>
    <mergeCell ref="F73:I73"/>
    <mergeCell ref="J73:K73"/>
    <mergeCell ref="L73:M73"/>
    <mergeCell ref="N73:Q73"/>
    <mergeCell ref="R73:S73"/>
    <mergeCell ref="T73:U73"/>
    <mergeCell ref="V73:Y73"/>
    <mergeCell ref="R75:S75"/>
    <mergeCell ref="T75:U75"/>
    <mergeCell ref="V75:Y75"/>
    <mergeCell ref="Z75:AE75"/>
    <mergeCell ref="B76:C76"/>
    <mergeCell ref="D76:E76"/>
    <mergeCell ref="F76:I76"/>
    <mergeCell ref="R76:S76"/>
    <mergeCell ref="T76:U76"/>
    <mergeCell ref="V76:Y76"/>
    <mergeCell ref="T79:U79"/>
    <mergeCell ref="V79:Y79"/>
    <mergeCell ref="B77:C77"/>
    <mergeCell ref="D77:E77"/>
    <mergeCell ref="F77:I77"/>
    <mergeCell ref="R77:S77"/>
    <mergeCell ref="T77:U77"/>
    <mergeCell ref="V77:Y77"/>
    <mergeCell ref="B78:C78"/>
    <mergeCell ref="D78:E78"/>
    <mergeCell ref="F78:I78"/>
    <mergeCell ref="J78:K78"/>
    <mergeCell ref="L78:M78"/>
    <mergeCell ref="N78:Q78"/>
    <mergeCell ref="R78:S78"/>
    <mergeCell ref="T78:U78"/>
    <mergeCell ref="V78:Y78"/>
    <mergeCell ref="F3:F4"/>
    <mergeCell ref="F5:F6"/>
    <mergeCell ref="F7:F8"/>
    <mergeCell ref="G7:G8"/>
    <mergeCell ref="H3:H4"/>
    <mergeCell ref="H5:H6"/>
    <mergeCell ref="H7:H8"/>
    <mergeCell ref="H9:H10"/>
    <mergeCell ref="B80:C80"/>
    <mergeCell ref="D80:E80"/>
    <mergeCell ref="F80:I80"/>
    <mergeCell ref="B79:C79"/>
    <mergeCell ref="D79:E79"/>
    <mergeCell ref="F79:I79"/>
    <mergeCell ref="B75:C75"/>
    <mergeCell ref="D75:E75"/>
    <mergeCell ref="F75:I75"/>
    <mergeCell ref="B74:C74"/>
    <mergeCell ref="D74:E74"/>
    <mergeCell ref="F74:I74"/>
    <mergeCell ref="B72:C72"/>
    <mergeCell ref="D72:E72"/>
    <mergeCell ref="F72:I72"/>
    <mergeCell ref="B43:O43"/>
    <mergeCell ref="B3:B4"/>
    <mergeCell ref="B5:B6"/>
    <mergeCell ref="B7:B8"/>
    <mergeCell ref="B9:B10"/>
    <mergeCell ref="C3:C4"/>
    <mergeCell ref="C5:C6"/>
    <mergeCell ref="C7:C8"/>
    <mergeCell ref="D7:D8"/>
    <mergeCell ref="E3:E4"/>
    <mergeCell ref="E5:E6"/>
    <mergeCell ref="E7:E8"/>
    <mergeCell ref="E9:E10"/>
    <mergeCell ref="K3:K4"/>
    <mergeCell ref="K5:K6"/>
    <mergeCell ref="K7:K8"/>
    <mergeCell ref="K9:K10"/>
    <mergeCell ref="L3:L4"/>
    <mergeCell ref="L5:L6"/>
    <mergeCell ref="Z3:Z4"/>
    <mergeCell ref="L7:M8"/>
    <mergeCell ref="I9:J10"/>
    <mergeCell ref="L9:M10"/>
    <mergeCell ref="N9:P9"/>
    <mergeCell ref="T9:V9"/>
    <mergeCell ref="Z9:AA9"/>
    <mergeCell ref="N6:P6"/>
    <mergeCell ref="T6:V6"/>
    <mergeCell ref="Z6:AA6"/>
    <mergeCell ref="B88:D89"/>
    <mergeCell ref="E88:G89"/>
    <mergeCell ref="H88:I89"/>
    <mergeCell ref="J88:AE89"/>
    <mergeCell ref="B90:D91"/>
    <mergeCell ref="E90:G91"/>
    <mergeCell ref="H90:I91"/>
    <mergeCell ref="J90:AE91"/>
    <mergeCell ref="I7:I8"/>
    <mergeCell ref="J7:J8"/>
    <mergeCell ref="B85:D85"/>
    <mergeCell ref="E85:G85"/>
    <mergeCell ref="H85:I85"/>
    <mergeCell ref="J85:AE85"/>
    <mergeCell ref="J80:K80"/>
    <mergeCell ref="L80:M80"/>
    <mergeCell ref="N80:Q80"/>
    <mergeCell ref="R80:S80"/>
    <mergeCell ref="T80:U80"/>
    <mergeCell ref="V80:Y80"/>
    <mergeCell ref="J79:K79"/>
    <mergeCell ref="L79:M79"/>
    <mergeCell ref="N79:Q79"/>
    <mergeCell ref="R79:S79"/>
    <mergeCell ref="B96:D97"/>
    <mergeCell ref="E96:G97"/>
    <mergeCell ref="H96:I97"/>
    <mergeCell ref="J96:AE97"/>
    <mergeCell ref="AA70:AE74"/>
    <mergeCell ref="AA76:AE80"/>
    <mergeCell ref="AV46:AY53"/>
    <mergeCell ref="AV55:AY68"/>
    <mergeCell ref="AV27:AY44"/>
    <mergeCell ref="B58:Y61"/>
    <mergeCell ref="B81:G82"/>
    <mergeCell ref="B83:AE84"/>
    <mergeCell ref="B92:D93"/>
    <mergeCell ref="E92:G93"/>
    <mergeCell ref="H92:I93"/>
    <mergeCell ref="J92:AE93"/>
    <mergeCell ref="B94:D95"/>
    <mergeCell ref="E94:G95"/>
    <mergeCell ref="H94:I95"/>
    <mergeCell ref="J94:AE95"/>
    <mergeCell ref="B86:D87"/>
    <mergeCell ref="E86:G87"/>
    <mergeCell ref="H86:I87"/>
    <mergeCell ref="J86:AE87"/>
  </mergeCells>
  <phoneticPr fontId="282" type="noConversion"/>
  <dataValidations count="4">
    <dataValidation type="list" allowBlank="1" showInputMessage="1" showErrorMessage="1" sqref="Z3" xr:uid="{00000000-0002-0000-0300-000000000000}">
      <formula1>"公元,公元前"</formula1>
    </dataValidation>
    <dataValidation type="list" allowBlank="1" showInputMessage="1" showErrorMessage="1" sqref="AA3 AC3:AC4" xr:uid="{00000000-0002-0000-0300-000001000000}">
      <formula1>#REF!</formula1>
    </dataValidation>
    <dataValidation allowBlank="1" showErrorMessage="1" sqref="I18:M18" xr:uid="{00000000-0002-0000-0300-000002000000}"/>
    <dataValidation allowBlank="1" showInputMessage="1" showErrorMessage="1" sqref="B3:M6" xr:uid="{00000000-0002-0000-0300-000003000000}"/>
  </dataValidations>
  <pageMargins left="0.75" right="0.75" top="1" bottom="1" header="0.51180555555555596" footer="0.51180555555555596"/>
  <pageSetup paperSize="9"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289"/>
  <sheetViews>
    <sheetView showGridLines="0" zoomScale="115" zoomScaleNormal="115" workbookViewId="0">
      <pane xSplit="3" ySplit="2" topLeftCell="D3" activePane="bottomRight" state="frozen"/>
      <selection pane="topRight"/>
      <selection pane="bottomLeft"/>
      <selection pane="bottomRight" activeCell="G162" sqref="G162"/>
    </sheetView>
  </sheetViews>
  <sheetFormatPr defaultColWidth="9" defaultRowHeight="16.5"/>
  <cols>
    <col min="1" max="1" width="4.81640625" style="669" customWidth="1"/>
    <col min="2" max="3" width="12.6328125" style="670" customWidth="1"/>
    <col min="4" max="4" width="6.08984375" style="671" customWidth="1"/>
    <col min="5" max="5" width="26.54296875" style="669" customWidth="1"/>
    <col min="6" max="6" width="7.6328125" style="669" customWidth="1"/>
    <col min="7" max="7" width="138" style="669" customWidth="1"/>
    <col min="8" max="8" width="12.90625" style="670" customWidth="1"/>
    <col min="9" max="9" width="9.90625" style="669" customWidth="1"/>
    <col min="10" max="10" width="9.453125" style="669" customWidth="1"/>
    <col min="11" max="11" width="13.08984375" style="672" hidden="1" customWidth="1"/>
    <col min="12" max="12" width="13.81640625" style="673" hidden="1" customWidth="1"/>
    <col min="13" max="13" width="17.6328125" style="673" hidden="1" customWidth="1"/>
    <col min="14" max="14" width="17.08984375" style="673" hidden="1" customWidth="1"/>
    <col min="15" max="15" width="10.81640625" style="674" customWidth="1"/>
    <col min="16" max="16" width="8.54296875" style="674" customWidth="1"/>
    <col min="17" max="17" width="23.6328125" style="675" customWidth="1"/>
    <col min="18" max="18" width="8.08984375" style="674" customWidth="1"/>
    <col min="19" max="20" width="9" style="674" customWidth="1"/>
    <col min="21" max="21" width="11.36328125" style="674" customWidth="1"/>
    <col min="22" max="22" width="9" style="674" customWidth="1"/>
    <col min="23" max="16384" width="9" style="674"/>
  </cols>
  <sheetData>
    <row r="1" spans="1:33" ht="33">
      <c r="A1" s="676" t="s">
        <v>5666</v>
      </c>
      <c r="B1" s="3266" t="s">
        <v>51</v>
      </c>
      <c r="C1" s="3266"/>
      <c r="D1" s="678" t="s">
        <v>150</v>
      </c>
      <c r="E1" s="677" t="s">
        <v>5667</v>
      </c>
      <c r="F1" s="677" t="s">
        <v>5668</v>
      </c>
      <c r="G1" s="679" t="s">
        <v>5669</v>
      </c>
      <c r="H1" s="669"/>
      <c r="K1" s="3267" t="s">
        <v>5670</v>
      </c>
      <c r="L1" s="3267"/>
      <c r="M1" s="3267" t="s">
        <v>158</v>
      </c>
      <c r="N1" s="3267"/>
    </row>
    <row r="2" spans="1:33">
      <c r="A2" s="680">
        <v>0</v>
      </c>
      <c r="B2" s="3268" t="s">
        <v>5671</v>
      </c>
      <c r="C2" s="3268"/>
      <c r="D2" s="3268"/>
      <c r="E2" s="3268"/>
      <c r="F2" s="3268"/>
      <c r="G2" s="3269"/>
      <c r="H2" s="3218" t="s">
        <v>5672</v>
      </c>
      <c r="I2" s="3270" t="s">
        <v>5673</v>
      </c>
      <c r="J2" s="3271"/>
      <c r="K2" s="681"/>
      <c r="L2" s="682"/>
      <c r="M2" s="682"/>
      <c r="N2" s="682"/>
      <c r="O2" s="675"/>
      <c r="P2" s="675"/>
      <c r="Q2" s="391"/>
      <c r="R2" s="683"/>
    </row>
    <row r="3" spans="1:33" ht="17.25" customHeight="1">
      <c r="A3" s="684">
        <v>1</v>
      </c>
      <c r="B3" s="685" t="str">
        <f>IF(C3="","自定义职业",C3)</f>
        <v>自定义职业</v>
      </c>
      <c r="C3" s="686"/>
      <c r="D3" s="687"/>
      <c r="E3" s="688" t="str">
        <f>附表!AA9</f>
        <v/>
      </c>
      <c r="F3" s="689">
        <f>SUM(附表!AF10:AF12)</f>
        <v>0</v>
      </c>
      <c r="G3" s="690" t="str">
        <f>IF(I3&lt;&gt;"",I3&amp;"，"&amp;I4&amp;"，"&amp;I5&amp;"，"&amp;I9&amp;"，"&amp;I10&amp;"，"&amp;I11&amp;"，"&amp;#REF!&amp;"，"&amp;#REF!,"不多于8个本职技能。在右侧职业属性中输入第二职业属性的数值（留空则视为EDUA）并自行设置起始信誉。使用自定义职业前，请先咨询你的守秘人。")</f>
        <v>不多于8个本职技能。在右侧职业属性中输入第二职业属性的数值（留空则视为EDUA）并自行设置起始信誉。使用自定义职业前，请先咨询你的守秘人。</v>
      </c>
      <c r="H3" s="3218"/>
      <c r="I3" s="3256"/>
      <c r="J3" s="3257"/>
      <c r="K3" s="3244" t="s">
        <v>5674</v>
      </c>
      <c r="L3" s="3244"/>
      <c r="M3" s="691" t="s">
        <v>5675</v>
      </c>
      <c r="N3" s="692"/>
      <c r="O3" s="675"/>
      <c r="P3" s="675"/>
      <c r="Q3" s="391"/>
      <c r="R3" s="683"/>
    </row>
    <row r="4" spans="1:33" ht="17.25" customHeight="1">
      <c r="A4" s="693">
        <v>2</v>
      </c>
      <c r="B4" s="3265" t="s">
        <v>5676</v>
      </c>
      <c r="C4" s="3265"/>
      <c r="D4" s="694" t="s">
        <v>5677</v>
      </c>
      <c r="E4" s="695" t="s">
        <v>5678</v>
      </c>
      <c r="F4" s="696">
        <f>IFERROR(MAX(INTA*4,POWA*4),0)</f>
        <v>0</v>
      </c>
      <c r="G4" s="697" t="s">
        <v>5679</v>
      </c>
      <c r="H4" s="3218"/>
      <c r="I4" s="3262"/>
      <c r="J4" s="3263"/>
      <c r="K4" s="3260" t="s">
        <v>5680</v>
      </c>
      <c r="L4" s="3260"/>
      <c r="M4" s="3261" t="s">
        <v>5681</v>
      </c>
      <c r="N4" s="3260"/>
      <c r="O4" s="675"/>
      <c r="P4" s="675"/>
      <c r="Q4" s="391"/>
      <c r="R4" s="683"/>
    </row>
    <row r="5" spans="1:33" ht="17.25" customHeight="1">
      <c r="A5" s="700">
        <v>3</v>
      </c>
      <c r="B5" s="3258" t="s">
        <v>5682</v>
      </c>
      <c r="C5" s="3259"/>
      <c r="D5" s="701" t="s">
        <v>5683</v>
      </c>
      <c r="E5" s="702" t="s">
        <v>5684</v>
      </c>
      <c r="F5" s="703">
        <f>IFERROR(MAX(INTA*4,EDUA*4),0)</f>
        <v>0</v>
      </c>
      <c r="G5" s="704" t="s">
        <v>5685</v>
      </c>
      <c r="H5" s="3218"/>
      <c r="I5" s="3262"/>
      <c r="J5" s="3263"/>
      <c r="K5" s="3260" t="s">
        <v>5686</v>
      </c>
      <c r="L5" s="3260"/>
      <c r="M5" s="3261" t="s">
        <v>5687</v>
      </c>
      <c r="N5" s="3260"/>
      <c r="O5" s="675"/>
      <c r="P5" s="675"/>
      <c r="Q5" s="391"/>
      <c r="R5" s="683"/>
    </row>
    <row r="6" spans="1:33" ht="17.25" customHeight="1">
      <c r="A6" s="705">
        <v>4</v>
      </c>
      <c r="B6" s="3264" t="s">
        <v>5688</v>
      </c>
      <c r="C6" s="3264"/>
      <c r="D6" s="706" t="s">
        <v>5689</v>
      </c>
      <c r="E6" s="707" t="s">
        <v>5678</v>
      </c>
      <c r="F6" s="708">
        <f>IFERROR(MAX(INTA*4,POWA*4),0)</f>
        <v>0</v>
      </c>
      <c r="G6" s="709" t="s">
        <v>5690</v>
      </c>
      <c r="H6" s="3218"/>
      <c r="I6" s="3262"/>
      <c r="J6" s="3263"/>
      <c r="K6" s="3260" t="s">
        <v>5691</v>
      </c>
      <c r="L6" s="3260"/>
      <c r="M6" s="3261" t="s">
        <v>5692</v>
      </c>
      <c r="N6" s="3261"/>
      <c r="O6" s="675"/>
      <c r="P6" s="675"/>
      <c r="Q6" s="391"/>
      <c r="R6" s="683"/>
    </row>
    <row r="7" spans="1:33">
      <c r="A7" s="693">
        <v>5</v>
      </c>
      <c r="B7" s="3265" t="s">
        <v>5693</v>
      </c>
      <c r="C7" s="3265"/>
      <c r="D7" s="694" t="s">
        <v>5689</v>
      </c>
      <c r="E7" s="695" t="s">
        <v>5694</v>
      </c>
      <c r="F7" s="696">
        <f>IFERROR(MAX(INTA*4,POWA*4),0)</f>
        <v>0</v>
      </c>
      <c r="G7" s="697" t="s">
        <v>5695</v>
      </c>
      <c r="H7" s="3218"/>
      <c r="I7" s="3262"/>
      <c r="J7" s="3263"/>
      <c r="K7" s="3260" t="s">
        <v>5696</v>
      </c>
      <c r="L7" s="3260"/>
      <c r="M7" s="3261" t="s">
        <v>5697</v>
      </c>
      <c r="N7" s="3261"/>
      <c r="O7" s="675"/>
      <c r="P7" s="675"/>
      <c r="Q7" s="391"/>
      <c r="R7" s="683"/>
    </row>
    <row r="8" spans="1:33">
      <c r="A8" s="700">
        <v>6</v>
      </c>
      <c r="B8" s="3258" t="s">
        <v>5698</v>
      </c>
      <c r="C8" s="3259"/>
      <c r="D8" s="701" t="s">
        <v>5683</v>
      </c>
      <c r="E8" s="702" t="s">
        <v>5699</v>
      </c>
      <c r="F8" s="703">
        <f>IFERROR(MAX(POWA*4,(DEXA*2+STRA*2)),0)</f>
        <v>0</v>
      </c>
      <c r="G8" s="704" t="s">
        <v>5700</v>
      </c>
      <c r="H8" s="3218"/>
      <c r="I8" s="698"/>
      <c r="J8" s="699"/>
      <c r="K8" s="3260" t="s">
        <v>5701</v>
      </c>
      <c r="L8" s="3260"/>
      <c r="M8" s="3261" t="s">
        <v>5702</v>
      </c>
      <c r="N8" s="3260"/>
      <c r="O8" s="675"/>
      <c r="P8" s="675"/>
      <c r="Q8" s="391"/>
      <c r="R8" s="683"/>
    </row>
    <row r="9" spans="1:33">
      <c r="A9" s="680">
        <v>7</v>
      </c>
      <c r="B9" s="3245" t="s">
        <v>5703</v>
      </c>
      <c r="C9" s="3245"/>
      <c r="D9" s="669" t="s">
        <v>5704</v>
      </c>
      <c r="E9" s="669" t="s">
        <v>5705</v>
      </c>
      <c r="F9" s="674">
        <f>IFERROR(EDUA*4,0)</f>
        <v>0</v>
      </c>
      <c r="G9" s="710" t="s">
        <v>5706</v>
      </c>
      <c r="H9" s="3218"/>
      <c r="I9" s="3256"/>
      <c r="J9" s="3257"/>
      <c r="K9" s="3244" t="s">
        <v>5707</v>
      </c>
      <c r="L9" s="3244"/>
      <c r="M9" s="691" t="s">
        <v>5708</v>
      </c>
      <c r="N9" s="692"/>
      <c r="O9" s="675"/>
      <c r="P9" s="675"/>
      <c r="Q9" s="391"/>
      <c r="R9" s="683"/>
    </row>
    <row r="10" spans="1:33">
      <c r="A10" s="711">
        <v>8</v>
      </c>
      <c r="B10" s="3243" t="s">
        <v>5709</v>
      </c>
      <c r="C10" s="3243"/>
      <c r="D10" s="712" t="s">
        <v>5710</v>
      </c>
      <c r="E10" s="713" t="s">
        <v>5711</v>
      </c>
      <c r="F10" s="714">
        <f>IFERROR(EDUA*2+DEXA*2,0)</f>
        <v>0</v>
      </c>
      <c r="G10" s="715" t="s">
        <v>5712</v>
      </c>
      <c r="H10" s="3218"/>
      <c r="I10" s="3256"/>
      <c r="J10" s="3257"/>
      <c r="K10" s="3244" t="s">
        <v>5713</v>
      </c>
      <c r="L10" s="3244"/>
      <c r="M10" s="691" t="s">
        <v>5714</v>
      </c>
      <c r="N10" s="692"/>
      <c r="O10" s="675"/>
      <c r="P10" s="675"/>
      <c r="Q10" s="391"/>
      <c r="R10" s="683"/>
    </row>
    <row r="11" spans="1:33">
      <c r="A11" s="680">
        <v>9</v>
      </c>
      <c r="B11" s="3245" t="s">
        <v>5715</v>
      </c>
      <c r="C11" s="3245"/>
      <c r="D11" s="669" t="s">
        <v>5683</v>
      </c>
      <c r="E11" s="669" t="s">
        <v>5716</v>
      </c>
      <c r="F11" s="674">
        <f>IFERROR(EDUA*2+APPA*2,0)</f>
        <v>0</v>
      </c>
      <c r="G11" s="710" t="s">
        <v>5717</v>
      </c>
      <c r="H11" s="3218"/>
      <c r="I11" s="3256"/>
      <c r="J11" s="3257"/>
      <c r="K11" s="3244" t="s">
        <v>5718</v>
      </c>
      <c r="L11" s="3244"/>
      <c r="M11" s="691" t="s">
        <v>5719</v>
      </c>
      <c r="N11" s="692"/>
      <c r="O11" s="675"/>
      <c r="P11" s="675"/>
      <c r="Q11" s="391"/>
      <c r="R11" s="716"/>
    </row>
    <row r="12" spans="1:33" ht="16.5" customHeight="1">
      <c r="A12" s="711">
        <v>10</v>
      </c>
      <c r="B12" s="3243" t="s">
        <v>5720</v>
      </c>
      <c r="C12" s="3243"/>
      <c r="D12" s="712" t="s">
        <v>5721</v>
      </c>
      <c r="E12" s="713" t="s">
        <v>5716</v>
      </c>
      <c r="F12" s="714">
        <f>IFERROR(EDUA*2+APPA*2,0)</f>
        <v>0</v>
      </c>
      <c r="G12" s="715" t="s">
        <v>5722</v>
      </c>
      <c r="H12" s="3218"/>
      <c r="I12" s="717" t="s">
        <v>5723</v>
      </c>
      <c r="J12" s="718"/>
      <c r="K12" s="3244" t="s">
        <v>5724</v>
      </c>
      <c r="L12" s="3244"/>
      <c r="M12" s="691" t="s">
        <v>5719</v>
      </c>
      <c r="N12" s="692"/>
      <c r="O12" s="675"/>
      <c r="P12" s="675"/>
      <c r="Q12" s="391"/>
      <c r="R12" s="719"/>
    </row>
    <row r="13" spans="1:33">
      <c r="A13" s="680">
        <v>11</v>
      </c>
      <c r="B13" s="3245" t="s">
        <v>5725</v>
      </c>
      <c r="C13" s="3245"/>
      <c r="D13" s="669" t="s">
        <v>5726</v>
      </c>
      <c r="E13" s="669" t="s">
        <v>5727</v>
      </c>
      <c r="F13" s="674">
        <f>IFERROR(EDUA*2+MAX(STRA*2,DEXA*2),0)</f>
        <v>0</v>
      </c>
      <c r="G13" s="710" t="s">
        <v>5728</v>
      </c>
      <c r="H13" s="720"/>
      <c r="I13"/>
      <c r="J13"/>
      <c r="K13" s="3244" t="s">
        <v>5729</v>
      </c>
      <c r="L13" s="3244"/>
      <c r="M13" s="691" t="s">
        <v>5730</v>
      </c>
      <c r="N13" s="692"/>
      <c r="O13" s="675"/>
      <c r="P13" s="675"/>
      <c r="Q13" s="391"/>
      <c r="R13" s="716"/>
    </row>
    <row r="14" spans="1:33">
      <c r="A14" s="711">
        <v>12</v>
      </c>
      <c r="B14" s="3243" t="s">
        <v>5731</v>
      </c>
      <c r="C14" s="3243"/>
      <c r="D14" s="712" t="s">
        <v>5732</v>
      </c>
      <c r="E14" s="713" t="s">
        <v>5705</v>
      </c>
      <c r="F14" s="714">
        <f>IFERROR(EDUA*4,0)</f>
        <v>0</v>
      </c>
      <c r="G14" s="715" t="s">
        <v>5733</v>
      </c>
      <c r="H14" s="720"/>
      <c r="I14"/>
      <c r="J14"/>
      <c r="K14" s="3244" t="s">
        <v>5734</v>
      </c>
      <c r="L14" s="3244"/>
      <c r="M14" s="691" t="s">
        <v>5735</v>
      </c>
      <c r="N14" s="692"/>
      <c r="O14" s="675"/>
      <c r="P14" s="675"/>
      <c r="Q14" s="391"/>
      <c r="R14" s="683"/>
    </row>
    <row r="15" spans="1:33">
      <c r="A15" s="680">
        <v>13</v>
      </c>
      <c r="B15" s="3245" t="s">
        <v>5736</v>
      </c>
      <c r="C15" s="3245"/>
      <c r="D15" s="669" t="s">
        <v>5737</v>
      </c>
      <c r="E15" s="669" t="s">
        <v>5738</v>
      </c>
      <c r="F15" s="674">
        <f>IFERROR(EDUA*2+MAX(APPA*2,POWA*2),0)</f>
        <v>0</v>
      </c>
      <c r="G15" s="710" t="s">
        <v>5739</v>
      </c>
      <c r="H15" s="720"/>
      <c r="I15"/>
      <c r="J15"/>
      <c r="K15" s="3244" t="s">
        <v>5740</v>
      </c>
      <c r="L15" s="3244"/>
      <c r="M15" s="691" t="s">
        <v>5741</v>
      </c>
      <c r="N15" s="692"/>
      <c r="O15" s="675"/>
      <c r="P15" s="675"/>
      <c r="Q15" s="391"/>
      <c r="R15" s="683"/>
      <c r="S15" s="391"/>
      <c r="T15" s="391"/>
      <c r="U15" s="391"/>
      <c r="V15" s="391"/>
      <c r="W15" s="391"/>
      <c r="X15" s="391"/>
      <c r="Y15" s="391"/>
      <c r="Z15" s="391"/>
      <c r="AA15" s="391"/>
      <c r="AB15" s="391"/>
      <c r="AC15" s="391"/>
      <c r="AD15" s="391"/>
      <c r="AE15" s="391"/>
      <c r="AF15" s="391"/>
      <c r="AG15" s="391"/>
    </row>
    <row r="16" spans="1:33" ht="17.25" customHeight="1">
      <c r="A16" s="711">
        <v>14</v>
      </c>
      <c r="B16" s="3243" t="s">
        <v>5742</v>
      </c>
      <c r="C16" s="3243"/>
      <c r="D16" s="712" t="s">
        <v>5704</v>
      </c>
      <c r="E16" s="713" t="s">
        <v>5705</v>
      </c>
      <c r="F16" s="714">
        <f>IFERROR(EDUA*4,0)</f>
        <v>0</v>
      </c>
      <c r="G16" s="715" t="s">
        <v>5743</v>
      </c>
      <c r="K16" s="3244" t="s">
        <v>5744</v>
      </c>
      <c r="L16" s="3244"/>
      <c r="M16" s="691" t="s">
        <v>5745</v>
      </c>
      <c r="N16" s="692"/>
      <c r="O16" s="675"/>
      <c r="P16" s="675"/>
      <c r="Q16" s="391"/>
      <c r="R16" s="683"/>
      <c r="S16" s="391"/>
      <c r="T16" s="391"/>
      <c r="U16" s="391"/>
      <c r="V16" s="391"/>
      <c r="W16" s="391"/>
      <c r="X16" s="391"/>
      <c r="Y16" s="391"/>
      <c r="Z16" s="391"/>
      <c r="AA16" s="391"/>
      <c r="AB16" s="391"/>
      <c r="AC16" s="391"/>
      <c r="AD16" s="391"/>
      <c r="AE16" s="391"/>
      <c r="AF16" s="391"/>
      <c r="AG16" s="391"/>
    </row>
    <row r="17" spans="1:33">
      <c r="A17" s="680">
        <v>15</v>
      </c>
      <c r="B17" s="3245" t="s">
        <v>5746</v>
      </c>
      <c r="C17" s="3245"/>
      <c r="D17" s="669" t="s">
        <v>5747</v>
      </c>
      <c r="E17" s="669" t="s">
        <v>5705</v>
      </c>
      <c r="F17" s="674">
        <f>IFERROR(EDUA*4,0)</f>
        <v>0</v>
      </c>
      <c r="G17" s="710" t="s">
        <v>5748</v>
      </c>
      <c r="H17" s="674"/>
      <c r="I17" s="674"/>
      <c r="J17" s="674"/>
      <c r="K17" s="3244" t="s">
        <v>5749</v>
      </c>
      <c r="L17" s="3244"/>
      <c r="M17" s="691" t="s">
        <v>5750</v>
      </c>
      <c r="N17" s="692"/>
      <c r="O17" s="675"/>
      <c r="P17" s="675"/>
      <c r="Q17" s="391"/>
      <c r="R17" s="683"/>
      <c r="S17" s="391"/>
      <c r="T17" s="391"/>
      <c r="U17" s="391"/>
      <c r="V17" s="391"/>
      <c r="W17" s="391"/>
      <c r="X17" s="391"/>
      <c r="Y17" s="391"/>
      <c r="Z17" s="391"/>
      <c r="AA17" s="391"/>
      <c r="AB17" s="391"/>
      <c r="AC17" s="391"/>
      <c r="AD17" s="391"/>
      <c r="AE17" s="391"/>
      <c r="AF17" s="391"/>
      <c r="AG17" s="391"/>
    </row>
    <row r="18" spans="1:33">
      <c r="A18" s="711">
        <v>16</v>
      </c>
      <c r="B18" s="3243" t="s">
        <v>5751</v>
      </c>
      <c r="C18" s="3243"/>
      <c r="D18" s="712" t="s">
        <v>5737</v>
      </c>
      <c r="E18" s="713" t="s">
        <v>5705</v>
      </c>
      <c r="F18" s="714">
        <f>IFERROR(EDUA*4,0)</f>
        <v>0</v>
      </c>
      <c r="G18" s="721" t="s">
        <v>5752</v>
      </c>
      <c r="H18" s="3253" t="s">
        <v>455</v>
      </c>
      <c r="I18" s="3254"/>
      <c r="J18" s="3255"/>
      <c r="K18" s="3244" t="s">
        <v>5753</v>
      </c>
      <c r="L18" s="3244"/>
      <c r="M18" s="691" t="s">
        <v>5754</v>
      </c>
      <c r="N18" s="692"/>
      <c r="O18" s="675"/>
      <c r="P18" s="675"/>
      <c r="Q18" s="391"/>
      <c r="R18" s="683"/>
      <c r="S18" s="391"/>
      <c r="T18" s="391"/>
      <c r="U18" s="391"/>
      <c r="V18" s="391"/>
      <c r="W18" s="391"/>
      <c r="X18" s="391"/>
      <c r="Y18" s="391"/>
      <c r="Z18" s="391"/>
      <c r="AA18" s="391"/>
      <c r="AB18" s="391"/>
      <c r="AC18" s="391"/>
      <c r="AD18" s="391"/>
      <c r="AE18" s="391"/>
      <c r="AF18" s="391"/>
      <c r="AG18" s="391"/>
    </row>
    <row r="19" spans="1:33">
      <c r="A19" s="680">
        <v>17</v>
      </c>
      <c r="B19" s="3245" t="s">
        <v>5755</v>
      </c>
      <c r="C19" s="3245"/>
      <c r="D19" s="669" t="s">
        <v>5704</v>
      </c>
      <c r="E19" s="669" t="s">
        <v>5705</v>
      </c>
      <c r="F19" s="674">
        <f>IFERROR(EDUA*4,0)</f>
        <v>0</v>
      </c>
      <c r="G19" s="670" t="s">
        <v>5756</v>
      </c>
      <c r="H19" s="722" t="s">
        <v>467</v>
      </c>
      <c r="I19" s="723" t="s">
        <v>5757</v>
      </c>
      <c r="J19" s="724" t="s">
        <v>469</v>
      </c>
      <c r="K19" s="3244" t="s">
        <v>5758</v>
      </c>
      <c r="L19" s="3244"/>
      <c r="M19" s="691" t="s">
        <v>5759</v>
      </c>
      <c r="N19" s="692"/>
      <c r="O19" s="675"/>
      <c r="P19" s="675"/>
      <c r="Q19" s="391"/>
      <c r="R19" s="683"/>
      <c r="S19" s="391"/>
      <c r="T19" s="391"/>
      <c r="U19" s="391"/>
      <c r="V19" s="391"/>
      <c r="W19" s="391"/>
      <c r="X19" s="391"/>
      <c r="Y19" s="391"/>
      <c r="Z19" s="391"/>
      <c r="AA19" s="391"/>
      <c r="AB19" s="391"/>
      <c r="AC19" s="391"/>
      <c r="AD19" s="391"/>
      <c r="AE19" s="391"/>
      <c r="AF19" s="391"/>
      <c r="AG19" s="391"/>
    </row>
    <row r="20" spans="1:33" ht="17.25" customHeight="1">
      <c r="A20" s="711">
        <v>18</v>
      </c>
      <c r="B20" s="3243" t="s">
        <v>5760</v>
      </c>
      <c r="C20" s="3243"/>
      <c r="D20" s="712" t="s">
        <v>5689</v>
      </c>
      <c r="E20" s="713" t="s">
        <v>5761</v>
      </c>
      <c r="F20" s="714">
        <f>IFERROR(EDUA*2+MAX(DEXA*2,POWA*2),0)</f>
        <v>0</v>
      </c>
      <c r="G20" s="721" t="s">
        <v>5762</v>
      </c>
      <c r="H20" s="725" t="s">
        <v>57</v>
      </c>
      <c r="I20" s="726" t="s">
        <v>239</v>
      </c>
      <c r="J20" s="727">
        <f t="shared" ref="J20:J25" si="0">IF(I20="√",2,0)</f>
        <v>0</v>
      </c>
      <c r="K20" s="3244" t="s">
        <v>5763</v>
      </c>
      <c r="L20" s="3244"/>
      <c r="M20" s="691" t="s">
        <v>5764</v>
      </c>
      <c r="N20" s="692"/>
      <c r="O20" s="675"/>
      <c r="P20" s="675"/>
      <c r="Q20" s="391"/>
      <c r="R20" s="683"/>
      <c r="S20" s="391"/>
      <c r="T20" s="391"/>
      <c r="U20" s="391"/>
      <c r="V20" s="391"/>
      <c r="W20" s="391"/>
      <c r="X20" s="391"/>
      <c r="Y20" s="391"/>
      <c r="Z20" s="391"/>
      <c r="AA20" s="391"/>
      <c r="AB20" s="391"/>
      <c r="AC20" s="391"/>
      <c r="AD20" s="391"/>
      <c r="AE20" s="391"/>
      <c r="AF20" s="391"/>
      <c r="AG20" s="391"/>
    </row>
    <row r="21" spans="1:33" ht="17.25" customHeight="1">
      <c r="A21" s="680">
        <v>19</v>
      </c>
      <c r="B21" s="3245" t="s">
        <v>5765</v>
      </c>
      <c r="C21" s="3245"/>
      <c r="D21" s="669" t="s">
        <v>5766</v>
      </c>
      <c r="E21" s="669" t="s">
        <v>5727</v>
      </c>
      <c r="F21" s="674">
        <f>IFERROR(EDUA*2+MAX(STRA*2,DEXA*2),0)</f>
        <v>0</v>
      </c>
      <c r="G21" s="670" t="s">
        <v>5767</v>
      </c>
      <c r="H21" s="460" t="s">
        <v>70</v>
      </c>
      <c r="I21" s="728" t="s">
        <v>239</v>
      </c>
      <c r="J21" s="729">
        <f t="shared" si="0"/>
        <v>0</v>
      </c>
      <c r="K21" s="3244" t="s">
        <v>5768</v>
      </c>
      <c r="L21" s="3244"/>
      <c r="M21" s="691" t="s">
        <v>5769</v>
      </c>
      <c r="N21" s="692"/>
      <c r="O21" s="675"/>
      <c r="P21" s="675"/>
      <c r="Q21" s="391"/>
      <c r="R21" s="683"/>
      <c r="S21" s="391"/>
      <c r="T21" s="391"/>
      <c r="U21" s="391"/>
      <c r="V21" s="391"/>
      <c r="W21" s="391"/>
      <c r="X21" s="391"/>
      <c r="Y21" s="391"/>
      <c r="Z21" s="391"/>
      <c r="AA21" s="391"/>
      <c r="AB21" s="391"/>
      <c r="AC21" s="391"/>
      <c r="AD21" s="391"/>
      <c r="AE21" s="391"/>
      <c r="AF21" s="391"/>
      <c r="AG21" s="391"/>
    </row>
    <row r="22" spans="1:33" ht="16.5" customHeight="1">
      <c r="A22" s="711">
        <v>20</v>
      </c>
      <c r="B22" s="3243" t="s">
        <v>5770</v>
      </c>
      <c r="C22" s="3243"/>
      <c r="D22" s="712" t="s">
        <v>5771</v>
      </c>
      <c r="E22" s="713" t="s">
        <v>5727</v>
      </c>
      <c r="F22" s="714">
        <f>IFERROR(EDUA*2+MAX(STRA*2,DEXA*2),0)</f>
        <v>0</v>
      </c>
      <c r="G22" s="721" t="s">
        <v>5772</v>
      </c>
      <c r="H22" s="725" t="s">
        <v>60</v>
      </c>
      <c r="I22" s="726" t="s">
        <v>239</v>
      </c>
      <c r="J22" s="727">
        <f t="shared" si="0"/>
        <v>0</v>
      </c>
      <c r="K22" s="3244" t="s">
        <v>5773</v>
      </c>
      <c r="L22" s="3244"/>
      <c r="M22" s="691" t="s">
        <v>5774</v>
      </c>
      <c r="N22" s="692"/>
      <c r="O22" s="675"/>
      <c r="P22" s="675"/>
      <c r="Q22" s="391"/>
      <c r="R22" s="683"/>
      <c r="S22" s="391"/>
      <c r="T22" s="391"/>
      <c r="U22" s="391"/>
      <c r="V22" s="391"/>
      <c r="W22" s="391"/>
      <c r="X22" s="391"/>
      <c r="Y22" s="391"/>
      <c r="Z22" s="391"/>
      <c r="AA22" s="391"/>
      <c r="AB22" s="391"/>
      <c r="AC22" s="391"/>
      <c r="AD22" s="391"/>
      <c r="AE22" s="391"/>
      <c r="AF22" s="391"/>
      <c r="AG22" s="391"/>
    </row>
    <row r="23" spans="1:33">
      <c r="A23" s="680">
        <v>21</v>
      </c>
      <c r="B23" s="3245" t="s">
        <v>5775</v>
      </c>
      <c r="C23" s="3245"/>
      <c r="D23" s="669" t="s">
        <v>5677</v>
      </c>
      <c r="E23" s="669" t="s">
        <v>5705</v>
      </c>
      <c r="F23" s="674">
        <f>IFERROR(EDUA*4,0)</f>
        <v>0</v>
      </c>
      <c r="G23" s="670" t="s">
        <v>5776</v>
      </c>
      <c r="H23" s="460" t="s">
        <v>67</v>
      </c>
      <c r="I23" s="728" t="s">
        <v>239</v>
      </c>
      <c r="J23" s="729">
        <f t="shared" si="0"/>
        <v>0</v>
      </c>
      <c r="K23" s="3244" t="s">
        <v>5777</v>
      </c>
      <c r="L23" s="3244"/>
      <c r="M23" s="691" t="s">
        <v>5778</v>
      </c>
      <c r="N23" s="692"/>
      <c r="O23" s="675"/>
      <c r="P23" s="675"/>
      <c r="Q23" s="391"/>
      <c r="R23" s="683"/>
      <c r="S23" s="391"/>
      <c r="T23" s="391"/>
      <c r="U23" s="391"/>
      <c r="V23" s="391"/>
      <c r="W23" s="391"/>
      <c r="X23" s="391"/>
      <c r="Y23" s="391"/>
      <c r="Z23" s="391"/>
      <c r="AA23" s="391"/>
      <c r="AB23" s="391"/>
      <c r="AC23" s="391"/>
      <c r="AD23" s="391"/>
      <c r="AE23" s="391"/>
      <c r="AF23" s="391"/>
      <c r="AG23" s="391"/>
    </row>
    <row r="24" spans="1:33" ht="16.5" customHeight="1">
      <c r="A24" s="711">
        <v>22</v>
      </c>
      <c r="B24" s="3243" t="s">
        <v>5779</v>
      </c>
      <c r="C24" s="3243"/>
      <c r="D24" s="712" t="s">
        <v>5780</v>
      </c>
      <c r="E24" s="713" t="s">
        <v>5716</v>
      </c>
      <c r="F24" s="714">
        <f>IFERROR(EDUA*2+APPA*2,0)</f>
        <v>0</v>
      </c>
      <c r="G24" s="721" t="s">
        <v>5781</v>
      </c>
      <c r="H24" s="725" t="s">
        <v>72</v>
      </c>
      <c r="I24" s="726" t="s">
        <v>239</v>
      </c>
      <c r="J24" s="727">
        <f t="shared" si="0"/>
        <v>0</v>
      </c>
      <c r="K24" s="3244" t="s">
        <v>5782</v>
      </c>
      <c r="L24" s="3244"/>
      <c r="M24" s="691" t="s">
        <v>5783</v>
      </c>
      <c r="N24" s="692"/>
      <c r="O24" s="675"/>
      <c r="P24" s="675"/>
      <c r="Q24" s="391"/>
      <c r="R24" s="683"/>
      <c r="S24" s="391"/>
      <c r="T24" s="391"/>
      <c r="U24" s="391"/>
      <c r="V24" s="391"/>
      <c r="W24" s="391"/>
      <c r="X24" s="391"/>
      <c r="Y24" s="391"/>
      <c r="Z24" s="391"/>
      <c r="AA24" s="391"/>
      <c r="AB24" s="391"/>
      <c r="AC24" s="391"/>
      <c r="AD24" s="391"/>
      <c r="AE24" s="391"/>
      <c r="AF24" s="391"/>
      <c r="AG24" s="391"/>
    </row>
    <row r="25" spans="1:33" ht="16.5" customHeight="1">
      <c r="A25" s="680">
        <v>23</v>
      </c>
      <c r="B25" s="3245" t="s">
        <v>5784</v>
      </c>
      <c r="C25" s="3245"/>
      <c r="D25" s="669" t="s">
        <v>5785</v>
      </c>
      <c r="E25" s="669" t="s">
        <v>5727</v>
      </c>
      <c r="F25" s="674">
        <f>IFERROR(EDUA*2+MAX(STRA*2,DEXA*2),0)</f>
        <v>0</v>
      </c>
      <c r="G25" s="670" t="s">
        <v>5786</v>
      </c>
      <c r="H25" s="460" t="s">
        <v>77</v>
      </c>
      <c r="I25" s="728" t="s">
        <v>239</v>
      </c>
      <c r="J25" s="729">
        <f t="shared" si="0"/>
        <v>0</v>
      </c>
      <c r="K25" s="3244" t="s">
        <v>5787</v>
      </c>
      <c r="L25" s="3244"/>
      <c r="M25" s="691" t="s">
        <v>5788</v>
      </c>
      <c r="N25" s="692"/>
      <c r="O25" s="675"/>
      <c r="P25" s="675"/>
      <c r="Q25" s="391"/>
      <c r="R25" s="683"/>
      <c r="S25" s="391"/>
      <c r="T25" s="391"/>
      <c r="U25" s="391"/>
      <c r="V25" s="391"/>
      <c r="W25" s="391"/>
      <c r="X25" s="391"/>
      <c r="Y25" s="391"/>
      <c r="Z25" s="391"/>
      <c r="AA25" s="391"/>
      <c r="AB25" s="391"/>
      <c r="AC25" s="391"/>
      <c r="AD25" s="391"/>
    </row>
    <row r="26" spans="1:33">
      <c r="A26" s="711">
        <v>24</v>
      </c>
      <c r="B26" s="3243" t="s">
        <v>5789</v>
      </c>
      <c r="C26" s="3243"/>
      <c r="D26" s="712" t="s">
        <v>5790</v>
      </c>
      <c r="E26" s="713" t="s">
        <v>5705</v>
      </c>
      <c r="F26" s="714">
        <f>IFERROR(EDUA*4,0)</f>
        <v>0</v>
      </c>
      <c r="G26" s="721" t="s">
        <v>5791</v>
      </c>
      <c r="H26" s="725" t="s">
        <v>86</v>
      </c>
      <c r="I26" s="726" t="s">
        <v>239</v>
      </c>
      <c r="J26" s="727">
        <f>IF(I26="√",IF(SUM(J20:J25,J27:J28)&gt;0,2,4),0)</f>
        <v>0</v>
      </c>
      <c r="K26" s="3244" t="s">
        <v>5792</v>
      </c>
      <c r="L26" s="3244"/>
      <c r="M26" s="691" t="s">
        <v>5793</v>
      </c>
      <c r="N26" s="692"/>
      <c r="O26" s="675"/>
      <c r="P26" s="675"/>
      <c r="Q26" s="391"/>
      <c r="R26" s="719"/>
      <c r="S26" s="391"/>
      <c r="T26" s="391"/>
      <c r="U26" s="391"/>
      <c r="V26" s="391"/>
      <c r="W26" s="391"/>
      <c r="X26" s="391"/>
      <c r="Y26" s="391"/>
      <c r="Z26" s="391"/>
      <c r="AA26" s="391"/>
      <c r="AB26" s="391"/>
      <c r="AC26" s="391"/>
      <c r="AD26" s="391"/>
    </row>
    <row r="27" spans="1:33" ht="16.5" customHeight="1">
      <c r="A27" s="680">
        <v>25</v>
      </c>
      <c r="B27" s="3245" t="s">
        <v>5794</v>
      </c>
      <c r="C27" s="3245"/>
      <c r="D27" s="669" t="s">
        <v>5677</v>
      </c>
      <c r="E27" s="669" t="s">
        <v>5727</v>
      </c>
      <c r="F27" s="674">
        <f>IFERROR(EDUA*2+MAX(STRA*2,DEXA*2),0)</f>
        <v>0</v>
      </c>
      <c r="G27" s="670" t="s">
        <v>5795</v>
      </c>
      <c r="H27" s="460" t="s">
        <v>82</v>
      </c>
      <c r="I27" s="728" t="s">
        <v>239</v>
      </c>
      <c r="J27" s="729">
        <f>IF(I27="√",2,0)</f>
        <v>0</v>
      </c>
      <c r="K27" s="3244" t="s">
        <v>5796</v>
      </c>
      <c r="L27" s="3244"/>
      <c r="M27" s="691" t="s">
        <v>5797</v>
      </c>
      <c r="N27" s="692"/>
      <c r="O27" s="675"/>
      <c r="P27" s="675"/>
      <c r="Q27" s="391"/>
      <c r="R27" s="719"/>
      <c r="S27" s="391"/>
      <c r="T27" s="391"/>
      <c r="U27" s="391"/>
      <c r="V27" s="391"/>
      <c r="W27" s="391"/>
      <c r="X27" s="391"/>
      <c r="Y27" s="391"/>
      <c r="Z27" s="391"/>
      <c r="AA27" s="391"/>
      <c r="AB27" s="391"/>
      <c r="AC27" s="391"/>
      <c r="AD27" s="391"/>
    </row>
    <row r="28" spans="1:33" ht="16.5" customHeight="1">
      <c r="A28" s="711">
        <v>26</v>
      </c>
      <c r="B28" s="3243" t="s">
        <v>5798</v>
      </c>
      <c r="C28" s="3243"/>
      <c r="D28" s="712" t="s">
        <v>5799</v>
      </c>
      <c r="E28" s="713" t="s">
        <v>5800</v>
      </c>
      <c r="F28" s="714">
        <f>IFERROR(EDUA*2+STRA*2,0)</f>
        <v>0</v>
      </c>
      <c r="G28" s="721" t="s">
        <v>5801</v>
      </c>
      <c r="H28" s="725" t="s">
        <v>97</v>
      </c>
      <c r="I28" s="726" t="s">
        <v>239</v>
      </c>
      <c r="J28" s="727">
        <f>IF(I28="√",2,0)</f>
        <v>0</v>
      </c>
      <c r="K28" s="3244" t="s">
        <v>5802</v>
      </c>
      <c r="L28" s="3244"/>
      <c r="M28" s="691" t="s">
        <v>5803</v>
      </c>
      <c r="N28" s="692"/>
      <c r="O28" s="675"/>
      <c r="P28" s="675"/>
      <c r="Q28" s="391"/>
      <c r="R28" s="683"/>
      <c r="S28" s="391"/>
      <c r="T28" s="391"/>
      <c r="U28" s="391"/>
      <c r="V28" s="391"/>
      <c r="W28" s="391"/>
      <c r="X28" s="391"/>
      <c r="Y28" s="391"/>
      <c r="Z28" s="391"/>
      <c r="AA28" s="391"/>
      <c r="AB28" s="391"/>
      <c r="AC28" s="391"/>
    </row>
    <row r="29" spans="1:33">
      <c r="A29" s="680">
        <v>27</v>
      </c>
      <c r="B29" s="3245" t="s">
        <v>5804</v>
      </c>
      <c r="C29" s="3245"/>
      <c r="D29" s="669" t="s">
        <v>5683</v>
      </c>
      <c r="E29" s="669" t="s">
        <v>5705</v>
      </c>
      <c r="F29" s="674">
        <f>IFERROR(EDUA*4,0)</f>
        <v>0</v>
      </c>
      <c r="G29" s="710" t="s">
        <v>5805</v>
      </c>
      <c r="H29" s="3247" t="s">
        <v>5806</v>
      </c>
      <c r="I29" s="3248"/>
      <c r="J29" s="3249"/>
      <c r="K29" s="730"/>
      <c r="L29" s="730"/>
      <c r="M29" s="730"/>
      <c r="N29" s="730"/>
      <c r="O29" s="731"/>
      <c r="P29" s="731"/>
      <c r="Q29" s="391"/>
      <c r="R29" s="716"/>
      <c r="S29" s="391"/>
      <c r="T29" s="391"/>
      <c r="U29" s="391"/>
      <c r="V29" s="391"/>
      <c r="W29" s="391"/>
      <c r="X29" s="391"/>
      <c r="Y29" s="391"/>
      <c r="Z29" s="391"/>
      <c r="AA29" s="391"/>
      <c r="AB29" s="391"/>
      <c r="AC29" s="391"/>
    </row>
    <row r="30" spans="1:33">
      <c r="A30" s="711">
        <v>28</v>
      </c>
      <c r="B30" s="3243" t="s">
        <v>5807</v>
      </c>
      <c r="C30" s="3243"/>
      <c r="D30" s="712" t="s">
        <v>5799</v>
      </c>
      <c r="E30" s="713" t="s">
        <v>5705</v>
      </c>
      <c r="F30" s="714">
        <f>IFERROR(EDUA*4,0)</f>
        <v>0</v>
      </c>
      <c r="G30" s="715" t="s">
        <v>5808</v>
      </c>
      <c r="H30" s="3250" t="s">
        <v>513</v>
      </c>
      <c r="I30" s="3251"/>
      <c r="J30" s="3252"/>
      <c r="K30" s="3244" t="s">
        <v>5809</v>
      </c>
      <c r="L30" s="3244"/>
      <c r="M30" s="691" t="s">
        <v>5810</v>
      </c>
      <c r="N30" s="692"/>
      <c r="O30" s="675"/>
      <c r="P30" s="675"/>
      <c r="Q30" s="391"/>
      <c r="R30" s="719"/>
    </row>
    <row r="31" spans="1:33">
      <c r="A31" s="680">
        <v>29</v>
      </c>
      <c r="B31" s="3245" t="s">
        <v>5811</v>
      </c>
      <c r="C31" s="3245"/>
      <c r="D31" s="669" t="s">
        <v>5812</v>
      </c>
      <c r="E31" s="669" t="s">
        <v>5705</v>
      </c>
      <c r="F31" s="674">
        <f>IFERROR(EDUA*4,0)</f>
        <v>0</v>
      </c>
      <c r="G31" s="710" t="s">
        <v>5813</v>
      </c>
      <c r="J31" s="674"/>
      <c r="K31" s="3244" t="s">
        <v>5814</v>
      </c>
      <c r="L31" s="3244"/>
      <c r="M31" s="691" t="s">
        <v>5815</v>
      </c>
      <c r="N31" s="692"/>
      <c r="O31" s="675"/>
      <c r="P31" s="675"/>
      <c r="Q31" s="391"/>
      <c r="R31" s="719"/>
    </row>
    <row r="32" spans="1:33">
      <c r="A32" s="711">
        <v>30</v>
      </c>
      <c r="B32" s="3243" t="s">
        <v>5816</v>
      </c>
      <c r="C32" s="3243"/>
      <c r="D32" s="712" t="s">
        <v>5812</v>
      </c>
      <c r="E32" s="713" t="s">
        <v>5705</v>
      </c>
      <c r="F32" s="714">
        <f>IFERROR(EDUA*4,0)</f>
        <v>0</v>
      </c>
      <c r="G32" s="715" t="s">
        <v>5817</v>
      </c>
      <c r="J32" s="674"/>
      <c r="K32" s="3244" t="s">
        <v>5818</v>
      </c>
      <c r="L32" s="3244"/>
      <c r="M32" s="691" t="s">
        <v>5819</v>
      </c>
      <c r="N32" s="692"/>
      <c r="O32" s="675"/>
      <c r="P32" s="675"/>
      <c r="Q32" s="391"/>
      <c r="R32" s="716"/>
    </row>
    <row r="33" spans="1:18" ht="17.25" customHeight="1">
      <c r="A33" s="680">
        <v>31</v>
      </c>
      <c r="B33" s="3245" t="s">
        <v>5820</v>
      </c>
      <c r="C33" s="3245"/>
      <c r="D33" s="669" t="s">
        <v>5710</v>
      </c>
      <c r="E33" s="669" t="s">
        <v>5727</v>
      </c>
      <c r="F33" s="674">
        <f>IFERROR(EDUA*2+MAX(STRA*2,DEXA*2),0)</f>
        <v>0</v>
      </c>
      <c r="G33" s="710" t="s">
        <v>5821</v>
      </c>
      <c r="J33" s="674"/>
      <c r="K33" s="3244" t="s">
        <v>5822</v>
      </c>
      <c r="L33" s="3244"/>
      <c r="M33" s="691" t="s">
        <v>5823</v>
      </c>
      <c r="N33" s="692"/>
      <c r="O33" s="675"/>
      <c r="P33" s="675"/>
      <c r="Q33" s="391"/>
      <c r="R33" s="683"/>
    </row>
    <row r="34" spans="1:18" ht="16.5" customHeight="1">
      <c r="A34" s="711">
        <v>32</v>
      </c>
      <c r="B34" s="3243" t="s">
        <v>5824</v>
      </c>
      <c r="C34" s="3243"/>
      <c r="D34" s="712" t="s">
        <v>5737</v>
      </c>
      <c r="E34" s="713" t="s">
        <v>5825</v>
      </c>
      <c r="F34" s="714">
        <f>IFERROR(EDUA*2+DEXA*2,0)</f>
        <v>0</v>
      </c>
      <c r="G34" s="715" t="s">
        <v>5826</v>
      </c>
      <c r="J34" s="674"/>
      <c r="K34" s="3244" t="s">
        <v>5827</v>
      </c>
      <c r="L34" s="3244"/>
      <c r="M34" s="691" t="s">
        <v>5828</v>
      </c>
      <c r="N34" s="692"/>
      <c r="O34" s="675"/>
      <c r="P34" s="675"/>
      <c r="Q34" s="391"/>
      <c r="R34" s="683"/>
    </row>
    <row r="35" spans="1:18" ht="17.25" customHeight="1">
      <c r="A35" s="680">
        <v>33</v>
      </c>
      <c r="B35" s="3245" t="s">
        <v>5829</v>
      </c>
      <c r="C35" s="3245"/>
      <c r="D35" s="669" t="s">
        <v>5830</v>
      </c>
      <c r="E35" s="669" t="s">
        <v>5727</v>
      </c>
      <c r="F35" s="674">
        <f>IFERROR(EDUA*2+MAX(STRA*2,DEXA*2),0)</f>
        <v>0</v>
      </c>
      <c r="G35" s="710" t="s">
        <v>5831</v>
      </c>
      <c r="J35" s="674"/>
      <c r="K35" s="3244" t="s">
        <v>5832</v>
      </c>
      <c r="L35" s="3244"/>
      <c r="M35" s="691" t="s">
        <v>5833</v>
      </c>
      <c r="N35" s="692"/>
      <c r="O35" s="675"/>
      <c r="P35" s="675"/>
      <c r="Q35" s="391"/>
      <c r="R35" s="683"/>
    </row>
    <row r="36" spans="1:18" ht="17.25" customHeight="1">
      <c r="A36" s="711">
        <v>34</v>
      </c>
      <c r="B36" s="3243" t="s">
        <v>5834</v>
      </c>
      <c r="C36" s="3243"/>
      <c r="D36" s="712" t="s">
        <v>5835</v>
      </c>
      <c r="E36" s="713" t="s">
        <v>5836</v>
      </c>
      <c r="F36" s="714">
        <f>IFERROR(EDUA*2+MAX(STRA*2,DEXA*2),0)</f>
        <v>0</v>
      </c>
      <c r="G36" s="715" t="s">
        <v>5837</v>
      </c>
      <c r="K36" s="3244" t="s">
        <v>5838</v>
      </c>
      <c r="L36" s="3244"/>
      <c r="M36" s="691" t="s">
        <v>5839</v>
      </c>
      <c r="N36" s="692"/>
      <c r="O36" s="675"/>
      <c r="P36" s="675"/>
      <c r="Q36" s="391"/>
      <c r="R36" s="683"/>
    </row>
    <row r="37" spans="1:18" ht="17.25" customHeight="1">
      <c r="A37" s="680">
        <v>35</v>
      </c>
      <c r="B37" s="3245" t="s">
        <v>5840</v>
      </c>
      <c r="C37" s="3245"/>
      <c r="D37" s="669" t="s">
        <v>5841</v>
      </c>
      <c r="E37" s="669" t="s">
        <v>5842</v>
      </c>
      <c r="F37" s="674">
        <f>IFERROR(EDUA*2+STRA*2,0)</f>
        <v>0</v>
      </c>
      <c r="G37" s="710" t="s">
        <v>5843</v>
      </c>
      <c r="K37" s="3244" t="s">
        <v>5844</v>
      </c>
      <c r="L37" s="3244"/>
      <c r="M37" s="691" t="s">
        <v>5845</v>
      </c>
      <c r="N37" s="692"/>
      <c r="O37" s="675"/>
      <c r="P37" s="675"/>
      <c r="Q37" s="391"/>
      <c r="R37" s="716"/>
    </row>
    <row r="38" spans="1:18" ht="17.25" customHeight="1">
      <c r="A38" s="711">
        <v>36</v>
      </c>
      <c r="B38" s="3243" t="s">
        <v>5846</v>
      </c>
      <c r="C38" s="3243"/>
      <c r="D38" s="712" t="s">
        <v>5847</v>
      </c>
      <c r="E38" s="713" t="s">
        <v>5848</v>
      </c>
      <c r="F38" s="714">
        <f>IFERROR(EDUA*2+DEXA*2,0)</f>
        <v>0</v>
      </c>
      <c r="G38" s="715" t="s">
        <v>5849</v>
      </c>
      <c r="K38" s="3244" t="s">
        <v>5850</v>
      </c>
      <c r="L38" s="3244"/>
      <c r="M38" s="691" t="s">
        <v>5839</v>
      </c>
      <c r="N38" s="692"/>
      <c r="O38" s="675"/>
      <c r="P38" s="675"/>
      <c r="Q38" s="391"/>
      <c r="R38" s="719"/>
    </row>
    <row r="39" spans="1:18" ht="17.25" customHeight="1">
      <c r="A39" s="680">
        <v>37</v>
      </c>
      <c r="B39" s="3245" t="s">
        <v>5851</v>
      </c>
      <c r="C39" s="3245"/>
      <c r="D39" s="669" t="s">
        <v>5852</v>
      </c>
      <c r="E39" s="669" t="s">
        <v>5853</v>
      </c>
      <c r="F39" s="674">
        <f>IFERROR(EDUA*2+APPA*2,0)</f>
        <v>0</v>
      </c>
      <c r="G39" s="710" t="s">
        <v>5854</v>
      </c>
      <c r="K39" s="3244" t="s">
        <v>5855</v>
      </c>
      <c r="L39" s="3244"/>
      <c r="M39" s="691" t="s">
        <v>5856</v>
      </c>
      <c r="N39" s="692"/>
      <c r="O39" s="675"/>
      <c r="P39" s="675"/>
      <c r="Q39" s="391"/>
      <c r="R39" s="716"/>
    </row>
    <row r="40" spans="1:18" ht="17.25" customHeight="1">
      <c r="A40" s="711">
        <v>38</v>
      </c>
      <c r="B40" s="3243" t="s">
        <v>5857</v>
      </c>
      <c r="C40" s="3243"/>
      <c r="D40" s="712" t="s">
        <v>5858</v>
      </c>
      <c r="E40" s="713" t="s">
        <v>5859</v>
      </c>
      <c r="F40" s="714">
        <f>IFERROR(EDUA*2+MAX(DEXA*2,APPA*2),0)</f>
        <v>0</v>
      </c>
      <c r="G40" s="715" t="s">
        <v>5860</v>
      </c>
      <c r="K40" s="3244" t="s">
        <v>5861</v>
      </c>
      <c r="L40" s="3244"/>
      <c r="M40" s="691" t="s">
        <v>5839</v>
      </c>
      <c r="N40" s="692"/>
      <c r="O40" s="675"/>
      <c r="P40" s="675"/>
      <c r="Q40" s="391"/>
      <c r="R40" s="683"/>
    </row>
    <row r="41" spans="1:18" ht="17.25" customHeight="1">
      <c r="A41" s="680">
        <v>39</v>
      </c>
      <c r="B41" s="3245" t="s">
        <v>5862</v>
      </c>
      <c r="C41" s="3245"/>
      <c r="D41" s="669" t="s">
        <v>5863</v>
      </c>
      <c r="E41" s="669" t="s">
        <v>5853</v>
      </c>
      <c r="F41" s="674">
        <f>IFERROR(EDUA*2+APPA*2,0)</f>
        <v>0</v>
      </c>
      <c r="G41" s="710" t="s">
        <v>5864</v>
      </c>
      <c r="K41" s="3244" t="s">
        <v>5865</v>
      </c>
      <c r="L41" s="3244"/>
      <c r="M41" s="691" t="s">
        <v>5866</v>
      </c>
      <c r="N41" s="692"/>
      <c r="O41" s="675"/>
      <c r="P41" s="675"/>
      <c r="Q41" s="391"/>
      <c r="R41" s="675"/>
    </row>
    <row r="42" spans="1:18" ht="17.25" customHeight="1">
      <c r="A42" s="711">
        <v>40</v>
      </c>
      <c r="B42" s="3243" t="s">
        <v>5867</v>
      </c>
      <c r="C42" s="3243"/>
      <c r="D42" s="712" t="s">
        <v>5790</v>
      </c>
      <c r="E42" s="713" t="s">
        <v>5853</v>
      </c>
      <c r="F42" s="714">
        <f>IFERROR(EDUA*2+APPA*2,0)</f>
        <v>0</v>
      </c>
      <c r="G42" s="715" t="s">
        <v>5868</v>
      </c>
      <c r="K42" s="3244" t="s">
        <v>5869</v>
      </c>
      <c r="L42" s="3244"/>
      <c r="M42" s="691" t="s">
        <v>5870</v>
      </c>
      <c r="N42" s="692"/>
      <c r="O42" s="675"/>
      <c r="P42" s="675"/>
      <c r="Q42" s="391"/>
      <c r="R42" s="675"/>
    </row>
    <row r="43" spans="1:18">
      <c r="A43" s="680">
        <v>41</v>
      </c>
      <c r="B43" s="3245" t="s">
        <v>5871</v>
      </c>
      <c r="C43" s="3245"/>
      <c r="D43" s="669" t="s">
        <v>5872</v>
      </c>
      <c r="E43" s="669" t="s">
        <v>5705</v>
      </c>
      <c r="F43" s="674">
        <f>IFERROR(EDUA*4,0)</f>
        <v>0</v>
      </c>
      <c r="G43" s="710" t="s">
        <v>5873</v>
      </c>
      <c r="K43" s="3244" t="s">
        <v>5874</v>
      </c>
      <c r="L43" s="3244"/>
      <c r="M43" s="691" t="s">
        <v>5875</v>
      </c>
      <c r="N43" s="692"/>
      <c r="O43" s="675"/>
      <c r="P43" s="675"/>
      <c r="Q43" s="391"/>
      <c r="R43" s="675"/>
    </row>
    <row r="44" spans="1:18" ht="17.25" customHeight="1">
      <c r="A44" s="711">
        <v>42</v>
      </c>
      <c r="B44" s="3243" t="s">
        <v>5876</v>
      </c>
      <c r="C44" s="3243"/>
      <c r="D44" s="712" t="s">
        <v>5872</v>
      </c>
      <c r="E44" s="713" t="s">
        <v>5877</v>
      </c>
      <c r="F44" s="714">
        <f>IFERROR(EDUA*2+MAX(DEXA*2,APPA*2),0)</f>
        <v>0</v>
      </c>
      <c r="G44" s="715" t="s">
        <v>5878</v>
      </c>
      <c r="K44" s="3244" t="s">
        <v>5879</v>
      </c>
      <c r="L44" s="3244"/>
      <c r="M44" s="691" t="s">
        <v>5880</v>
      </c>
      <c r="N44" s="692"/>
      <c r="O44" s="675"/>
      <c r="P44" s="675"/>
      <c r="Q44" s="391"/>
      <c r="R44" s="675"/>
    </row>
    <row r="45" spans="1:18" ht="17.25" customHeight="1">
      <c r="A45" s="680">
        <v>43</v>
      </c>
      <c r="B45" s="3245" t="s">
        <v>5881</v>
      </c>
      <c r="C45" s="3245"/>
      <c r="D45" s="669" t="s">
        <v>5882</v>
      </c>
      <c r="E45" s="669" t="s">
        <v>5727</v>
      </c>
      <c r="F45" s="674">
        <f>IFERROR(EDUA*2+MAX(STRA*2,DEXA*2),0)</f>
        <v>0</v>
      </c>
      <c r="G45" s="710" t="s">
        <v>5883</v>
      </c>
      <c r="K45" s="3244" t="s">
        <v>5884</v>
      </c>
      <c r="L45" s="3244"/>
      <c r="M45" s="691" t="s">
        <v>5885</v>
      </c>
      <c r="N45" s="692"/>
      <c r="O45" s="675"/>
      <c r="P45" s="675"/>
      <c r="Q45" s="391"/>
      <c r="R45" s="675"/>
    </row>
    <row r="46" spans="1:18">
      <c r="A46" s="711">
        <v>44</v>
      </c>
      <c r="B46" s="3243" t="s">
        <v>5886</v>
      </c>
      <c r="C46" s="3243"/>
      <c r="D46" s="712" t="s">
        <v>5830</v>
      </c>
      <c r="E46" s="713" t="s">
        <v>5705</v>
      </c>
      <c r="F46" s="714">
        <f>IFERROR(EDUA*4,0)</f>
        <v>0</v>
      </c>
      <c r="G46" s="715" t="s">
        <v>5887</v>
      </c>
      <c r="K46" s="3244" t="s">
        <v>5888</v>
      </c>
      <c r="L46" s="3244"/>
      <c r="M46" s="691" t="s">
        <v>5889</v>
      </c>
      <c r="N46" s="692"/>
      <c r="O46" s="675"/>
      <c r="P46" s="675"/>
      <c r="Q46" s="391"/>
      <c r="R46" s="675"/>
    </row>
    <row r="47" spans="1:18">
      <c r="A47" s="680">
        <v>45</v>
      </c>
      <c r="B47" s="3245" t="s">
        <v>5890</v>
      </c>
      <c r="C47" s="3245"/>
      <c r="D47" s="669" t="s">
        <v>5785</v>
      </c>
      <c r="E47" s="669" t="s">
        <v>5705</v>
      </c>
      <c r="F47" s="674">
        <f>IFERROR(EDUA*4,0)</f>
        <v>0</v>
      </c>
      <c r="G47" s="710" t="s">
        <v>5891</v>
      </c>
      <c r="K47" s="3244" t="s">
        <v>5892</v>
      </c>
      <c r="L47" s="3244"/>
      <c r="M47" s="691" t="s">
        <v>5893</v>
      </c>
      <c r="N47" s="692"/>
      <c r="O47" s="675"/>
      <c r="P47" s="675"/>
      <c r="Q47" s="391"/>
      <c r="R47" s="675"/>
    </row>
    <row r="48" spans="1:18">
      <c r="A48" s="711">
        <v>46</v>
      </c>
      <c r="B48" s="3243" t="s">
        <v>5894</v>
      </c>
      <c r="C48" s="3243"/>
      <c r="D48" s="712" t="s">
        <v>5872</v>
      </c>
      <c r="E48" s="713" t="s">
        <v>5705</v>
      </c>
      <c r="F48" s="714">
        <f>IFERROR(EDUA*4,0)</f>
        <v>0</v>
      </c>
      <c r="G48" s="715" t="s">
        <v>5895</v>
      </c>
      <c r="K48" s="3244" t="s">
        <v>5896</v>
      </c>
      <c r="L48" s="3244"/>
      <c r="M48" s="691" t="s">
        <v>5897</v>
      </c>
      <c r="N48" s="692"/>
      <c r="O48" s="675"/>
      <c r="P48" s="675"/>
      <c r="Q48" s="391"/>
      <c r="R48" s="675"/>
    </row>
    <row r="49" spans="1:18" ht="17.25" customHeight="1">
      <c r="A49" s="680">
        <v>47</v>
      </c>
      <c r="B49" s="3245" t="s">
        <v>5898</v>
      </c>
      <c r="C49" s="3245"/>
      <c r="D49" s="669" t="s">
        <v>5899</v>
      </c>
      <c r="E49" s="669" t="s">
        <v>5716</v>
      </c>
      <c r="F49" s="674">
        <f>IFERROR(EDUA*2+APPA*2,0)</f>
        <v>0</v>
      </c>
      <c r="G49" s="710" t="s">
        <v>5900</v>
      </c>
      <c r="K49" s="3244" t="s">
        <v>5901</v>
      </c>
      <c r="L49" s="3244"/>
      <c r="M49" s="691" t="s">
        <v>5902</v>
      </c>
      <c r="N49" s="692"/>
      <c r="O49" s="675"/>
      <c r="P49" s="675"/>
      <c r="Q49" s="391"/>
      <c r="R49" s="675"/>
    </row>
    <row r="50" spans="1:18" ht="17.25" customHeight="1">
      <c r="A50" s="711">
        <v>48</v>
      </c>
      <c r="B50" s="3243" t="s">
        <v>5903</v>
      </c>
      <c r="C50" s="3243"/>
      <c r="D50" s="712" t="s">
        <v>5677</v>
      </c>
      <c r="E50" s="713" t="s">
        <v>5848</v>
      </c>
      <c r="F50" s="714">
        <f>IFERROR(EDUA*2+DEXA*2,0)</f>
        <v>0</v>
      </c>
      <c r="G50" s="715" t="s">
        <v>5904</v>
      </c>
      <c r="K50" s="3244" t="s">
        <v>5905</v>
      </c>
      <c r="L50" s="3244"/>
      <c r="M50" s="691" t="s">
        <v>5906</v>
      </c>
      <c r="N50" s="692"/>
      <c r="O50" s="675"/>
      <c r="P50" s="675"/>
      <c r="Q50" s="391"/>
      <c r="R50" s="675"/>
    </row>
    <row r="51" spans="1:18">
      <c r="A51" s="680">
        <v>49</v>
      </c>
      <c r="B51" s="3245" t="s">
        <v>5907</v>
      </c>
      <c r="C51" s="3245"/>
      <c r="D51" s="669" t="s">
        <v>5908</v>
      </c>
      <c r="E51" s="669" t="s">
        <v>5705</v>
      </c>
      <c r="F51" s="674">
        <f>IFERROR(EDUA*4,0)</f>
        <v>0</v>
      </c>
      <c r="G51" s="710" t="s">
        <v>5909</v>
      </c>
      <c r="K51" s="3244" t="s">
        <v>5910</v>
      </c>
      <c r="L51" s="3244"/>
      <c r="M51" s="691" t="s">
        <v>5911</v>
      </c>
      <c r="N51" s="692"/>
      <c r="O51" s="675"/>
      <c r="P51" s="675"/>
      <c r="Q51" s="391"/>
      <c r="R51" s="675"/>
    </row>
    <row r="52" spans="1:18" ht="17.25" customHeight="1">
      <c r="A52" s="711">
        <v>50</v>
      </c>
      <c r="B52" s="3243" t="s">
        <v>5912</v>
      </c>
      <c r="C52" s="3243"/>
      <c r="D52" s="712" t="s">
        <v>5913</v>
      </c>
      <c r="E52" s="713" t="s">
        <v>5914</v>
      </c>
      <c r="F52" s="714">
        <f>IFERROR(EDUA*2+MAX(DEXA*2,APPA*2,STRA*2),0)</f>
        <v>0</v>
      </c>
      <c r="G52" s="715" t="s">
        <v>5915</v>
      </c>
      <c r="K52" s="3244" t="s">
        <v>5916</v>
      </c>
      <c r="L52" s="3244"/>
      <c r="M52" s="691" t="s">
        <v>5917</v>
      </c>
      <c r="N52" s="692"/>
      <c r="O52" s="675"/>
      <c r="P52" s="675"/>
      <c r="Q52" s="391"/>
      <c r="R52" s="675"/>
    </row>
    <row r="53" spans="1:18" ht="17.25" customHeight="1">
      <c r="A53" s="680">
        <v>51</v>
      </c>
      <c r="B53" s="3245" t="s">
        <v>5918</v>
      </c>
      <c r="C53" s="3245"/>
      <c r="D53" s="669" t="s">
        <v>5737</v>
      </c>
      <c r="E53" s="669" t="s">
        <v>5711</v>
      </c>
      <c r="F53" s="674">
        <f>IFERROR(EDUA*2+DEXA*2,0)</f>
        <v>0</v>
      </c>
      <c r="G53" s="710" t="s">
        <v>5919</v>
      </c>
      <c r="K53" s="3244" t="s">
        <v>5920</v>
      </c>
      <c r="L53" s="3244"/>
      <c r="M53" s="691" t="s">
        <v>5921</v>
      </c>
      <c r="N53" s="692"/>
      <c r="O53" s="675"/>
      <c r="P53" s="675"/>
      <c r="Q53" s="391"/>
      <c r="R53" s="675"/>
    </row>
    <row r="54" spans="1:18" ht="17.25" customHeight="1">
      <c r="A54" s="711">
        <v>52</v>
      </c>
      <c r="B54" s="3243" t="s">
        <v>5922</v>
      </c>
      <c r="C54" s="3243"/>
      <c r="D54" s="712" t="s">
        <v>5710</v>
      </c>
      <c r="E54" s="713" t="s">
        <v>5727</v>
      </c>
      <c r="F54" s="714">
        <f>IFERROR(EDUA*2+MAX(STRA*2,DEXA*2),0)</f>
        <v>0</v>
      </c>
      <c r="G54" s="715" t="s">
        <v>5923</v>
      </c>
      <c r="K54" s="3244" t="s">
        <v>5924</v>
      </c>
      <c r="L54" s="3244"/>
      <c r="M54" s="691" t="s">
        <v>5925</v>
      </c>
      <c r="N54" s="692"/>
      <c r="O54" s="675"/>
      <c r="P54" s="675"/>
      <c r="Q54" s="391"/>
      <c r="R54" s="675"/>
    </row>
    <row r="55" spans="1:18" ht="17.25" customHeight="1">
      <c r="A55" s="680">
        <v>53</v>
      </c>
      <c r="B55" s="3245" t="s">
        <v>5926</v>
      </c>
      <c r="C55" s="3245"/>
      <c r="D55" s="669" t="s">
        <v>5677</v>
      </c>
      <c r="E55" s="669" t="s">
        <v>5848</v>
      </c>
      <c r="F55" s="674">
        <f>IFERROR(EDUA*2+DEXA*2,0)</f>
        <v>0</v>
      </c>
      <c r="G55" s="710" t="s">
        <v>5927</v>
      </c>
      <c r="K55" s="3244" t="s">
        <v>5928</v>
      </c>
      <c r="L55" s="3244"/>
      <c r="M55" s="691" t="s">
        <v>5929</v>
      </c>
      <c r="N55" s="692"/>
      <c r="O55" s="675"/>
      <c r="P55" s="675"/>
      <c r="Q55" s="391"/>
      <c r="R55" s="675"/>
    </row>
    <row r="56" spans="1:18">
      <c r="A56" s="711">
        <v>54</v>
      </c>
      <c r="B56" s="3243" t="s">
        <v>5930</v>
      </c>
      <c r="C56" s="3243"/>
      <c r="D56" s="712" t="s">
        <v>5931</v>
      </c>
      <c r="E56" s="713" t="s">
        <v>5705</v>
      </c>
      <c r="F56" s="714">
        <f>IFERROR(EDUA*4,0)</f>
        <v>0</v>
      </c>
      <c r="G56" s="715" t="s">
        <v>5932</v>
      </c>
      <c r="K56" s="3244" t="s">
        <v>5933</v>
      </c>
      <c r="L56" s="3244"/>
      <c r="M56" s="691" t="s">
        <v>5934</v>
      </c>
      <c r="N56" s="692"/>
      <c r="O56" s="675"/>
      <c r="P56" s="675"/>
      <c r="Q56" s="391"/>
      <c r="R56" s="675"/>
    </row>
    <row r="57" spans="1:18" ht="17.25" customHeight="1">
      <c r="A57" s="680">
        <v>55</v>
      </c>
      <c r="B57" s="3245" t="s">
        <v>5935</v>
      </c>
      <c r="C57" s="3245"/>
      <c r="D57" s="669" t="s">
        <v>5936</v>
      </c>
      <c r="E57" s="669" t="s">
        <v>5853</v>
      </c>
      <c r="F57" s="674">
        <f>IFERROR(EDUA*2+APPA*2,0)</f>
        <v>0</v>
      </c>
      <c r="G57" s="710" t="s">
        <v>5937</v>
      </c>
      <c r="K57" s="3244" t="s">
        <v>5938</v>
      </c>
      <c r="L57" s="3244"/>
      <c r="M57" s="691" t="s">
        <v>5939</v>
      </c>
      <c r="N57" s="692"/>
      <c r="O57" s="675"/>
      <c r="P57" s="675"/>
      <c r="Q57" s="391"/>
      <c r="R57" s="675"/>
    </row>
    <row r="58" spans="1:18">
      <c r="A58" s="711">
        <v>56</v>
      </c>
      <c r="B58" s="3243" t="s">
        <v>5940</v>
      </c>
      <c r="C58" s="3243"/>
      <c r="D58" s="712" t="s">
        <v>5830</v>
      </c>
      <c r="E58" s="713" t="s">
        <v>5705</v>
      </c>
      <c r="F58" s="714">
        <f>IFERROR(EDUA*4,0)</f>
        <v>0</v>
      </c>
      <c r="G58" s="715" t="s">
        <v>5941</v>
      </c>
      <c r="K58" s="3244" t="s">
        <v>5942</v>
      </c>
      <c r="L58" s="3244"/>
      <c r="M58" s="691" t="s">
        <v>5943</v>
      </c>
      <c r="N58" s="692"/>
      <c r="O58" s="675"/>
      <c r="P58" s="675"/>
      <c r="Q58" s="391"/>
      <c r="R58" s="675"/>
    </row>
    <row r="59" spans="1:18" ht="16.5" customHeight="1">
      <c r="A59" s="680">
        <v>57</v>
      </c>
      <c r="B59" s="3245" t="s">
        <v>5944</v>
      </c>
      <c r="C59" s="3245"/>
      <c r="D59" s="669" t="s">
        <v>5771</v>
      </c>
      <c r="E59" s="669" t="s">
        <v>5716</v>
      </c>
      <c r="F59" s="674">
        <f>IFERROR(EDUA*2+APPA*2,0)</f>
        <v>0</v>
      </c>
      <c r="G59" s="710" t="s">
        <v>5945</v>
      </c>
      <c r="K59" s="3244" t="s">
        <v>5946</v>
      </c>
      <c r="L59" s="3244"/>
      <c r="M59" s="691" t="s">
        <v>5947</v>
      </c>
      <c r="N59" s="692"/>
      <c r="O59" s="675"/>
      <c r="P59" s="675"/>
      <c r="Q59" s="391"/>
      <c r="R59" s="675"/>
    </row>
    <row r="60" spans="1:18" ht="17.25" customHeight="1">
      <c r="A60" s="711">
        <v>58</v>
      </c>
      <c r="B60" s="3243" t="s">
        <v>5948</v>
      </c>
      <c r="C60" s="3243"/>
      <c r="D60" s="712" t="s">
        <v>5949</v>
      </c>
      <c r="E60" s="713" t="s">
        <v>5914</v>
      </c>
      <c r="F60" s="714">
        <f>IFERROR(EDUA*2+MAX(DEXA*2,APPA*2,STRA*2),0)</f>
        <v>0</v>
      </c>
      <c r="G60" s="715" t="s">
        <v>5950</v>
      </c>
      <c r="K60" s="3244" t="s">
        <v>5951</v>
      </c>
      <c r="L60" s="3244"/>
      <c r="M60" s="691" t="s">
        <v>5952</v>
      </c>
      <c r="N60" s="692"/>
      <c r="O60" s="675"/>
      <c r="P60" s="675"/>
      <c r="Q60" s="391"/>
      <c r="R60" s="675"/>
    </row>
    <row r="61" spans="1:18" ht="16.5" customHeight="1">
      <c r="A61" s="680">
        <v>59</v>
      </c>
      <c r="B61" s="3245" t="s">
        <v>5953</v>
      </c>
      <c r="C61" s="3245"/>
      <c r="D61" s="669" t="s">
        <v>5677</v>
      </c>
      <c r="E61" s="669" t="s">
        <v>5727</v>
      </c>
      <c r="F61" s="674">
        <f>IFERROR(EDUA*2+MAX(STRA*2,DEXA*2),0)</f>
        <v>0</v>
      </c>
      <c r="G61" s="710" t="s">
        <v>5954</v>
      </c>
      <c r="K61" s="3244" t="s">
        <v>5955</v>
      </c>
      <c r="L61" s="3244"/>
      <c r="M61" s="691" t="s">
        <v>5956</v>
      </c>
      <c r="N61" s="692"/>
      <c r="O61" s="675"/>
      <c r="P61" s="675"/>
      <c r="Q61" s="391"/>
      <c r="R61" s="675"/>
    </row>
    <row r="62" spans="1:18">
      <c r="A62" s="711">
        <v>60</v>
      </c>
      <c r="B62" s="3243" t="s">
        <v>5957</v>
      </c>
      <c r="C62" s="3243"/>
      <c r="D62" s="712" t="s">
        <v>5790</v>
      </c>
      <c r="E62" s="713" t="s">
        <v>5705</v>
      </c>
      <c r="F62" s="714">
        <f>IFERROR(EDUA*4,0)</f>
        <v>0</v>
      </c>
      <c r="G62" s="715" t="s">
        <v>5958</v>
      </c>
      <c r="H62" s="669"/>
      <c r="K62" s="3244" t="s">
        <v>5959</v>
      </c>
      <c r="L62" s="3244"/>
      <c r="M62" s="691" t="s">
        <v>5960</v>
      </c>
      <c r="N62" s="692"/>
      <c r="O62" s="675"/>
      <c r="P62" s="675"/>
      <c r="Q62" s="391"/>
      <c r="R62" s="675"/>
    </row>
    <row r="63" spans="1:18" ht="15" customHeight="1">
      <c r="A63" s="680">
        <v>61</v>
      </c>
      <c r="B63" s="3245" t="s">
        <v>5961</v>
      </c>
      <c r="C63" s="3245"/>
      <c r="D63" s="669" t="s">
        <v>5677</v>
      </c>
      <c r="E63" s="669" t="s">
        <v>5727</v>
      </c>
      <c r="F63" s="674">
        <f>IFERROR(EDUA*2+MAX(STRA*2,DEXA*2),0)</f>
        <v>0</v>
      </c>
      <c r="G63" s="710" t="s">
        <v>5962</v>
      </c>
      <c r="H63" s="669"/>
      <c r="K63" s="3244" t="s">
        <v>5963</v>
      </c>
      <c r="L63" s="3244"/>
      <c r="M63" s="691" t="s">
        <v>5964</v>
      </c>
      <c r="N63" s="692"/>
      <c r="O63" s="675"/>
      <c r="P63" s="675"/>
      <c r="Q63" s="391"/>
      <c r="R63" s="675"/>
    </row>
    <row r="64" spans="1:18" ht="16" customHeight="1">
      <c r="A64" s="711">
        <v>62</v>
      </c>
      <c r="B64" s="3243" t="s">
        <v>5965</v>
      </c>
      <c r="C64" s="3243"/>
      <c r="D64" s="712" t="s">
        <v>5737</v>
      </c>
      <c r="E64" s="713" t="s">
        <v>5705</v>
      </c>
      <c r="F64" s="714">
        <f>IFERROR(EDUA*4,0)</f>
        <v>0</v>
      </c>
      <c r="G64" s="715" t="s">
        <v>5966</v>
      </c>
      <c r="H64" s="669"/>
      <c r="K64" s="3244" t="s">
        <v>5967</v>
      </c>
      <c r="L64" s="3244"/>
      <c r="M64" s="732" t="s">
        <v>5968</v>
      </c>
      <c r="N64" s="692"/>
      <c r="O64" s="675"/>
      <c r="P64" s="675"/>
      <c r="Q64" s="391"/>
      <c r="R64" s="675"/>
    </row>
    <row r="65" spans="1:20">
      <c r="A65" s="680">
        <v>63</v>
      </c>
      <c r="B65" s="3245" t="s">
        <v>5969</v>
      </c>
      <c r="C65" s="3245"/>
      <c r="D65" s="669" t="s">
        <v>5970</v>
      </c>
      <c r="E65" s="669" t="s">
        <v>5705</v>
      </c>
      <c r="F65" s="674">
        <f>IFERROR(EDUA*4,0)</f>
        <v>0</v>
      </c>
      <c r="G65" s="710" t="s">
        <v>5971</v>
      </c>
      <c r="H65" s="669"/>
      <c r="K65" s="3244" t="s">
        <v>5972</v>
      </c>
      <c r="L65" s="3244"/>
      <c r="M65" s="691" t="s">
        <v>5973</v>
      </c>
      <c r="N65" s="692"/>
      <c r="O65" s="675"/>
      <c r="P65" s="675"/>
      <c r="Q65" s="391"/>
      <c r="R65" s="675"/>
    </row>
    <row r="66" spans="1:20">
      <c r="A66" s="711">
        <v>64</v>
      </c>
      <c r="B66" s="3243" t="s">
        <v>5974</v>
      </c>
      <c r="C66" s="3243"/>
      <c r="D66" s="712" t="s">
        <v>5975</v>
      </c>
      <c r="E66" s="713" t="s">
        <v>5976</v>
      </c>
      <c r="F66" s="714">
        <f>IFERROR(EDUA*2+MAX(DEXA*2,APPA*2),0)</f>
        <v>0</v>
      </c>
      <c r="G66" s="715" t="s">
        <v>5977</v>
      </c>
      <c r="H66" s="669"/>
      <c r="K66" s="3244" t="s">
        <v>5978</v>
      </c>
      <c r="L66" s="3244"/>
      <c r="M66" s="691" t="s">
        <v>5979</v>
      </c>
      <c r="N66" s="692"/>
      <c r="O66" s="675"/>
      <c r="P66" s="675"/>
      <c r="Q66" s="391"/>
      <c r="R66" s="675"/>
    </row>
    <row r="67" spans="1:20">
      <c r="A67" s="680">
        <v>65</v>
      </c>
      <c r="B67" s="3245" t="s">
        <v>5980</v>
      </c>
      <c r="C67" s="3245"/>
      <c r="D67" s="669" t="s">
        <v>5981</v>
      </c>
      <c r="E67" s="669" t="s">
        <v>5716</v>
      </c>
      <c r="F67" s="674">
        <f>IFERROR(EDUA*2+APPA*2,0)</f>
        <v>0</v>
      </c>
      <c r="G67" s="710" t="s">
        <v>5982</v>
      </c>
      <c r="H67" s="669"/>
      <c r="K67" s="3244" t="s">
        <v>5983</v>
      </c>
      <c r="L67" s="3244"/>
      <c r="M67" s="691" t="s">
        <v>5984</v>
      </c>
      <c r="N67" s="692"/>
      <c r="O67" s="675"/>
      <c r="P67" s="675"/>
      <c r="Q67" s="391"/>
      <c r="R67" s="675"/>
    </row>
    <row r="68" spans="1:20">
      <c r="A68" s="711">
        <v>66</v>
      </c>
      <c r="B68" s="3243" t="s">
        <v>5985</v>
      </c>
      <c r="C68" s="3243"/>
      <c r="D68" s="712" t="s">
        <v>5710</v>
      </c>
      <c r="E68" s="713" t="s">
        <v>5727</v>
      </c>
      <c r="F68" s="714">
        <f>IFERROR(EDUA*2+MAX(STRA*2,DEXA*2),0)</f>
        <v>0</v>
      </c>
      <c r="G68" s="715" t="s">
        <v>5986</v>
      </c>
      <c r="H68" s="669"/>
      <c r="K68" s="3244" t="s">
        <v>5987</v>
      </c>
      <c r="L68" s="3244"/>
      <c r="M68" s="691" t="s">
        <v>5984</v>
      </c>
      <c r="N68" s="692"/>
      <c r="O68" s="675"/>
      <c r="P68" s="675"/>
      <c r="Q68" s="391"/>
      <c r="R68" s="675"/>
    </row>
    <row r="69" spans="1:20">
      <c r="A69" s="680">
        <v>67</v>
      </c>
      <c r="B69" s="3245" t="s">
        <v>5988</v>
      </c>
      <c r="C69" s="3245"/>
      <c r="D69" s="669" t="s">
        <v>5989</v>
      </c>
      <c r="E69" s="669" t="s">
        <v>5853</v>
      </c>
      <c r="F69" s="674">
        <f>IFERROR(EDUA*2+APPA*2,0)</f>
        <v>0</v>
      </c>
      <c r="G69" s="710" t="s">
        <v>5990</v>
      </c>
      <c r="H69" s="669"/>
      <c r="K69" s="3244" t="s">
        <v>5991</v>
      </c>
      <c r="L69" s="3244"/>
      <c r="M69" s="691" t="s">
        <v>5992</v>
      </c>
      <c r="N69" s="692"/>
      <c r="O69" s="675"/>
      <c r="P69" s="675"/>
      <c r="Q69" s="391"/>
      <c r="R69" s="675"/>
    </row>
    <row r="70" spans="1:20">
      <c r="A70" s="711">
        <v>68</v>
      </c>
      <c r="B70" s="3243" t="s">
        <v>5993</v>
      </c>
      <c r="C70" s="3243"/>
      <c r="D70" s="712" t="s">
        <v>5913</v>
      </c>
      <c r="E70" s="713" t="s">
        <v>5976</v>
      </c>
      <c r="F70" s="714">
        <f>IFERROR(EDUA*2+MAX(DEXA*2,APPA*2),0)</f>
        <v>0</v>
      </c>
      <c r="G70" s="715" t="s">
        <v>5994</v>
      </c>
      <c r="H70" s="669"/>
      <c r="K70" s="3244" t="s">
        <v>5995</v>
      </c>
      <c r="L70" s="3244"/>
      <c r="M70" s="691" t="s">
        <v>5996</v>
      </c>
      <c r="N70" s="692"/>
      <c r="O70" s="675"/>
      <c r="P70" s="675"/>
      <c r="Q70" s="391"/>
      <c r="R70" s="675"/>
    </row>
    <row r="71" spans="1:20">
      <c r="A71" s="680">
        <v>69</v>
      </c>
      <c r="B71" s="3245" t="s">
        <v>5997</v>
      </c>
      <c r="C71" s="3245"/>
      <c r="D71" s="669" t="s">
        <v>5998</v>
      </c>
      <c r="E71" s="669" t="s">
        <v>5999</v>
      </c>
      <c r="F71" s="674">
        <f>IFERROR(EDUA*2+STRA*2,0)</f>
        <v>0</v>
      </c>
      <c r="G71" s="710" t="s">
        <v>6000</v>
      </c>
      <c r="H71" s="669"/>
      <c r="K71" s="3244" t="s">
        <v>6001</v>
      </c>
      <c r="L71" s="3244"/>
      <c r="M71" s="691" t="s">
        <v>6002</v>
      </c>
      <c r="N71" s="692"/>
      <c r="O71" s="675"/>
      <c r="P71" s="675"/>
      <c r="Q71" s="391"/>
      <c r="R71" s="675"/>
    </row>
    <row r="72" spans="1:20">
      <c r="A72" s="711">
        <v>70</v>
      </c>
      <c r="B72" s="3243" t="s">
        <v>6003</v>
      </c>
      <c r="C72" s="3243"/>
      <c r="D72" s="712" t="s">
        <v>5677</v>
      </c>
      <c r="E72" s="713" t="s">
        <v>5705</v>
      </c>
      <c r="F72" s="714">
        <f>IFERROR(EDUA*4,0)</f>
        <v>0</v>
      </c>
      <c r="G72" s="715" t="s">
        <v>6004</v>
      </c>
      <c r="H72" s="669"/>
      <c r="K72" s="3244" t="s">
        <v>6005</v>
      </c>
      <c r="L72" s="3244"/>
      <c r="M72" s="691" t="s">
        <v>6006</v>
      </c>
      <c r="N72" s="692"/>
      <c r="O72" s="675"/>
      <c r="P72" s="675"/>
      <c r="Q72" s="391"/>
      <c r="R72" s="675"/>
    </row>
    <row r="73" spans="1:20">
      <c r="A73" s="680">
        <v>71</v>
      </c>
      <c r="B73" s="3245" t="s">
        <v>6007</v>
      </c>
      <c r="C73" s="3245"/>
      <c r="D73" s="669" t="s">
        <v>5677</v>
      </c>
      <c r="E73" s="669" t="s">
        <v>5705</v>
      </c>
      <c r="F73" s="674">
        <f>IFERROR(EDUA*4,0)</f>
        <v>0</v>
      </c>
      <c r="G73" s="710" t="s">
        <v>6008</v>
      </c>
      <c r="H73" s="669"/>
      <c r="K73" s="3244" t="s">
        <v>6009</v>
      </c>
      <c r="L73" s="3244"/>
      <c r="M73" s="691" t="s">
        <v>6010</v>
      </c>
      <c r="N73" s="692"/>
      <c r="O73" s="675"/>
      <c r="P73" s="675"/>
      <c r="R73" s="675"/>
      <c r="S73" s="675"/>
    </row>
    <row r="74" spans="1:20">
      <c r="A74" s="711">
        <v>72</v>
      </c>
      <c r="B74" s="3243" t="s">
        <v>6011</v>
      </c>
      <c r="C74" s="3243"/>
      <c r="D74" s="712" t="s">
        <v>6012</v>
      </c>
      <c r="E74" s="713" t="s">
        <v>5705</v>
      </c>
      <c r="F74" s="714">
        <f>IFERROR(EDUA*4,0)</f>
        <v>0</v>
      </c>
      <c r="G74" s="715" t="s">
        <v>6013</v>
      </c>
      <c r="H74" s="669"/>
      <c r="K74" s="3244" t="s">
        <v>6014</v>
      </c>
      <c r="L74" s="3244"/>
      <c r="M74" s="691" t="s">
        <v>6015</v>
      </c>
      <c r="N74" s="692"/>
      <c r="O74" s="675"/>
      <c r="P74" s="675"/>
      <c r="R74" s="675"/>
      <c r="S74" s="675"/>
    </row>
    <row r="75" spans="1:20">
      <c r="A75" s="680">
        <v>73</v>
      </c>
      <c r="B75" s="3245" t="s">
        <v>6016</v>
      </c>
      <c r="C75" s="3245"/>
      <c r="D75" s="669" t="s">
        <v>5931</v>
      </c>
      <c r="E75" s="669" t="s">
        <v>5705</v>
      </c>
      <c r="F75" s="674">
        <f>IFERROR(EDUA*4,0)</f>
        <v>0</v>
      </c>
      <c r="G75" s="710" t="s">
        <v>6017</v>
      </c>
      <c r="H75" s="669"/>
      <c r="K75" s="3244" t="s">
        <v>6018</v>
      </c>
      <c r="L75" s="3244"/>
      <c r="M75" s="691" t="s">
        <v>6019</v>
      </c>
      <c r="N75" s="692"/>
      <c r="O75" s="675"/>
      <c r="P75" s="675"/>
      <c r="R75" s="675"/>
      <c r="S75" s="675"/>
      <c r="T75" s="675"/>
    </row>
    <row r="76" spans="1:20">
      <c r="A76" s="711">
        <v>74</v>
      </c>
      <c r="B76" s="3243" t="s">
        <v>6020</v>
      </c>
      <c r="C76" s="3243"/>
      <c r="D76" s="712" t="s">
        <v>5677</v>
      </c>
      <c r="E76" s="713" t="s">
        <v>5727</v>
      </c>
      <c r="F76" s="714">
        <f>IFERROR(EDUA*2+MAX(STRA*2,DEXA*2),0)</f>
        <v>0</v>
      </c>
      <c r="G76" s="715" t="s">
        <v>6021</v>
      </c>
      <c r="H76" s="669"/>
      <c r="K76" s="3244" t="s">
        <v>6022</v>
      </c>
      <c r="L76" s="3244"/>
      <c r="M76" s="691" t="s">
        <v>6023</v>
      </c>
      <c r="N76" s="692"/>
      <c r="O76" s="675"/>
      <c r="P76" s="675"/>
      <c r="R76" s="675"/>
      <c r="S76" s="675"/>
      <c r="T76" s="675"/>
    </row>
    <row r="77" spans="1:20" ht="16.5" customHeight="1">
      <c r="A77" s="680">
        <v>75</v>
      </c>
      <c r="B77" s="3245" t="s">
        <v>6024</v>
      </c>
      <c r="C77" s="3245"/>
      <c r="D77" s="669" t="s">
        <v>5677</v>
      </c>
      <c r="E77" s="669" t="s">
        <v>5727</v>
      </c>
      <c r="F77" s="674">
        <f>IFERROR(EDUA*2+MAX(STRA*2,DEXA*2),0)</f>
        <v>0</v>
      </c>
      <c r="G77" s="710" t="s">
        <v>6025</v>
      </c>
      <c r="H77" s="669"/>
      <c r="K77" s="3244" t="s">
        <v>6026</v>
      </c>
      <c r="L77" s="3244"/>
      <c r="M77" s="691" t="s">
        <v>6023</v>
      </c>
      <c r="N77" s="692"/>
      <c r="O77" s="675"/>
      <c r="P77" s="675"/>
      <c r="R77" s="675"/>
      <c r="S77" s="675"/>
      <c r="T77" s="675"/>
    </row>
    <row r="78" spans="1:20" ht="16.5" customHeight="1">
      <c r="A78" s="711">
        <v>76</v>
      </c>
      <c r="B78" s="3243" t="s">
        <v>6027</v>
      </c>
      <c r="C78" s="3243"/>
      <c r="D78" s="712" t="s">
        <v>5677</v>
      </c>
      <c r="E78" s="713" t="s">
        <v>5727</v>
      </c>
      <c r="F78" s="714">
        <f>IFERROR(EDUA*2+MAX(STRA*2,DEXA*2),0)</f>
        <v>0</v>
      </c>
      <c r="G78" s="715" t="s">
        <v>6028</v>
      </c>
      <c r="H78" s="669"/>
      <c r="K78" s="3244" t="s">
        <v>6029</v>
      </c>
      <c r="L78" s="3244"/>
      <c r="M78" s="691" t="s">
        <v>6023</v>
      </c>
      <c r="N78" s="692"/>
      <c r="O78" s="675"/>
      <c r="P78" s="675"/>
      <c r="R78" s="675"/>
      <c r="S78" s="675"/>
      <c r="T78" s="675"/>
    </row>
    <row r="79" spans="1:20">
      <c r="A79" s="680">
        <v>77</v>
      </c>
      <c r="B79" s="3245" t="s">
        <v>6030</v>
      </c>
      <c r="C79" s="3245"/>
      <c r="D79" s="669" t="s">
        <v>5908</v>
      </c>
      <c r="E79" s="669" t="s">
        <v>5705</v>
      </c>
      <c r="F79" s="674">
        <f>IFERROR(EDUA*4,0)</f>
        <v>0</v>
      </c>
      <c r="G79" s="710" t="s">
        <v>6031</v>
      </c>
      <c r="H79" s="669"/>
      <c r="K79" s="3244" t="s">
        <v>6032</v>
      </c>
      <c r="L79" s="3244"/>
      <c r="M79" s="691" t="s">
        <v>6033</v>
      </c>
      <c r="N79" s="692"/>
      <c r="O79" s="675"/>
      <c r="P79" s="675"/>
      <c r="R79" s="675"/>
      <c r="S79" s="675"/>
      <c r="T79" s="675"/>
    </row>
    <row r="80" spans="1:20">
      <c r="A80" s="711">
        <v>78</v>
      </c>
      <c r="B80" s="3243" t="s">
        <v>6034</v>
      </c>
      <c r="C80" s="3243"/>
      <c r="D80" s="712" t="s">
        <v>6035</v>
      </c>
      <c r="E80" s="713" t="s">
        <v>5705</v>
      </c>
      <c r="F80" s="714">
        <f>IFERROR(EDUA*4,0)</f>
        <v>0</v>
      </c>
      <c r="G80" s="715" t="s">
        <v>6036</v>
      </c>
      <c r="H80" s="669"/>
      <c r="K80" s="3244" t="s">
        <v>6037</v>
      </c>
      <c r="L80" s="3244"/>
      <c r="M80" s="691" t="s">
        <v>6038</v>
      </c>
      <c r="N80" s="692"/>
      <c r="O80" s="675"/>
      <c r="P80" s="675"/>
      <c r="R80" s="675"/>
      <c r="S80" s="675"/>
      <c r="T80" s="675"/>
    </row>
    <row r="81" spans="1:20">
      <c r="A81" s="680">
        <v>79</v>
      </c>
      <c r="B81" s="3245" t="s">
        <v>6039</v>
      </c>
      <c r="C81" s="3245"/>
      <c r="D81" s="669" t="s">
        <v>5683</v>
      </c>
      <c r="E81" s="669" t="s">
        <v>5705</v>
      </c>
      <c r="F81" s="674">
        <f>IFERROR(EDUA*4,0)</f>
        <v>0</v>
      </c>
      <c r="G81" s="710" t="s">
        <v>6040</v>
      </c>
      <c r="H81" s="669"/>
      <c r="K81" s="3244" t="s">
        <v>6041</v>
      </c>
      <c r="L81" s="3244"/>
      <c r="M81" s="691" t="s">
        <v>6042</v>
      </c>
      <c r="N81" s="692"/>
      <c r="O81" s="675"/>
      <c r="P81" s="675"/>
      <c r="R81" s="675"/>
      <c r="S81" s="675"/>
      <c r="T81" s="675"/>
    </row>
    <row r="82" spans="1:20" ht="16.5" customHeight="1">
      <c r="A82" s="711">
        <v>80</v>
      </c>
      <c r="B82" s="3243" t="s">
        <v>6043</v>
      </c>
      <c r="C82" s="3243"/>
      <c r="D82" s="712" t="s">
        <v>6044</v>
      </c>
      <c r="E82" s="713" t="s">
        <v>5727</v>
      </c>
      <c r="F82" s="714">
        <f>IFERROR(EDUA*2+MAX(STRA*2,DEXA*2),0)</f>
        <v>0</v>
      </c>
      <c r="G82" s="715" t="s">
        <v>6045</v>
      </c>
      <c r="H82" s="669"/>
      <c r="K82" s="3244" t="s">
        <v>6046</v>
      </c>
      <c r="L82" s="3244"/>
      <c r="M82" s="691" t="s">
        <v>6047</v>
      </c>
      <c r="N82" s="692"/>
      <c r="O82" s="675"/>
      <c r="P82" s="675"/>
      <c r="R82" s="675"/>
      <c r="S82" s="675"/>
      <c r="T82" s="675"/>
    </row>
    <row r="83" spans="1:20" ht="17.25" customHeight="1">
      <c r="A83" s="680">
        <v>81</v>
      </c>
      <c r="B83" s="3245" t="s">
        <v>6048</v>
      </c>
      <c r="C83" s="3245"/>
      <c r="D83" s="669" t="s">
        <v>6049</v>
      </c>
      <c r="E83" s="669" t="s">
        <v>5716</v>
      </c>
      <c r="F83" s="674">
        <f>IFERROR(EDUA*2+APPA*2,0)</f>
        <v>0</v>
      </c>
      <c r="G83" s="710" t="s">
        <v>6050</v>
      </c>
      <c r="H83" s="669"/>
      <c r="K83" s="3244" t="s">
        <v>6051</v>
      </c>
      <c r="L83" s="3244"/>
      <c r="M83" s="691" t="s">
        <v>6052</v>
      </c>
      <c r="N83" s="692"/>
      <c r="O83" s="675"/>
      <c r="P83" s="675"/>
      <c r="R83" s="675"/>
      <c r="S83" s="675"/>
      <c r="T83" s="675"/>
    </row>
    <row r="84" spans="1:20" ht="17.25" customHeight="1">
      <c r="A84" s="711">
        <v>82</v>
      </c>
      <c r="B84" s="3243" t="s">
        <v>6053</v>
      </c>
      <c r="C84" s="3243"/>
      <c r="D84" s="712" t="s">
        <v>5830</v>
      </c>
      <c r="E84" s="713" t="s">
        <v>5727</v>
      </c>
      <c r="F84" s="714">
        <f>IFERROR(EDUA*2+MAX(STRA*2,DEXA*2),0)</f>
        <v>0</v>
      </c>
      <c r="G84" s="715" t="s">
        <v>6054</v>
      </c>
      <c r="H84" s="669"/>
      <c r="K84" s="3244" t="s">
        <v>6055</v>
      </c>
      <c r="L84" s="3244"/>
      <c r="M84" s="691" t="s">
        <v>6056</v>
      </c>
      <c r="N84" s="692"/>
      <c r="O84" s="675"/>
      <c r="P84" s="675"/>
      <c r="R84" s="675"/>
      <c r="S84" s="675"/>
      <c r="T84" s="675"/>
    </row>
    <row r="85" spans="1:20">
      <c r="A85" s="680">
        <v>83</v>
      </c>
      <c r="B85" s="3245" t="s">
        <v>6057</v>
      </c>
      <c r="C85" s="3245"/>
      <c r="D85" s="669" t="s">
        <v>5931</v>
      </c>
      <c r="E85" s="669" t="s">
        <v>5705</v>
      </c>
      <c r="F85" s="674">
        <f>IFERROR(EDUA*4,0)</f>
        <v>0</v>
      </c>
      <c r="G85" s="710" t="s">
        <v>6058</v>
      </c>
      <c r="H85" s="669"/>
      <c r="K85" s="3244" t="s">
        <v>6059</v>
      </c>
      <c r="L85" s="3244"/>
      <c r="M85" s="691" t="s">
        <v>6060</v>
      </c>
      <c r="N85" s="692"/>
      <c r="O85" s="675"/>
      <c r="P85" s="675"/>
      <c r="R85" s="675"/>
      <c r="S85" s="675"/>
      <c r="T85" s="675"/>
    </row>
    <row r="86" spans="1:20" ht="16.5" customHeight="1">
      <c r="A86" s="711">
        <v>84</v>
      </c>
      <c r="B86" s="3243" t="s">
        <v>6061</v>
      </c>
      <c r="C86" s="3243"/>
      <c r="D86" s="712" t="s">
        <v>5677</v>
      </c>
      <c r="E86" s="713" t="s">
        <v>6062</v>
      </c>
      <c r="F86" s="714">
        <f>IFERROR(EDUA*2+MAX(POWA*2,DEXA*2),0)</f>
        <v>0</v>
      </c>
      <c r="G86" s="715" t="s">
        <v>6063</v>
      </c>
      <c r="H86" s="669"/>
      <c r="K86" s="3244" t="s">
        <v>6064</v>
      </c>
      <c r="L86" s="3244"/>
      <c r="M86" s="691" t="s">
        <v>6065</v>
      </c>
      <c r="N86" s="692"/>
      <c r="O86" s="675"/>
      <c r="P86" s="675"/>
      <c r="R86" s="675"/>
      <c r="S86" s="675"/>
      <c r="T86" s="675"/>
    </row>
    <row r="87" spans="1:20">
      <c r="A87" s="680">
        <v>85</v>
      </c>
      <c r="B87" s="3245" t="s">
        <v>6066</v>
      </c>
      <c r="C87" s="3245"/>
      <c r="D87" s="669" t="s">
        <v>5677</v>
      </c>
      <c r="E87" s="669" t="s">
        <v>5705</v>
      </c>
      <c r="F87" s="674">
        <f>IFERROR(EDUA*4,0)</f>
        <v>0</v>
      </c>
      <c r="G87" s="710" t="s">
        <v>6067</v>
      </c>
      <c r="H87" s="669"/>
      <c r="K87" s="3244" t="s">
        <v>6068</v>
      </c>
      <c r="L87" s="3244"/>
      <c r="M87" s="691" t="s">
        <v>6069</v>
      </c>
      <c r="N87" s="692"/>
      <c r="O87" s="675"/>
      <c r="P87" s="675"/>
      <c r="R87" s="675"/>
      <c r="S87" s="675"/>
      <c r="T87" s="675"/>
    </row>
    <row r="88" spans="1:20" ht="16" customHeight="1">
      <c r="A88" s="711">
        <v>86</v>
      </c>
      <c r="B88" s="3243" t="s">
        <v>6070</v>
      </c>
      <c r="C88" s="3243"/>
      <c r="D88" s="712" t="s">
        <v>6071</v>
      </c>
      <c r="E88" s="713" t="s">
        <v>5705</v>
      </c>
      <c r="F88" s="714">
        <f>IFERROR(EDUA*4,0)</f>
        <v>0</v>
      </c>
      <c r="G88" s="715" t="s">
        <v>6072</v>
      </c>
      <c r="H88" s="669"/>
      <c r="K88" s="3244" t="s">
        <v>6073</v>
      </c>
      <c r="L88" s="3244"/>
      <c r="M88" s="732" t="s">
        <v>6074</v>
      </c>
      <c r="N88" s="692"/>
      <c r="O88" s="675"/>
      <c r="P88" s="675"/>
      <c r="R88" s="675"/>
      <c r="S88" s="675"/>
      <c r="T88" s="675"/>
    </row>
    <row r="89" spans="1:20" ht="16.5" customHeight="1">
      <c r="A89" s="680">
        <v>87</v>
      </c>
      <c r="B89" s="3245" t="s">
        <v>6075</v>
      </c>
      <c r="C89" s="3245"/>
      <c r="D89" s="669" t="s">
        <v>6076</v>
      </c>
      <c r="E89" s="669" t="s">
        <v>5727</v>
      </c>
      <c r="F89" s="674">
        <f>IFERROR(EDUA*2+MAX(STRA*2,DEXA*2),0)</f>
        <v>0</v>
      </c>
      <c r="G89" s="710" t="s">
        <v>6077</v>
      </c>
      <c r="K89" s="3244" t="s">
        <v>6078</v>
      </c>
      <c r="L89" s="3244"/>
      <c r="M89" s="691" t="s">
        <v>6079</v>
      </c>
      <c r="N89" s="692"/>
      <c r="O89" s="675"/>
      <c r="P89" s="675"/>
      <c r="R89" s="675"/>
      <c r="S89" s="675"/>
      <c r="T89" s="675"/>
    </row>
    <row r="90" spans="1:20" ht="15" customHeight="1">
      <c r="A90" s="711">
        <v>88</v>
      </c>
      <c r="B90" s="3243" t="s">
        <v>6080</v>
      </c>
      <c r="C90" s="3243"/>
      <c r="D90" s="712" t="s">
        <v>5677</v>
      </c>
      <c r="E90" s="713" t="s">
        <v>5705</v>
      </c>
      <c r="F90" s="714">
        <f>IFERROR(EDUA*4,0)</f>
        <v>0</v>
      </c>
      <c r="G90" s="715" t="s">
        <v>6081</v>
      </c>
      <c r="K90" s="3244" t="s">
        <v>6082</v>
      </c>
      <c r="L90" s="3244"/>
      <c r="M90" s="732" t="s">
        <v>6083</v>
      </c>
      <c r="N90" s="692"/>
      <c r="O90" s="675"/>
      <c r="P90" s="675"/>
      <c r="R90" s="675"/>
      <c r="S90" s="675"/>
      <c r="T90" s="675"/>
    </row>
    <row r="91" spans="1:20">
      <c r="A91" s="680">
        <v>89</v>
      </c>
      <c r="B91" s="3245" t="s">
        <v>6084</v>
      </c>
      <c r="C91" s="3245"/>
      <c r="D91" s="669" t="s">
        <v>6085</v>
      </c>
      <c r="E91" s="669" t="s">
        <v>5705</v>
      </c>
      <c r="F91" s="674">
        <f>IFERROR(EDUA*4,0)</f>
        <v>0</v>
      </c>
      <c r="G91" s="710" t="s">
        <v>6086</v>
      </c>
      <c r="K91" s="3244" t="s">
        <v>6087</v>
      </c>
      <c r="L91" s="3244"/>
      <c r="M91" s="691" t="s">
        <v>6088</v>
      </c>
      <c r="N91" s="692"/>
      <c r="O91" s="675"/>
      <c r="P91" s="675"/>
      <c r="R91" s="675"/>
      <c r="S91" s="675"/>
      <c r="T91" s="675"/>
    </row>
    <row r="92" spans="1:20">
      <c r="A92" s="711">
        <v>90</v>
      </c>
      <c r="B92" s="3243" t="s">
        <v>6089</v>
      </c>
      <c r="C92" s="3243"/>
      <c r="D92" s="712" t="s">
        <v>5677</v>
      </c>
      <c r="E92" s="713" t="s">
        <v>5705</v>
      </c>
      <c r="F92" s="714">
        <f>IFERROR(EDUA*4,0)</f>
        <v>0</v>
      </c>
      <c r="G92" s="715" t="s">
        <v>6090</v>
      </c>
      <c r="K92" s="3244" t="s">
        <v>6091</v>
      </c>
      <c r="L92" s="3244"/>
      <c r="M92" s="691" t="s">
        <v>6092</v>
      </c>
      <c r="N92" s="692"/>
      <c r="O92" s="675"/>
      <c r="P92" s="675"/>
      <c r="R92" s="675"/>
      <c r="S92" s="675"/>
      <c r="T92" s="675"/>
    </row>
    <row r="93" spans="1:20">
      <c r="A93" s="680">
        <v>91</v>
      </c>
      <c r="B93" s="3245" t="s">
        <v>6093</v>
      </c>
      <c r="C93" s="3245"/>
      <c r="D93" s="669" t="s">
        <v>5931</v>
      </c>
      <c r="E93" s="669" t="s">
        <v>5705</v>
      </c>
      <c r="F93" s="674">
        <f>IFERROR(EDUA*4,0)</f>
        <v>0</v>
      </c>
      <c r="G93" s="710" t="s">
        <v>6094</v>
      </c>
      <c r="K93" s="3244" t="s">
        <v>6095</v>
      </c>
      <c r="L93" s="3244"/>
      <c r="M93" s="691" t="s">
        <v>6092</v>
      </c>
      <c r="N93" s="692"/>
      <c r="O93" s="675"/>
      <c r="P93" s="675"/>
      <c r="R93" s="675"/>
      <c r="S93" s="675"/>
      <c r="T93" s="675"/>
    </row>
    <row r="94" spans="1:20" ht="16.5" customHeight="1">
      <c r="A94" s="711">
        <v>92</v>
      </c>
      <c r="B94" s="3243" t="s">
        <v>6096</v>
      </c>
      <c r="C94" s="3243"/>
      <c r="D94" s="712" t="s">
        <v>6044</v>
      </c>
      <c r="E94" s="713" t="s">
        <v>5825</v>
      </c>
      <c r="F94" s="714">
        <f>IFERROR(EDUA*2+DEXA*2,0)</f>
        <v>0</v>
      </c>
      <c r="G94" s="715" t="s">
        <v>6097</v>
      </c>
      <c r="K94" s="3244" t="s">
        <v>6098</v>
      </c>
      <c r="L94" s="3244"/>
      <c r="M94" s="691" t="s">
        <v>6099</v>
      </c>
      <c r="N94" s="692"/>
      <c r="O94" s="675"/>
      <c r="P94" s="675"/>
      <c r="R94" s="675"/>
      <c r="S94" s="675"/>
      <c r="T94" s="675"/>
    </row>
    <row r="95" spans="1:20">
      <c r="A95" s="680">
        <v>93</v>
      </c>
      <c r="B95" s="3245" t="s">
        <v>6100</v>
      </c>
      <c r="C95" s="3245"/>
      <c r="D95" s="669" t="s">
        <v>5830</v>
      </c>
      <c r="E95" s="669" t="s">
        <v>5705</v>
      </c>
      <c r="F95" s="674">
        <f>IFERROR(EDUA*4,0)</f>
        <v>0</v>
      </c>
      <c r="G95" s="710" t="s">
        <v>6101</v>
      </c>
      <c r="K95" s="3244" t="s">
        <v>6102</v>
      </c>
      <c r="L95" s="3244"/>
      <c r="M95" s="691" t="s">
        <v>6103</v>
      </c>
      <c r="N95" s="692"/>
      <c r="O95" s="675"/>
      <c r="P95" s="675"/>
      <c r="R95" s="675"/>
      <c r="S95" s="675"/>
      <c r="T95" s="675"/>
    </row>
    <row r="96" spans="1:20" ht="16.5" customHeight="1">
      <c r="A96" s="711">
        <v>94</v>
      </c>
      <c r="B96" s="3243" t="s">
        <v>6104</v>
      </c>
      <c r="C96" s="3243"/>
      <c r="D96" s="712" t="s">
        <v>5785</v>
      </c>
      <c r="E96" s="713" t="s">
        <v>5727</v>
      </c>
      <c r="F96" s="714">
        <f>IFERROR(EDUA*2+MAX(STRA*2,DEXA*2),0)</f>
        <v>0</v>
      </c>
      <c r="G96" s="715" t="s">
        <v>6105</v>
      </c>
      <c r="K96" s="3244" t="s">
        <v>6106</v>
      </c>
      <c r="L96" s="3244"/>
      <c r="M96" s="691" t="s">
        <v>6107</v>
      </c>
      <c r="N96" s="692"/>
      <c r="O96" s="675"/>
      <c r="P96" s="675"/>
      <c r="R96" s="675"/>
      <c r="S96" s="675"/>
      <c r="T96" s="675"/>
    </row>
    <row r="97" spans="1:20" ht="16.5" customHeight="1">
      <c r="A97" s="680">
        <v>95</v>
      </c>
      <c r="B97" s="3245" t="s">
        <v>6108</v>
      </c>
      <c r="C97" s="3245"/>
      <c r="D97" s="669" t="s">
        <v>5677</v>
      </c>
      <c r="E97" s="669" t="s">
        <v>5727</v>
      </c>
      <c r="F97" s="674">
        <f>IFERROR(EDUA*2+MAX(STRA*2,DEXA*2),0)</f>
        <v>0</v>
      </c>
      <c r="G97" s="710" t="s">
        <v>6109</v>
      </c>
      <c r="K97" s="3244" t="s">
        <v>6110</v>
      </c>
      <c r="L97" s="3244"/>
      <c r="M97" s="691" t="s">
        <v>6111</v>
      </c>
      <c r="N97" s="692"/>
      <c r="O97" s="675"/>
      <c r="P97" s="675"/>
      <c r="R97" s="675"/>
      <c r="S97" s="675"/>
      <c r="T97" s="675"/>
    </row>
    <row r="98" spans="1:20" ht="16.5" customHeight="1">
      <c r="A98" s="711">
        <v>96</v>
      </c>
      <c r="B98" s="3243" t="s">
        <v>5676</v>
      </c>
      <c r="C98" s="3243"/>
      <c r="D98" s="712" t="s">
        <v>5677</v>
      </c>
      <c r="E98" s="713" t="s">
        <v>5727</v>
      </c>
      <c r="F98" s="714">
        <f>IFERROR(EDUA*2+MAX(STRA*2,DEXA*2),0)</f>
        <v>0</v>
      </c>
      <c r="G98" s="715" t="s">
        <v>6112</v>
      </c>
      <c r="K98" s="3244" t="s">
        <v>6113</v>
      </c>
      <c r="L98" s="3244"/>
      <c r="M98" s="691" t="s">
        <v>6114</v>
      </c>
      <c r="N98" s="692"/>
      <c r="O98" s="675"/>
      <c r="P98" s="675"/>
      <c r="R98" s="675"/>
      <c r="S98" s="675"/>
      <c r="T98" s="675"/>
    </row>
    <row r="99" spans="1:20">
      <c r="A99" s="680">
        <v>97</v>
      </c>
      <c r="B99" s="3245" t="s">
        <v>6115</v>
      </c>
      <c r="C99" s="3245"/>
      <c r="D99" s="669" t="s">
        <v>6044</v>
      </c>
      <c r="E99" s="669" t="s">
        <v>5705</v>
      </c>
      <c r="F99" s="674">
        <f>IFERROR(EDUA*4,0)</f>
        <v>0</v>
      </c>
      <c r="G99" s="710" t="s">
        <v>6116</v>
      </c>
      <c r="K99" s="3244" t="s">
        <v>6117</v>
      </c>
      <c r="L99" s="3244"/>
      <c r="M99" s="691" t="s">
        <v>6118</v>
      </c>
      <c r="N99" s="692"/>
      <c r="O99" s="675"/>
      <c r="P99" s="675"/>
      <c r="R99" s="675"/>
      <c r="S99" s="675"/>
      <c r="T99" s="675"/>
    </row>
    <row r="100" spans="1:20" ht="16.5" customHeight="1">
      <c r="A100" s="711">
        <v>98</v>
      </c>
      <c r="B100" s="3243" t="s">
        <v>6119</v>
      </c>
      <c r="C100" s="3243"/>
      <c r="D100" s="712" t="s">
        <v>6120</v>
      </c>
      <c r="E100" s="713" t="s">
        <v>5727</v>
      </c>
      <c r="F100" s="714">
        <f>IFERROR(EDUA*2+MAX(STRA*2,DEXA*2),0)</f>
        <v>0</v>
      </c>
      <c r="G100" s="715" t="s">
        <v>6121</v>
      </c>
      <c r="K100" s="3244" t="s">
        <v>6122</v>
      </c>
      <c r="L100" s="3244"/>
      <c r="M100" s="691" t="s">
        <v>6123</v>
      </c>
      <c r="N100" s="692"/>
      <c r="O100" s="675"/>
      <c r="P100" s="675"/>
      <c r="R100" s="675"/>
      <c r="S100" s="675"/>
      <c r="T100" s="675"/>
    </row>
    <row r="101" spans="1:20" ht="17.25" customHeight="1">
      <c r="A101" s="680">
        <v>99</v>
      </c>
      <c r="B101" s="3245" t="s">
        <v>6124</v>
      </c>
      <c r="C101" s="3245"/>
      <c r="D101" s="669" t="s">
        <v>6125</v>
      </c>
      <c r="E101" s="669" t="s">
        <v>5716</v>
      </c>
      <c r="F101" s="674">
        <f>IFERROR(EDUA*2+APPA*2,0)</f>
        <v>0</v>
      </c>
      <c r="G101" s="710" t="s">
        <v>6126</v>
      </c>
      <c r="K101" s="3244" t="s">
        <v>6127</v>
      </c>
      <c r="L101" s="3244"/>
      <c r="M101" s="691" t="s">
        <v>6128</v>
      </c>
      <c r="N101" s="692"/>
      <c r="O101" s="675"/>
      <c r="P101" s="675"/>
      <c r="R101" s="675"/>
      <c r="S101" s="675"/>
      <c r="T101" s="675"/>
    </row>
    <row r="102" spans="1:20">
      <c r="A102" s="711">
        <v>100</v>
      </c>
      <c r="B102" s="3243" t="s">
        <v>6129</v>
      </c>
      <c r="C102" s="3243"/>
      <c r="D102" s="712" t="s">
        <v>5908</v>
      </c>
      <c r="E102" s="713" t="s">
        <v>5705</v>
      </c>
      <c r="F102" s="714">
        <f>IFERROR(EDUA*4,0)</f>
        <v>0</v>
      </c>
      <c r="G102" s="715" t="s">
        <v>6130</v>
      </c>
      <c r="K102" s="3244" t="s">
        <v>6131</v>
      </c>
      <c r="L102" s="3244"/>
      <c r="M102" s="691" t="s">
        <v>6132</v>
      </c>
      <c r="N102" s="692"/>
      <c r="O102" s="675"/>
      <c r="P102" s="675"/>
      <c r="R102" s="675"/>
      <c r="S102" s="675"/>
      <c r="T102" s="675"/>
    </row>
    <row r="103" spans="1:20">
      <c r="A103" s="680">
        <v>101</v>
      </c>
      <c r="B103" s="3245" t="s">
        <v>6133</v>
      </c>
      <c r="C103" s="3245"/>
      <c r="D103" s="669" t="s">
        <v>5737</v>
      </c>
      <c r="E103" s="669" t="s">
        <v>5705</v>
      </c>
      <c r="F103" s="674">
        <f>IFERROR(EDUA*4,0)</f>
        <v>0</v>
      </c>
      <c r="G103" s="710" t="s">
        <v>6134</v>
      </c>
      <c r="K103" s="3244" t="s">
        <v>6135</v>
      </c>
      <c r="L103" s="3244"/>
      <c r="M103" s="691" t="s">
        <v>6136</v>
      </c>
      <c r="N103" s="692"/>
      <c r="O103" s="675"/>
      <c r="P103" s="675"/>
      <c r="R103" s="675"/>
      <c r="S103" s="675"/>
      <c r="T103" s="675"/>
    </row>
    <row r="104" spans="1:20">
      <c r="A104" s="711">
        <v>102</v>
      </c>
      <c r="B104" s="3243" t="s">
        <v>6137</v>
      </c>
      <c r="C104" s="3243"/>
      <c r="D104" s="712" t="s">
        <v>5677</v>
      </c>
      <c r="E104" s="713" t="s">
        <v>5705</v>
      </c>
      <c r="F104" s="714">
        <f>IFERROR(EDUA*4,0)</f>
        <v>0</v>
      </c>
      <c r="G104" s="715" t="s">
        <v>6138</v>
      </c>
      <c r="K104" s="3244" t="s">
        <v>6139</v>
      </c>
      <c r="L104" s="3244"/>
      <c r="M104" s="691" t="s">
        <v>6140</v>
      </c>
      <c r="N104" s="692"/>
      <c r="O104" s="675"/>
      <c r="P104" s="675"/>
      <c r="R104" s="675"/>
      <c r="S104" s="675"/>
      <c r="T104" s="675"/>
    </row>
    <row r="105" spans="1:20">
      <c r="A105" s="680">
        <v>103</v>
      </c>
      <c r="B105" s="3245" t="s">
        <v>6141</v>
      </c>
      <c r="C105" s="3245"/>
      <c r="D105" s="669" t="s">
        <v>5677</v>
      </c>
      <c r="E105" s="669" t="s">
        <v>6142</v>
      </c>
      <c r="F105" s="674">
        <f>IFERROR(EDUA*2+MAX(STRA*2,DEXA*2),0)</f>
        <v>0</v>
      </c>
      <c r="G105" s="710" t="s">
        <v>6143</v>
      </c>
      <c r="K105" s="3244" t="s">
        <v>6144</v>
      </c>
      <c r="L105" s="3244"/>
      <c r="M105" s="691" t="s">
        <v>6145</v>
      </c>
      <c r="N105" s="692"/>
      <c r="O105" s="675"/>
      <c r="P105" s="675"/>
      <c r="R105" s="675"/>
      <c r="S105" s="675"/>
      <c r="T105" s="675"/>
    </row>
    <row r="106" spans="1:20">
      <c r="A106" s="711">
        <v>104</v>
      </c>
      <c r="B106" s="3243" t="s">
        <v>6146</v>
      </c>
      <c r="C106" s="3243"/>
      <c r="D106" s="712" t="s">
        <v>5790</v>
      </c>
      <c r="E106" s="713" t="s">
        <v>6142</v>
      </c>
      <c r="F106" s="714">
        <f>IFERROR(EDUA*2+MAX(STRA*2,DEXA*2),0)</f>
        <v>0</v>
      </c>
      <c r="G106" s="715" t="s">
        <v>6147</v>
      </c>
      <c r="K106" s="3244" t="s">
        <v>6148</v>
      </c>
      <c r="L106" s="3244"/>
      <c r="M106" s="691" t="s">
        <v>6149</v>
      </c>
      <c r="N106" s="692"/>
      <c r="O106" s="675"/>
      <c r="P106" s="675"/>
      <c r="R106" s="675"/>
      <c r="S106" s="675"/>
      <c r="T106" s="675"/>
    </row>
    <row r="107" spans="1:20" ht="17.25" customHeight="1">
      <c r="A107" s="680">
        <v>105</v>
      </c>
      <c r="B107" s="3245" t="s">
        <v>6150</v>
      </c>
      <c r="C107" s="3245"/>
      <c r="D107" s="669" t="s">
        <v>5683</v>
      </c>
      <c r="E107" s="669" t="s">
        <v>5853</v>
      </c>
      <c r="F107" s="674">
        <f>IFERROR(EDUA*2+APPA*2,0)</f>
        <v>0</v>
      </c>
      <c r="G107" s="710" t="s">
        <v>6151</v>
      </c>
      <c r="K107" s="3244" t="s">
        <v>6152</v>
      </c>
      <c r="L107" s="3244"/>
      <c r="M107" s="691" t="s">
        <v>6153</v>
      </c>
      <c r="N107" s="692"/>
      <c r="O107" s="675"/>
      <c r="P107" s="675"/>
      <c r="R107" s="675"/>
      <c r="S107" s="675"/>
      <c r="T107" s="675"/>
    </row>
    <row r="108" spans="1:20">
      <c r="A108" s="711">
        <v>106</v>
      </c>
      <c r="B108" s="3243" t="s">
        <v>6154</v>
      </c>
      <c r="C108" s="3243"/>
      <c r="D108" s="712" t="s">
        <v>5689</v>
      </c>
      <c r="E108" s="713" t="s">
        <v>5705</v>
      </c>
      <c r="F108" s="714">
        <f>IFERROR(EDUA*4,0)</f>
        <v>0</v>
      </c>
      <c r="G108" s="715" t="s">
        <v>6155</v>
      </c>
      <c r="K108" s="3244" t="s">
        <v>6156</v>
      </c>
      <c r="L108" s="3244"/>
      <c r="M108" s="691" t="s">
        <v>6157</v>
      </c>
      <c r="N108" s="692"/>
      <c r="O108" s="675"/>
      <c r="P108" s="675"/>
      <c r="R108" s="675"/>
      <c r="S108" s="675"/>
      <c r="T108" s="675"/>
    </row>
    <row r="109" spans="1:20" ht="17.25" customHeight="1">
      <c r="A109" s="680">
        <v>107</v>
      </c>
      <c r="B109" s="3245" t="s">
        <v>6158</v>
      </c>
      <c r="C109" s="3245"/>
      <c r="D109" s="669" t="s">
        <v>5677</v>
      </c>
      <c r="E109" s="669" t="s">
        <v>6159</v>
      </c>
      <c r="F109" s="674">
        <f>IFERROR(EDUA*2+MAX(DEXA*2,APPA*2),0)</f>
        <v>0</v>
      </c>
      <c r="G109" s="710" t="s">
        <v>6160</v>
      </c>
      <c r="K109" s="3244" t="s">
        <v>6161</v>
      </c>
      <c r="L109" s="3244"/>
      <c r="M109" s="691" t="s">
        <v>6162</v>
      </c>
      <c r="N109" s="692"/>
      <c r="O109" s="675"/>
      <c r="P109" s="675"/>
      <c r="R109" s="675"/>
      <c r="S109" s="675"/>
      <c r="T109" s="675"/>
    </row>
    <row r="110" spans="1:20" ht="17.25" customHeight="1">
      <c r="A110" s="711">
        <v>108</v>
      </c>
      <c r="B110" s="3243" t="s">
        <v>6163</v>
      </c>
      <c r="C110" s="3243"/>
      <c r="D110" s="712" t="s">
        <v>5790</v>
      </c>
      <c r="E110" s="713" t="s">
        <v>6164</v>
      </c>
      <c r="F110" s="714">
        <f>IFERROR(EDUA*2+MAX(DEXA*2,APPA*2),0)</f>
        <v>0</v>
      </c>
      <c r="G110" s="715" t="s">
        <v>6165</v>
      </c>
      <c r="K110" s="3244" t="s">
        <v>6166</v>
      </c>
      <c r="L110" s="3244"/>
      <c r="M110" s="691" t="s">
        <v>6167</v>
      </c>
      <c r="N110" s="692"/>
      <c r="O110" s="675"/>
      <c r="P110" s="675"/>
      <c r="R110" s="675"/>
      <c r="S110" s="675"/>
      <c r="T110" s="675"/>
    </row>
    <row r="111" spans="1:20" ht="16.5" customHeight="1">
      <c r="A111" s="680">
        <v>109</v>
      </c>
      <c r="B111" s="3245" t="s">
        <v>6168</v>
      </c>
      <c r="C111" s="3245"/>
      <c r="D111" s="669" t="s">
        <v>5677</v>
      </c>
      <c r="E111" s="669" t="s">
        <v>5727</v>
      </c>
      <c r="F111" s="674">
        <f>IFERROR(EDUA*2+MAX(STRA*2,DEXA*2),0)</f>
        <v>0</v>
      </c>
      <c r="G111" s="710" t="s">
        <v>6169</v>
      </c>
      <c r="K111" s="3244" t="s">
        <v>6144</v>
      </c>
      <c r="L111" s="3244"/>
      <c r="M111" s="691" t="s">
        <v>6170</v>
      </c>
      <c r="N111" s="692"/>
      <c r="O111" s="675"/>
      <c r="P111" s="675"/>
      <c r="R111" s="675"/>
      <c r="S111" s="675"/>
      <c r="T111" s="675"/>
    </row>
    <row r="112" spans="1:20" ht="17.25" customHeight="1">
      <c r="A112" s="711">
        <v>110</v>
      </c>
      <c r="B112" s="3243" t="s">
        <v>6171</v>
      </c>
      <c r="C112" s="3243"/>
      <c r="D112" s="712" t="s">
        <v>5872</v>
      </c>
      <c r="E112" s="713" t="s">
        <v>5877</v>
      </c>
      <c r="F112" s="714">
        <f>IFERROR(EDUA*2+MAX(DEXA*2,APPA*2),0)</f>
        <v>0</v>
      </c>
      <c r="G112" s="715" t="s">
        <v>6172</v>
      </c>
      <c r="K112" s="3244" t="s">
        <v>6173</v>
      </c>
      <c r="L112" s="3244"/>
      <c r="M112" s="691" t="s">
        <v>6174</v>
      </c>
      <c r="N112" s="692"/>
      <c r="O112" s="675"/>
      <c r="P112" s="675"/>
      <c r="R112" s="675"/>
      <c r="S112" s="675"/>
      <c r="T112" s="675"/>
    </row>
    <row r="113" spans="1:20">
      <c r="A113" s="680">
        <v>111</v>
      </c>
      <c r="B113" s="3245" t="s">
        <v>6175</v>
      </c>
      <c r="C113" s="3245"/>
      <c r="D113" s="669" t="s">
        <v>6176</v>
      </c>
      <c r="E113" s="669" t="s">
        <v>5705</v>
      </c>
      <c r="F113" s="674">
        <f>IFERROR(EDUA*4,0)</f>
        <v>0</v>
      </c>
      <c r="G113" s="710" t="s">
        <v>6177</v>
      </c>
      <c r="K113" s="3244" t="s">
        <v>6178</v>
      </c>
      <c r="L113" s="3244"/>
      <c r="M113" s="691" t="s">
        <v>6179</v>
      </c>
      <c r="N113" s="692"/>
      <c r="O113" s="675"/>
      <c r="P113" s="675"/>
      <c r="R113" s="675"/>
      <c r="S113" s="675"/>
      <c r="T113" s="675"/>
    </row>
    <row r="114" spans="1:20" ht="16.5" customHeight="1">
      <c r="A114" s="711">
        <v>112</v>
      </c>
      <c r="B114" s="3243" t="s">
        <v>6180</v>
      </c>
      <c r="C114" s="3243"/>
      <c r="D114" s="712" t="s">
        <v>6181</v>
      </c>
      <c r="E114" s="713" t="s">
        <v>5727</v>
      </c>
      <c r="F114" s="714">
        <f>IFERROR(EDUA*2+MAX(STRA*2,DEXA*2),0)</f>
        <v>0</v>
      </c>
      <c r="G114" s="715" t="s">
        <v>6182</v>
      </c>
      <c r="K114" s="3244" t="s">
        <v>6183</v>
      </c>
      <c r="L114" s="3244"/>
      <c r="M114" s="691" t="s">
        <v>6184</v>
      </c>
      <c r="N114" s="692"/>
      <c r="O114" s="675"/>
      <c r="P114" s="675"/>
      <c r="R114" s="675"/>
      <c r="S114" s="675"/>
      <c r="T114" s="675"/>
    </row>
    <row r="115" spans="1:20" ht="16.5" customHeight="1">
      <c r="A115" s="680">
        <v>113</v>
      </c>
      <c r="B115" s="3245" t="s">
        <v>6185</v>
      </c>
      <c r="C115" s="3245"/>
      <c r="D115" s="669" t="s">
        <v>6186</v>
      </c>
      <c r="E115" s="669" t="s">
        <v>5727</v>
      </c>
      <c r="F115" s="674">
        <f>IFERROR(EDUA*2+MAX(STRA*2,DEXA*2),0)</f>
        <v>0</v>
      </c>
      <c r="G115" s="710" t="s">
        <v>6187</v>
      </c>
      <c r="K115" s="3244" t="s">
        <v>6188</v>
      </c>
      <c r="L115" s="3244"/>
      <c r="M115" s="691" t="s">
        <v>6189</v>
      </c>
      <c r="N115" s="692"/>
      <c r="O115" s="675"/>
      <c r="P115" s="675"/>
      <c r="R115" s="675"/>
      <c r="S115" s="675"/>
      <c r="T115" s="675"/>
    </row>
    <row r="116" spans="1:20">
      <c r="A116" s="711">
        <v>114</v>
      </c>
      <c r="B116" s="3243" t="s">
        <v>6190</v>
      </c>
      <c r="C116" s="3243"/>
      <c r="D116" s="712" t="s">
        <v>5790</v>
      </c>
      <c r="E116" s="713" t="s">
        <v>5705</v>
      </c>
      <c r="F116" s="714">
        <f>IFERROR(EDUA*4,0)</f>
        <v>0</v>
      </c>
      <c r="G116" s="715" t="s">
        <v>6191</v>
      </c>
      <c r="K116" s="3244" t="s">
        <v>6192</v>
      </c>
      <c r="L116" s="3244"/>
      <c r="M116" s="691" t="s">
        <v>6193</v>
      </c>
      <c r="N116" s="692"/>
      <c r="O116" s="675"/>
      <c r="P116" s="675"/>
      <c r="R116" s="675"/>
      <c r="S116" s="675"/>
      <c r="T116" s="675"/>
    </row>
    <row r="117" spans="1:20">
      <c r="A117" s="680">
        <v>115</v>
      </c>
      <c r="B117" s="3245" t="s">
        <v>6194</v>
      </c>
      <c r="C117" s="3245"/>
      <c r="D117" s="669" t="s">
        <v>6125</v>
      </c>
      <c r="E117" s="669" t="s">
        <v>5705</v>
      </c>
      <c r="F117" s="674">
        <f>IFERROR(EDUA*4,0)</f>
        <v>0</v>
      </c>
      <c r="G117" s="710" t="s">
        <v>6195</v>
      </c>
      <c r="K117" s="3244" t="s">
        <v>6196</v>
      </c>
      <c r="L117" s="3244"/>
      <c r="M117" s="691" t="s">
        <v>6197</v>
      </c>
      <c r="N117" s="692"/>
      <c r="O117" s="675"/>
      <c r="P117" s="675"/>
      <c r="R117" s="675"/>
      <c r="S117" s="675"/>
      <c r="T117" s="675"/>
    </row>
    <row r="118" spans="1:20" ht="17.25" customHeight="1">
      <c r="A118" s="711">
        <v>116</v>
      </c>
      <c r="B118" s="3243" t="s">
        <v>6198</v>
      </c>
      <c r="C118" s="3243"/>
      <c r="D118" s="712" t="s">
        <v>5710</v>
      </c>
      <c r="E118" s="713" t="s">
        <v>5976</v>
      </c>
      <c r="F118" s="714">
        <f>IFERROR(EDUA*2+MAX(DEXA*2,APPA*2),0)</f>
        <v>0</v>
      </c>
      <c r="G118" s="715" t="s">
        <v>6199</v>
      </c>
      <c r="K118" s="3244" t="s">
        <v>6200</v>
      </c>
      <c r="L118" s="3244"/>
      <c r="M118" s="691" t="s">
        <v>6201</v>
      </c>
      <c r="N118" s="692"/>
      <c r="O118" s="675"/>
      <c r="P118" s="675"/>
      <c r="R118" s="675"/>
      <c r="S118" s="675"/>
      <c r="T118" s="675"/>
    </row>
    <row r="119" spans="1:20">
      <c r="A119" s="680">
        <v>117</v>
      </c>
      <c r="B119" s="3245" t="s">
        <v>6202</v>
      </c>
      <c r="C119" s="3245"/>
      <c r="D119" s="669" t="s">
        <v>5710</v>
      </c>
      <c r="E119" s="669" t="s">
        <v>5705</v>
      </c>
      <c r="F119" s="674">
        <f>IFERROR(EDUA*4,0)</f>
        <v>0</v>
      </c>
      <c r="G119" s="710" t="s">
        <v>6203</v>
      </c>
      <c r="K119" s="3244" t="s">
        <v>6204</v>
      </c>
      <c r="L119" s="3244"/>
      <c r="M119" s="691" t="s">
        <v>6205</v>
      </c>
      <c r="N119" s="692"/>
      <c r="O119" s="675"/>
      <c r="P119" s="675"/>
      <c r="R119" s="675"/>
      <c r="S119" s="675"/>
      <c r="T119" s="675"/>
    </row>
    <row r="120" spans="1:20">
      <c r="A120" s="711">
        <v>118</v>
      </c>
      <c r="B120" s="3243" t="s">
        <v>6206</v>
      </c>
      <c r="C120" s="3243"/>
      <c r="D120" s="712" t="s">
        <v>6207</v>
      </c>
      <c r="E120" s="713" t="s">
        <v>5705</v>
      </c>
      <c r="F120" s="714">
        <f>IFERROR(EDUA*4,0)</f>
        <v>0</v>
      </c>
      <c r="G120" s="715" t="s">
        <v>6208</v>
      </c>
      <c r="K120" s="3244" t="s">
        <v>6209</v>
      </c>
      <c r="L120" s="3244"/>
      <c r="M120" s="691" t="s">
        <v>6210</v>
      </c>
      <c r="N120" s="692"/>
      <c r="O120" s="675"/>
      <c r="P120" s="675"/>
      <c r="R120" s="675"/>
      <c r="S120" s="675"/>
      <c r="T120" s="675"/>
    </row>
    <row r="121" spans="1:20" ht="16.5" customHeight="1">
      <c r="A121" s="680">
        <v>119</v>
      </c>
      <c r="B121" s="3245" t="s">
        <v>6211</v>
      </c>
      <c r="C121" s="3245"/>
      <c r="D121" s="669" t="s">
        <v>6049</v>
      </c>
      <c r="E121" s="669" t="s">
        <v>5738</v>
      </c>
      <c r="F121" s="674">
        <f>IFERROR(EDUA*2+MAX(APPA*2,POWA*2),0)</f>
        <v>0</v>
      </c>
      <c r="G121" s="710" t="s">
        <v>6212</v>
      </c>
      <c r="K121" s="3244" t="s">
        <v>6213</v>
      </c>
      <c r="L121" s="3244"/>
      <c r="M121" s="691" t="s">
        <v>6214</v>
      </c>
      <c r="N121" s="692"/>
      <c r="O121" s="675"/>
      <c r="P121" s="675"/>
      <c r="R121" s="675"/>
      <c r="S121" s="675"/>
      <c r="T121" s="675"/>
    </row>
    <row r="122" spans="1:20">
      <c r="A122" s="711">
        <v>120</v>
      </c>
      <c r="B122" s="3246" t="s">
        <v>6215</v>
      </c>
      <c r="C122" s="3246"/>
      <c r="D122" s="733" t="s">
        <v>5683</v>
      </c>
      <c r="E122" s="734" t="s">
        <v>5705</v>
      </c>
      <c r="F122" s="735">
        <f>IFERROR(EDUA*4,0)</f>
        <v>0</v>
      </c>
      <c r="G122" s="736" t="s">
        <v>6216</v>
      </c>
      <c r="K122" s="3244" t="s">
        <v>6217</v>
      </c>
      <c r="L122" s="3244"/>
      <c r="M122" s="691" t="s">
        <v>6218</v>
      </c>
      <c r="N122" s="692"/>
      <c r="O122" s="675"/>
      <c r="P122" s="675"/>
      <c r="R122" s="675"/>
      <c r="S122" s="675"/>
      <c r="T122" s="675"/>
    </row>
    <row r="123" spans="1:20">
      <c r="A123" s="680">
        <v>121</v>
      </c>
      <c r="B123" s="3242" t="s">
        <v>6219</v>
      </c>
      <c r="C123" s="3242"/>
      <c r="D123" s="738" t="s">
        <v>5936</v>
      </c>
      <c r="E123" s="739" t="s">
        <v>5853</v>
      </c>
      <c r="F123" s="738">
        <f>IFERROR(EDUA*2+APPA*2,0)</f>
        <v>0</v>
      </c>
      <c r="G123" s="740" t="s">
        <v>6220</v>
      </c>
      <c r="H123" s="3220" t="s">
        <v>6221</v>
      </c>
      <c r="I123" s="3220"/>
      <c r="K123" s="741" t="s">
        <v>6222</v>
      </c>
      <c r="L123" s="742"/>
      <c r="M123" s="741" t="s">
        <v>6223</v>
      </c>
      <c r="N123" s="742"/>
      <c r="O123" s="675"/>
      <c r="P123" s="675"/>
      <c r="R123" s="675"/>
      <c r="S123" s="675"/>
      <c r="T123" s="675"/>
    </row>
    <row r="124" spans="1:20">
      <c r="A124" s="711">
        <v>122</v>
      </c>
      <c r="B124" s="3230" t="s">
        <v>6224</v>
      </c>
      <c r="C124" s="3230"/>
      <c r="D124" s="743" t="s">
        <v>5710</v>
      </c>
      <c r="E124" s="744" t="s">
        <v>5727</v>
      </c>
      <c r="F124" s="745">
        <f>IFERROR(EDUA*2+MAX(STRA*2,DEXA*2),0)</f>
        <v>0</v>
      </c>
      <c r="G124" s="746" t="s">
        <v>6225</v>
      </c>
      <c r="H124" s="3220"/>
      <c r="I124" s="3220"/>
      <c r="K124" s="741" t="s">
        <v>5773</v>
      </c>
      <c r="L124" s="742"/>
      <c r="M124" s="741" t="s">
        <v>6223</v>
      </c>
      <c r="N124" s="742"/>
      <c r="O124" s="675"/>
      <c r="P124" s="675"/>
      <c r="R124" s="675"/>
      <c r="S124" s="675"/>
      <c r="T124" s="675"/>
    </row>
    <row r="125" spans="1:20">
      <c r="A125" s="680">
        <v>123</v>
      </c>
      <c r="B125" s="3229" t="s">
        <v>6226</v>
      </c>
      <c r="C125" s="3229"/>
      <c r="D125" s="674" t="s">
        <v>6227</v>
      </c>
      <c r="E125" s="669" t="s">
        <v>5727</v>
      </c>
      <c r="F125" s="674">
        <f>IFERROR(EDUA*2+MAX(STRA*2,DEXA*2),0)</f>
        <v>0</v>
      </c>
      <c r="G125" s="748" t="s">
        <v>6228</v>
      </c>
      <c r="H125" s="3220"/>
      <c r="I125" s="3220"/>
      <c r="K125" s="741" t="s">
        <v>6229</v>
      </c>
      <c r="L125" s="742"/>
      <c r="M125" s="741" t="s">
        <v>6230</v>
      </c>
      <c r="N125" s="742"/>
      <c r="O125" s="675"/>
      <c r="P125" s="675"/>
      <c r="R125" s="675"/>
      <c r="S125" s="675"/>
      <c r="T125" s="675"/>
    </row>
    <row r="126" spans="1:20">
      <c r="A126" s="711">
        <v>124</v>
      </c>
      <c r="B126" s="3230" t="s">
        <v>6231</v>
      </c>
      <c r="C126" s="3230"/>
      <c r="D126" s="743" t="s">
        <v>5704</v>
      </c>
      <c r="E126" s="744" t="s">
        <v>5727</v>
      </c>
      <c r="F126" s="745">
        <f>IFERROR(EDUA*2+MAX(STRA*2,DEXA*2),0)</f>
        <v>0</v>
      </c>
      <c r="G126" s="746" t="s">
        <v>6232</v>
      </c>
      <c r="H126" s="3220"/>
      <c r="I126" s="3220"/>
      <c r="K126" s="741" t="s">
        <v>6233</v>
      </c>
      <c r="L126" s="742"/>
      <c r="M126" s="741" t="s">
        <v>6223</v>
      </c>
      <c r="N126" s="742"/>
      <c r="O126" s="675"/>
      <c r="P126" s="675"/>
      <c r="R126" s="675"/>
      <c r="S126" s="675"/>
      <c r="T126" s="675"/>
    </row>
    <row r="127" spans="1:20">
      <c r="A127" s="680">
        <v>125</v>
      </c>
      <c r="B127" s="3229" t="s">
        <v>6234</v>
      </c>
      <c r="C127" s="3229"/>
      <c r="D127" s="674" t="s">
        <v>5710</v>
      </c>
      <c r="E127" s="669" t="s">
        <v>5727</v>
      </c>
      <c r="F127" s="674">
        <f>IFERROR(EDUA*2+MAX(STRA*2,DEXA*2),0)</f>
        <v>0</v>
      </c>
      <c r="G127" s="748" t="s">
        <v>6235</v>
      </c>
      <c r="H127" s="3220"/>
      <c r="I127" s="3220"/>
      <c r="K127" s="741" t="s">
        <v>6236</v>
      </c>
      <c r="L127" s="742"/>
      <c r="M127" s="741" t="s">
        <v>6230</v>
      </c>
      <c r="N127" s="742"/>
      <c r="O127" s="675"/>
      <c r="P127" s="675"/>
      <c r="R127" s="675"/>
      <c r="S127" s="675"/>
      <c r="T127" s="675"/>
    </row>
    <row r="128" spans="1:20">
      <c r="A128" s="711">
        <v>126</v>
      </c>
      <c r="B128" s="3230" t="s">
        <v>6237</v>
      </c>
      <c r="C128" s="3230"/>
      <c r="D128" s="743" t="s">
        <v>6012</v>
      </c>
      <c r="E128" s="744" t="s">
        <v>5705</v>
      </c>
      <c r="F128" s="745">
        <f t="shared" ref="F128:F133" si="1">IFERROR(EDUA*4,0)</f>
        <v>0</v>
      </c>
      <c r="G128" s="746" t="s">
        <v>6238</v>
      </c>
      <c r="H128" s="3220"/>
      <c r="I128" s="3220"/>
      <c r="K128" s="741" t="s">
        <v>6239</v>
      </c>
      <c r="L128" s="742"/>
      <c r="M128" s="741" t="s">
        <v>6230</v>
      </c>
      <c r="N128" s="742"/>
      <c r="O128" s="675"/>
      <c r="P128" s="675"/>
      <c r="R128" s="675"/>
      <c r="S128" s="675"/>
      <c r="T128" s="675"/>
    </row>
    <row r="129" spans="1:20">
      <c r="A129" s="680">
        <v>127</v>
      </c>
      <c r="B129" s="3229" t="s">
        <v>6240</v>
      </c>
      <c r="C129" s="3229"/>
      <c r="D129" s="674" t="s">
        <v>6012</v>
      </c>
      <c r="E129" s="669" t="s">
        <v>5705</v>
      </c>
      <c r="F129" s="674">
        <f t="shared" si="1"/>
        <v>0</v>
      </c>
      <c r="G129" s="748" t="s">
        <v>6241</v>
      </c>
      <c r="H129" s="3223" t="s">
        <v>6242</v>
      </c>
      <c r="I129" s="3223"/>
      <c r="K129" s="741" t="s">
        <v>6243</v>
      </c>
      <c r="L129" s="742"/>
      <c r="M129" s="741" t="s">
        <v>6230</v>
      </c>
      <c r="N129" s="742"/>
      <c r="O129" s="675"/>
      <c r="P129" s="675"/>
      <c r="R129" s="675"/>
      <c r="S129" s="675"/>
      <c r="T129" s="675"/>
    </row>
    <row r="130" spans="1:20">
      <c r="A130" s="711">
        <v>128</v>
      </c>
      <c r="B130" s="3230" t="s">
        <v>6244</v>
      </c>
      <c r="C130" s="3230"/>
      <c r="D130" s="743" t="s">
        <v>6044</v>
      </c>
      <c r="E130" s="744" t="s">
        <v>5705</v>
      </c>
      <c r="F130" s="745">
        <f t="shared" si="1"/>
        <v>0</v>
      </c>
      <c r="G130" s="746" t="s">
        <v>6245</v>
      </c>
      <c r="H130" s="3223" t="s">
        <v>6246</v>
      </c>
      <c r="I130" s="3223"/>
      <c r="K130" s="741" t="s">
        <v>5809</v>
      </c>
      <c r="L130" s="742"/>
      <c r="M130" s="741" t="s">
        <v>6230</v>
      </c>
      <c r="N130" s="742"/>
      <c r="O130" s="675"/>
      <c r="P130" s="675"/>
      <c r="R130" s="675"/>
      <c r="S130" s="675"/>
      <c r="T130" s="675"/>
    </row>
    <row r="131" spans="1:20">
      <c r="A131" s="680">
        <v>129</v>
      </c>
      <c r="B131" s="3229" t="s">
        <v>6247</v>
      </c>
      <c r="C131" s="3229"/>
      <c r="D131" s="674" t="s">
        <v>5799</v>
      </c>
      <c r="E131" s="669" t="s">
        <v>5705</v>
      </c>
      <c r="F131" s="674">
        <f t="shared" si="1"/>
        <v>0</v>
      </c>
      <c r="G131" s="748" t="s">
        <v>5808</v>
      </c>
      <c r="K131" s="741" t="s">
        <v>5809</v>
      </c>
      <c r="L131" s="742"/>
      <c r="M131" s="741" t="s">
        <v>6230</v>
      </c>
      <c r="N131" s="742"/>
      <c r="O131" s="675"/>
      <c r="P131" s="675"/>
      <c r="R131" s="675"/>
      <c r="S131" s="675"/>
      <c r="T131" s="675"/>
    </row>
    <row r="132" spans="1:20">
      <c r="A132" s="711">
        <v>130</v>
      </c>
      <c r="B132" s="3230" t="s">
        <v>6248</v>
      </c>
      <c r="C132" s="3230"/>
      <c r="D132" s="743" t="s">
        <v>5799</v>
      </c>
      <c r="E132" s="744" t="s">
        <v>5705</v>
      </c>
      <c r="F132" s="745">
        <f t="shared" si="1"/>
        <v>0</v>
      </c>
      <c r="G132" s="746" t="s">
        <v>6249</v>
      </c>
      <c r="K132" s="741" t="s">
        <v>6250</v>
      </c>
      <c r="L132" s="742"/>
      <c r="M132" s="741" t="s">
        <v>6230</v>
      </c>
      <c r="N132" s="742"/>
      <c r="O132" s="675"/>
      <c r="P132" s="675"/>
      <c r="R132" s="675"/>
      <c r="S132" s="675"/>
      <c r="T132" s="675"/>
    </row>
    <row r="133" spans="1:20">
      <c r="A133" s="680">
        <v>131</v>
      </c>
      <c r="B133" s="3229" t="s">
        <v>6251</v>
      </c>
      <c r="C133" s="3229"/>
      <c r="D133" s="674" t="s">
        <v>5704</v>
      </c>
      <c r="E133" s="669" t="s">
        <v>5705</v>
      </c>
      <c r="F133" s="674">
        <f t="shared" si="1"/>
        <v>0</v>
      </c>
      <c r="G133" s="748" t="s">
        <v>6252</v>
      </c>
      <c r="K133" s="741" t="s">
        <v>6253</v>
      </c>
      <c r="L133" s="742"/>
      <c r="M133" s="741" t="s">
        <v>6230</v>
      </c>
      <c r="N133" s="742"/>
      <c r="O133" s="675"/>
      <c r="P133" s="675"/>
      <c r="R133" s="675"/>
      <c r="S133" s="675"/>
      <c r="T133" s="675"/>
    </row>
    <row r="134" spans="1:20">
      <c r="A134" s="711">
        <v>132</v>
      </c>
      <c r="B134" s="3230" t="s">
        <v>6254</v>
      </c>
      <c r="C134" s="3230"/>
      <c r="D134" s="743" t="s">
        <v>6049</v>
      </c>
      <c r="E134" s="744" t="s">
        <v>5738</v>
      </c>
      <c r="F134" s="745">
        <f>IFERROR(EDUA*2+MAX(APPA*2,POWA*2),0)</f>
        <v>0</v>
      </c>
      <c r="G134" s="746" t="s">
        <v>6255</v>
      </c>
      <c r="K134" s="741" t="s">
        <v>6256</v>
      </c>
      <c r="L134" s="742"/>
      <c r="M134" s="741" t="s">
        <v>6230</v>
      </c>
      <c r="N134" s="742"/>
      <c r="O134" s="675"/>
      <c r="P134" s="675"/>
      <c r="R134" s="675"/>
      <c r="S134" s="675"/>
      <c r="T134" s="675"/>
    </row>
    <row r="135" spans="1:20">
      <c r="A135" s="680">
        <v>133</v>
      </c>
      <c r="B135" s="3229" t="s">
        <v>6257</v>
      </c>
      <c r="C135" s="3229"/>
      <c r="D135" s="674" t="s">
        <v>5872</v>
      </c>
      <c r="E135" s="669" t="s">
        <v>5705</v>
      </c>
      <c r="F135" s="674">
        <f>IFERROR(EDUA*4,0)</f>
        <v>0</v>
      </c>
      <c r="G135" s="748" t="s">
        <v>6258</v>
      </c>
      <c r="K135" s="741" t="s">
        <v>6259</v>
      </c>
      <c r="L135" s="742"/>
      <c r="M135" s="741" t="s">
        <v>6230</v>
      </c>
      <c r="N135" s="742"/>
      <c r="O135" s="675"/>
      <c r="P135" s="675"/>
      <c r="R135" s="675"/>
      <c r="S135" s="675"/>
      <c r="T135" s="675"/>
    </row>
    <row r="136" spans="1:20">
      <c r="A136" s="711">
        <v>134</v>
      </c>
      <c r="B136" s="3230" t="s">
        <v>6260</v>
      </c>
      <c r="C136" s="3230"/>
      <c r="D136" s="743" t="s">
        <v>6012</v>
      </c>
      <c r="E136" s="744" t="s">
        <v>6159</v>
      </c>
      <c r="F136" s="745">
        <f>IFERROR(EDUA*2+MAX(DEXA*2,APPA*2),0)</f>
        <v>0</v>
      </c>
      <c r="G136" s="746" t="s">
        <v>6261</v>
      </c>
      <c r="K136" s="741" t="s">
        <v>6262</v>
      </c>
      <c r="L136" s="742"/>
      <c r="M136" s="741" t="s">
        <v>6230</v>
      </c>
      <c r="N136" s="742"/>
      <c r="O136" s="675"/>
      <c r="P136" s="675"/>
      <c r="R136" s="675"/>
      <c r="S136" s="675"/>
      <c r="T136" s="675"/>
    </row>
    <row r="137" spans="1:20">
      <c r="A137" s="680">
        <v>135</v>
      </c>
      <c r="B137" s="3229" t="s">
        <v>6263</v>
      </c>
      <c r="C137" s="3229"/>
      <c r="D137" s="674" t="s">
        <v>6012</v>
      </c>
      <c r="E137" s="669" t="s">
        <v>6159</v>
      </c>
      <c r="F137" s="674">
        <f>IFERROR(EDUA*2+MAX(DEXA*2,APPA*2),0)</f>
        <v>0</v>
      </c>
      <c r="G137" s="748" t="s">
        <v>6264</v>
      </c>
      <c r="K137" s="741" t="s">
        <v>6265</v>
      </c>
      <c r="L137" s="742"/>
      <c r="M137" s="741" t="s">
        <v>6230</v>
      </c>
      <c r="N137" s="742"/>
      <c r="O137" s="675"/>
      <c r="P137" s="675"/>
      <c r="R137" s="675"/>
      <c r="S137" s="675"/>
      <c r="T137" s="675"/>
    </row>
    <row r="138" spans="1:20">
      <c r="A138" s="711">
        <v>136</v>
      </c>
      <c r="B138" s="3230" t="s">
        <v>6266</v>
      </c>
      <c r="C138" s="3230"/>
      <c r="D138" s="743" t="s">
        <v>5677</v>
      </c>
      <c r="E138" s="744" t="s">
        <v>5825</v>
      </c>
      <c r="F138" s="745">
        <f>IFERROR(EDUA*2+DEXA*2,0)</f>
        <v>0</v>
      </c>
      <c r="G138" s="746" t="s">
        <v>6267</v>
      </c>
      <c r="K138" s="741" t="s">
        <v>6268</v>
      </c>
      <c r="L138" s="742"/>
      <c r="M138" s="741" t="s">
        <v>6230</v>
      </c>
      <c r="N138" s="742"/>
      <c r="O138" s="675"/>
      <c r="P138" s="675"/>
      <c r="R138" s="675"/>
      <c r="S138" s="675"/>
      <c r="T138" s="675"/>
    </row>
    <row r="139" spans="1:20">
      <c r="A139" s="680">
        <v>137</v>
      </c>
      <c r="B139" s="3229" t="s">
        <v>6269</v>
      </c>
      <c r="C139" s="3229"/>
      <c r="D139" s="674" t="s">
        <v>5704</v>
      </c>
      <c r="E139" s="669" t="s">
        <v>6270</v>
      </c>
      <c r="F139" s="674">
        <f>IFERROR(EDUA*4,0)</f>
        <v>0</v>
      </c>
      <c r="G139" s="748" t="s">
        <v>6271</v>
      </c>
      <c r="K139" s="741" t="s">
        <v>6272</v>
      </c>
      <c r="L139" s="742"/>
      <c r="M139" s="741" t="s">
        <v>6230</v>
      </c>
      <c r="N139" s="742"/>
      <c r="O139" s="675"/>
      <c r="P139" s="675"/>
      <c r="R139" s="675"/>
      <c r="S139" s="675"/>
      <c r="T139" s="675"/>
    </row>
    <row r="140" spans="1:20">
      <c r="A140" s="711">
        <v>138</v>
      </c>
      <c r="B140" s="3230" t="s">
        <v>6273</v>
      </c>
      <c r="C140" s="3230"/>
      <c r="D140" s="743" t="s">
        <v>5908</v>
      </c>
      <c r="E140" s="744" t="s">
        <v>5705</v>
      </c>
      <c r="F140" s="745">
        <f>IFERROR(EDUA*4,0)</f>
        <v>0</v>
      </c>
      <c r="G140" s="746" t="s">
        <v>6031</v>
      </c>
      <c r="K140" s="741" t="s">
        <v>6272</v>
      </c>
      <c r="L140" s="742"/>
      <c r="M140" s="741" t="s">
        <v>6230</v>
      </c>
      <c r="N140" s="742"/>
      <c r="O140" s="675"/>
      <c r="P140" s="675"/>
      <c r="R140" s="675"/>
      <c r="S140" s="675"/>
      <c r="T140" s="675"/>
    </row>
    <row r="141" spans="1:20">
      <c r="A141" s="680">
        <v>139</v>
      </c>
      <c r="B141" s="3229" t="s">
        <v>6274</v>
      </c>
      <c r="C141" s="3229"/>
      <c r="D141" s="674" t="s">
        <v>5704</v>
      </c>
      <c r="E141" s="669" t="s">
        <v>5705</v>
      </c>
      <c r="F141" s="674">
        <f>IFERROR(EDUA*4,0)</f>
        <v>0</v>
      </c>
      <c r="G141" s="748" t="s">
        <v>5909</v>
      </c>
      <c r="K141" s="741" t="s">
        <v>5910</v>
      </c>
      <c r="L141" s="742"/>
      <c r="M141" s="741" t="s">
        <v>6230</v>
      </c>
      <c r="N141" s="742"/>
      <c r="O141" s="675"/>
      <c r="P141" s="675"/>
      <c r="R141" s="675"/>
      <c r="S141" s="675"/>
      <c r="T141" s="675"/>
    </row>
    <row r="142" spans="1:20">
      <c r="A142" s="711">
        <v>140</v>
      </c>
      <c r="B142" s="3230" t="s">
        <v>6275</v>
      </c>
      <c r="C142" s="3230"/>
      <c r="D142" s="743" t="s">
        <v>6012</v>
      </c>
      <c r="E142" s="744" t="s">
        <v>5705</v>
      </c>
      <c r="F142" s="745">
        <f>IFERROR(EDUA*4,0)</f>
        <v>0</v>
      </c>
      <c r="G142" s="746" t="s">
        <v>5909</v>
      </c>
      <c r="K142" s="741" t="s">
        <v>5910</v>
      </c>
      <c r="L142" s="742"/>
      <c r="M142" s="741" t="s">
        <v>6230</v>
      </c>
      <c r="N142" s="742"/>
      <c r="O142" s="675"/>
      <c r="P142" s="675"/>
      <c r="R142" s="675"/>
      <c r="S142" s="675"/>
      <c r="T142" s="675"/>
    </row>
    <row r="143" spans="1:20">
      <c r="A143" s="680">
        <v>141</v>
      </c>
      <c r="B143" s="3229" t="s">
        <v>6276</v>
      </c>
      <c r="C143" s="3229"/>
      <c r="D143" s="674" t="s">
        <v>5908</v>
      </c>
      <c r="E143" s="669" t="s">
        <v>5705</v>
      </c>
      <c r="F143" s="674">
        <f>IFERROR(EDUA*4,0)</f>
        <v>0</v>
      </c>
      <c r="G143" s="748" t="s">
        <v>5909</v>
      </c>
      <c r="K143" s="741" t="s">
        <v>6277</v>
      </c>
      <c r="L143" s="742"/>
      <c r="M143" s="741" t="s">
        <v>6230</v>
      </c>
      <c r="N143" s="742"/>
      <c r="O143" s="675"/>
      <c r="P143" s="675"/>
      <c r="R143" s="675"/>
      <c r="S143" s="675"/>
      <c r="T143" s="675"/>
    </row>
    <row r="144" spans="1:20">
      <c r="A144" s="711">
        <v>142</v>
      </c>
      <c r="B144" s="3230" t="s">
        <v>6278</v>
      </c>
      <c r="C144" s="3230"/>
      <c r="D144" s="743" t="s">
        <v>5747</v>
      </c>
      <c r="E144" s="744" t="s">
        <v>5848</v>
      </c>
      <c r="F144" s="745">
        <f>IFERROR(EDUA*2+DEXA*2,0)</f>
        <v>0</v>
      </c>
      <c r="G144" s="746" t="s">
        <v>6279</v>
      </c>
      <c r="K144" s="741" t="s">
        <v>6280</v>
      </c>
      <c r="L144" s="742"/>
      <c r="M144" s="741" t="s">
        <v>6230</v>
      </c>
      <c r="N144" s="742"/>
      <c r="O144" s="675"/>
      <c r="P144" s="675"/>
      <c r="R144" s="675"/>
      <c r="S144" s="675"/>
      <c r="T144" s="675"/>
    </row>
    <row r="145" spans="1:20">
      <c r="A145" s="680">
        <v>143</v>
      </c>
      <c r="B145" s="3229" t="s">
        <v>6281</v>
      </c>
      <c r="C145" s="3229"/>
      <c r="D145" s="674" t="s">
        <v>5677</v>
      </c>
      <c r="E145" s="669" t="s">
        <v>5705</v>
      </c>
      <c r="F145" s="674">
        <f>IFERROR(EDUA*4,0)</f>
        <v>0</v>
      </c>
      <c r="G145" s="748" t="s">
        <v>6282</v>
      </c>
      <c r="K145" s="741" t="s">
        <v>6283</v>
      </c>
      <c r="L145" s="742"/>
      <c r="M145" s="741" t="s">
        <v>6230</v>
      </c>
      <c r="N145" s="742"/>
      <c r="O145" s="675"/>
      <c r="P145" s="675"/>
      <c r="R145" s="675"/>
      <c r="S145" s="675"/>
      <c r="T145" s="675"/>
    </row>
    <row r="146" spans="1:20">
      <c r="A146" s="711">
        <v>144</v>
      </c>
      <c r="B146" s="3230" t="s">
        <v>6284</v>
      </c>
      <c r="C146" s="3230"/>
      <c r="D146" s="743" t="s">
        <v>5677</v>
      </c>
      <c r="E146" s="744" t="s">
        <v>6062</v>
      </c>
      <c r="F146" s="745">
        <f>IFERROR(EDUA*2+MAX(DEXA*2,POWA*2),0)</f>
        <v>0</v>
      </c>
      <c r="G146" s="746" t="s">
        <v>6285</v>
      </c>
      <c r="K146" s="741" t="s">
        <v>6286</v>
      </c>
      <c r="L146" s="742"/>
      <c r="M146" s="741" t="s">
        <v>6230</v>
      </c>
      <c r="N146" s="742"/>
      <c r="O146" s="675"/>
      <c r="P146" s="675"/>
      <c r="R146" s="675"/>
      <c r="S146" s="675"/>
      <c r="T146" s="675"/>
    </row>
    <row r="147" spans="1:20">
      <c r="A147" s="680">
        <v>145</v>
      </c>
      <c r="B147" s="3229" t="s">
        <v>6287</v>
      </c>
      <c r="C147" s="3229"/>
      <c r="D147" s="674" t="s">
        <v>5747</v>
      </c>
      <c r="E147" s="669" t="s">
        <v>5705</v>
      </c>
      <c r="F147" s="674">
        <f>IFERROR(EDUA*4,0)</f>
        <v>0</v>
      </c>
      <c r="G147" s="748" t="s">
        <v>6288</v>
      </c>
      <c r="K147" s="741" t="s">
        <v>6289</v>
      </c>
      <c r="L147" s="742"/>
      <c r="M147" s="741" t="s">
        <v>6230</v>
      </c>
      <c r="N147" s="742"/>
      <c r="O147" s="675"/>
      <c r="P147" s="675"/>
      <c r="R147" s="675"/>
      <c r="S147" s="675"/>
      <c r="T147" s="675"/>
    </row>
    <row r="148" spans="1:20">
      <c r="A148" s="711">
        <v>146</v>
      </c>
      <c r="B148" s="3230" t="s">
        <v>6290</v>
      </c>
      <c r="C148" s="3230"/>
      <c r="D148" s="743" t="s">
        <v>6044</v>
      </c>
      <c r="E148" s="744" t="s">
        <v>5727</v>
      </c>
      <c r="F148" s="745">
        <f>IFERROR(EDUA*2+MAX(STRA*2,DEXA*2),0)</f>
        <v>0</v>
      </c>
      <c r="G148" s="746" t="s">
        <v>6291</v>
      </c>
      <c r="K148" s="741" t="s">
        <v>6292</v>
      </c>
      <c r="L148" s="742"/>
      <c r="M148" s="741" t="s">
        <v>6230</v>
      </c>
      <c r="N148" s="742"/>
      <c r="O148" s="675"/>
      <c r="P148" s="675"/>
      <c r="R148" s="675"/>
      <c r="S148" s="675"/>
      <c r="T148" s="675"/>
    </row>
    <row r="149" spans="1:20">
      <c r="A149" s="680">
        <v>147</v>
      </c>
      <c r="B149" s="3229" t="s">
        <v>6293</v>
      </c>
      <c r="C149" s="3229"/>
      <c r="D149" s="674" t="s">
        <v>6294</v>
      </c>
      <c r="E149" s="669" t="s">
        <v>5727</v>
      </c>
      <c r="F149" s="674">
        <f>IFERROR(EDUA*2+MAX(STRA*2,DEXA*2),0)</f>
        <v>0</v>
      </c>
      <c r="G149" s="748" t="s">
        <v>6295</v>
      </c>
      <c r="K149" s="741" t="s">
        <v>6296</v>
      </c>
      <c r="L149" s="742"/>
      <c r="M149" s="741" t="s">
        <v>6230</v>
      </c>
      <c r="N149" s="742"/>
      <c r="O149" s="675"/>
      <c r="P149" s="675"/>
      <c r="R149" s="675"/>
      <c r="S149" s="675"/>
      <c r="T149" s="675"/>
    </row>
    <row r="150" spans="1:20">
      <c r="A150" s="711">
        <v>148</v>
      </c>
      <c r="B150" s="3230" t="s">
        <v>6297</v>
      </c>
      <c r="C150" s="3230"/>
      <c r="D150" s="743" t="s">
        <v>5677</v>
      </c>
      <c r="E150" s="744" t="s">
        <v>6062</v>
      </c>
      <c r="F150" s="745">
        <f>IFERROR(EDUA*2+MAX(POWA*2,DEXA*2),0)</f>
        <v>0</v>
      </c>
      <c r="G150" s="746" t="s">
        <v>6298</v>
      </c>
      <c r="K150" s="741" t="s">
        <v>6299</v>
      </c>
      <c r="L150" s="742"/>
      <c r="M150" s="741" t="s">
        <v>6230</v>
      </c>
      <c r="N150" s="742"/>
      <c r="O150" s="675"/>
      <c r="P150" s="675"/>
      <c r="R150" s="675"/>
      <c r="S150" s="675"/>
      <c r="T150" s="675"/>
    </row>
    <row r="151" spans="1:20">
      <c r="A151" s="680">
        <v>149</v>
      </c>
      <c r="B151" s="3229" t="s">
        <v>6300</v>
      </c>
      <c r="C151" s="3229"/>
      <c r="D151" s="674" t="s">
        <v>5704</v>
      </c>
      <c r="E151" s="669" t="s">
        <v>5848</v>
      </c>
      <c r="F151" s="674">
        <f>IFERROR(EDUA*2+DEXA*2,0)</f>
        <v>0</v>
      </c>
      <c r="G151" s="748" t="s">
        <v>6301</v>
      </c>
      <c r="K151" s="741" t="s">
        <v>6302</v>
      </c>
      <c r="L151" s="742"/>
      <c r="M151" s="741" t="s">
        <v>6230</v>
      </c>
      <c r="N151" s="742"/>
      <c r="O151" s="675"/>
      <c r="P151" s="675"/>
      <c r="R151" s="675"/>
      <c r="S151" s="675"/>
      <c r="T151" s="675"/>
    </row>
    <row r="152" spans="1:20">
      <c r="A152" s="711">
        <v>150</v>
      </c>
      <c r="B152" s="3230" t="s">
        <v>6303</v>
      </c>
      <c r="C152" s="3230"/>
      <c r="D152" s="743" t="s">
        <v>6012</v>
      </c>
      <c r="E152" s="744" t="s">
        <v>5705</v>
      </c>
      <c r="F152" s="745">
        <f>IFERROR(EDUA*4,0)</f>
        <v>0</v>
      </c>
      <c r="G152" s="746" t="s">
        <v>6304</v>
      </c>
      <c r="K152" s="741" t="s">
        <v>6305</v>
      </c>
      <c r="L152" s="742"/>
      <c r="M152" s="741" t="s">
        <v>6230</v>
      </c>
      <c r="N152" s="742"/>
      <c r="O152" s="675"/>
      <c r="P152" s="675"/>
      <c r="R152" s="675"/>
      <c r="S152" s="675"/>
      <c r="T152" s="675"/>
    </row>
    <row r="153" spans="1:20">
      <c r="A153" s="680">
        <v>151</v>
      </c>
      <c r="B153" s="3229" t="s">
        <v>6306</v>
      </c>
      <c r="C153" s="3229"/>
      <c r="D153" s="674" t="s">
        <v>5683</v>
      </c>
      <c r="E153" s="669" t="s">
        <v>5853</v>
      </c>
      <c r="F153" s="674">
        <f>IFERROR(EDUA*2+APPA*2,0)</f>
        <v>0</v>
      </c>
      <c r="G153" s="748" t="s">
        <v>6151</v>
      </c>
      <c r="K153" s="741" t="s">
        <v>6307</v>
      </c>
      <c r="L153" s="742"/>
      <c r="M153" s="741" t="s">
        <v>6230</v>
      </c>
      <c r="N153" s="742"/>
      <c r="O153" s="675"/>
      <c r="P153" s="675"/>
      <c r="R153" s="675"/>
      <c r="S153" s="675"/>
      <c r="T153" s="675"/>
    </row>
    <row r="154" spans="1:20">
      <c r="A154" s="711">
        <v>152</v>
      </c>
      <c r="B154" s="3230" t="s">
        <v>6308</v>
      </c>
      <c r="C154" s="3230"/>
      <c r="D154" s="743" t="s">
        <v>5677</v>
      </c>
      <c r="E154" s="744" t="s">
        <v>5853</v>
      </c>
      <c r="F154" s="745">
        <f>IFERROR(EDUA*2+APPA*2,0)</f>
        <v>0</v>
      </c>
      <c r="G154" s="746" t="s">
        <v>6309</v>
      </c>
      <c r="K154" s="741" t="s">
        <v>6280</v>
      </c>
      <c r="L154" s="742"/>
      <c r="M154" s="741" t="s">
        <v>6230</v>
      </c>
      <c r="N154" s="742"/>
      <c r="O154" s="675"/>
      <c r="P154" s="675"/>
      <c r="R154" s="675"/>
      <c r="S154" s="675"/>
      <c r="T154" s="675"/>
    </row>
    <row r="155" spans="1:20">
      <c r="A155" s="680">
        <v>153</v>
      </c>
      <c r="B155" s="3229" t="s">
        <v>6310</v>
      </c>
      <c r="C155" s="3229"/>
      <c r="D155" s="674" t="s">
        <v>6227</v>
      </c>
      <c r="E155" s="669" t="s">
        <v>5705</v>
      </c>
      <c r="F155" s="674">
        <f>IFERROR(EDUA*4,0)</f>
        <v>0</v>
      </c>
      <c r="G155" s="748" t="s">
        <v>6311</v>
      </c>
      <c r="K155" s="741" t="s">
        <v>6312</v>
      </c>
      <c r="L155" s="742"/>
      <c r="M155" s="741" t="s">
        <v>6230</v>
      </c>
      <c r="N155" s="742"/>
      <c r="O155" s="675"/>
      <c r="P155" s="675"/>
      <c r="R155" s="675"/>
      <c r="S155" s="675"/>
      <c r="T155" s="675"/>
    </row>
    <row r="156" spans="1:20">
      <c r="A156" s="711">
        <v>154</v>
      </c>
      <c r="B156" s="3230" t="s">
        <v>6313</v>
      </c>
      <c r="C156" s="3230"/>
      <c r="D156" s="743" t="s">
        <v>5710</v>
      </c>
      <c r="E156" s="744" t="s">
        <v>5727</v>
      </c>
      <c r="F156" s="745">
        <f>IFERROR(EDUA*2+MAX(STRA*2,DEXA*2),0)</f>
        <v>0</v>
      </c>
      <c r="G156" s="746" t="s">
        <v>6314</v>
      </c>
      <c r="K156" s="741" t="s">
        <v>6315</v>
      </c>
      <c r="L156" s="742"/>
      <c r="M156" s="741" t="s">
        <v>6230</v>
      </c>
      <c r="N156" s="742"/>
      <c r="O156" s="675"/>
      <c r="P156" s="675"/>
      <c r="R156" s="675"/>
      <c r="S156" s="675"/>
      <c r="T156" s="675"/>
    </row>
    <row r="157" spans="1:20">
      <c r="A157" s="680">
        <v>155</v>
      </c>
      <c r="B157" s="3229" t="s">
        <v>6316</v>
      </c>
      <c r="C157" s="3229"/>
      <c r="D157" s="674" t="s">
        <v>6317</v>
      </c>
      <c r="E157" s="669" t="s">
        <v>5705</v>
      </c>
      <c r="F157" s="674">
        <f t="shared" ref="F157:F162" si="2">IFERROR(EDUA*4,0)</f>
        <v>0</v>
      </c>
      <c r="G157" s="748" t="s">
        <v>6318</v>
      </c>
      <c r="K157" s="741" t="s">
        <v>6319</v>
      </c>
      <c r="L157" s="742"/>
      <c r="M157" s="741" t="s">
        <v>6230</v>
      </c>
      <c r="N157" s="742"/>
      <c r="O157" s="675"/>
      <c r="P157" s="675"/>
      <c r="R157" s="675"/>
      <c r="S157" s="675"/>
      <c r="T157" s="675"/>
    </row>
    <row r="158" spans="1:20">
      <c r="A158" s="711">
        <v>156</v>
      </c>
      <c r="B158" s="3230" t="s">
        <v>6320</v>
      </c>
      <c r="C158" s="3230"/>
      <c r="D158" s="743" t="s">
        <v>5872</v>
      </c>
      <c r="E158" s="744" t="s">
        <v>5705</v>
      </c>
      <c r="F158" s="745">
        <f t="shared" si="2"/>
        <v>0</v>
      </c>
      <c r="G158" s="746" t="s">
        <v>6321</v>
      </c>
      <c r="K158" s="741" t="s">
        <v>6322</v>
      </c>
      <c r="L158" s="742"/>
      <c r="M158" s="741" t="s">
        <v>6230</v>
      </c>
      <c r="N158" s="742"/>
      <c r="O158" s="675"/>
      <c r="P158" s="675"/>
      <c r="R158" s="675"/>
      <c r="S158" s="675"/>
      <c r="T158" s="675"/>
    </row>
    <row r="159" spans="1:20">
      <c r="A159" s="680">
        <v>157</v>
      </c>
      <c r="B159" s="3229" t="s">
        <v>6323</v>
      </c>
      <c r="C159" s="3229"/>
      <c r="D159" s="674" t="s">
        <v>5785</v>
      </c>
      <c r="E159" s="669" t="s">
        <v>5705</v>
      </c>
      <c r="F159" s="674">
        <f t="shared" si="2"/>
        <v>0</v>
      </c>
      <c r="G159" s="748" t="s">
        <v>6324</v>
      </c>
      <c r="K159" s="741" t="s">
        <v>6325</v>
      </c>
      <c r="L159" s="742"/>
      <c r="M159" s="741" t="s">
        <v>6230</v>
      </c>
      <c r="N159" s="742"/>
      <c r="O159" s="675"/>
      <c r="P159" s="675"/>
      <c r="R159" s="675"/>
      <c r="S159" s="675"/>
      <c r="T159" s="675"/>
    </row>
    <row r="160" spans="1:20">
      <c r="A160" s="711">
        <v>158</v>
      </c>
      <c r="B160" s="3230" t="s">
        <v>6326</v>
      </c>
      <c r="C160" s="3230"/>
      <c r="D160" s="743" t="s">
        <v>5677</v>
      </c>
      <c r="E160" s="744" t="s">
        <v>5705</v>
      </c>
      <c r="F160" s="745">
        <f t="shared" si="2"/>
        <v>0</v>
      </c>
      <c r="G160" s="746" t="s">
        <v>6327</v>
      </c>
      <c r="K160" s="741" t="s">
        <v>6328</v>
      </c>
      <c r="L160" s="742"/>
      <c r="M160" s="741" t="s">
        <v>6230</v>
      </c>
      <c r="N160" s="742"/>
      <c r="O160" s="675"/>
      <c r="P160" s="675"/>
      <c r="R160" s="675"/>
      <c r="S160" s="675"/>
      <c r="T160" s="675"/>
    </row>
    <row r="161" spans="1:20" ht="14.15" customHeight="1">
      <c r="A161" s="680">
        <v>159</v>
      </c>
      <c r="B161" s="3229" t="s">
        <v>6329</v>
      </c>
      <c r="C161" s="3229"/>
      <c r="D161" s="674" t="s">
        <v>5830</v>
      </c>
      <c r="E161" s="669" t="s">
        <v>5705</v>
      </c>
      <c r="F161" s="674">
        <f t="shared" si="2"/>
        <v>0</v>
      </c>
      <c r="G161" s="748" t="s">
        <v>6330</v>
      </c>
      <c r="K161" s="730" t="s">
        <v>6331</v>
      </c>
      <c r="L161" s="742"/>
      <c r="M161" s="741" t="s">
        <v>6230</v>
      </c>
      <c r="N161" s="742"/>
      <c r="O161" s="675"/>
      <c r="P161" s="675"/>
      <c r="R161" s="675"/>
      <c r="S161" s="675"/>
      <c r="T161" s="675"/>
    </row>
    <row r="162" spans="1:20">
      <c r="A162" s="711">
        <v>160</v>
      </c>
      <c r="B162" s="3230" t="s">
        <v>6332</v>
      </c>
      <c r="C162" s="3230"/>
      <c r="D162" s="743" t="s">
        <v>5677</v>
      </c>
      <c r="E162" s="744" t="s">
        <v>5705</v>
      </c>
      <c r="F162" s="745">
        <f t="shared" si="2"/>
        <v>0</v>
      </c>
      <c r="G162" s="746" t="s">
        <v>6333</v>
      </c>
      <c r="K162" s="741" t="s">
        <v>6334</v>
      </c>
      <c r="L162" s="742"/>
      <c r="M162" s="741" t="s">
        <v>6230</v>
      </c>
      <c r="N162" s="742"/>
      <c r="O162" s="3239" t="s">
        <v>6335</v>
      </c>
      <c r="P162" s="3240"/>
      <c r="Q162" s="749" t="s">
        <v>6336</v>
      </c>
      <c r="R162" s="675"/>
      <c r="S162" s="675"/>
      <c r="T162" s="675"/>
    </row>
    <row r="163" spans="1:20">
      <c r="A163" s="680">
        <v>161</v>
      </c>
      <c r="B163" s="3231" t="s">
        <v>6337</v>
      </c>
      <c r="C163" s="3231"/>
      <c r="D163" s="751" t="s">
        <v>5677</v>
      </c>
      <c r="E163" s="752" t="s">
        <v>5727</v>
      </c>
      <c r="F163" s="751">
        <f>IFERROR(EDUA*2+MAX(STRA*2,DEXA*2),0)</f>
        <v>0</v>
      </c>
      <c r="G163" s="753" t="s">
        <v>6338</v>
      </c>
      <c r="K163" s="741" t="s">
        <v>6339</v>
      </c>
      <c r="L163" s="742"/>
      <c r="M163" s="741" t="s">
        <v>6230</v>
      </c>
      <c r="N163" s="742"/>
      <c r="O163" s="3235" t="s">
        <v>6340</v>
      </c>
      <c r="P163" s="3236"/>
      <c r="Q163" s="754" t="s">
        <v>6341</v>
      </c>
      <c r="R163" s="675"/>
      <c r="S163" s="675"/>
      <c r="T163" s="675"/>
    </row>
    <row r="164" spans="1:20">
      <c r="A164" s="711">
        <v>162</v>
      </c>
      <c r="B164" s="3241" t="s">
        <v>6342</v>
      </c>
      <c r="C164" s="3241"/>
      <c r="D164" s="755" t="s">
        <v>5785</v>
      </c>
      <c r="E164" s="756" t="s">
        <v>5727</v>
      </c>
      <c r="F164" s="757">
        <f>IFERROR(EDUA*2+MAX(STRA*2,DEXA*2),0)</f>
        <v>0</v>
      </c>
      <c r="G164" s="758" t="s">
        <v>6343</v>
      </c>
      <c r="H164" s="3220" t="s">
        <v>6344</v>
      </c>
      <c r="I164" s="3220"/>
      <c r="J164" s="674"/>
      <c r="K164" s="759" t="s">
        <v>6345</v>
      </c>
      <c r="L164" s="760"/>
      <c r="M164" s="759" t="s">
        <v>6346</v>
      </c>
      <c r="N164" s="761"/>
      <c r="O164" s="3237" t="s">
        <v>6347</v>
      </c>
      <c r="P164" s="3238"/>
      <c r="Q164" s="762" t="s">
        <v>6348</v>
      </c>
      <c r="R164" s="675"/>
      <c r="S164" s="675"/>
      <c r="T164" s="675"/>
    </row>
    <row r="165" spans="1:20">
      <c r="A165" s="680">
        <v>163</v>
      </c>
      <c r="B165" s="3229" t="s">
        <v>6349</v>
      </c>
      <c r="C165" s="3229"/>
      <c r="D165" s="674" t="s">
        <v>6176</v>
      </c>
      <c r="E165" s="669" t="s">
        <v>5727</v>
      </c>
      <c r="F165" s="674">
        <f>IFERROR(EDUA*2+MAX(STRA*2,DEXA*2),0)</f>
        <v>0</v>
      </c>
      <c r="G165" s="748" t="s">
        <v>6350</v>
      </c>
      <c r="H165" s="3220"/>
      <c r="I165" s="3220"/>
      <c r="J165" s="674"/>
      <c r="K165" s="759" t="s">
        <v>6351</v>
      </c>
      <c r="L165" s="760"/>
      <c r="M165" s="759" t="s">
        <v>6346</v>
      </c>
      <c r="N165" s="761"/>
      <c r="O165" s="3235" t="s">
        <v>6352</v>
      </c>
      <c r="P165" s="3236"/>
      <c r="Q165" s="754" t="s">
        <v>6341</v>
      </c>
      <c r="R165" s="675"/>
      <c r="S165" s="675"/>
      <c r="T165" s="675"/>
    </row>
    <row r="166" spans="1:20" ht="33">
      <c r="A166" s="711">
        <v>164</v>
      </c>
      <c r="B166" s="3230" t="s">
        <v>6353</v>
      </c>
      <c r="C166" s="3230"/>
      <c r="D166" s="743" t="s">
        <v>6354</v>
      </c>
      <c r="E166" s="744" t="s">
        <v>5705</v>
      </c>
      <c r="F166" s="745">
        <f>IFERROR(EDUA*4,0)</f>
        <v>0</v>
      </c>
      <c r="G166" s="746" t="s">
        <v>6355</v>
      </c>
      <c r="H166" s="3220"/>
      <c r="I166" s="3220"/>
      <c r="J166" s="674"/>
      <c r="K166" s="759" t="s">
        <v>6356</v>
      </c>
      <c r="L166" s="760"/>
      <c r="M166" s="759" t="s">
        <v>6346</v>
      </c>
      <c r="N166" s="761"/>
      <c r="O166" s="3237" t="s">
        <v>6357</v>
      </c>
      <c r="P166" s="3238"/>
      <c r="Q166" s="762" t="s">
        <v>6341</v>
      </c>
      <c r="R166" s="675"/>
      <c r="S166" s="675"/>
      <c r="T166" s="675"/>
    </row>
    <row r="167" spans="1:20">
      <c r="A167" s="680">
        <v>165</v>
      </c>
      <c r="B167" s="3229" t="s">
        <v>6358</v>
      </c>
      <c r="C167" s="3229"/>
      <c r="D167" s="674" t="s">
        <v>5872</v>
      </c>
      <c r="E167" s="669" t="s">
        <v>5705</v>
      </c>
      <c r="F167" s="674">
        <f>IFERROR(EDUA*4,0)</f>
        <v>0</v>
      </c>
      <c r="G167" s="748" t="s">
        <v>6359</v>
      </c>
      <c r="H167" s="3220"/>
      <c r="I167" s="3220"/>
      <c r="J167" s="674"/>
      <c r="K167" s="759" t="s">
        <v>5809</v>
      </c>
      <c r="L167" s="760"/>
      <c r="M167" s="759" t="s">
        <v>6346</v>
      </c>
      <c r="N167" s="761"/>
      <c r="O167" s="3235" t="s">
        <v>6360</v>
      </c>
      <c r="P167" s="3236"/>
      <c r="Q167" s="754" t="s">
        <v>6361</v>
      </c>
      <c r="R167" s="675"/>
      <c r="S167" s="675"/>
      <c r="T167" s="675"/>
    </row>
    <row r="168" spans="1:20">
      <c r="A168" s="711">
        <v>166</v>
      </c>
      <c r="B168" s="3230" t="s">
        <v>6362</v>
      </c>
      <c r="C168" s="3230"/>
      <c r="D168" s="743" t="s">
        <v>5785</v>
      </c>
      <c r="E168" s="744" t="s">
        <v>5705</v>
      </c>
      <c r="F168" s="745">
        <f>IFERROR(EDUA*4,0)</f>
        <v>0</v>
      </c>
      <c r="G168" s="746" t="s">
        <v>6363</v>
      </c>
      <c r="H168" s="3220"/>
      <c r="I168" s="3220"/>
      <c r="J168" s="674"/>
      <c r="K168" s="759"/>
      <c r="L168" s="760"/>
      <c r="M168" s="759" t="s">
        <v>6346</v>
      </c>
      <c r="N168" s="761"/>
      <c r="O168" s="3237" t="s">
        <v>6364</v>
      </c>
      <c r="P168" s="3238"/>
      <c r="Q168" s="762" t="s">
        <v>6348</v>
      </c>
      <c r="R168" s="675"/>
      <c r="S168" s="675"/>
      <c r="T168" s="675"/>
    </row>
    <row r="169" spans="1:20">
      <c r="A169" s="680">
        <v>167</v>
      </c>
      <c r="B169" s="3229" t="s">
        <v>6365</v>
      </c>
      <c r="C169" s="3229"/>
      <c r="D169" s="674" t="s">
        <v>5710</v>
      </c>
      <c r="E169" s="669" t="s">
        <v>5727</v>
      </c>
      <c r="F169" s="674">
        <f>IFERROR(EDUA*2+MAX(STRA*2,DEXA*2),0)</f>
        <v>0</v>
      </c>
      <c r="G169" s="748" t="s">
        <v>6366</v>
      </c>
      <c r="H169" s="3220"/>
      <c r="I169" s="3220"/>
      <c r="J169" s="674"/>
      <c r="K169" s="759"/>
      <c r="L169" s="760"/>
      <c r="M169" s="759" t="s">
        <v>6346</v>
      </c>
      <c r="N169" s="761"/>
      <c r="O169" s="3235" t="s">
        <v>6367</v>
      </c>
      <c r="P169" s="3236"/>
      <c r="Q169" s="754" t="s">
        <v>6368</v>
      </c>
      <c r="R169" s="675"/>
      <c r="S169" s="675"/>
      <c r="T169" s="675"/>
    </row>
    <row r="170" spans="1:20">
      <c r="A170" s="711">
        <v>168</v>
      </c>
      <c r="B170" s="3230" t="s">
        <v>6369</v>
      </c>
      <c r="C170" s="3230"/>
      <c r="D170" s="743" t="s">
        <v>6176</v>
      </c>
      <c r="E170" s="744" t="s">
        <v>5705</v>
      </c>
      <c r="F170" s="745">
        <f>IFERROR(EDUA*4,0)</f>
        <v>0</v>
      </c>
      <c r="G170" s="746" t="s">
        <v>6370</v>
      </c>
      <c r="H170" s="3223" t="s">
        <v>6242</v>
      </c>
      <c r="I170" s="3223"/>
      <c r="J170" s="674"/>
      <c r="K170" s="759" t="s">
        <v>6371</v>
      </c>
      <c r="L170" s="760"/>
      <c r="M170" s="759" t="s">
        <v>6346</v>
      </c>
      <c r="N170" s="761"/>
      <c r="O170" s="3232" t="s">
        <v>6372</v>
      </c>
      <c r="P170" s="3233"/>
      <c r="Q170" s="763" t="s">
        <v>6341</v>
      </c>
      <c r="R170" s="675"/>
      <c r="S170" s="675"/>
      <c r="T170" s="675"/>
    </row>
    <row r="171" spans="1:20" ht="18" customHeight="1">
      <c r="A171" s="680">
        <v>169</v>
      </c>
      <c r="B171" s="3229" t="s">
        <v>6373</v>
      </c>
      <c r="C171" s="3229"/>
      <c r="D171" s="674" t="s">
        <v>5841</v>
      </c>
      <c r="E171" s="669" t="s">
        <v>5705</v>
      </c>
      <c r="F171" s="674">
        <f>IFERROR(EDUA*4,0)</f>
        <v>0</v>
      </c>
      <c r="G171" s="710" t="s">
        <v>6374</v>
      </c>
      <c r="J171" s="674"/>
      <c r="K171" s="759"/>
      <c r="L171" s="760"/>
      <c r="M171" s="759" t="s">
        <v>6346</v>
      </c>
      <c r="N171" s="760"/>
      <c r="O171" s="3221" t="s">
        <v>6375</v>
      </c>
      <c r="P171" s="3221"/>
      <c r="Q171" s="3221"/>
      <c r="R171" s="675"/>
      <c r="S171" s="675"/>
      <c r="T171" s="675"/>
    </row>
    <row r="172" spans="1:20">
      <c r="A172" s="711">
        <v>170</v>
      </c>
      <c r="B172" s="3230" t="s">
        <v>6376</v>
      </c>
      <c r="C172" s="3230"/>
      <c r="D172" s="743" t="s">
        <v>5710</v>
      </c>
      <c r="E172" s="744" t="s">
        <v>5705</v>
      </c>
      <c r="F172" s="745">
        <f>IFERROR(EDUA*4,0)</f>
        <v>0</v>
      </c>
      <c r="G172" s="746" t="s">
        <v>6377</v>
      </c>
      <c r="J172" s="674"/>
      <c r="K172" s="764"/>
      <c r="L172" s="765"/>
      <c r="M172" s="764" t="s">
        <v>6346</v>
      </c>
      <c r="N172" s="765"/>
      <c r="O172" s="3221"/>
      <c r="P172" s="3221"/>
      <c r="Q172" s="3221"/>
      <c r="R172" s="675"/>
      <c r="S172" s="675"/>
      <c r="T172" s="675"/>
    </row>
    <row r="173" spans="1:20">
      <c r="A173" s="680">
        <v>171</v>
      </c>
      <c r="B173" s="3229" t="s">
        <v>6378</v>
      </c>
      <c r="C173" s="3229"/>
      <c r="D173" s="674" t="s">
        <v>5747</v>
      </c>
      <c r="E173" s="669" t="s">
        <v>5705</v>
      </c>
      <c r="F173" s="674">
        <f>IFERROR(EDUA*4,0)</f>
        <v>0</v>
      </c>
      <c r="G173" s="748" t="s">
        <v>6379</v>
      </c>
      <c r="K173" s="741"/>
      <c r="L173" s="742"/>
      <c r="M173" s="741" t="s">
        <v>6346</v>
      </c>
      <c r="N173" s="742"/>
      <c r="O173" s="3221"/>
      <c r="P173" s="3221"/>
      <c r="Q173" s="3221"/>
      <c r="R173" s="675"/>
      <c r="S173" s="675"/>
      <c r="T173" s="675"/>
    </row>
    <row r="174" spans="1:20">
      <c r="A174" s="711">
        <v>172</v>
      </c>
      <c r="B174" s="3230" t="s">
        <v>6380</v>
      </c>
      <c r="C174" s="3230"/>
      <c r="D174" s="743" t="s">
        <v>5830</v>
      </c>
      <c r="E174" s="744" t="s">
        <v>5705</v>
      </c>
      <c r="F174" s="745">
        <f>IFERROR(EDUA*4,0)</f>
        <v>0</v>
      </c>
      <c r="G174" s="746" t="s">
        <v>6381</v>
      </c>
      <c r="K174" s="741" t="s">
        <v>6382</v>
      </c>
      <c r="L174" s="742"/>
      <c r="M174" s="741" t="s">
        <v>6346</v>
      </c>
      <c r="N174" s="742"/>
      <c r="O174" s="3219" t="s">
        <v>6383</v>
      </c>
      <c r="P174" s="3219"/>
      <c r="Q174" s="3219"/>
      <c r="R174" s="675"/>
      <c r="S174" s="675"/>
      <c r="T174" s="675"/>
    </row>
    <row r="175" spans="1:20">
      <c r="A175" s="680">
        <v>173</v>
      </c>
      <c r="B175" s="3229" t="s">
        <v>6384</v>
      </c>
      <c r="C175" s="3229"/>
      <c r="D175" s="674" t="s">
        <v>5913</v>
      </c>
      <c r="E175" s="669" t="s">
        <v>5727</v>
      </c>
      <c r="F175" s="674">
        <f>IFERROR(EDUA*2+MAX(STRA*2,DEXA*2),0)</f>
        <v>0</v>
      </c>
      <c r="G175" s="748" t="s">
        <v>6385</v>
      </c>
      <c r="K175" s="741" t="s">
        <v>6386</v>
      </c>
      <c r="L175" s="742"/>
      <c r="M175" s="741" t="s">
        <v>6346</v>
      </c>
      <c r="N175" s="742"/>
      <c r="O175" s="3219"/>
      <c r="P175" s="3219"/>
      <c r="Q175" s="3219"/>
      <c r="R175" s="675"/>
      <c r="S175" s="675"/>
      <c r="T175" s="675"/>
    </row>
    <row r="176" spans="1:20">
      <c r="A176" s="711">
        <v>174</v>
      </c>
      <c r="B176" s="3234" t="s">
        <v>6387</v>
      </c>
      <c r="C176" s="3234"/>
      <c r="D176" s="766" t="s">
        <v>5799</v>
      </c>
      <c r="E176" s="767" t="s">
        <v>5800</v>
      </c>
      <c r="F176" s="768">
        <f>IFERROR(EDUA*2+STRA*2,0)</f>
        <v>0</v>
      </c>
      <c r="G176" s="769" t="s">
        <v>6388</v>
      </c>
      <c r="K176" s="741"/>
      <c r="L176" s="742"/>
      <c r="M176" s="741" t="s">
        <v>6346</v>
      </c>
      <c r="N176" s="742"/>
      <c r="O176" s="3219" t="s">
        <v>6389</v>
      </c>
      <c r="P176" s="3219"/>
      <c r="Q176" s="3219"/>
      <c r="R176" s="675"/>
      <c r="S176" s="675"/>
      <c r="T176" s="675"/>
    </row>
    <row r="177" spans="1:20">
      <c r="A177" s="680">
        <v>175</v>
      </c>
      <c r="B177" s="3229" t="s">
        <v>6390</v>
      </c>
      <c r="C177" s="3229"/>
      <c r="D177" s="674" t="s">
        <v>5677</v>
      </c>
      <c r="E177" s="669" t="s">
        <v>5727</v>
      </c>
      <c r="F177" s="674">
        <f>IFERROR(EDUA*2+MAX(STRA*2,DEXA*2),0)</f>
        <v>0</v>
      </c>
      <c r="G177" s="748" t="s">
        <v>6391</v>
      </c>
      <c r="H177" s="3220" t="s">
        <v>6392</v>
      </c>
      <c r="I177" s="3220"/>
      <c r="K177" s="741" t="s">
        <v>6393</v>
      </c>
      <c r="L177" s="742"/>
      <c r="M177" s="741" t="s">
        <v>6394</v>
      </c>
      <c r="N177" s="742"/>
      <c r="O177" s="3219"/>
      <c r="P177" s="3219"/>
      <c r="Q177" s="3219"/>
      <c r="R177" s="675"/>
      <c r="S177" s="675"/>
      <c r="T177" s="675"/>
    </row>
    <row r="178" spans="1:20">
      <c r="A178" s="711">
        <v>176</v>
      </c>
      <c r="B178" s="3230" t="s">
        <v>6395</v>
      </c>
      <c r="C178" s="3230"/>
      <c r="D178" s="743" t="s">
        <v>5747</v>
      </c>
      <c r="E178" s="744" t="s">
        <v>5705</v>
      </c>
      <c r="F178" s="745">
        <f>IFERROR(EDUA*4,0)</f>
        <v>0</v>
      </c>
      <c r="G178" s="746" t="s">
        <v>6396</v>
      </c>
      <c r="H178" s="3220"/>
      <c r="I178" s="3220"/>
      <c r="K178" s="741" t="s">
        <v>6397</v>
      </c>
      <c r="L178" s="742"/>
      <c r="M178" s="741" t="s">
        <v>6394</v>
      </c>
      <c r="N178" s="742"/>
      <c r="Q178" s="674"/>
      <c r="R178" s="675"/>
      <c r="S178" s="675"/>
      <c r="T178" s="675"/>
    </row>
    <row r="179" spans="1:20">
      <c r="A179" s="680">
        <v>177</v>
      </c>
      <c r="B179" s="3229" t="s">
        <v>6398</v>
      </c>
      <c r="C179" s="3229"/>
      <c r="D179" s="674" t="s">
        <v>6176</v>
      </c>
      <c r="E179" s="669" t="s">
        <v>5705</v>
      </c>
      <c r="F179" s="674">
        <f>IFERROR(EDUA*4,0)</f>
        <v>0</v>
      </c>
      <c r="G179" s="748" t="s">
        <v>6399</v>
      </c>
      <c r="H179" s="3220"/>
      <c r="I179" s="3220"/>
      <c r="K179" s="741"/>
      <c r="L179" s="742"/>
      <c r="M179" s="741" t="s">
        <v>6400</v>
      </c>
      <c r="N179" s="742"/>
      <c r="Q179" s="674"/>
      <c r="R179" s="675"/>
      <c r="S179" s="675"/>
      <c r="T179" s="675"/>
    </row>
    <row r="180" spans="1:20">
      <c r="A180" s="711">
        <v>178</v>
      </c>
      <c r="B180" s="3230" t="s">
        <v>6401</v>
      </c>
      <c r="C180" s="3230"/>
      <c r="D180" s="743" t="s">
        <v>6176</v>
      </c>
      <c r="E180" s="744" t="s">
        <v>5705</v>
      </c>
      <c r="F180" s="745">
        <f>IFERROR(EDUA*4,0)</f>
        <v>0</v>
      </c>
      <c r="G180" s="746" t="s">
        <v>6402</v>
      </c>
      <c r="H180" s="3220"/>
      <c r="I180" s="3220"/>
      <c r="K180" s="741" t="s">
        <v>6403</v>
      </c>
      <c r="L180" s="742"/>
      <c r="M180" s="741" t="s">
        <v>6400</v>
      </c>
      <c r="N180" s="742"/>
      <c r="O180" s="675"/>
      <c r="P180" s="675"/>
      <c r="R180" s="675"/>
      <c r="S180" s="675"/>
      <c r="T180" s="675"/>
    </row>
    <row r="181" spans="1:20">
      <c r="A181" s="680">
        <v>179</v>
      </c>
      <c r="B181" s="3229" t="s">
        <v>6404</v>
      </c>
      <c r="C181" s="3229"/>
      <c r="D181" s="674" t="s">
        <v>5747</v>
      </c>
      <c r="E181" s="669" t="s">
        <v>5738</v>
      </c>
      <c r="F181" s="674">
        <f>IFERROR(EDUA*2+MAX(APPA*2,POWA*2),0)</f>
        <v>0</v>
      </c>
      <c r="G181" s="748" t="s">
        <v>6405</v>
      </c>
      <c r="H181" s="3220"/>
      <c r="I181" s="3220"/>
      <c r="K181" s="741"/>
      <c r="L181" s="742"/>
      <c r="M181" s="741" t="s">
        <v>6406</v>
      </c>
      <c r="N181" s="742"/>
      <c r="O181" s="3222" t="s">
        <v>6407</v>
      </c>
      <c r="P181" s="3222"/>
      <c r="Q181" s="3222"/>
      <c r="R181" s="675"/>
      <c r="S181" s="675"/>
      <c r="T181" s="675"/>
    </row>
    <row r="182" spans="1:20">
      <c r="A182" s="711">
        <v>180</v>
      </c>
      <c r="B182" s="3230" t="s">
        <v>6408</v>
      </c>
      <c r="C182" s="3230"/>
      <c r="D182" s="743" t="s">
        <v>6181</v>
      </c>
      <c r="E182" s="744" t="s">
        <v>5705</v>
      </c>
      <c r="F182" s="745">
        <f>IFERROR(EDUA*4,0)</f>
        <v>0</v>
      </c>
      <c r="G182" s="746" t="s">
        <v>6409</v>
      </c>
      <c r="H182" s="3220"/>
      <c r="I182" s="3220"/>
      <c r="K182" s="741"/>
      <c r="L182" s="742"/>
      <c r="M182" s="741" t="s">
        <v>6406</v>
      </c>
      <c r="N182" s="742"/>
      <c r="O182" s="3222"/>
      <c r="P182" s="3222"/>
      <c r="Q182" s="3222"/>
      <c r="R182" s="675"/>
      <c r="S182" s="675"/>
      <c r="T182" s="675"/>
    </row>
    <row r="183" spans="1:20">
      <c r="A183" s="680">
        <v>181</v>
      </c>
      <c r="B183" s="3229" t="s">
        <v>6410</v>
      </c>
      <c r="C183" s="3229"/>
      <c r="D183" s="674" t="s">
        <v>5812</v>
      </c>
      <c r="E183" s="669" t="s">
        <v>5705</v>
      </c>
      <c r="F183" s="674">
        <f>IFERROR(EDUA*4,0)</f>
        <v>0</v>
      </c>
      <c r="G183" s="748" t="s">
        <v>6411</v>
      </c>
      <c r="H183" s="3223" t="s">
        <v>6242</v>
      </c>
      <c r="I183" s="3223"/>
      <c r="K183" s="741"/>
      <c r="L183" s="742"/>
      <c r="M183" s="741" t="s">
        <v>6406</v>
      </c>
      <c r="N183" s="742"/>
      <c r="O183" s="3222"/>
      <c r="P183" s="3222"/>
      <c r="Q183" s="3222"/>
      <c r="R183" s="675"/>
      <c r="S183" s="675"/>
      <c r="T183" s="675"/>
    </row>
    <row r="184" spans="1:20">
      <c r="A184" s="711">
        <v>182</v>
      </c>
      <c r="B184" s="3230" t="s">
        <v>6412</v>
      </c>
      <c r="C184" s="3230"/>
      <c r="D184" s="743" t="s">
        <v>5747</v>
      </c>
      <c r="E184" s="745" t="s">
        <v>5705</v>
      </c>
      <c r="F184" s="745">
        <f>IFERROR(EDUA*4,0)</f>
        <v>0</v>
      </c>
      <c r="G184" s="746" t="s">
        <v>6288</v>
      </c>
      <c r="H184" s="674"/>
      <c r="I184" s="674"/>
      <c r="K184" s="741" t="s">
        <v>6289</v>
      </c>
      <c r="L184" s="742"/>
      <c r="M184" s="741" t="s">
        <v>6406</v>
      </c>
      <c r="N184" s="742"/>
      <c r="O184" s="3222"/>
      <c r="P184" s="3222"/>
      <c r="Q184" s="3222"/>
      <c r="R184" s="675"/>
      <c r="S184" s="675"/>
      <c r="T184" s="675"/>
    </row>
    <row r="185" spans="1:20">
      <c r="A185" s="680">
        <v>183</v>
      </c>
      <c r="B185" s="3229" t="s">
        <v>6413</v>
      </c>
      <c r="C185" s="3229"/>
      <c r="D185" s="674" t="s">
        <v>6181</v>
      </c>
      <c r="E185" s="669" t="s">
        <v>5727</v>
      </c>
      <c r="F185" s="674">
        <f>IFERROR(EDUA*2+MAX(STRA*2,DEXA*2),0)</f>
        <v>0</v>
      </c>
      <c r="G185" s="748" t="s">
        <v>6414</v>
      </c>
      <c r="H185" s="3223" t="s">
        <v>6415</v>
      </c>
      <c r="I185" s="3223"/>
      <c r="K185" s="741"/>
      <c r="L185" s="742"/>
      <c r="M185" s="741" t="s">
        <v>6406</v>
      </c>
      <c r="N185" s="742"/>
      <c r="O185" s="675"/>
      <c r="P185" s="675"/>
      <c r="R185" s="675"/>
      <c r="S185" s="675"/>
      <c r="T185" s="675"/>
    </row>
    <row r="186" spans="1:20">
      <c r="A186" s="711">
        <v>184</v>
      </c>
      <c r="B186" s="3230" t="s">
        <v>6416</v>
      </c>
      <c r="C186" s="3230"/>
      <c r="D186" s="743" t="s">
        <v>5771</v>
      </c>
      <c r="E186" s="744" t="s">
        <v>5716</v>
      </c>
      <c r="F186" s="745">
        <f>IFERROR(EDUA*2+APPA*2,0)</f>
        <v>0</v>
      </c>
      <c r="G186" s="746" t="s">
        <v>5945</v>
      </c>
      <c r="H186" s="3223"/>
      <c r="I186" s="3223"/>
      <c r="K186" s="741"/>
      <c r="L186" s="742"/>
      <c r="M186" s="741" t="s">
        <v>6406</v>
      </c>
      <c r="N186" s="742"/>
      <c r="O186" s="675"/>
      <c r="P186" s="675"/>
      <c r="R186" s="675"/>
      <c r="S186" s="675"/>
      <c r="T186" s="675"/>
    </row>
    <row r="187" spans="1:20" ht="15" customHeight="1">
      <c r="A187" s="680">
        <v>185</v>
      </c>
      <c r="B187" s="3229" t="s">
        <v>6417</v>
      </c>
      <c r="C187" s="3229"/>
      <c r="D187" s="674" t="s">
        <v>5872</v>
      </c>
      <c r="E187" s="669" t="s">
        <v>5705</v>
      </c>
      <c r="F187" s="674">
        <f>IFERROR(EDUA*4,0)</f>
        <v>0</v>
      </c>
      <c r="G187" s="710" t="s">
        <v>6418</v>
      </c>
      <c r="H187" s="3223"/>
      <c r="I187" s="3223"/>
      <c r="K187" s="741"/>
      <c r="L187" s="742"/>
      <c r="M187" s="741" t="s">
        <v>6406</v>
      </c>
      <c r="N187" s="742"/>
      <c r="O187" s="675"/>
      <c r="P187" s="675"/>
      <c r="R187" s="675"/>
      <c r="S187" s="675"/>
      <c r="T187" s="675"/>
    </row>
    <row r="188" spans="1:20">
      <c r="A188" s="711">
        <v>186</v>
      </c>
      <c r="B188" s="3230" t="s">
        <v>6419</v>
      </c>
      <c r="C188" s="3230"/>
      <c r="D188" s="743" t="s">
        <v>5677</v>
      </c>
      <c r="E188" s="744" t="s">
        <v>5705</v>
      </c>
      <c r="F188" s="745">
        <f>IFERROR(EDUA*4,0)</f>
        <v>0</v>
      </c>
      <c r="G188" s="746" t="s">
        <v>6420</v>
      </c>
      <c r="H188" s="3223"/>
      <c r="I188" s="3223"/>
      <c r="K188" s="741"/>
      <c r="L188" s="742"/>
      <c r="M188" s="741" t="s">
        <v>6406</v>
      </c>
      <c r="N188" s="742"/>
      <c r="O188" s="675"/>
      <c r="P188" s="675"/>
      <c r="R188" s="675"/>
      <c r="S188" s="675"/>
      <c r="T188" s="675"/>
    </row>
    <row r="189" spans="1:20">
      <c r="A189" s="680">
        <v>187</v>
      </c>
      <c r="B189" s="3229" t="s">
        <v>6421</v>
      </c>
      <c r="C189" s="3229"/>
      <c r="D189" s="674" t="s">
        <v>5790</v>
      </c>
      <c r="E189" s="669" t="s">
        <v>5705</v>
      </c>
      <c r="F189" s="674">
        <f>IFERROR(EDUA*4,0)</f>
        <v>0</v>
      </c>
      <c r="G189" s="748" t="s">
        <v>6422</v>
      </c>
      <c r="K189" s="741"/>
      <c r="L189" s="742"/>
      <c r="M189" s="741" t="s">
        <v>6406</v>
      </c>
      <c r="N189" s="742"/>
      <c r="O189" s="675"/>
      <c r="P189" s="675"/>
      <c r="R189" s="675"/>
      <c r="S189" s="675"/>
      <c r="T189" s="675"/>
    </row>
    <row r="190" spans="1:20">
      <c r="A190" s="711">
        <v>188</v>
      </c>
      <c r="B190" s="3230" t="s">
        <v>6423</v>
      </c>
      <c r="C190" s="3230"/>
      <c r="D190" s="743" t="s">
        <v>5677</v>
      </c>
      <c r="E190" s="744" t="s">
        <v>5727</v>
      </c>
      <c r="F190" s="745">
        <f>IFERROR(EDUA*2+MAX(STRA*2,DEXA*2),0)</f>
        <v>0</v>
      </c>
      <c r="G190" s="746" t="s">
        <v>6169</v>
      </c>
      <c r="K190" s="741"/>
      <c r="L190" s="742"/>
      <c r="M190" s="741" t="s">
        <v>6406</v>
      </c>
      <c r="N190" s="742"/>
      <c r="R190" s="675"/>
      <c r="S190" s="675"/>
      <c r="T190" s="675"/>
    </row>
    <row r="191" spans="1:20">
      <c r="A191" s="680">
        <v>189</v>
      </c>
      <c r="B191" s="3229" t="s">
        <v>6424</v>
      </c>
      <c r="C191" s="3229"/>
      <c r="D191" s="674" t="s">
        <v>5677</v>
      </c>
      <c r="E191" s="669" t="s">
        <v>5727</v>
      </c>
      <c r="F191" s="674">
        <f>IFERROR(EDUA*2+MAX(STRA*2,DEXA*2),0)</f>
        <v>0</v>
      </c>
      <c r="G191" s="748" t="s">
        <v>6169</v>
      </c>
      <c r="K191" s="741"/>
      <c r="L191" s="742"/>
      <c r="M191" s="741" t="s">
        <v>6406</v>
      </c>
      <c r="N191" s="742"/>
      <c r="R191" s="675"/>
      <c r="S191" s="675"/>
      <c r="T191" s="675"/>
    </row>
    <row r="192" spans="1:20" ht="13" customHeight="1">
      <c r="A192" s="711">
        <v>190</v>
      </c>
      <c r="B192" s="3230" t="s">
        <v>6425</v>
      </c>
      <c r="C192" s="3230"/>
      <c r="D192" s="743" t="s">
        <v>5949</v>
      </c>
      <c r="E192" s="744" t="s">
        <v>5914</v>
      </c>
      <c r="F192" s="745">
        <f>IFERROR(EDUA*2+MAX(DEXA*2,APPA*2,STRA*2),0)</f>
        <v>0</v>
      </c>
      <c r="G192" s="746" t="s">
        <v>6426</v>
      </c>
      <c r="K192" s="741"/>
      <c r="L192" s="742"/>
      <c r="M192" s="741" t="s">
        <v>6406</v>
      </c>
      <c r="N192" s="742"/>
      <c r="R192" s="675"/>
      <c r="S192" s="675"/>
      <c r="T192" s="675"/>
    </row>
    <row r="193" spans="1:20">
      <c r="A193" s="680">
        <v>191</v>
      </c>
      <c r="B193" s="3229" t="s">
        <v>6427</v>
      </c>
      <c r="C193" s="3229"/>
      <c r="D193" s="674" t="s">
        <v>5704</v>
      </c>
      <c r="E193" s="669" t="s">
        <v>5705</v>
      </c>
      <c r="F193" s="674">
        <f>IFERROR(EDUA*4,0)</f>
        <v>0</v>
      </c>
      <c r="G193" s="748" t="s">
        <v>6252</v>
      </c>
      <c r="K193" s="741"/>
      <c r="L193" s="742"/>
      <c r="M193" s="741" t="s">
        <v>6406</v>
      </c>
      <c r="N193" s="742"/>
      <c r="O193" s="675"/>
      <c r="P193" s="675"/>
      <c r="R193" s="675"/>
      <c r="S193" s="675"/>
      <c r="T193" s="675"/>
    </row>
    <row r="194" spans="1:20">
      <c r="A194" s="711">
        <v>192</v>
      </c>
      <c r="B194" s="3230" t="s">
        <v>6428</v>
      </c>
      <c r="C194" s="3230"/>
      <c r="D194" s="743" t="s">
        <v>5771</v>
      </c>
      <c r="E194" s="744" t="s">
        <v>5716</v>
      </c>
      <c r="F194" s="745">
        <f>IFERROR(EDUA*2+APPA*2,0)</f>
        <v>0</v>
      </c>
      <c r="G194" s="746" t="s">
        <v>6429</v>
      </c>
      <c r="K194" s="741"/>
      <c r="L194" s="742"/>
      <c r="M194" s="741" t="s">
        <v>6406</v>
      </c>
      <c r="N194" s="742"/>
      <c r="O194" s="675"/>
      <c r="P194" s="675"/>
      <c r="R194" s="675"/>
      <c r="S194" s="675"/>
      <c r="T194" s="675"/>
    </row>
    <row r="195" spans="1:20">
      <c r="A195" s="680">
        <v>193</v>
      </c>
      <c r="B195" s="3229" t="s">
        <v>6430</v>
      </c>
      <c r="C195" s="3229"/>
      <c r="D195" s="674" t="s">
        <v>5771</v>
      </c>
      <c r="E195" s="669" t="s">
        <v>5716</v>
      </c>
      <c r="F195" s="674">
        <f>IFERROR(EDUA*2+APPA*2,0)</f>
        <v>0</v>
      </c>
      <c r="G195" s="748" t="s">
        <v>6431</v>
      </c>
      <c r="K195" s="741"/>
      <c r="L195" s="742"/>
      <c r="M195" s="741" t="s">
        <v>6406</v>
      </c>
      <c r="N195" s="742"/>
      <c r="O195" s="675"/>
      <c r="P195" s="675"/>
      <c r="R195" s="675"/>
      <c r="S195" s="675"/>
      <c r="T195" s="675"/>
    </row>
    <row r="196" spans="1:20">
      <c r="A196" s="711">
        <v>194</v>
      </c>
      <c r="B196" s="3230" t="s">
        <v>6432</v>
      </c>
      <c r="C196" s="3230"/>
      <c r="D196" s="743" t="s">
        <v>5771</v>
      </c>
      <c r="E196" s="744" t="s">
        <v>5716</v>
      </c>
      <c r="F196" s="745">
        <f>IFERROR(EDUA*2+APPA*2,0)</f>
        <v>0</v>
      </c>
      <c r="G196" s="746" t="s">
        <v>6433</v>
      </c>
      <c r="K196" s="741"/>
      <c r="L196" s="742"/>
      <c r="M196" s="741" t="s">
        <v>6406</v>
      </c>
      <c r="N196" s="742"/>
      <c r="O196" s="675"/>
      <c r="P196" s="675"/>
      <c r="R196" s="675"/>
      <c r="S196" s="675"/>
      <c r="T196" s="675"/>
    </row>
    <row r="197" spans="1:20">
      <c r="A197" s="680">
        <v>195</v>
      </c>
      <c r="B197" s="3229" t="s">
        <v>6434</v>
      </c>
      <c r="C197" s="3229"/>
      <c r="D197" s="674" t="s">
        <v>5710</v>
      </c>
      <c r="E197" s="669" t="s">
        <v>5848</v>
      </c>
      <c r="F197" s="674">
        <f>IFERROR(EDUA*2+DEXA*2,0)</f>
        <v>0</v>
      </c>
      <c r="G197" s="748" t="s">
        <v>6435</v>
      </c>
      <c r="K197" s="741"/>
      <c r="L197" s="742"/>
      <c r="M197" s="741" t="s">
        <v>6406</v>
      </c>
      <c r="N197" s="742"/>
      <c r="O197" s="675"/>
      <c r="P197" s="675"/>
      <c r="R197" s="675"/>
      <c r="S197" s="675"/>
      <c r="T197" s="675"/>
    </row>
    <row r="198" spans="1:20">
      <c r="A198" s="711">
        <v>196</v>
      </c>
      <c r="B198" s="3230" t="s">
        <v>6436</v>
      </c>
      <c r="C198" s="3230"/>
      <c r="D198" s="743" t="s">
        <v>6012</v>
      </c>
      <c r="E198" s="744" t="s">
        <v>5705</v>
      </c>
      <c r="F198" s="745">
        <f>IFERROR(EDUA*4,0)</f>
        <v>0</v>
      </c>
      <c r="G198" s="746" t="s">
        <v>6304</v>
      </c>
      <c r="K198" s="741"/>
      <c r="L198" s="742"/>
      <c r="M198" s="741" t="s">
        <v>6406</v>
      </c>
      <c r="N198" s="742"/>
      <c r="O198" s="675"/>
      <c r="P198" s="675"/>
      <c r="R198" s="675"/>
      <c r="S198" s="675"/>
      <c r="T198" s="675"/>
    </row>
    <row r="199" spans="1:20">
      <c r="A199" s="680">
        <v>197</v>
      </c>
      <c r="B199" s="3229" t="s">
        <v>6437</v>
      </c>
      <c r="C199" s="3229"/>
      <c r="D199" s="674" t="s">
        <v>6012</v>
      </c>
      <c r="E199" s="669" t="s">
        <v>5705</v>
      </c>
      <c r="F199" s="674">
        <f>IFERROR(EDUA*4,0)</f>
        <v>0</v>
      </c>
      <c r="G199" s="748" t="s">
        <v>6304</v>
      </c>
      <c r="K199" s="741"/>
      <c r="L199" s="742"/>
      <c r="M199" s="741" t="s">
        <v>6406</v>
      </c>
      <c r="N199" s="742"/>
      <c r="O199" s="675"/>
      <c r="P199" s="675"/>
      <c r="R199" s="675"/>
      <c r="S199" s="675"/>
      <c r="T199" s="675"/>
    </row>
    <row r="200" spans="1:20">
      <c r="A200" s="711">
        <v>198</v>
      </c>
      <c r="B200" s="3230" t="s">
        <v>6438</v>
      </c>
      <c r="C200" s="3230"/>
      <c r="D200" s="743" t="s">
        <v>6012</v>
      </c>
      <c r="E200" s="744" t="s">
        <v>5705</v>
      </c>
      <c r="F200" s="745">
        <f>IFERROR(EDUA*4,0)</f>
        <v>0</v>
      </c>
      <c r="G200" s="746" t="s">
        <v>6304</v>
      </c>
      <c r="K200" s="741"/>
      <c r="L200" s="742"/>
      <c r="M200" s="741" t="s">
        <v>6406</v>
      </c>
      <c r="N200" s="742"/>
      <c r="O200" s="675"/>
      <c r="P200" s="675"/>
      <c r="R200" s="675"/>
      <c r="S200" s="675"/>
      <c r="T200" s="675"/>
    </row>
    <row r="201" spans="1:20">
      <c r="A201" s="680">
        <v>199</v>
      </c>
      <c r="B201" s="3229" t="s">
        <v>6439</v>
      </c>
      <c r="C201" s="3229"/>
      <c r="D201" s="674" t="s">
        <v>5771</v>
      </c>
      <c r="E201" s="669" t="s">
        <v>5716</v>
      </c>
      <c r="F201" s="674">
        <f>IFERROR(EDUA*2+APPA*2,0)</f>
        <v>0</v>
      </c>
      <c r="G201" s="748" t="s">
        <v>6440</v>
      </c>
      <c r="K201" s="741"/>
      <c r="L201" s="742"/>
      <c r="M201" s="741" t="s">
        <v>6406</v>
      </c>
      <c r="N201" s="742"/>
      <c r="O201" s="675"/>
      <c r="P201" s="675"/>
      <c r="R201" s="675"/>
      <c r="S201" s="675"/>
      <c r="T201" s="675"/>
    </row>
    <row r="202" spans="1:20">
      <c r="A202" s="711">
        <v>200</v>
      </c>
      <c r="B202" s="3230" t="s">
        <v>6441</v>
      </c>
      <c r="C202" s="3230"/>
      <c r="D202" s="743" t="s">
        <v>5704</v>
      </c>
      <c r="E202" s="744" t="s">
        <v>5705</v>
      </c>
      <c r="F202" s="745">
        <f>IFERROR(EDUA*4,0)</f>
        <v>0</v>
      </c>
      <c r="G202" s="746" t="s">
        <v>6442</v>
      </c>
      <c r="K202" s="741"/>
      <c r="L202" s="742"/>
      <c r="M202" s="741" t="s">
        <v>6406</v>
      </c>
      <c r="N202" s="742"/>
      <c r="O202" s="675"/>
      <c r="P202" s="675"/>
      <c r="R202" s="675"/>
      <c r="S202" s="675"/>
      <c r="T202" s="675"/>
    </row>
    <row r="203" spans="1:20">
      <c r="A203" s="680">
        <v>201</v>
      </c>
      <c r="B203" s="3229" t="s">
        <v>6443</v>
      </c>
      <c r="C203" s="3229"/>
      <c r="D203" s="674" t="s">
        <v>5677</v>
      </c>
      <c r="E203" s="669" t="s">
        <v>5848</v>
      </c>
      <c r="F203" s="674">
        <f>IFERROR(EDUA*2+DEXA*2,0)</f>
        <v>0</v>
      </c>
      <c r="G203" s="748" t="s">
        <v>6444</v>
      </c>
      <c r="K203" s="741"/>
      <c r="L203" s="742"/>
      <c r="M203" s="741" t="s">
        <v>6406</v>
      </c>
      <c r="N203" s="742"/>
      <c r="O203" s="675"/>
      <c r="P203" s="675"/>
      <c r="R203" s="675"/>
      <c r="S203" s="675"/>
      <c r="T203" s="675"/>
    </row>
    <row r="204" spans="1:20">
      <c r="A204" s="711">
        <v>202</v>
      </c>
      <c r="B204" s="3230" t="s">
        <v>6445</v>
      </c>
      <c r="C204" s="3230"/>
      <c r="D204" s="743" t="s">
        <v>5677</v>
      </c>
      <c r="E204" s="744" t="s">
        <v>6446</v>
      </c>
      <c r="F204" s="745">
        <f>IFERROR(EDUA*2+MAX(EDUA*2,APPA*2),0)</f>
        <v>0</v>
      </c>
      <c r="G204" s="746" t="s">
        <v>6447</v>
      </c>
      <c r="K204" s="741"/>
      <c r="L204" s="742"/>
      <c r="M204" s="741" t="s">
        <v>6406</v>
      </c>
      <c r="N204" s="742"/>
      <c r="O204" s="675"/>
      <c r="P204" s="675"/>
      <c r="R204" s="675"/>
      <c r="S204" s="675"/>
      <c r="T204" s="675"/>
    </row>
    <row r="205" spans="1:20">
      <c r="A205" s="680">
        <v>203</v>
      </c>
      <c r="B205" s="3229" t="s">
        <v>6448</v>
      </c>
      <c r="C205" s="3229"/>
      <c r="D205" s="674" t="s">
        <v>5683</v>
      </c>
      <c r="E205" s="669" t="s">
        <v>5705</v>
      </c>
      <c r="F205" s="674">
        <f>IFERROR(EDUA*4,0)</f>
        <v>0</v>
      </c>
      <c r="G205" s="748" t="s">
        <v>6040</v>
      </c>
      <c r="K205" s="741"/>
      <c r="L205" s="742"/>
      <c r="M205" s="741" t="s">
        <v>6406</v>
      </c>
      <c r="N205" s="742"/>
      <c r="O205" s="675"/>
      <c r="P205" s="675"/>
      <c r="R205" s="675"/>
      <c r="S205" s="675"/>
      <c r="T205" s="675"/>
    </row>
    <row r="206" spans="1:20">
      <c r="A206" s="711">
        <v>204</v>
      </c>
      <c r="B206" s="3230" t="s">
        <v>6449</v>
      </c>
      <c r="C206" s="3230"/>
      <c r="D206" s="743" t="s">
        <v>5677</v>
      </c>
      <c r="E206" s="744" t="s">
        <v>5825</v>
      </c>
      <c r="F206" s="745">
        <f>IFERROR(EDUA*2+DEXA*2,0)</f>
        <v>0</v>
      </c>
      <c r="G206" s="746" t="s">
        <v>6450</v>
      </c>
      <c r="K206" s="741"/>
      <c r="L206" s="742"/>
      <c r="M206" s="741" t="s">
        <v>6406</v>
      </c>
      <c r="N206" s="742"/>
      <c r="O206" s="675"/>
      <c r="P206" s="675"/>
      <c r="R206" s="675"/>
      <c r="S206" s="675"/>
      <c r="T206" s="675"/>
    </row>
    <row r="207" spans="1:20">
      <c r="A207" s="680">
        <v>205</v>
      </c>
      <c r="B207" s="3229" t="s">
        <v>6451</v>
      </c>
      <c r="C207" s="3229"/>
      <c r="D207" s="674" t="s">
        <v>5812</v>
      </c>
      <c r="E207" s="669" t="s">
        <v>5705</v>
      </c>
      <c r="F207" s="674">
        <f>IFERROR(EDUA*4,0)</f>
        <v>0</v>
      </c>
      <c r="G207" s="748" t="s">
        <v>6452</v>
      </c>
      <c r="K207" s="741"/>
      <c r="L207" s="742"/>
      <c r="M207" s="741" t="s">
        <v>6406</v>
      </c>
      <c r="N207" s="742"/>
      <c r="O207" s="675"/>
      <c r="P207" s="675"/>
      <c r="R207" s="675"/>
      <c r="S207" s="675"/>
      <c r="T207" s="675"/>
    </row>
    <row r="208" spans="1:20">
      <c r="A208" s="711">
        <v>206</v>
      </c>
      <c r="B208" s="3230" t="s">
        <v>6453</v>
      </c>
      <c r="C208" s="3230"/>
      <c r="D208" s="743" t="s">
        <v>5677</v>
      </c>
      <c r="E208" s="744" t="s">
        <v>5727</v>
      </c>
      <c r="F208" s="745">
        <f>IFERROR(EDUA*2+MAX(STRA*2,DEXA*2),0)</f>
        <v>0</v>
      </c>
      <c r="G208" s="746" t="s">
        <v>6169</v>
      </c>
      <c r="K208" s="741"/>
      <c r="L208" s="742"/>
      <c r="M208" s="741" t="s">
        <v>6406</v>
      </c>
      <c r="N208" s="742"/>
      <c r="O208" s="675"/>
      <c r="P208" s="675"/>
      <c r="R208" s="675"/>
      <c r="S208" s="675"/>
      <c r="T208" s="675"/>
    </row>
    <row r="209" spans="1:20">
      <c r="A209" s="680">
        <v>207</v>
      </c>
      <c r="B209" s="3229" t="s">
        <v>6454</v>
      </c>
      <c r="C209" s="3229"/>
      <c r="D209" s="674" t="s">
        <v>6455</v>
      </c>
      <c r="E209" s="669" t="s">
        <v>5705</v>
      </c>
      <c r="F209" s="674">
        <f>IFERROR(EDUA*4,0)</f>
        <v>0</v>
      </c>
      <c r="G209" s="748" t="s">
        <v>6456</v>
      </c>
      <c r="K209" s="741"/>
      <c r="L209" s="742"/>
      <c r="M209" s="741" t="s">
        <v>6406</v>
      </c>
      <c r="N209" s="742"/>
      <c r="O209" s="675"/>
      <c r="P209" s="675"/>
      <c r="R209" s="675"/>
      <c r="S209" s="675"/>
      <c r="T209" s="675"/>
    </row>
    <row r="210" spans="1:20">
      <c r="A210" s="711">
        <v>208</v>
      </c>
      <c r="B210" s="3230" t="s">
        <v>6457</v>
      </c>
      <c r="C210" s="3230"/>
      <c r="D210" s="743" t="s">
        <v>5677</v>
      </c>
      <c r="E210" s="744" t="s">
        <v>5727</v>
      </c>
      <c r="F210" s="745">
        <f>IFERROR(EDUA*2+MAX(STRA*2,DEXA*2),0)</f>
        <v>0</v>
      </c>
      <c r="G210" s="746" t="s">
        <v>6458</v>
      </c>
      <c r="K210" s="741"/>
      <c r="L210" s="742"/>
      <c r="M210" s="741" t="s">
        <v>6406</v>
      </c>
      <c r="N210" s="742"/>
      <c r="O210" s="675"/>
      <c r="P210" s="675"/>
      <c r="R210" s="675"/>
      <c r="S210" s="675"/>
      <c r="T210" s="675"/>
    </row>
    <row r="211" spans="1:20">
      <c r="A211" s="680">
        <v>209</v>
      </c>
      <c r="B211" s="3231" t="s">
        <v>6459</v>
      </c>
      <c r="C211" s="3231"/>
      <c r="D211" s="751" t="s">
        <v>5710</v>
      </c>
      <c r="E211" s="752" t="s">
        <v>5705</v>
      </c>
      <c r="F211" s="751">
        <f>IFERROR(EDUA*4,0)</f>
        <v>0</v>
      </c>
      <c r="G211" s="753" t="s">
        <v>6460</v>
      </c>
      <c r="K211" s="741"/>
      <c r="L211" s="742"/>
      <c r="M211" s="741" t="s">
        <v>6406</v>
      </c>
      <c r="N211" s="742"/>
      <c r="O211" s="675"/>
      <c r="P211" s="675"/>
      <c r="R211" s="675"/>
      <c r="S211" s="675"/>
      <c r="T211" s="675"/>
    </row>
    <row r="212" spans="1:20" ht="33">
      <c r="A212" s="711">
        <v>210</v>
      </c>
      <c r="B212" s="3228" t="s">
        <v>6461</v>
      </c>
      <c r="C212" s="3228"/>
      <c r="D212" s="770" t="s">
        <v>5677</v>
      </c>
      <c r="E212" s="771" t="s">
        <v>5716</v>
      </c>
      <c r="F212" s="772">
        <f>IFERROR(EDUA*2+APPA*2,0)</f>
        <v>0</v>
      </c>
      <c r="G212" s="773" t="s">
        <v>6462</v>
      </c>
      <c r="H212" s="3220" t="s">
        <v>6463</v>
      </c>
      <c r="I212" s="3220"/>
      <c r="K212" s="741"/>
      <c r="L212" s="742"/>
      <c r="M212" s="741" t="s">
        <v>6464</v>
      </c>
      <c r="N212" s="742"/>
      <c r="O212" s="675"/>
      <c r="P212" s="675"/>
      <c r="R212" s="675"/>
      <c r="S212" s="675"/>
      <c r="T212" s="675"/>
    </row>
    <row r="213" spans="1:20" ht="33">
      <c r="A213" s="680">
        <v>211</v>
      </c>
      <c r="B213" s="3225" t="s">
        <v>6465</v>
      </c>
      <c r="C213" s="3225"/>
      <c r="D213" s="774" t="s">
        <v>5830</v>
      </c>
      <c r="E213" s="775" t="s">
        <v>5705</v>
      </c>
      <c r="F213" s="776">
        <f>IFERROR(EDUA*4,0)</f>
        <v>0</v>
      </c>
      <c r="G213" s="777" t="s">
        <v>6466</v>
      </c>
      <c r="H213" s="3220"/>
      <c r="I213" s="3220"/>
      <c r="K213" s="741"/>
      <c r="L213" s="742"/>
      <c r="M213" s="741" t="s">
        <v>6464</v>
      </c>
      <c r="N213" s="742"/>
      <c r="O213" s="675"/>
      <c r="P213" s="675"/>
      <c r="R213" s="675"/>
      <c r="S213" s="675"/>
      <c r="T213" s="675"/>
    </row>
    <row r="214" spans="1:20">
      <c r="A214" s="711">
        <v>212</v>
      </c>
      <c r="B214" s="3226" t="s">
        <v>6467</v>
      </c>
      <c r="C214" s="3226"/>
      <c r="D214" s="778" t="s">
        <v>6468</v>
      </c>
      <c r="E214" s="712" t="s">
        <v>6446</v>
      </c>
      <c r="F214" s="714">
        <f>IFERROR(EDUA*2+MAX(EDUA*2,APPA*2),0)</f>
        <v>0</v>
      </c>
      <c r="G214" s="779" t="s">
        <v>6469</v>
      </c>
      <c r="H214" s="3220"/>
      <c r="I214" s="3220"/>
      <c r="K214" s="741"/>
      <c r="L214" s="742"/>
      <c r="M214" s="741" t="s">
        <v>6464</v>
      </c>
      <c r="N214" s="742"/>
      <c r="O214" s="675"/>
      <c r="P214" s="675"/>
      <c r="R214" s="675"/>
      <c r="S214" s="675"/>
      <c r="T214" s="675"/>
    </row>
    <row r="215" spans="1:20">
      <c r="A215" s="680">
        <v>213</v>
      </c>
      <c r="B215" s="3225" t="s">
        <v>5760</v>
      </c>
      <c r="C215" s="3225"/>
      <c r="D215" s="774" t="s">
        <v>5737</v>
      </c>
      <c r="E215" s="775" t="s">
        <v>5761</v>
      </c>
      <c r="F215" s="776">
        <f>IFERROR(EDUA*2+MAX(DEXA*2,POWA*2),0)</f>
        <v>0</v>
      </c>
      <c r="G215" s="777" t="s">
        <v>6470</v>
      </c>
      <c r="H215" s="3220"/>
      <c r="I215" s="3220"/>
      <c r="K215" s="741"/>
      <c r="L215" s="742"/>
      <c r="M215" s="741" t="s">
        <v>6464</v>
      </c>
      <c r="N215" s="742"/>
      <c r="O215" s="675"/>
      <c r="P215" s="675"/>
      <c r="R215" s="675"/>
      <c r="S215" s="675"/>
      <c r="T215" s="675"/>
    </row>
    <row r="216" spans="1:20">
      <c r="A216" s="711">
        <v>214</v>
      </c>
      <c r="B216" s="3226" t="s">
        <v>6471</v>
      </c>
      <c r="C216" s="3226"/>
      <c r="D216" s="778" t="s">
        <v>5737</v>
      </c>
      <c r="E216" s="712" t="s">
        <v>5705</v>
      </c>
      <c r="F216" s="714">
        <f>IFERROR(EDUA*4,0)</f>
        <v>0</v>
      </c>
      <c r="G216" s="779" t="s">
        <v>6472</v>
      </c>
      <c r="H216" s="3220"/>
      <c r="I216" s="3220"/>
      <c r="K216" s="741"/>
      <c r="L216" s="742"/>
      <c r="M216" s="741" t="s">
        <v>6464</v>
      </c>
      <c r="N216" s="742"/>
      <c r="O216" s="675"/>
      <c r="P216" s="675"/>
      <c r="R216" s="675"/>
      <c r="S216" s="675"/>
      <c r="T216" s="675"/>
    </row>
    <row r="217" spans="1:20">
      <c r="A217" s="680">
        <v>215</v>
      </c>
      <c r="B217" s="3225" t="s">
        <v>6473</v>
      </c>
      <c r="C217" s="3225"/>
      <c r="D217" s="774" t="s">
        <v>5882</v>
      </c>
      <c r="E217" s="775" t="s">
        <v>5825</v>
      </c>
      <c r="F217" s="776">
        <f>IFERROR(EDUA*2+DEXA*2,0)</f>
        <v>0</v>
      </c>
      <c r="G217" s="777" t="s">
        <v>6474</v>
      </c>
      <c r="H217" s="3220"/>
      <c r="I217" s="3220"/>
      <c r="K217" s="741"/>
      <c r="L217" s="742"/>
      <c r="M217" s="741" t="s">
        <v>6464</v>
      </c>
      <c r="N217" s="742"/>
      <c r="O217" s="675"/>
      <c r="P217" s="675"/>
      <c r="R217" s="675"/>
      <c r="S217" s="675"/>
      <c r="T217" s="675"/>
    </row>
    <row r="218" spans="1:20">
      <c r="A218" s="711">
        <v>216</v>
      </c>
      <c r="B218" s="3226" t="s">
        <v>6475</v>
      </c>
      <c r="C218" s="3226"/>
      <c r="D218" s="778" t="s">
        <v>6476</v>
      </c>
      <c r="E218" s="712" t="s">
        <v>5738</v>
      </c>
      <c r="F218" s="714">
        <f>IFERROR(EDUA*2+MAX(APPA*2,POWA*2),0)</f>
        <v>0</v>
      </c>
      <c r="G218" s="779" t="s">
        <v>6477</v>
      </c>
      <c r="H218" s="3223" t="s">
        <v>6242</v>
      </c>
      <c r="I218" s="3223"/>
      <c r="K218" s="741"/>
      <c r="L218" s="742"/>
      <c r="M218" s="741" t="s">
        <v>6464</v>
      </c>
      <c r="N218" s="742"/>
      <c r="O218" s="675"/>
      <c r="P218" s="675"/>
      <c r="R218" s="675"/>
      <c r="S218" s="675"/>
      <c r="T218" s="675"/>
    </row>
    <row r="219" spans="1:20">
      <c r="A219" s="680">
        <v>217</v>
      </c>
      <c r="B219" s="3225" t="s">
        <v>6478</v>
      </c>
      <c r="C219" s="3225"/>
      <c r="D219" s="774" t="s">
        <v>5732</v>
      </c>
      <c r="E219" s="775" t="s">
        <v>5705</v>
      </c>
      <c r="F219" s="776">
        <f>IFERROR(EDUA*4,0)</f>
        <v>0</v>
      </c>
      <c r="G219" s="777" t="s">
        <v>6479</v>
      </c>
      <c r="H219" s="3223" t="s">
        <v>6480</v>
      </c>
      <c r="I219" s="3223"/>
      <c r="K219" s="741"/>
      <c r="L219" s="742"/>
      <c r="M219" s="741" t="s">
        <v>6464</v>
      </c>
      <c r="N219" s="742"/>
      <c r="O219" s="675"/>
      <c r="P219" s="675"/>
      <c r="R219" s="675"/>
      <c r="S219" s="675"/>
      <c r="T219" s="675"/>
    </row>
    <row r="220" spans="1:20">
      <c r="A220" s="711">
        <v>218</v>
      </c>
      <c r="B220" s="3226" t="s">
        <v>5824</v>
      </c>
      <c r="C220" s="3226"/>
      <c r="D220" s="778" t="s">
        <v>6035</v>
      </c>
      <c r="E220" s="712" t="s">
        <v>5727</v>
      </c>
      <c r="F220" s="714">
        <f>IFERROR(EDUA*2+MAX(STRA*2,DEXA*2),0)</f>
        <v>0</v>
      </c>
      <c r="G220" s="779" t="s">
        <v>6481</v>
      </c>
      <c r="K220" s="741"/>
      <c r="L220" s="742"/>
      <c r="M220" s="741" t="s">
        <v>6464</v>
      </c>
      <c r="N220" s="742"/>
      <c r="O220" s="675"/>
      <c r="P220" s="675"/>
      <c r="R220" s="675"/>
      <c r="S220" s="675"/>
      <c r="T220" s="675"/>
    </row>
    <row r="221" spans="1:20" ht="33">
      <c r="A221" s="680">
        <v>219</v>
      </c>
      <c r="B221" s="3225" t="s">
        <v>6482</v>
      </c>
      <c r="C221" s="3225"/>
      <c r="D221" s="774" t="s">
        <v>5677</v>
      </c>
      <c r="E221" s="775" t="s">
        <v>5914</v>
      </c>
      <c r="F221" s="776">
        <f>IFERROR(EDUA*2+MAX(DEXA*2,APPA*2,STRA*2),0)</f>
        <v>0</v>
      </c>
      <c r="G221" s="777" t="s">
        <v>6483</v>
      </c>
      <c r="K221" s="741"/>
      <c r="L221" s="742"/>
      <c r="M221" s="741" t="s">
        <v>6464</v>
      </c>
      <c r="N221" s="742"/>
      <c r="O221" s="675"/>
      <c r="P221" s="675"/>
      <c r="R221" s="675"/>
      <c r="S221" s="675"/>
      <c r="T221" s="675"/>
    </row>
    <row r="222" spans="1:20">
      <c r="A222" s="711">
        <v>220</v>
      </c>
      <c r="B222" s="3226" t="s">
        <v>6484</v>
      </c>
      <c r="C222" s="3226"/>
      <c r="D222" s="778" t="s">
        <v>5812</v>
      </c>
      <c r="E222" s="712" t="s">
        <v>5716</v>
      </c>
      <c r="F222" s="714">
        <f>IFERROR(EDUA*2+APPA*2,0)</f>
        <v>0</v>
      </c>
      <c r="G222" s="779" t="s">
        <v>6485</v>
      </c>
      <c r="K222" s="741"/>
      <c r="L222" s="742"/>
      <c r="M222" s="741" t="s">
        <v>6464</v>
      </c>
      <c r="N222" s="742"/>
      <c r="O222" s="675"/>
      <c r="P222" s="675"/>
      <c r="R222" s="675"/>
      <c r="S222" s="675"/>
      <c r="T222" s="675"/>
    </row>
    <row r="223" spans="1:20">
      <c r="A223" s="680">
        <v>221</v>
      </c>
      <c r="B223" s="3225" t="s">
        <v>5944</v>
      </c>
      <c r="C223" s="3225"/>
      <c r="D223" s="774" t="s">
        <v>5737</v>
      </c>
      <c r="E223" s="775" t="s">
        <v>5738</v>
      </c>
      <c r="F223" s="776">
        <f>IFERROR(EDUA*2+MAX(APPA*2,POWA*2),0)</f>
        <v>0</v>
      </c>
      <c r="G223" s="777" t="s">
        <v>6486</v>
      </c>
      <c r="K223" s="741"/>
      <c r="L223" s="742"/>
      <c r="M223" s="741" t="s">
        <v>6464</v>
      </c>
      <c r="N223" s="742"/>
      <c r="O223" s="675"/>
      <c r="P223" s="675"/>
      <c r="R223" s="675"/>
      <c r="S223" s="675"/>
      <c r="T223" s="675"/>
    </row>
    <row r="224" spans="1:20">
      <c r="A224" s="711">
        <v>222</v>
      </c>
      <c r="B224" s="3226" t="s">
        <v>6487</v>
      </c>
      <c r="C224" s="3226"/>
      <c r="D224" s="778" t="s">
        <v>6488</v>
      </c>
      <c r="E224" s="712" t="s">
        <v>5705</v>
      </c>
      <c r="F224" s="714">
        <f>IFERROR(EDUA*4,0)</f>
        <v>0</v>
      </c>
      <c r="G224" s="779" t="s">
        <v>6489</v>
      </c>
      <c r="K224" s="741"/>
      <c r="L224" s="742"/>
      <c r="M224" s="741" t="s">
        <v>6464</v>
      </c>
      <c r="N224" s="742"/>
      <c r="O224" s="675"/>
      <c r="P224" s="675"/>
      <c r="R224" s="675"/>
      <c r="S224" s="675"/>
      <c r="T224" s="675"/>
    </row>
    <row r="225" spans="1:20" ht="33">
      <c r="A225" s="680">
        <v>223</v>
      </c>
      <c r="B225" s="3225" t="s">
        <v>6490</v>
      </c>
      <c r="C225" s="3225"/>
      <c r="D225" s="774" t="s">
        <v>6491</v>
      </c>
      <c r="E225" s="775" t="s">
        <v>5914</v>
      </c>
      <c r="F225" s="776">
        <f>IFERROR(EDUA*2+MAX(DEXA*2,APPA*2,STRA*2),0)</f>
        <v>0</v>
      </c>
      <c r="G225" s="777" t="s">
        <v>6492</v>
      </c>
      <c r="K225" s="741"/>
      <c r="L225" s="742"/>
      <c r="M225" s="741" t="s">
        <v>6464</v>
      </c>
      <c r="N225" s="742"/>
      <c r="O225" s="675"/>
      <c r="P225" s="675"/>
      <c r="R225" s="675"/>
      <c r="S225" s="675"/>
      <c r="T225" s="675"/>
    </row>
    <row r="226" spans="1:20">
      <c r="A226" s="711">
        <v>224</v>
      </c>
      <c r="B226" s="3226" t="s">
        <v>5676</v>
      </c>
      <c r="C226" s="3226"/>
      <c r="D226" s="778" t="s">
        <v>5683</v>
      </c>
      <c r="E226" s="712" t="s">
        <v>5976</v>
      </c>
      <c r="F226" s="714">
        <f>IFERROR(EDUA*2+MAX(DEXA*2,APPA*2),0)</f>
        <v>0</v>
      </c>
      <c r="G226" s="779" t="s">
        <v>6493</v>
      </c>
      <c r="K226" s="741"/>
      <c r="L226" s="742"/>
      <c r="M226" s="741" t="s">
        <v>6464</v>
      </c>
      <c r="N226" s="742"/>
      <c r="O226" s="675"/>
      <c r="P226" s="675"/>
      <c r="R226" s="675"/>
      <c r="S226" s="675"/>
      <c r="T226" s="675"/>
    </row>
    <row r="227" spans="1:20">
      <c r="A227" s="680">
        <v>225</v>
      </c>
      <c r="B227" s="3225" t="s">
        <v>6494</v>
      </c>
      <c r="C227" s="3225"/>
      <c r="D227" s="774" t="s">
        <v>5677</v>
      </c>
      <c r="E227" s="775" t="s">
        <v>5976</v>
      </c>
      <c r="F227" s="776">
        <f>IFERROR(EDUA*2+MAX(DEXA*2,APPA*2),0)</f>
        <v>0</v>
      </c>
      <c r="G227" s="777" t="s">
        <v>6495</v>
      </c>
      <c r="K227" s="741"/>
      <c r="L227" s="742"/>
      <c r="M227" s="741" t="s">
        <v>6464</v>
      </c>
      <c r="N227" s="742"/>
      <c r="O227" s="675"/>
      <c r="P227" s="675"/>
      <c r="R227" s="675"/>
      <c r="S227" s="675"/>
      <c r="T227" s="675"/>
    </row>
    <row r="228" spans="1:20">
      <c r="A228" s="711">
        <v>226</v>
      </c>
      <c r="B228" s="3226" t="s">
        <v>6496</v>
      </c>
      <c r="C228" s="3226"/>
      <c r="D228" s="778" t="s">
        <v>6120</v>
      </c>
      <c r="E228" s="712" t="s">
        <v>5800</v>
      </c>
      <c r="F228" s="714">
        <f>IFERROR(EDUA*2+STRA*2,0)</f>
        <v>0</v>
      </c>
      <c r="G228" s="779" t="s">
        <v>6497</v>
      </c>
      <c r="K228" s="741"/>
      <c r="L228" s="742"/>
      <c r="M228" s="741" t="s">
        <v>6464</v>
      </c>
      <c r="N228" s="742"/>
      <c r="O228" s="3224"/>
      <c r="P228" s="3224"/>
      <c r="Q228" s="3224"/>
      <c r="R228" s="675"/>
      <c r="S228" s="675"/>
      <c r="T228" s="675"/>
    </row>
    <row r="229" spans="1:20">
      <c r="A229" s="680">
        <v>227</v>
      </c>
      <c r="B229" s="3225" t="s">
        <v>6030</v>
      </c>
      <c r="C229" s="3225"/>
      <c r="D229" s="774" t="s">
        <v>6207</v>
      </c>
      <c r="E229" s="775" t="s">
        <v>5705</v>
      </c>
      <c r="F229" s="776">
        <f>IFERROR(EDUA*4,0)</f>
        <v>0</v>
      </c>
      <c r="G229" s="777" t="s">
        <v>6498</v>
      </c>
      <c r="K229" s="741"/>
      <c r="L229" s="742"/>
      <c r="M229" s="741" t="s">
        <v>6464</v>
      </c>
      <c r="N229" s="742"/>
      <c r="O229" s="3224"/>
      <c r="P229" s="3224"/>
      <c r="Q229" s="3224"/>
      <c r="R229" s="675"/>
      <c r="S229" s="675"/>
      <c r="T229" s="675"/>
    </row>
    <row r="230" spans="1:20">
      <c r="A230" s="711">
        <v>228</v>
      </c>
      <c r="B230" s="3226" t="s">
        <v>6499</v>
      </c>
      <c r="C230" s="3226"/>
      <c r="D230" s="778" t="s">
        <v>5704</v>
      </c>
      <c r="E230" s="712" t="s">
        <v>5705</v>
      </c>
      <c r="F230" s="714">
        <f>IFERROR(EDUA*4,0)</f>
        <v>0</v>
      </c>
      <c r="G230" s="779" t="s">
        <v>6500</v>
      </c>
      <c r="K230" s="741"/>
      <c r="L230" s="742"/>
      <c r="M230" s="741" t="s">
        <v>6464</v>
      </c>
      <c r="N230" s="742"/>
      <c r="O230" s="675"/>
      <c r="P230" s="675"/>
      <c r="R230" s="675"/>
      <c r="S230" s="675"/>
      <c r="T230" s="675"/>
    </row>
    <row r="231" spans="1:20">
      <c r="A231" s="680">
        <v>229</v>
      </c>
      <c r="B231" s="3225" t="s">
        <v>6501</v>
      </c>
      <c r="C231" s="3225"/>
      <c r="D231" s="774" t="s">
        <v>5677</v>
      </c>
      <c r="E231" s="775" t="s">
        <v>5727</v>
      </c>
      <c r="F231" s="776">
        <f>IFERROR(EDUA*2+MAX(STRA*2,DEXA*2),0)</f>
        <v>0</v>
      </c>
      <c r="G231" s="777" t="s">
        <v>6502</v>
      </c>
      <c r="K231" s="741"/>
      <c r="L231" s="742"/>
      <c r="M231" s="741" t="s">
        <v>6464</v>
      </c>
      <c r="N231" s="742"/>
      <c r="O231" s="675"/>
      <c r="P231" s="675"/>
      <c r="R231" s="675"/>
      <c r="S231" s="675"/>
      <c r="T231" s="675"/>
    </row>
    <row r="232" spans="1:20">
      <c r="A232" s="711">
        <v>230</v>
      </c>
      <c r="B232" s="3226" t="s">
        <v>6503</v>
      </c>
      <c r="C232" s="3226"/>
      <c r="D232" s="778" t="s">
        <v>5785</v>
      </c>
      <c r="E232" s="712" t="s">
        <v>5705</v>
      </c>
      <c r="F232" s="714">
        <f>IFERROR(EDUA*4,0)</f>
        <v>0</v>
      </c>
      <c r="G232" s="779" t="s">
        <v>6504</v>
      </c>
      <c r="K232" s="741"/>
      <c r="L232" s="742"/>
      <c r="M232" s="741" t="s">
        <v>6464</v>
      </c>
      <c r="N232" s="742"/>
      <c r="O232" s="675"/>
      <c r="P232" s="675"/>
      <c r="R232" s="675"/>
      <c r="S232" s="675"/>
      <c r="T232" s="675"/>
    </row>
    <row r="233" spans="1:20">
      <c r="A233" s="680">
        <v>231</v>
      </c>
      <c r="B233" s="3225" t="s">
        <v>6154</v>
      </c>
      <c r="C233" s="3225"/>
      <c r="D233" s="774" t="s">
        <v>5732</v>
      </c>
      <c r="E233" s="775" t="s">
        <v>5705</v>
      </c>
      <c r="F233" s="776">
        <f>IFERROR(EDUA*4,0)</f>
        <v>0</v>
      </c>
      <c r="G233" s="777" t="s">
        <v>6505</v>
      </c>
      <c r="K233" s="741"/>
      <c r="L233" s="742"/>
      <c r="M233" s="741" t="s">
        <v>6464</v>
      </c>
      <c r="N233" s="742"/>
      <c r="O233" s="675"/>
      <c r="P233" s="675"/>
      <c r="R233" s="675"/>
      <c r="S233" s="675"/>
      <c r="T233" s="675"/>
    </row>
    <row r="234" spans="1:20">
      <c r="A234" s="711">
        <v>232</v>
      </c>
      <c r="B234" s="3226" t="s">
        <v>6506</v>
      </c>
      <c r="C234" s="3226"/>
      <c r="D234" s="778" t="s">
        <v>6120</v>
      </c>
      <c r="E234" s="712" t="s">
        <v>5976</v>
      </c>
      <c r="F234" s="714">
        <f>IFERROR(EDUA*2+MAX(APPA*2,DEXA*2),0)</f>
        <v>0</v>
      </c>
      <c r="G234" s="779" t="s">
        <v>6507</v>
      </c>
      <c r="K234" s="741"/>
      <c r="L234" s="742"/>
      <c r="M234" s="741" t="s">
        <v>6464</v>
      </c>
      <c r="N234" s="742"/>
      <c r="O234" s="675"/>
      <c r="P234" s="675"/>
      <c r="R234" s="675"/>
      <c r="S234" s="675"/>
      <c r="T234" s="675"/>
    </row>
    <row r="235" spans="1:20">
      <c r="A235" s="680">
        <v>233</v>
      </c>
      <c r="B235" s="3225" t="s">
        <v>6508</v>
      </c>
      <c r="C235" s="3225"/>
      <c r="D235" s="774" t="s">
        <v>5677</v>
      </c>
      <c r="E235" s="775" t="s">
        <v>5976</v>
      </c>
      <c r="F235" s="776">
        <f>IFERROR(EDUA*2+MAX(APPA*2,DEXA*2),0)</f>
        <v>0</v>
      </c>
      <c r="G235" s="777" t="s">
        <v>6509</v>
      </c>
      <c r="K235" s="741"/>
      <c r="L235" s="742"/>
      <c r="M235" s="741" t="s">
        <v>6464</v>
      </c>
      <c r="N235" s="742"/>
      <c r="O235" s="675"/>
      <c r="P235" s="675"/>
      <c r="R235" s="675"/>
      <c r="S235" s="675"/>
      <c r="T235" s="675"/>
    </row>
    <row r="236" spans="1:20">
      <c r="A236" s="711">
        <v>234</v>
      </c>
      <c r="B236" s="3226" t="s">
        <v>6510</v>
      </c>
      <c r="C236" s="3226"/>
      <c r="D236" s="778" t="s">
        <v>5677</v>
      </c>
      <c r="E236" s="712" t="s">
        <v>5727</v>
      </c>
      <c r="F236" s="714">
        <f>IFERROR(EDUA*2+MAX(STRA*2,DEXA*2),0)</f>
        <v>0</v>
      </c>
      <c r="G236" s="779" t="s">
        <v>6511</v>
      </c>
      <c r="K236" s="741"/>
      <c r="L236" s="742"/>
      <c r="M236" s="741" t="s">
        <v>6464</v>
      </c>
      <c r="N236" s="742"/>
      <c r="O236" s="675"/>
      <c r="P236" s="675"/>
      <c r="R236" s="675"/>
      <c r="S236" s="675"/>
      <c r="T236" s="675"/>
    </row>
    <row r="237" spans="1:20">
      <c r="A237" s="680">
        <v>235</v>
      </c>
      <c r="B237" s="3227" t="s">
        <v>6512</v>
      </c>
      <c r="C237" s="3227"/>
      <c r="D237" s="780" t="s">
        <v>5704</v>
      </c>
      <c r="E237" s="781" t="s">
        <v>5976</v>
      </c>
      <c r="F237" s="782">
        <f>IFERROR(EDUA*2+MAX(APPA*2,DEXA*2),0)</f>
        <v>0</v>
      </c>
      <c r="G237" s="783" t="s">
        <v>6513</v>
      </c>
      <c r="K237" s="741"/>
      <c r="L237" s="742"/>
      <c r="M237" s="741" t="s">
        <v>6464</v>
      </c>
      <c r="N237" s="742"/>
      <c r="O237" s="675"/>
      <c r="P237" s="675"/>
      <c r="R237" s="675"/>
      <c r="S237" s="675"/>
      <c r="T237" s="675"/>
    </row>
    <row r="238" spans="1:20">
      <c r="A238" s="784"/>
      <c r="B238" s="3216"/>
      <c r="C238" s="3216"/>
      <c r="D238" s="784"/>
      <c r="E238" s="786"/>
      <c r="F238" s="784"/>
      <c r="G238" s="785"/>
      <c r="H238" s="787"/>
      <c r="I238" s="788"/>
      <c r="J238" s="788"/>
      <c r="K238" s="789"/>
      <c r="L238" s="742"/>
      <c r="M238" s="741"/>
      <c r="N238" s="742"/>
      <c r="O238" s="675"/>
      <c r="P238" s="675"/>
      <c r="R238" s="675"/>
      <c r="S238" s="675"/>
      <c r="T238" s="675"/>
    </row>
    <row r="239" spans="1:20">
      <c r="A239" s="675"/>
      <c r="B239" s="3217"/>
      <c r="C239" s="3217"/>
      <c r="D239" s="784"/>
      <c r="E239" s="788"/>
      <c r="F239" s="675"/>
      <c r="G239" s="787"/>
      <c r="H239" s="787"/>
      <c r="I239" s="788"/>
      <c r="J239" s="788"/>
      <c r="K239" s="789"/>
      <c r="L239" s="742"/>
      <c r="M239" s="741"/>
      <c r="N239" s="742"/>
      <c r="O239" s="675"/>
      <c r="P239" s="675"/>
      <c r="R239" s="675"/>
      <c r="S239" s="675"/>
      <c r="T239" s="675"/>
    </row>
    <row r="240" spans="1:20">
      <c r="A240" s="675"/>
      <c r="B240" s="3217"/>
      <c r="C240" s="3217"/>
      <c r="D240" s="675"/>
      <c r="E240" s="788"/>
      <c r="F240" s="675"/>
      <c r="G240" s="790"/>
      <c r="H240" s="787"/>
      <c r="I240" s="788"/>
      <c r="J240" s="788"/>
      <c r="K240" s="789"/>
      <c r="L240" s="742"/>
      <c r="M240" s="741"/>
      <c r="N240" s="742"/>
      <c r="O240" s="675"/>
      <c r="P240" s="675"/>
      <c r="R240" s="675"/>
      <c r="S240" s="675"/>
      <c r="T240" s="675"/>
    </row>
    <row r="241" spans="1:20">
      <c r="A241" s="675"/>
      <c r="B241" s="3217"/>
      <c r="C241" s="3217"/>
      <c r="D241" s="784"/>
      <c r="E241" s="788"/>
      <c r="F241" s="675"/>
      <c r="G241" s="787"/>
      <c r="H241" s="787"/>
      <c r="I241" s="788"/>
      <c r="J241" s="788"/>
      <c r="K241" s="789"/>
      <c r="L241" s="742"/>
      <c r="M241" s="741"/>
      <c r="N241" s="742"/>
      <c r="O241" s="675"/>
      <c r="P241" s="675"/>
      <c r="R241" s="675"/>
      <c r="S241" s="675"/>
      <c r="T241" s="675"/>
    </row>
    <row r="242" spans="1:20">
      <c r="A242" s="675"/>
      <c r="B242" s="3217"/>
      <c r="C242" s="3217"/>
      <c r="D242" s="675"/>
      <c r="E242" s="788"/>
      <c r="F242" s="675"/>
      <c r="G242" s="790"/>
      <c r="H242" s="787"/>
      <c r="I242" s="788"/>
      <c r="J242" s="788"/>
      <c r="K242" s="789"/>
      <c r="L242" s="742"/>
      <c r="M242" s="741"/>
      <c r="N242" s="742"/>
      <c r="O242" s="675"/>
      <c r="P242" s="675"/>
      <c r="R242" s="675"/>
      <c r="S242" s="675"/>
      <c r="T242" s="675"/>
    </row>
    <row r="243" spans="1:20">
      <c r="A243" s="788"/>
      <c r="B243" s="787"/>
      <c r="C243" s="787"/>
      <c r="D243" s="786"/>
      <c r="E243" s="788"/>
      <c r="F243" s="788"/>
      <c r="G243" s="788"/>
      <c r="H243" s="787"/>
      <c r="I243" s="788"/>
      <c r="J243" s="788"/>
      <c r="K243" s="791"/>
      <c r="L243" s="742"/>
      <c r="M243" s="742"/>
      <c r="N243" s="742"/>
      <c r="O243" s="675"/>
      <c r="P243" s="675"/>
      <c r="R243" s="675"/>
      <c r="S243" s="675"/>
      <c r="T243" s="675"/>
    </row>
    <row r="244" spans="1:20">
      <c r="A244" s="788"/>
      <c r="B244" s="787"/>
      <c r="C244" s="787"/>
      <c r="D244" s="786"/>
      <c r="E244" s="788"/>
      <c r="F244" s="788"/>
      <c r="G244" s="788"/>
      <c r="H244" s="787"/>
      <c r="I244" s="788"/>
      <c r="J244" s="788"/>
      <c r="K244" s="791"/>
      <c r="L244" s="742"/>
      <c r="M244" s="742"/>
      <c r="N244" s="742"/>
      <c r="O244" s="675"/>
      <c r="P244" s="675"/>
      <c r="R244" s="675"/>
      <c r="S244" s="675"/>
      <c r="T244" s="675"/>
    </row>
    <row r="245" spans="1:20">
      <c r="A245" s="788"/>
      <c r="B245" s="787"/>
      <c r="C245" s="787"/>
      <c r="D245" s="786"/>
      <c r="E245" s="788"/>
      <c r="F245" s="788"/>
      <c r="G245" s="788"/>
      <c r="H245" s="787"/>
      <c r="I245" s="788"/>
      <c r="J245" s="788"/>
      <c r="K245" s="791"/>
      <c r="L245" s="742"/>
      <c r="M245" s="742"/>
      <c r="N245" s="742"/>
      <c r="O245" s="675"/>
      <c r="P245" s="675"/>
      <c r="R245" s="675"/>
      <c r="S245" s="675"/>
      <c r="T245" s="675"/>
    </row>
    <row r="246" spans="1:20">
      <c r="A246" s="788"/>
      <c r="B246" s="787"/>
      <c r="C246" s="787"/>
      <c r="D246" s="786"/>
      <c r="E246" s="788"/>
      <c r="F246" s="788"/>
      <c r="G246" s="788"/>
      <c r="H246" s="787"/>
      <c r="I246" s="788"/>
      <c r="J246" s="788"/>
      <c r="K246" s="791"/>
      <c r="L246" s="742"/>
      <c r="M246" s="742"/>
      <c r="N246" s="742"/>
      <c r="O246" s="675"/>
      <c r="P246" s="675"/>
      <c r="R246" s="675"/>
      <c r="S246" s="675"/>
      <c r="T246" s="675"/>
    </row>
    <row r="247" spans="1:20">
      <c r="K247" s="791"/>
      <c r="L247" s="742"/>
      <c r="M247" s="742"/>
      <c r="N247" s="742"/>
      <c r="O247" s="675"/>
      <c r="P247" s="675"/>
      <c r="R247" s="675"/>
      <c r="S247" s="675"/>
      <c r="T247" s="675"/>
    </row>
    <row r="248" spans="1:20">
      <c r="K248" s="791"/>
      <c r="L248" s="742"/>
      <c r="M248" s="742"/>
      <c r="N248" s="742"/>
      <c r="O248" s="675"/>
      <c r="P248" s="675"/>
      <c r="R248" s="675"/>
      <c r="S248" s="675"/>
      <c r="T248" s="675"/>
    </row>
    <row r="249" spans="1:20">
      <c r="K249" s="791"/>
      <c r="L249" s="742"/>
      <c r="M249" s="742"/>
      <c r="N249" s="742"/>
      <c r="O249" s="675"/>
      <c r="P249" s="675"/>
      <c r="R249" s="675"/>
      <c r="S249" s="675"/>
      <c r="T249" s="675"/>
    </row>
    <row r="250" spans="1:20">
      <c r="K250" s="791"/>
      <c r="L250" s="742"/>
      <c r="M250" s="742"/>
      <c r="N250" s="742"/>
      <c r="O250" s="675"/>
      <c r="P250" s="675"/>
      <c r="R250" s="675"/>
      <c r="S250" s="675"/>
      <c r="T250" s="675"/>
    </row>
    <row r="251" spans="1:20">
      <c r="K251" s="791"/>
      <c r="L251" s="742"/>
      <c r="M251" s="742"/>
      <c r="N251" s="742"/>
      <c r="O251" s="675"/>
      <c r="P251" s="675"/>
      <c r="R251" s="675"/>
      <c r="S251" s="675"/>
      <c r="T251" s="675"/>
    </row>
    <row r="252" spans="1:20">
      <c r="K252" s="791"/>
      <c r="L252" s="742"/>
      <c r="M252" s="742"/>
      <c r="N252" s="742"/>
      <c r="O252" s="675"/>
      <c r="P252" s="675"/>
      <c r="R252" s="675"/>
      <c r="S252" s="675"/>
      <c r="T252" s="675"/>
    </row>
    <row r="253" spans="1:20">
      <c r="K253" s="791"/>
      <c r="L253" s="742"/>
      <c r="M253" s="742"/>
      <c r="N253" s="742"/>
      <c r="O253" s="675"/>
      <c r="P253" s="675"/>
      <c r="R253" s="675"/>
      <c r="S253" s="675"/>
      <c r="T253" s="675"/>
    </row>
    <row r="254" spans="1:20">
      <c r="K254" s="791"/>
      <c r="L254" s="742"/>
      <c r="M254" s="742"/>
      <c r="N254" s="742"/>
      <c r="O254" s="675"/>
      <c r="P254" s="675"/>
      <c r="R254" s="675"/>
      <c r="S254" s="675"/>
      <c r="T254" s="675"/>
    </row>
    <row r="255" spans="1:20">
      <c r="K255" s="791"/>
      <c r="L255" s="742"/>
      <c r="M255" s="742"/>
      <c r="N255" s="742"/>
      <c r="O255" s="675"/>
      <c r="P255" s="675"/>
      <c r="R255" s="675"/>
      <c r="S255" s="675"/>
      <c r="T255" s="675"/>
    </row>
    <row r="256" spans="1:20">
      <c r="K256" s="791"/>
      <c r="L256" s="742"/>
      <c r="M256" s="742"/>
      <c r="N256" s="742"/>
      <c r="O256" s="675"/>
      <c r="P256" s="675"/>
      <c r="R256" s="675"/>
      <c r="S256" s="675"/>
      <c r="T256" s="675"/>
    </row>
    <row r="257" spans="11:20">
      <c r="K257" s="791"/>
      <c r="L257" s="742"/>
      <c r="M257" s="742"/>
      <c r="N257" s="742"/>
      <c r="O257" s="675"/>
      <c r="P257" s="675"/>
      <c r="R257" s="675"/>
      <c r="S257" s="675"/>
      <c r="T257" s="675"/>
    </row>
    <row r="258" spans="11:20">
      <c r="K258" s="791"/>
      <c r="L258" s="742"/>
      <c r="M258" s="742"/>
      <c r="N258" s="742"/>
      <c r="O258" s="675"/>
      <c r="P258" s="675"/>
      <c r="R258" s="675"/>
      <c r="S258" s="675"/>
      <c r="T258" s="675"/>
    </row>
    <row r="259" spans="11:20">
      <c r="K259" s="791"/>
      <c r="L259" s="742"/>
      <c r="M259" s="742"/>
      <c r="N259" s="742"/>
      <c r="O259" s="675"/>
      <c r="P259" s="675"/>
      <c r="R259" s="675"/>
      <c r="S259" s="675"/>
      <c r="T259" s="675"/>
    </row>
    <row r="260" spans="11:20">
      <c r="K260" s="791"/>
      <c r="L260" s="742"/>
      <c r="M260" s="742"/>
      <c r="N260" s="742"/>
      <c r="O260" s="675"/>
      <c r="P260" s="675"/>
      <c r="R260" s="675"/>
      <c r="S260" s="675"/>
      <c r="T260" s="675"/>
    </row>
    <row r="261" spans="11:20">
      <c r="K261" s="791"/>
      <c r="L261" s="742"/>
      <c r="M261" s="742"/>
      <c r="N261" s="742"/>
      <c r="O261" s="675"/>
      <c r="P261" s="675"/>
      <c r="R261" s="675"/>
      <c r="S261" s="675"/>
      <c r="T261" s="675"/>
    </row>
    <row r="262" spans="11:20">
      <c r="K262" s="791"/>
      <c r="L262" s="742"/>
      <c r="M262" s="742"/>
      <c r="N262" s="742"/>
      <c r="O262" s="675"/>
      <c r="P262" s="675"/>
      <c r="R262" s="675"/>
      <c r="S262" s="675"/>
      <c r="T262" s="675"/>
    </row>
    <row r="263" spans="11:20">
      <c r="K263" s="791"/>
      <c r="L263" s="742"/>
      <c r="M263" s="742"/>
      <c r="N263" s="742"/>
      <c r="O263" s="675"/>
      <c r="P263" s="675"/>
      <c r="R263" s="675"/>
      <c r="S263" s="675"/>
      <c r="T263" s="675"/>
    </row>
    <row r="264" spans="11:20">
      <c r="K264" s="791"/>
      <c r="L264" s="742"/>
      <c r="M264" s="742"/>
      <c r="N264" s="742"/>
      <c r="O264" s="675"/>
      <c r="P264" s="675"/>
      <c r="R264" s="675"/>
      <c r="S264" s="675"/>
      <c r="T264" s="675"/>
    </row>
    <row r="265" spans="11:20">
      <c r="K265" s="791"/>
      <c r="L265" s="742"/>
      <c r="M265" s="742"/>
      <c r="N265" s="742"/>
      <c r="O265" s="675"/>
      <c r="P265" s="675"/>
      <c r="R265" s="675"/>
      <c r="S265" s="675"/>
      <c r="T265" s="675"/>
    </row>
    <row r="266" spans="11:20">
      <c r="K266" s="791"/>
      <c r="L266" s="742"/>
      <c r="M266" s="742"/>
      <c r="N266" s="742"/>
      <c r="O266" s="675"/>
      <c r="P266" s="675"/>
      <c r="R266" s="675"/>
      <c r="S266" s="675"/>
      <c r="T266" s="675"/>
    </row>
    <row r="267" spans="11:20">
      <c r="K267" s="791"/>
      <c r="L267" s="742"/>
      <c r="M267" s="742"/>
      <c r="N267" s="742"/>
      <c r="O267" s="675"/>
      <c r="P267" s="675"/>
      <c r="R267" s="675"/>
      <c r="S267" s="675"/>
      <c r="T267" s="675"/>
    </row>
    <row r="268" spans="11:20">
      <c r="K268" s="791"/>
      <c r="L268" s="742"/>
      <c r="M268" s="742"/>
      <c r="N268" s="742"/>
      <c r="O268" s="675"/>
      <c r="P268" s="675"/>
      <c r="R268" s="675"/>
      <c r="S268" s="675"/>
      <c r="T268" s="675"/>
    </row>
    <row r="269" spans="11:20">
      <c r="K269" s="791"/>
      <c r="L269" s="742"/>
      <c r="M269" s="742"/>
      <c r="N269" s="742"/>
      <c r="O269" s="675"/>
      <c r="P269" s="675"/>
      <c r="R269" s="675"/>
      <c r="S269" s="675"/>
      <c r="T269" s="675"/>
    </row>
    <row r="270" spans="11:20">
      <c r="K270" s="791"/>
      <c r="L270" s="742"/>
      <c r="M270" s="742"/>
      <c r="N270" s="742"/>
      <c r="O270" s="675"/>
      <c r="P270" s="675"/>
      <c r="R270" s="675"/>
      <c r="S270" s="675"/>
      <c r="T270" s="675"/>
    </row>
    <row r="271" spans="11:20">
      <c r="K271" s="791"/>
      <c r="L271" s="742"/>
      <c r="M271" s="742"/>
      <c r="N271" s="742"/>
      <c r="O271" s="675"/>
      <c r="P271" s="675"/>
      <c r="R271" s="675"/>
      <c r="S271" s="675"/>
      <c r="T271" s="675"/>
    </row>
    <row r="272" spans="11:20">
      <c r="K272" s="791"/>
      <c r="L272" s="742"/>
      <c r="M272" s="742"/>
      <c r="N272" s="742"/>
      <c r="O272" s="675"/>
      <c r="P272" s="675"/>
      <c r="R272" s="675"/>
      <c r="S272" s="675"/>
      <c r="T272" s="675"/>
    </row>
    <row r="273" spans="11:20">
      <c r="K273" s="791"/>
      <c r="L273" s="742"/>
      <c r="M273" s="742"/>
      <c r="N273" s="742"/>
      <c r="O273" s="675"/>
      <c r="P273" s="675"/>
      <c r="R273" s="675"/>
      <c r="S273" s="675"/>
      <c r="T273" s="675"/>
    </row>
    <row r="274" spans="11:20">
      <c r="K274" s="791"/>
      <c r="L274" s="742"/>
      <c r="M274" s="742"/>
      <c r="N274" s="742"/>
      <c r="O274" s="675"/>
      <c r="P274" s="675"/>
      <c r="R274" s="675"/>
      <c r="S274" s="675"/>
      <c r="T274" s="675"/>
    </row>
    <row r="275" spans="11:20">
      <c r="K275" s="791"/>
      <c r="L275" s="742"/>
      <c r="M275" s="742"/>
      <c r="N275" s="742"/>
      <c r="O275" s="675"/>
      <c r="P275" s="675"/>
      <c r="R275" s="675"/>
      <c r="S275" s="675"/>
      <c r="T275" s="675"/>
    </row>
    <row r="276" spans="11:20">
      <c r="K276" s="791"/>
      <c r="L276" s="742"/>
      <c r="M276" s="742"/>
      <c r="N276" s="742"/>
      <c r="O276" s="675"/>
      <c r="P276" s="675"/>
      <c r="R276" s="675"/>
      <c r="S276" s="675"/>
      <c r="T276" s="675"/>
    </row>
    <row r="277" spans="11:20">
      <c r="K277" s="791"/>
      <c r="L277" s="742"/>
      <c r="M277" s="742"/>
      <c r="N277" s="742"/>
      <c r="O277" s="675"/>
      <c r="P277" s="675"/>
      <c r="R277" s="675"/>
      <c r="S277" s="675"/>
      <c r="T277" s="675"/>
    </row>
    <row r="278" spans="11:20">
      <c r="K278" s="791"/>
      <c r="L278" s="742"/>
      <c r="M278" s="742"/>
      <c r="N278" s="742"/>
      <c r="O278" s="675"/>
      <c r="P278" s="675"/>
      <c r="R278" s="675"/>
      <c r="S278" s="675"/>
      <c r="T278" s="675"/>
    </row>
    <row r="279" spans="11:20">
      <c r="K279" s="791"/>
      <c r="L279" s="742"/>
      <c r="M279" s="742"/>
      <c r="N279" s="742"/>
      <c r="O279" s="675"/>
      <c r="P279" s="675"/>
      <c r="R279" s="675"/>
      <c r="S279" s="675"/>
      <c r="T279" s="675"/>
    </row>
    <row r="280" spans="11:20">
      <c r="K280" s="791"/>
      <c r="L280" s="742"/>
      <c r="M280" s="742"/>
      <c r="N280" s="742"/>
      <c r="O280" s="675"/>
      <c r="P280" s="675"/>
      <c r="R280" s="675"/>
      <c r="S280" s="675"/>
      <c r="T280" s="675"/>
    </row>
    <row r="281" spans="11:20">
      <c r="K281" s="791"/>
      <c r="L281" s="742"/>
      <c r="M281" s="742"/>
      <c r="N281" s="742"/>
      <c r="O281" s="675"/>
      <c r="P281" s="675"/>
      <c r="R281" s="675"/>
      <c r="S281" s="675"/>
      <c r="T281" s="675"/>
    </row>
    <row r="282" spans="11:20">
      <c r="K282" s="791"/>
      <c r="L282" s="742"/>
      <c r="M282" s="742"/>
      <c r="N282" s="742"/>
      <c r="O282" s="675"/>
      <c r="P282" s="675"/>
      <c r="R282" s="675"/>
      <c r="S282" s="675"/>
      <c r="T282" s="675"/>
    </row>
    <row r="283" spans="11:20">
      <c r="K283" s="791"/>
      <c r="L283" s="742"/>
      <c r="M283" s="742"/>
      <c r="N283" s="742"/>
      <c r="O283" s="675"/>
      <c r="P283" s="675"/>
      <c r="R283" s="675"/>
      <c r="S283" s="675"/>
      <c r="T283" s="675"/>
    </row>
    <row r="284" spans="11:20">
      <c r="K284" s="791"/>
      <c r="L284" s="742"/>
      <c r="M284" s="742"/>
      <c r="N284" s="742"/>
      <c r="O284" s="675"/>
      <c r="P284" s="675"/>
      <c r="R284" s="675"/>
      <c r="S284" s="675"/>
      <c r="T284" s="675"/>
    </row>
    <row r="285" spans="11:20">
      <c r="K285" s="791"/>
      <c r="L285" s="742"/>
      <c r="M285" s="742"/>
      <c r="N285" s="742"/>
      <c r="O285" s="675"/>
      <c r="P285" s="675"/>
      <c r="R285" s="675"/>
      <c r="S285" s="675"/>
      <c r="T285" s="675"/>
    </row>
    <row r="286" spans="11:20">
      <c r="K286" s="791"/>
      <c r="L286" s="742"/>
      <c r="M286" s="742"/>
      <c r="N286" s="742"/>
      <c r="O286" s="675"/>
      <c r="P286" s="675"/>
      <c r="R286" s="675"/>
      <c r="S286" s="675"/>
      <c r="T286" s="675"/>
    </row>
    <row r="287" spans="11:20">
      <c r="K287" s="791"/>
      <c r="L287" s="742"/>
      <c r="M287" s="742"/>
      <c r="N287" s="742"/>
      <c r="O287" s="675"/>
      <c r="P287" s="675"/>
      <c r="R287" s="675"/>
      <c r="S287" s="675"/>
      <c r="T287" s="675"/>
    </row>
    <row r="288" spans="11:20">
      <c r="K288" s="791"/>
      <c r="L288" s="742"/>
      <c r="M288" s="742"/>
      <c r="N288" s="742"/>
      <c r="O288" s="675"/>
      <c r="P288" s="675"/>
      <c r="R288" s="675"/>
      <c r="S288" s="675"/>
      <c r="T288" s="675"/>
    </row>
    <row r="289" spans="11:20">
      <c r="K289" s="791"/>
      <c r="L289" s="742"/>
      <c r="M289" s="742"/>
      <c r="N289" s="742"/>
      <c r="O289" s="675"/>
      <c r="P289" s="675"/>
      <c r="R289" s="675"/>
      <c r="S289" s="675"/>
      <c r="T289" s="675"/>
    </row>
  </sheetData>
  <mergeCells count="405">
    <mergeCell ref="B1:C1"/>
    <mergeCell ref="K1:L1"/>
    <mergeCell ref="M1:N1"/>
    <mergeCell ref="B2:G2"/>
    <mergeCell ref="I2:J2"/>
    <mergeCell ref="I3:J3"/>
    <mergeCell ref="K3:L3"/>
    <mergeCell ref="B4:C4"/>
    <mergeCell ref="I4:J4"/>
    <mergeCell ref="K4:L4"/>
    <mergeCell ref="M4:N4"/>
    <mergeCell ref="B5:C5"/>
    <mergeCell ref="I5:J5"/>
    <mergeCell ref="K5:L5"/>
    <mergeCell ref="M5:N5"/>
    <mergeCell ref="B6:C6"/>
    <mergeCell ref="I6:J6"/>
    <mergeCell ref="K6:L6"/>
    <mergeCell ref="M6:N6"/>
    <mergeCell ref="B7:C7"/>
    <mergeCell ref="I7:J7"/>
    <mergeCell ref="K7:L7"/>
    <mergeCell ref="M7:N7"/>
    <mergeCell ref="B8:C8"/>
    <mergeCell ref="K8:L8"/>
    <mergeCell ref="M8:N8"/>
    <mergeCell ref="B9:C9"/>
    <mergeCell ref="I9:J9"/>
    <mergeCell ref="K9:L9"/>
    <mergeCell ref="B10:C10"/>
    <mergeCell ref="I10:J10"/>
    <mergeCell ref="K10:L10"/>
    <mergeCell ref="B11:C11"/>
    <mergeCell ref="I11:J11"/>
    <mergeCell ref="K11:L11"/>
    <mergeCell ref="B12:C12"/>
    <mergeCell ref="K12:L12"/>
    <mergeCell ref="B13:C13"/>
    <mergeCell ref="K13:L13"/>
    <mergeCell ref="B14:C14"/>
    <mergeCell ref="K14:L14"/>
    <mergeCell ref="B15:C15"/>
    <mergeCell ref="K15:L15"/>
    <mergeCell ref="B16:C16"/>
    <mergeCell ref="K16:L16"/>
    <mergeCell ref="B17:C17"/>
    <mergeCell ref="K17:L17"/>
    <mergeCell ref="B18:C18"/>
    <mergeCell ref="H18:J18"/>
    <mergeCell ref="K18:L18"/>
    <mergeCell ref="B19:C19"/>
    <mergeCell ref="K19:L19"/>
    <mergeCell ref="B20:C20"/>
    <mergeCell ref="K20:L20"/>
    <mergeCell ref="B21:C21"/>
    <mergeCell ref="K21:L21"/>
    <mergeCell ref="B22:C22"/>
    <mergeCell ref="K22:L22"/>
    <mergeCell ref="B23:C23"/>
    <mergeCell ref="K23:L23"/>
    <mergeCell ref="B24:C24"/>
    <mergeCell ref="K24:L24"/>
    <mergeCell ref="B25:C25"/>
    <mergeCell ref="K25:L25"/>
    <mergeCell ref="B26:C26"/>
    <mergeCell ref="K26:L26"/>
    <mergeCell ref="B27:C27"/>
    <mergeCell ref="K27:L27"/>
    <mergeCell ref="B28:C28"/>
    <mergeCell ref="K28:L28"/>
    <mergeCell ref="B29:C29"/>
    <mergeCell ref="H29:J29"/>
    <mergeCell ref="B30:C30"/>
    <mergeCell ref="H30:J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K118:L118"/>
    <mergeCell ref="B119:C119"/>
    <mergeCell ref="K119:L119"/>
    <mergeCell ref="B120:C120"/>
    <mergeCell ref="K120:L120"/>
    <mergeCell ref="B121:C121"/>
    <mergeCell ref="K121:L121"/>
    <mergeCell ref="B122:C122"/>
    <mergeCell ref="K122:L122"/>
    <mergeCell ref="B123:C123"/>
    <mergeCell ref="B124:C124"/>
    <mergeCell ref="B125:C125"/>
    <mergeCell ref="B126:C126"/>
    <mergeCell ref="B127:C127"/>
    <mergeCell ref="B128:C128"/>
    <mergeCell ref="B129:C129"/>
    <mergeCell ref="H129:I129"/>
    <mergeCell ref="B130:C130"/>
    <mergeCell ref="H130:I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O162:P162"/>
    <mergeCell ref="B163:C163"/>
    <mergeCell ref="O163:P163"/>
    <mergeCell ref="B164:C164"/>
    <mergeCell ref="O164:P164"/>
    <mergeCell ref="B165:C165"/>
    <mergeCell ref="O165:P165"/>
    <mergeCell ref="B166:C166"/>
    <mergeCell ref="O166:P166"/>
    <mergeCell ref="B167:C167"/>
    <mergeCell ref="O167:P167"/>
    <mergeCell ref="B168:C168"/>
    <mergeCell ref="O168:P168"/>
    <mergeCell ref="B169:C169"/>
    <mergeCell ref="O169:P169"/>
    <mergeCell ref="B170:C170"/>
    <mergeCell ref="H170:I170"/>
    <mergeCell ref="O170:P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H183:I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H218:I218"/>
    <mergeCell ref="B219:C219"/>
    <mergeCell ref="H219:I219"/>
    <mergeCell ref="B237:C237"/>
    <mergeCell ref="B220:C220"/>
    <mergeCell ref="B221:C221"/>
    <mergeCell ref="B222:C222"/>
    <mergeCell ref="B223:C223"/>
    <mergeCell ref="B224:C224"/>
    <mergeCell ref="B225:C225"/>
    <mergeCell ref="B226:C226"/>
    <mergeCell ref="B227:C227"/>
    <mergeCell ref="B228:C228"/>
    <mergeCell ref="B238:C238"/>
    <mergeCell ref="B239:C239"/>
    <mergeCell ref="B240:C240"/>
    <mergeCell ref="B241:C241"/>
    <mergeCell ref="B242:C242"/>
    <mergeCell ref="H2:H12"/>
    <mergeCell ref="O174:Q175"/>
    <mergeCell ref="H123:I128"/>
    <mergeCell ref="H164:I169"/>
    <mergeCell ref="O171:Q173"/>
    <mergeCell ref="O176:Q177"/>
    <mergeCell ref="H177:I182"/>
    <mergeCell ref="O181:Q184"/>
    <mergeCell ref="H185:I188"/>
    <mergeCell ref="H212:I217"/>
    <mergeCell ref="O228:Q229"/>
    <mergeCell ref="B229:C229"/>
    <mergeCell ref="B230:C230"/>
    <mergeCell ref="B231:C231"/>
    <mergeCell ref="B232:C232"/>
    <mergeCell ref="B233:C233"/>
    <mergeCell ref="B234:C234"/>
    <mergeCell ref="B235:C235"/>
    <mergeCell ref="B236:C236"/>
  </mergeCells>
  <phoneticPr fontId="282" type="noConversion"/>
  <conditionalFormatting sqref="I12:J12">
    <cfRule type="expression" dxfId="17" priority="14">
      <formula>"人物卡!$F$5=1"</formula>
    </cfRule>
  </conditionalFormatting>
  <conditionalFormatting sqref="I20">
    <cfRule type="expression" dxfId="16" priority="12">
      <formula>"人物卡!$F$5=1"</formula>
    </cfRule>
  </conditionalFormatting>
  <conditionalFormatting sqref="J20">
    <cfRule type="expression" dxfId="15" priority="10">
      <formula>"人物卡!$F$5=1"</formula>
    </cfRule>
  </conditionalFormatting>
  <conditionalFormatting sqref="J21">
    <cfRule type="expression" dxfId="14" priority="9">
      <formula>"人物卡!$F$5=1"</formula>
    </cfRule>
  </conditionalFormatting>
  <conditionalFormatting sqref="J22">
    <cfRule type="expression" dxfId="13" priority="8">
      <formula>"人物卡!$F$5=1"</formula>
    </cfRule>
  </conditionalFormatting>
  <conditionalFormatting sqref="J23">
    <cfRule type="expression" dxfId="12" priority="7">
      <formula>"人物卡!$F$5=1"</formula>
    </cfRule>
  </conditionalFormatting>
  <conditionalFormatting sqref="J24">
    <cfRule type="expression" dxfId="11" priority="6">
      <formula>"人物卡!$F$5=1"</formula>
    </cfRule>
  </conditionalFormatting>
  <conditionalFormatting sqref="J25">
    <cfRule type="expression" dxfId="10" priority="5">
      <formula>"人物卡!$F$5=1"</formula>
    </cfRule>
  </conditionalFormatting>
  <conditionalFormatting sqref="H26">
    <cfRule type="expression" dxfId="9" priority="13">
      <formula>"人物卡!$F$5=1"</formula>
    </cfRule>
  </conditionalFormatting>
  <conditionalFormatting sqref="J26">
    <cfRule type="expression" dxfId="8" priority="11">
      <formula>"人物卡!$F$5=1"</formula>
    </cfRule>
  </conditionalFormatting>
  <conditionalFormatting sqref="J27">
    <cfRule type="expression" dxfId="7" priority="4">
      <formula>"人物卡!$F$5=1"</formula>
    </cfRule>
  </conditionalFormatting>
  <conditionalFormatting sqref="H28">
    <cfRule type="expression" dxfId="6" priority="3">
      <formula>"人物卡!$F$5=1"</formula>
    </cfRule>
  </conditionalFormatting>
  <conditionalFormatting sqref="I28">
    <cfRule type="expression" dxfId="5" priority="2">
      <formula>"人物卡!$F$5=1"</formula>
    </cfRule>
  </conditionalFormatting>
  <conditionalFormatting sqref="J28">
    <cfRule type="expression" dxfId="4" priority="1">
      <formula>"人物卡!$F$5=1"</formula>
    </cfRule>
  </conditionalFormatting>
  <conditionalFormatting sqref="I2:J3 I4:I8 I9:J11">
    <cfRule type="expression" dxfId="3" priority="16">
      <formula>"人物卡!$F$5=1"</formula>
    </cfRule>
  </conditionalFormatting>
  <conditionalFormatting sqref="H27 H18 H20:H25 I21:I27">
    <cfRule type="expression" dxfId="2" priority="15">
      <formula>"人物卡!$F$5=1"</formula>
    </cfRule>
  </conditionalFormatting>
  <dataValidations count="148">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400-000000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400-000001000000}"/>
    <dataValidation allowBlank="1" showInputMessage="1" showErrorMessage="1" promptTitle="私家侦探" prompt="“世界上没有难解的谜，只有还没解开的谜。”_x000a_“当你排除了所有不可能的情况，剩下的，无论多么难以置信，也一定是真相。”_x000a_“一个伟大的侦探必须有一种超常的、对细节的洞察力。”_x000a_“在侦探工作中，最重要的不是知道什么，而是能够推断出什么。”_x000a_“对于一个伟大人物来说，任何事物都不是微不足道的。”_x000a_欲行侦探之道，必先牢记于心¬_x000a__x000a_" sqref="B4:C4" xr:uid="{00000000-0002-0000-0400-000002000000}"/>
    <dataValidation allowBlank="1" showInputMessage="1" showErrorMessage="1" promptTitle="现实派作家" prompt="躬体力行，行胜于言_x000a_巨细靡遗，纤毫毕现_x000a_匠心独运，天道酬勤_x000a_记录创造意义，传承方成颂歌_x000a_" sqref="B5:C5" xr:uid="{00000000-0002-0000-0400-000003000000}"/>
    <dataValidation allowBlank="1" showInputMessage="1" showErrorMessage="1" promptTitle="超心理学者" prompt="万物始于自然_x000a_自然衍生万物_x000a_超心理学者并非全盘接受，也不应任意否定_x000a_“超”仅在于意识形态_x000a_而并非自身地位_x000a_超心理也是科学_x000a_自然有学者研究_x000a_" sqref="B6:C6" xr:uid="{00000000-0002-0000-0400-000004000000}"/>
    <dataValidation allowBlank="1" showInputMessage="1" showErrorMessage="1" promptTitle="动物行为家" prompt="弱肉强食，自然界的竞争无处不在，而人类社会又何尝不是？_x000a_作为一名动物行为学家，接近大自然以争取与动物的交流是天生的职责_x000a_古怪点？没事的，毕竟相对于人猿，你更明白如何与其余物种交流_x000a_" sqref="B7:C7" xr:uid="{00000000-0002-0000-0400-000005000000}"/>
    <dataValidation allowBlank="1" showInputMessage="1" showErrorMessage="1" promptTitle="武学者" prompt="武德比山重，名利草芥轻_x000a_心正则拳正，心邪则拳邪_x000a_武道贵乎精纯，不贵乎驳杂_x000a_武人相敬相倾，切磋琢磨共提升_x000a_作为一名武者，品性本当如此，但社会千变万化，时有人走火入魔，或追名逐利，或嗜血为乐，亦或是欺凌弱小，切忌忘了底线_x000a_" sqref="B8:C8" xr:uid="{00000000-0002-0000-04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9" xr:uid="{00000000-0002-0000-0400-000007000000}"/>
    <dataValidation allowBlank="1" showInputMessage="1" promptTitle="介绍" prompt="杂技演员可能是参加各级比赛（甚至奥运会）的业余运动员，也可能是专业的演员，在马戏团、嘉年华、歌舞团之类的地方作为娱乐业从业者工作。" sqref="B10" xr:uid="{00000000-0002-0000-0400-000008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10" xr:uid="{00000000-0002-0000-0400-000009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11:C11" xr:uid="{00000000-0002-0000-0400-00000A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12:C12" xr:uid="{00000000-0002-0000-0400-00000B000000}"/>
    <dataValidation allowBlank="1" showInputMessage="1" showErrorMessage="1" sqref="I12:J12 R28 R32 H20:H28" xr:uid="{00000000-0002-0000-0400-00000C000000}"/>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13:C13" xr:uid="{00000000-0002-0000-0400-00000D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14:C14" xr:uid="{00000000-0002-0000-04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14" xr:uid="{00000000-0002-0000-0400-00000F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_x000a_译注：原文这八项技能没有动物驯养，KP可以依自己喜好用动物驯养取代其中一项。这里在人物卡中和本职技能一样给予了星标标注" sqref="B15:C15" xr:uid="{00000000-0002-0000-0400-000010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5" xr:uid="{00000000-0002-0000-0400-000011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6:C16" xr:uid="{00000000-0002-0000-0400-000012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6" xr:uid="{00000000-0002-0000-0400-000013000000}"/>
    <dataValidation allowBlank="1" showInputMessage="1" promptTitle="介绍" prompt="古董商通常自己开店，从自己所在的地方转卖物品，或继续扩展业务范围，通过倒卖物品到城市商店赚取利润。" sqref="B17:C17" xr:uid="{00000000-0002-0000-0400-000014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7" xr:uid="{00000000-0002-0000-0400-000015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8:C18" xr:uid="{00000000-0002-0000-0400-000016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9:C19" xr:uid="{00000000-0002-0000-0400-000017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9" xr:uid="{00000000-0002-0000-0400-000018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20:C20" xr:uid="{00000000-0002-0000-0400-000019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20" xr:uid="{00000000-0002-0000-0400-00001A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21:C21" xr:uid="{00000000-0002-0000-0400-00001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21" xr:uid="{00000000-0002-0000-0400-00001C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22:C22" xr:uid="{00000000-0002-0000-0400-00001D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22" xr:uid="{00000000-0002-0000-0400-00001E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23:C23" xr:uid="{00000000-0002-0000-0400-00001F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23" xr:uid="{00000000-0002-0000-0400-000020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24:C24" xr:uid="{00000000-0002-0000-04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24" xr:uid="{00000000-0002-0000-0400-000022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5:C25" xr:uid="{00000000-0002-0000-0400-000023000000}"/>
    <dataValidation allowBlank="1" showInputMessage="1" promptTitle="介绍" prompt="书商可能拥有自己的店面或者利基（小众）邮购服务，也可能辗转全国甚至海外专门经销书籍。许多人拥有富有的，能提供利润丰厚又稀罕的工作的固定客户。" sqref="B26:C26" xr:uid="{00000000-0002-0000-0400-000024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7:C27" xr:uid="{00000000-0002-0000-0400-000025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8:C28" xr:uid="{00000000-0002-0000-0400-000026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9:C29" xr:uid="{00000000-0002-0000-0400-000027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30:C30" xr:uid="{00000000-0002-0000-0400-000028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31:C31" xr:uid="{00000000-0002-0000-0400-00002A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32:C32" xr:uid="{00000000-0002-0000-0400-00002B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33:C33" xr:uid="{00000000-0002-0000-0400-00002C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33" xr:uid="{00000000-0002-0000-0400-00002D000000}"/>
    <dataValidation allowBlank="1" showInputMessage="1" promptTitle="介绍" prompt="工匠也可能被人叫做师傅或大师，是擅长对各种材料进行手工加工的人。通常都是才能出众的人，有的凭借自己的艺术作品出名，有的则会服务于自己的社区。" sqref="B34:C34" xr:uid="{00000000-0002-0000-0400-00002E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34" xr:uid="{00000000-0002-0000-0400-00002F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5:C35" xr:uid="{00000000-0002-0000-0400-000030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5" xr:uid="{00000000-0002-0000-0400-000031000000}"/>
    <dataValidation allowBlank="1" showInputMessage="1" promptTitle="介绍" prompt="有些则组成分工明确，会详细调查并制定计划的犯罪组织。" sqref="B36:C36" xr:uid="{00000000-0002-0000-0400-000032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6" xr:uid="{00000000-0002-0000-0400-000033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7:C37" xr:uid="{00000000-0002-0000-0400-000034000000}"/>
    <dataValidation allowBlank="1" showInputMessage="1" promptTitle="介绍" prompt="罪犯的体格和相貌形形色色，有些是纯粹碰运气伺机行事，比如扒手." sqref="B38:C38" xr:uid="{00000000-0002-0000-0400-000035000000}"/>
    <dataValidation allowBlank="1" showErrorMessage="1" sqref="N38 R40" xr:uid="{00000000-0002-0000-0400-000036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9:C39" xr:uid="{00000000-0002-0000-0400-000037000000}"/>
    <dataValidation allowBlank="1" showInputMessage="1" promptTitle="介绍" prompt="也可能单打独斗，如果成功的报酬值得去费力冒险，才会和别人搭伙。" sqref="B40:C40" xr:uid="{00000000-0002-0000-0400-000038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41:C41" xr:uid="{00000000-0002-0000-0400-000039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42:C42" xr:uid="{00000000-0002-0000-0400-00003A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43:C43" xr:uid="{00000000-0002-0000-0400-00003B000000}"/>
    <dataValidation allowBlank="1" showInputMessage="1" promptTitle="介绍" prompt="走私一直是一个有利可图的高风险行当。走私者往往有一个合法的表面职业，比如船长飞行员或商人，以掩盖他们非法运输的行为。" sqref="B44:C44" xr:uid="{00000000-0002-0000-0400-00003C000000}"/>
    <dataValidation allowBlank="1" showInputMessage="1" promptTitle="介绍" prompt="街头混混一般都是些小年轻，弄不好还在寻觅加入真正黑帮的契机。不过他们的本事也就限于偷车，盗窃商店货物，抢钱或者夜盗。" sqref="B45:C45" xr:uid="{00000000-0002-0000-0400-00003D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6:C46" xr:uid="{00000000-0002-0000-0400-00003E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7:C47" xr:uid="{00000000-0002-0000-0400-00003F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8:C48" xr:uid="{00000000-0002-0000-0400-000040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9:C49" xr:uid="{00000000-0002-0000-0400-000041000000}"/>
    <dataValidation allowBlank="1" showInputMessage="1" promptTitle="介绍" prompt="潜水员可能在军队执法机构或海绵采集海上救援环境保护甚至水下寻宝的民间机构工作。" sqref="B50:C50" xr:uid="{00000000-0002-0000-0400-000042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51:C51" xr:uid="{00000000-0002-0000-0400-000043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52:C52" xr:uid="{00000000-0002-0000-0400-000044000000}"/>
    <dataValidation allowBlank="1" showInputMessage="1" promptTitle="介绍" prompt="人司机则是直接受雇于个人或企业，或者是专门提供连人带车的私人司机业务的中介机构。" sqref="B53:C53" xr:uid="{00000000-0002-0000-0400-000045000000}"/>
    <dataValidation allowBlank="1" showInputMessage="1" promptTitle="介绍" prompt="专职司机可能为企业个人工作，也可能拥有自己的出租车或货车。" sqref="B54:C54" xr:uid="{00000000-0002-0000-0400-000046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5:C55" xr:uid="{00000000-0002-0000-0400-000047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6:C56" xr:uid="{00000000-0002-0000-0400-000048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7:C57" xr:uid="{00000000-0002-0000-0400-000049000000}"/>
    <dataValidation allowBlank="1" showInputMessage="1" promptTitle="介绍" prompt="工程师精通机械和电气设备，可能在民间或军工企业工作，也可能是个发明家。他们擅长应用科学、数学知识和丰富的创造思维，解决各种技术问题。" sqref="B58:C58" xr:uid="{00000000-0002-0000-0400-00004A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9:C59" xr:uid="{00000000-0002-0000-0400-00004B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60:C60" xr:uid="{00000000-0002-0000-0400-00004C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61:C61" xr:uid="{00000000-0002-0000-0400-00004D000000}"/>
    <dataValidation allowBlank="1" showInputMessage="1" promptTitle="介绍" prompt="联邦执法机构和特工种类各异。有些身着制服，比如美国司法部的人员；另外一些则穿便服，工作内容也类似警探，比如联邦调查局的人员。" sqref="B62:C62" xr:uid="{00000000-0002-0000-0400-00004E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63:C63" xr:uid="{00000000-0002-0000-0400-00004F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64:C64" xr:uid="{00000000-0002-0000-0400-000050000000}"/>
    <dataValidation allowBlank="1" showInputMessage="1" showErrorMessage="1" promptTitle="Beast Training(05%)" prompt="用于命令、训练驯服动物进行简单任务的技能。这技能最常用在狗身上，但也不排除鸟、猫、猴子，或是其他（由Keeper 判定）。" sqref="N64" xr:uid="{00000000-0002-0000-0400-000051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5:C65" xr:uid="{00000000-0002-0000-0400-000052000000}"/>
    <dataValidation type="list" allowBlank="1" showInputMessage="1" showErrorMessage="1" promptTitle="Diving (01%)" prompt="使用者接受过在深海游泳的使用以及维持潜水设备的训练，水下导航，合适的下潜配重，以及应对紧急情况的方法。" sqref="N65" xr:uid="{00000000-0002-0000-0400-000053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6:C66" xr:uid="{00000000-0002-0000-0400-000054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6" xr:uid="{00000000-0002-0000-0400-000055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7:C67" xr:uid="{00000000-0002-0000-0400-000056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8:C68" xr:uid="{00000000-0002-0000-0400-000057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9:C69" xr:uid="{00000000-0002-0000-0400-000058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70:C70" xr:uid="{00000000-0002-0000-0400-000059000000}"/>
    <dataValidation allowBlank="1" showInputMessage="1" promptTitle="介绍" prompt="勤杂护工在医院的工作包括倒垃圾、打扫房间、运送病人，还有一些其他乱七八糟的工作。总之对他们的要求不比对看门人多多少。" sqref="B71:C71" xr:uid="{00000000-0002-0000-0400-00005A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72:C72" xr:uid="{00000000-0002-0000-0400-00005B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73:C73" xr:uid="{00000000-0002-0000-0400-00005C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74:C74" xr:uid="{00000000-0002-0000-0400-00005D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5:C75" xr:uid="{00000000-0002-0000-0400-00005E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9:C79" xr:uid="{00000000-0002-0000-0400-00005F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80:C80" xr:uid="{00000000-0002-0000-0400-000060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81:C81" xr:uid="{00000000-0002-0000-0400-000061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82:C82" xr:uid="{00000000-0002-0000-0400-000062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83:C83" xr:uid="{00000000-0002-0000-0400-000063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84:C84" xr:uid="{00000000-0002-0000-0400-000064000000}"/>
    <dataValidation allowBlank="1" showInputMessage="1" promptTitle="介绍" prompt="博物馆管理员可能负责大学或其他公共机构的大型设施，也可能负责小一些的博物馆，往往对本地的地质或者其他的内容颇有研究。" sqref="B85:C85" xr:uid="{00000000-0002-0000-0400-000065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6:C86" xr:uid="{00000000-0002-0000-0400-000066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7:C87" xr:uid="{00000000-0002-0000-0400-000067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8:C88" xr:uid="{00000000-0002-0000-0400-000068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9:C89" xr:uid="{00000000-0002-0000-0400-000069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90:C90" xr:uid="{00000000-0002-0000-0400-00006A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91:C91" xr:uid="{00000000-0002-0000-0400-00006B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92:C92" xr:uid="{00000000-0002-0000-0400-00006C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93:C93" xr:uid="{00000000-0002-0000-0400-00006D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94:C94" xr:uid="{00000000-0002-0000-0400-00006E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5:C95" xr:uid="{00000000-0002-0000-0400-00006F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6:C96" xr:uid="{00000000-0002-0000-0400-000070000000}"/>
    <dataValidation allowBlank="1" showInputMessage="1" promptTitle="介绍" prompt="巡警则属于市、城镇、县治安部门或州、地区的警察机关。他们工作时可能步行、驾驶巡逻车，或者干脆坐办公室。" sqref="B97:C97" xr:uid="{00000000-0002-0000-0400-000071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8:C98" xr:uid="{00000000-0002-0000-0400-000072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9:C99" xr:uid="{00000000-0002-0000-0400-000073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100:C100" xr:uid="{00000000-0002-0000-0400-000074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101:C101" xr:uid="{00000000-0002-0000-0400-000075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102:C102" xr:uid="{00000000-0002-0000-0400-000076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103:C103" xr:uid="{00000000-0002-0000-0400-000077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104:C104" xr:uid="{00000000-0002-0000-0400-000078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5:C105" xr:uid="{00000000-0002-0000-0400-000079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6:C106" xr:uid="{00000000-0002-0000-0400-00007A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7:C107" xr:uid="{00000000-0002-0000-0400-00007B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8:C108" xr:uid="{00000000-0002-0000-0400-00007C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9:C109" xr:uid="{00000000-0002-0000-0400-00007D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10:C110" xr:uid="{00000000-0002-0000-0400-00007E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11:C111" xr:uid="{00000000-0002-0000-0400-00007F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12:C112" xr:uid="{00000000-0002-0000-0400-000080000000}"/>
    <dataValidation allowBlank="1" showInputMessage="1" promptTitle="介绍" prompt="学生可能在大学或学院学习，实习生则是正在接受宝贵的入职培训，获得最低报酬的公司员工。" sqref="B113:C113" xr:uid="{00000000-0002-0000-0400-000081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14:C114" xr:uid="{00000000-0002-0000-0400-000082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5:C115" xr:uid="{00000000-0002-0000-0400-000083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6:C116" xr:uid="{00000000-0002-0000-0400-000084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7:C117" xr:uid="{00000000-0002-0000-0400-000085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8:C118" xr:uid="{00000000-0002-0000-0400-000086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9:C119" xr:uid="{00000000-0002-0000-0400-000087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20:C120" xr:uid="{00000000-0002-0000-0400-000088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21:C121" xr:uid="{00000000-0002-0000-0400-000089000000}"/>
    <dataValidation allowBlank="1" showInputMessage="1" promptTitle="介绍" prompt="饲养员负责动物的喂养和看护，场地管理员和服务员管理其他杂务。通常饲养员会专门照看某一种动物，可以对动物使用「医学」技能。" sqref="B122:C122" xr:uid="{00000000-0002-0000-0400-00008A000000}"/>
    <dataValidation type="list" allowBlank="1" showInputMessage="1" showErrorMessage="1" sqref="I20:I28" xr:uid="{00000000-0002-0000-0400-00008B000000}">
      <formula1>"×,√"</formula1>
    </dataValidation>
    <dataValidation allowBlank="1" showErrorMessage="1" errorTitle="提示" error="请输入大于等于1的整数_x000a_且不需要输入乘号或其他符号" sqref="J20:J28" xr:uid="{00000000-0002-0000-0400-00008C000000}"/>
    <dataValidation type="list" allowBlank="1" showInputMessage="1" showErrorMessage="1" sqref="N11:N12 N26:N27 N29:N30 N54:N55" xr:uid="{00000000-0002-0000-0400-00008D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5:N37" xr:uid="{00000000-0002-0000-0400-00008E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R6" xr:uid="{00000000-0002-0000-0400-00008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7:R9" xr:uid="{00000000-0002-0000-0400-000090000000}"/>
    <dataValidation type="list" allowBlank="1" showInputMessage="1" showErrorMessage="1" sqref="R26:R27" xr:uid="{00000000-0002-0000-0400-000091000000}">
      <formula1>"鞭子,电锯,斧,剑,绞具,链枷,矛"</formula1>
    </dataValidation>
    <dataValidation type="list" allowBlank="1" showInputMessage="1" showErrorMessage="1" sqref="R30:R31" xr:uid="{00000000-0002-0000-0400-000092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7:R39" xr:uid="{00000000-0002-0000-0400-000093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6:C78" xr:uid="{00000000-0002-0000-0400-000095000000}"/>
  </dataValidations>
  <pageMargins left="0.75" right="0.75" top="1" bottom="1" header="0.50902777777777797" footer="0.50902777777777797"/>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29000000}">
          <x14:formula1>
            <xm:f>'C:\Users\Yangruixi\OneDrive - stu.cqnu.edu.cn\跑团\[COC7空白卡CY23Final.xlsx]附表'!#REF!</xm:f>
          </x14:formula1>
          <xm:sqref>H30:I30 R11:R12</xm:sqref>
        </x14:dataValidation>
        <x14:dataValidation type="list" allowBlank="1" showInputMessage="1" showErrorMessage="1" xr:uid="{00000000-0002-0000-0400-000094000000}">
          <x14:formula1>
            <xm:f>附表!$X$25:$X$104</xm:f>
          </x14:formula1>
          <xm:sqref>I3:J11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Z100"/>
  <sheetViews>
    <sheetView topLeftCell="A72" zoomScale="70" zoomScaleNormal="70" workbookViewId="0">
      <pane xSplit="1" topLeftCell="B1" activePane="topRight" state="frozen"/>
      <selection pane="topRight" activeCell="B96" sqref="B96:D100"/>
    </sheetView>
  </sheetViews>
  <sheetFormatPr defaultColWidth="10" defaultRowHeight="14"/>
  <cols>
    <col min="1" max="2" width="12.81640625" style="10" customWidth="1"/>
    <col min="3" max="3" width="10.81640625" style="10" customWidth="1"/>
    <col min="4" max="4" width="8.81640625" style="10" customWidth="1"/>
    <col min="5" max="104" width="40.81640625" style="10" customWidth="1"/>
    <col min="105" max="16384" width="10" style="10"/>
  </cols>
  <sheetData>
    <row r="1" spans="1:104" ht="25.5">
      <c r="A1" s="645"/>
      <c r="B1" s="646"/>
      <c r="C1" s="3272" t="s">
        <v>6514</v>
      </c>
      <c r="D1" s="3272"/>
      <c r="E1" s="3272"/>
      <c r="F1" s="3273" t="s">
        <v>6515</v>
      </c>
      <c r="G1" s="3273"/>
      <c r="H1" s="3273"/>
      <c r="I1" s="647"/>
      <c r="J1" s="647"/>
      <c r="K1" s="647"/>
      <c r="L1" s="647"/>
      <c r="M1" s="647"/>
      <c r="N1" s="647"/>
      <c r="O1" s="647"/>
      <c r="P1" s="647"/>
      <c r="Q1" s="647"/>
      <c r="R1" s="647"/>
      <c r="S1" s="647"/>
      <c r="T1" s="647"/>
      <c r="U1" s="647"/>
      <c r="V1" s="647"/>
      <c r="W1" s="647"/>
      <c r="X1" s="647"/>
      <c r="Y1" s="647"/>
      <c r="Z1" s="647"/>
      <c r="AA1" s="647"/>
      <c r="AB1" s="647"/>
      <c r="AC1" s="647"/>
      <c r="AD1" s="647"/>
      <c r="AE1" s="647"/>
      <c r="AF1" s="647"/>
      <c r="AG1" s="647"/>
      <c r="AH1" s="647"/>
      <c r="AI1" s="647"/>
      <c r="AJ1" s="647"/>
      <c r="AK1" s="647"/>
      <c r="AL1" s="647"/>
      <c r="AM1" s="647"/>
      <c r="AN1" s="647"/>
      <c r="AO1" s="647"/>
      <c r="AP1" s="647"/>
      <c r="AQ1" s="647"/>
      <c r="AR1" s="647"/>
      <c r="AS1" s="647"/>
      <c r="AT1" s="647"/>
      <c r="AU1" s="647"/>
      <c r="AV1" s="647"/>
      <c r="AW1" s="647"/>
      <c r="AX1" s="647"/>
      <c r="AY1" s="647"/>
      <c r="AZ1" s="647"/>
      <c r="BA1" s="647"/>
      <c r="BB1" s="647"/>
      <c r="BC1" s="647"/>
      <c r="BD1" s="647"/>
      <c r="BE1" s="647"/>
      <c r="BF1" s="647"/>
      <c r="BG1" s="647"/>
      <c r="BH1" s="647"/>
      <c r="BI1" s="647"/>
      <c r="BJ1" s="647"/>
      <c r="BK1" s="647"/>
      <c r="BL1" s="647"/>
      <c r="BM1" s="647"/>
      <c r="BN1" s="647"/>
      <c r="BO1" s="647"/>
      <c r="BP1" s="647"/>
      <c r="BQ1" s="647"/>
      <c r="BR1" s="647"/>
      <c r="BS1" s="647"/>
      <c r="BT1" s="647"/>
      <c r="BU1" s="647"/>
      <c r="BV1" s="647"/>
      <c r="BW1" s="647"/>
      <c r="BX1" s="647"/>
      <c r="BY1" s="647"/>
      <c r="BZ1" s="647"/>
      <c r="CA1" s="647"/>
      <c r="CB1" s="647"/>
      <c r="CC1" s="647"/>
      <c r="CD1" s="647"/>
      <c r="CE1" s="647"/>
      <c r="CF1" s="647"/>
      <c r="CG1" s="647"/>
      <c r="CH1" s="647"/>
      <c r="CI1" s="647"/>
      <c r="CJ1" s="647"/>
      <c r="CK1" s="647"/>
      <c r="CL1" s="647"/>
      <c r="CM1" s="647"/>
      <c r="CN1" s="647"/>
      <c r="CO1" s="647"/>
      <c r="CP1" s="647"/>
      <c r="CQ1" s="647"/>
      <c r="CR1" s="647"/>
      <c r="CS1" s="647"/>
      <c r="CT1" s="647"/>
      <c r="CU1" s="647"/>
      <c r="CV1" s="647"/>
      <c r="CW1" s="647"/>
      <c r="CX1" s="647"/>
      <c r="CY1" s="647"/>
      <c r="CZ1" s="647"/>
    </row>
    <row r="2" spans="1:104" s="644" customFormat="1" ht="16.5">
      <c r="A2" s="648" t="s">
        <v>21</v>
      </c>
      <c r="B2" s="649" t="s">
        <v>6516</v>
      </c>
      <c r="C2" s="649" t="s">
        <v>6517</v>
      </c>
      <c r="D2" s="649" t="s">
        <v>123</v>
      </c>
      <c r="E2" s="649" t="s">
        <v>6518</v>
      </c>
      <c r="F2" s="649" t="s">
        <v>6519</v>
      </c>
      <c r="G2" s="649" t="s">
        <v>6520</v>
      </c>
      <c r="H2" s="649" t="s">
        <v>6521</v>
      </c>
      <c r="I2" s="649" t="s">
        <v>6522</v>
      </c>
      <c r="J2" s="649" t="s">
        <v>6523</v>
      </c>
      <c r="K2" s="649" t="s">
        <v>6524</v>
      </c>
      <c r="L2" s="649" t="s">
        <v>6525</v>
      </c>
      <c r="M2" s="649" t="s">
        <v>6526</v>
      </c>
      <c r="N2" s="649" t="s">
        <v>6527</v>
      </c>
      <c r="O2" s="649" t="s">
        <v>6528</v>
      </c>
      <c r="P2" s="649" t="s">
        <v>6529</v>
      </c>
      <c r="Q2" s="649" t="s">
        <v>6530</v>
      </c>
      <c r="R2" s="649" t="s">
        <v>6531</v>
      </c>
      <c r="S2" s="649" t="s">
        <v>6532</v>
      </c>
      <c r="T2" s="649" t="s">
        <v>6533</v>
      </c>
      <c r="U2" s="649" t="s">
        <v>6534</v>
      </c>
      <c r="V2" s="649" t="s">
        <v>6535</v>
      </c>
      <c r="W2" s="649" t="s">
        <v>6536</v>
      </c>
      <c r="X2" s="649" t="s">
        <v>6537</v>
      </c>
      <c r="Y2" s="649" t="s">
        <v>6538</v>
      </c>
      <c r="Z2" s="649" t="s">
        <v>6539</v>
      </c>
      <c r="AA2" s="649" t="s">
        <v>6540</v>
      </c>
      <c r="AB2" s="649" t="s">
        <v>6541</v>
      </c>
      <c r="AC2" s="649" t="s">
        <v>6542</v>
      </c>
      <c r="AD2" s="649" t="s">
        <v>6543</v>
      </c>
      <c r="AE2" s="649" t="s">
        <v>6544</v>
      </c>
      <c r="AF2" s="649" t="s">
        <v>6545</v>
      </c>
      <c r="AG2" s="649" t="s">
        <v>6546</v>
      </c>
      <c r="AH2" s="649" t="s">
        <v>6547</v>
      </c>
      <c r="AI2" s="649" t="s">
        <v>6548</v>
      </c>
      <c r="AJ2" s="649" t="s">
        <v>6549</v>
      </c>
      <c r="AK2" s="649" t="s">
        <v>6550</v>
      </c>
      <c r="AL2" s="649" t="s">
        <v>6551</v>
      </c>
      <c r="AM2" s="649" t="s">
        <v>6552</v>
      </c>
      <c r="AN2" s="649" t="s">
        <v>6553</v>
      </c>
      <c r="AO2" s="649" t="s">
        <v>6554</v>
      </c>
      <c r="AP2" s="649" t="s">
        <v>6555</v>
      </c>
      <c r="AQ2" s="649" t="s">
        <v>6556</v>
      </c>
      <c r="AR2" s="649" t="s">
        <v>6557</v>
      </c>
      <c r="AS2" s="649" t="s">
        <v>6558</v>
      </c>
      <c r="AT2" s="649" t="s">
        <v>6559</v>
      </c>
      <c r="AU2" s="649" t="s">
        <v>6560</v>
      </c>
      <c r="AV2" s="649" t="s">
        <v>6561</v>
      </c>
      <c r="AW2" s="649" t="s">
        <v>6562</v>
      </c>
      <c r="AX2" s="649" t="s">
        <v>6563</v>
      </c>
      <c r="AY2" s="649" t="s">
        <v>6564</v>
      </c>
      <c r="AZ2" s="649" t="s">
        <v>6565</v>
      </c>
      <c r="BA2" s="649" t="s">
        <v>6566</v>
      </c>
      <c r="BB2" s="649" t="s">
        <v>6567</v>
      </c>
      <c r="BC2" s="649" t="s">
        <v>6568</v>
      </c>
      <c r="BD2" s="649" t="s">
        <v>6569</v>
      </c>
      <c r="BE2" s="649" t="s">
        <v>6570</v>
      </c>
      <c r="BF2" s="649" t="s">
        <v>6571</v>
      </c>
      <c r="BG2" s="649" t="s">
        <v>6572</v>
      </c>
      <c r="BH2" s="649" t="s">
        <v>6573</v>
      </c>
      <c r="BI2" s="649" t="s">
        <v>6574</v>
      </c>
      <c r="BJ2" s="649" t="s">
        <v>6575</v>
      </c>
      <c r="BK2" s="649" t="s">
        <v>6576</v>
      </c>
      <c r="BL2" s="649" t="s">
        <v>6577</v>
      </c>
      <c r="BM2" s="649" t="s">
        <v>6578</v>
      </c>
      <c r="BN2" s="649" t="s">
        <v>6579</v>
      </c>
      <c r="BO2" s="649" t="s">
        <v>6580</v>
      </c>
      <c r="BP2" s="649" t="s">
        <v>6581</v>
      </c>
      <c r="BQ2" s="649" t="s">
        <v>6582</v>
      </c>
      <c r="BR2" s="649" t="s">
        <v>6583</v>
      </c>
      <c r="BS2" s="649" t="s">
        <v>6584</v>
      </c>
      <c r="BT2" s="649" t="s">
        <v>6585</v>
      </c>
      <c r="BU2" s="649" t="s">
        <v>6586</v>
      </c>
      <c r="BV2" s="649" t="s">
        <v>6587</v>
      </c>
      <c r="BW2" s="649" t="s">
        <v>6588</v>
      </c>
      <c r="BX2" s="649" t="s">
        <v>6589</v>
      </c>
      <c r="BY2" s="649" t="s">
        <v>6590</v>
      </c>
      <c r="BZ2" s="649" t="s">
        <v>6591</v>
      </c>
      <c r="CA2" s="649" t="s">
        <v>6592</v>
      </c>
      <c r="CB2" s="649" t="s">
        <v>6593</v>
      </c>
      <c r="CC2" s="649" t="s">
        <v>6594</v>
      </c>
      <c r="CD2" s="649" t="s">
        <v>6595</v>
      </c>
      <c r="CE2" s="649" t="s">
        <v>6596</v>
      </c>
      <c r="CF2" s="649" t="s">
        <v>6597</v>
      </c>
      <c r="CG2" s="649" t="s">
        <v>6598</v>
      </c>
      <c r="CH2" s="649" t="s">
        <v>6599</v>
      </c>
      <c r="CI2" s="649" t="s">
        <v>6600</v>
      </c>
      <c r="CJ2" s="649" t="s">
        <v>6601</v>
      </c>
      <c r="CK2" s="649" t="s">
        <v>6602</v>
      </c>
      <c r="CL2" s="649" t="s">
        <v>6603</v>
      </c>
      <c r="CM2" s="649" t="s">
        <v>6604</v>
      </c>
      <c r="CN2" s="649" t="s">
        <v>6605</v>
      </c>
      <c r="CO2" s="649" t="s">
        <v>6606</v>
      </c>
      <c r="CP2" s="649" t="s">
        <v>6607</v>
      </c>
      <c r="CQ2" s="649" t="s">
        <v>6608</v>
      </c>
      <c r="CR2" s="649" t="s">
        <v>6609</v>
      </c>
      <c r="CS2" s="649" t="s">
        <v>6610</v>
      </c>
      <c r="CT2" s="649" t="s">
        <v>6611</v>
      </c>
      <c r="CU2" s="649" t="s">
        <v>6612</v>
      </c>
      <c r="CV2" s="649" t="s">
        <v>6613</v>
      </c>
      <c r="CW2" s="649" t="s">
        <v>6614</v>
      </c>
      <c r="CX2" s="649" t="s">
        <v>6615</v>
      </c>
      <c r="CY2" s="649" t="s">
        <v>6616</v>
      </c>
      <c r="CZ2" s="649" t="s">
        <v>6617</v>
      </c>
    </row>
    <row r="3" spans="1:104" ht="16.5">
      <c r="A3" s="650" t="s">
        <v>128</v>
      </c>
      <c r="B3" s="651">
        <f t="shared" ref="B3:B66" si="0">C3+D3</f>
        <v>5</v>
      </c>
      <c r="C3" s="652">
        <f t="shared" ref="C3:C66" si="1">SUM(E3:CZ3)</f>
        <v>0</v>
      </c>
      <c r="D3" s="653">
        <v>5</v>
      </c>
      <c r="E3" s="654" t="s">
        <v>6618</v>
      </c>
      <c r="F3" s="655"/>
      <c r="G3" s="655"/>
      <c r="H3" s="655"/>
      <c r="I3" s="655"/>
      <c r="J3" s="655"/>
      <c r="K3" s="655"/>
      <c r="L3" s="655"/>
      <c r="M3" s="655"/>
      <c r="N3" s="655"/>
      <c r="O3" s="655"/>
      <c r="P3" s="655"/>
      <c r="Q3" s="655"/>
      <c r="R3" s="655"/>
      <c r="S3" s="655"/>
      <c r="T3" s="655"/>
      <c r="U3" s="655"/>
      <c r="V3" s="655"/>
      <c r="W3" s="655"/>
      <c r="X3" s="655"/>
      <c r="Y3" s="655"/>
      <c r="Z3" s="655"/>
      <c r="AA3" s="655"/>
      <c r="AB3" s="655"/>
      <c r="AC3" s="655"/>
      <c r="AD3" s="655"/>
      <c r="AE3" s="655"/>
      <c r="AF3" s="655"/>
      <c r="AG3" s="655"/>
      <c r="AH3" s="655"/>
      <c r="AI3" s="655"/>
      <c r="AJ3" s="655"/>
      <c r="AK3" s="655"/>
      <c r="AL3" s="655"/>
      <c r="AM3" s="655"/>
      <c r="AN3" s="655"/>
      <c r="AO3" s="655"/>
      <c r="AP3" s="655"/>
      <c r="AQ3" s="655"/>
      <c r="AR3" s="655"/>
      <c r="AS3" s="655"/>
      <c r="AT3" s="655"/>
      <c r="AU3" s="655"/>
      <c r="AV3" s="655"/>
      <c r="AW3" s="655"/>
      <c r="AX3" s="655"/>
      <c r="AY3" s="655"/>
      <c r="AZ3" s="655"/>
      <c r="BA3" s="655"/>
      <c r="BB3" s="655"/>
      <c r="BC3" s="655"/>
      <c r="BD3" s="655"/>
      <c r="BE3" s="655"/>
      <c r="BF3" s="655"/>
      <c r="BG3" s="655"/>
      <c r="BH3" s="655"/>
      <c r="BI3" s="655"/>
      <c r="BJ3" s="655"/>
      <c r="BK3" s="655"/>
      <c r="BL3" s="655"/>
      <c r="BM3" s="655"/>
      <c r="BN3" s="655"/>
      <c r="BO3" s="655"/>
      <c r="BP3" s="655"/>
      <c r="BQ3" s="655"/>
      <c r="BR3" s="655"/>
      <c r="BS3" s="655"/>
      <c r="BT3" s="655"/>
      <c r="BU3" s="655"/>
      <c r="BV3" s="655"/>
      <c r="BW3" s="655"/>
      <c r="BX3" s="655"/>
      <c r="BY3" s="655"/>
      <c r="BZ3" s="655"/>
      <c r="CA3" s="655"/>
      <c r="CB3" s="655"/>
      <c r="CC3" s="655"/>
      <c r="CD3" s="655"/>
      <c r="CE3" s="655"/>
      <c r="CF3" s="655"/>
      <c r="CG3" s="655"/>
      <c r="CH3" s="655"/>
      <c r="CI3" s="655"/>
      <c r="CJ3" s="655"/>
      <c r="CK3" s="655"/>
      <c r="CL3" s="655"/>
      <c r="CM3" s="655"/>
      <c r="CN3" s="655"/>
      <c r="CO3" s="655"/>
      <c r="CP3" s="655"/>
      <c r="CQ3" s="655"/>
      <c r="CR3" s="655"/>
      <c r="CS3" s="655"/>
      <c r="CT3" s="655"/>
      <c r="CU3" s="655"/>
      <c r="CV3" s="655"/>
      <c r="CW3" s="655"/>
      <c r="CX3" s="655"/>
      <c r="CY3" s="655"/>
      <c r="CZ3" s="655"/>
    </row>
    <row r="4" spans="1:104" ht="16.5">
      <c r="A4" s="650" t="s">
        <v>135</v>
      </c>
      <c r="B4" s="651">
        <f t="shared" si="0"/>
        <v>1</v>
      </c>
      <c r="C4" s="652">
        <f t="shared" si="1"/>
        <v>0</v>
      </c>
      <c r="D4" s="653">
        <v>1</v>
      </c>
      <c r="E4" s="654" t="s">
        <v>6619</v>
      </c>
      <c r="F4" s="655"/>
      <c r="G4" s="655"/>
      <c r="H4" s="655"/>
      <c r="I4" s="655"/>
      <c r="J4" s="655"/>
      <c r="K4" s="655"/>
      <c r="L4" s="655"/>
      <c r="M4" s="655"/>
      <c r="N4" s="655"/>
      <c r="O4" s="655"/>
      <c r="P4" s="655"/>
      <c r="Q4" s="655"/>
      <c r="R4" s="655"/>
      <c r="S4" s="655"/>
      <c r="T4" s="655"/>
      <c r="U4" s="655"/>
      <c r="V4" s="655"/>
      <c r="W4" s="655"/>
      <c r="X4" s="655"/>
      <c r="Y4" s="655"/>
      <c r="Z4" s="655"/>
      <c r="AA4" s="655"/>
      <c r="AB4" s="655"/>
      <c r="AC4" s="655"/>
      <c r="AD4" s="655"/>
      <c r="AE4" s="655"/>
      <c r="AF4" s="655"/>
      <c r="AG4" s="655"/>
      <c r="AH4" s="655"/>
      <c r="AI4" s="655"/>
      <c r="AJ4" s="655"/>
      <c r="AK4" s="655"/>
      <c r="AL4" s="655"/>
      <c r="AM4" s="655"/>
      <c r="AN4" s="655"/>
      <c r="AO4" s="655"/>
      <c r="AP4" s="655"/>
      <c r="AQ4" s="655"/>
      <c r="AR4" s="655"/>
      <c r="AS4" s="655"/>
      <c r="AT4" s="655"/>
      <c r="AU4" s="655"/>
      <c r="AV4" s="655"/>
      <c r="AW4" s="655"/>
      <c r="AX4" s="655"/>
      <c r="AY4" s="655"/>
      <c r="AZ4" s="655"/>
      <c r="BA4" s="655"/>
      <c r="BB4" s="655"/>
      <c r="BC4" s="655"/>
      <c r="BD4" s="655"/>
      <c r="BE4" s="655"/>
      <c r="BF4" s="655"/>
      <c r="BG4" s="655"/>
      <c r="BH4" s="655"/>
      <c r="BI4" s="655"/>
      <c r="BJ4" s="655"/>
      <c r="BK4" s="655"/>
      <c r="BL4" s="655"/>
      <c r="BM4" s="655"/>
      <c r="BN4" s="655"/>
      <c r="BO4" s="655"/>
      <c r="BP4" s="655"/>
      <c r="BQ4" s="655"/>
      <c r="BR4" s="655"/>
      <c r="BS4" s="655"/>
      <c r="BT4" s="655"/>
      <c r="BU4" s="655"/>
      <c r="BV4" s="655"/>
      <c r="BW4" s="655"/>
      <c r="BX4" s="655"/>
      <c r="BY4" s="655"/>
      <c r="BZ4" s="655"/>
      <c r="CA4" s="655"/>
      <c r="CB4" s="655"/>
      <c r="CC4" s="655"/>
      <c r="CD4" s="655"/>
      <c r="CE4" s="655"/>
      <c r="CF4" s="655"/>
      <c r="CG4" s="655"/>
      <c r="CH4" s="655"/>
      <c r="CI4" s="655"/>
      <c r="CJ4" s="655"/>
      <c r="CK4" s="655"/>
      <c r="CL4" s="655"/>
      <c r="CM4" s="655"/>
      <c r="CN4" s="655"/>
      <c r="CO4" s="655"/>
      <c r="CP4" s="655"/>
      <c r="CQ4" s="655"/>
      <c r="CR4" s="655"/>
      <c r="CS4" s="655"/>
      <c r="CT4" s="655"/>
      <c r="CU4" s="655"/>
      <c r="CV4" s="655"/>
      <c r="CW4" s="655"/>
      <c r="CX4" s="655"/>
      <c r="CY4" s="655"/>
      <c r="CZ4" s="655"/>
    </row>
    <row r="5" spans="1:104" ht="16.5">
      <c r="A5" s="650" t="s">
        <v>137</v>
      </c>
      <c r="B5" s="651">
        <f t="shared" si="0"/>
        <v>5</v>
      </c>
      <c r="C5" s="652">
        <f t="shared" si="1"/>
        <v>0</v>
      </c>
      <c r="D5" s="653">
        <v>5</v>
      </c>
      <c r="E5" s="654">
        <v>0</v>
      </c>
      <c r="F5" s="655"/>
      <c r="G5" s="655"/>
      <c r="H5" s="655"/>
      <c r="I5" s="655"/>
      <c r="J5" s="655"/>
      <c r="K5" s="655"/>
      <c r="L5" s="655"/>
      <c r="M5" s="655"/>
      <c r="N5" s="655"/>
      <c r="O5" s="655"/>
      <c r="P5" s="655"/>
      <c r="Q5" s="655"/>
      <c r="R5" s="655"/>
      <c r="S5" s="655"/>
      <c r="T5" s="655"/>
      <c r="U5" s="655"/>
      <c r="V5" s="655"/>
      <c r="W5" s="655"/>
      <c r="X5" s="655"/>
      <c r="Y5" s="655"/>
      <c r="Z5" s="655"/>
      <c r="AA5" s="655"/>
      <c r="AB5" s="655"/>
      <c r="AC5" s="655"/>
      <c r="AD5" s="655"/>
      <c r="AE5" s="655"/>
      <c r="AF5" s="655"/>
      <c r="AG5" s="655"/>
      <c r="AH5" s="655"/>
      <c r="AI5" s="655"/>
      <c r="AJ5" s="655"/>
      <c r="AK5" s="655"/>
      <c r="AL5" s="655"/>
      <c r="AM5" s="655"/>
      <c r="AN5" s="655"/>
      <c r="AO5" s="655"/>
      <c r="AP5" s="655"/>
      <c r="AQ5" s="655"/>
      <c r="AR5" s="655"/>
      <c r="AS5" s="655"/>
      <c r="AT5" s="655"/>
      <c r="AU5" s="655"/>
      <c r="AV5" s="655"/>
      <c r="AW5" s="655"/>
      <c r="AX5" s="655"/>
      <c r="AY5" s="655"/>
      <c r="AZ5" s="655"/>
      <c r="BA5" s="655"/>
      <c r="BB5" s="655"/>
      <c r="BC5" s="655"/>
      <c r="BD5" s="655"/>
      <c r="BE5" s="655"/>
      <c r="BF5" s="655"/>
      <c r="BG5" s="655"/>
      <c r="BH5" s="655"/>
      <c r="BI5" s="655"/>
      <c r="BJ5" s="655"/>
      <c r="BK5" s="655"/>
      <c r="BL5" s="655"/>
      <c r="BM5" s="655"/>
      <c r="BN5" s="655"/>
      <c r="BO5" s="655"/>
      <c r="BP5" s="655"/>
      <c r="BQ5" s="655"/>
      <c r="BR5" s="655"/>
      <c r="BS5" s="655"/>
      <c r="BT5" s="655"/>
      <c r="BU5" s="655"/>
      <c r="BV5" s="655"/>
      <c r="BW5" s="655"/>
      <c r="BX5" s="655"/>
      <c r="BY5" s="655"/>
      <c r="BZ5" s="655"/>
      <c r="CA5" s="655"/>
      <c r="CB5" s="655"/>
      <c r="CC5" s="655"/>
      <c r="CD5" s="655"/>
      <c r="CE5" s="655"/>
      <c r="CF5" s="655"/>
      <c r="CG5" s="655"/>
      <c r="CH5" s="655"/>
      <c r="CI5" s="655"/>
      <c r="CJ5" s="655"/>
      <c r="CK5" s="655"/>
      <c r="CL5" s="655"/>
      <c r="CM5" s="655"/>
      <c r="CN5" s="655"/>
      <c r="CO5" s="655"/>
      <c r="CP5" s="655"/>
      <c r="CQ5" s="655"/>
      <c r="CR5" s="655"/>
      <c r="CS5" s="655"/>
      <c r="CT5" s="655"/>
      <c r="CU5" s="655"/>
      <c r="CV5" s="655"/>
      <c r="CW5" s="655"/>
      <c r="CX5" s="655"/>
      <c r="CY5" s="655"/>
      <c r="CZ5" s="655"/>
    </row>
    <row r="6" spans="1:104" ht="16.5">
      <c r="A6" s="650" t="s">
        <v>140</v>
      </c>
      <c r="B6" s="651">
        <f t="shared" si="0"/>
        <v>1</v>
      </c>
      <c r="C6" s="652">
        <f t="shared" si="1"/>
        <v>0</v>
      </c>
      <c r="D6" s="653">
        <v>1</v>
      </c>
      <c r="E6" s="654">
        <v>0</v>
      </c>
      <c r="F6" s="655"/>
      <c r="G6" s="655"/>
      <c r="H6" s="655"/>
      <c r="I6" s="655"/>
      <c r="J6" s="655"/>
      <c r="K6" s="655"/>
      <c r="L6" s="655"/>
      <c r="M6" s="655"/>
      <c r="N6" s="655"/>
      <c r="O6" s="655"/>
      <c r="P6" s="655"/>
      <c r="Q6" s="655"/>
      <c r="R6" s="655"/>
      <c r="S6" s="655"/>
      <c r="T6" s="655"/>
      <c r="U6" s="655"/>
      <c r="V6" s="655"/>
      <c r="W6" s="655"/>
      <c r="X6" s="655"/>
      <c r="Y6" s="655"/>
      <c r="Z6" s="655"/>
      <c r="AA6" s="655"/>
      <c r="AB6" s="655"/>
      <c r="AC6" s="655"/>
      <c r="AD6" s="655"/>
      <c r="AE6" s="655"/>
      <c r="AF6" s="655"/>
      <c r="AG6" s="655"/>
      <c r="AH6" s="655"/>
      <c r="AI6" s="655"/>
      <c r="AJ6" s="655"/>
      <c r="AK6" s="655"/>
      <c r="AL6" s="655"/>
      <c r="AM6" s="655"/>
      <c r="AN6" s="655"/>
      <c r="AO6" s="655"/>
      <c r="AP6" s="655"/>
      <c r="AQ6" s="655"/>
      <c r="AR6" s="655"/>
      <c r="AS6" s="655"/>
      <c r="AT6" s="655"/>
      <c r="AU6" s="655"/>
      <c r="AV6" s="655"/>
      <c r="AW6" s="655"/>
      <c r="AX6" s="655"/>
      <c r="AY6" s="655"/>
      <c r="AZ6" s="655"/>
      <c r="BA6" s="655"/>
      <c r="BB6" s="655"/>
      <c r="BC6" s="655"/>
      <c r="BD6" s="655"/>
      <c r="BE6" s="655"/>
      <c r="BF6" s="655"/>
      <c r="BG6" s="655"/>
      <c r="BH6" s="655"/>
      <c r="BI6" s="655"/>
      <c r="BJ6" s="655"/>
      <c r="BK6" s="655"/>
      <c r="BL6" s="655"/>
      <c r="BM6" s="655"/>
      <c r="BN6" s="655"/>
      <c r="BO6" s="655"/>
      <c r="BP6" s="655"/>
      <c r="BQ6" s="655"/>
      <c r="BR6" s="655"/>
      <c r="BS6" s="655"/>
      <c r="BT6" s="655"/>
      <c r="BU6" s="655"/>
      <c r="BV6" s="655"/>
      <c r="BW6" s="655"/>
      <c r="BX6" s="655"/>
      <c r="BY6" s="655"/>
      <c r="BZ6" s="655"/>
      <c r="CA6" s="655"/>
      <c r="CB6" s="655"/>
      <c r="CC6" s="655"/>
      <c r="CD6" s="655"/>
      <c r="CE6" s="655"/>
      <c r="CF6" s="655"/>
      <c r="CG6" s="655"/>
      <c r="CH6" s="655"/>
      <c r="CI6" s="655"/>
      <c r="CJ6" s="655"/>
      <c r="CK6" s="655"/>
      <c r="CL6" s="655"/>
      <c r="CM6" s="655"/>
      <c r="CN6" s="655"/>
      <c r="CO6" s="655"/>
      <c r="CP6" s="655"/>
      <c r="CQ6" s="655"/>
      <c r="CR6" s="655"/>
      <c r="CS6" s="655"/>
      <c r="CT6" s="655"/>
      <c r="CU6" s="655"/>
      <c r="CV6" s="655"/>
      <c r="CW6" s="655"/>
      <c r="CX6" s="655"/>
      <c r="CY6" s="655"/>
      <c r="CZ6" s="655"/>
    </row>
    <row r="7" spans="1:104" ht="16.5">
      <c r="A7" s="650" t="s">
        <v>179</v>
      </c>
      <c r="B7" s="651">
        <f t="shared" si="0"/>
        <v>5</v>
      </c>
      <c r="C7" s="652">
        <f t="shared" si="1"/>
        <v>0</v>
      </c>
      <c r="D7" s="653">
        <v>5</v>
      </c>
      <c r="E7" s="654">
        <v>0</v>
      </c>
      <c r="F7" s="655"/>
      <c r="G7" s="655"/>
      <c r="H7" s="655"/>
      <c r="I7" s="655"/>
      <c r="J7" s="655"/>
      <c r="K7" s="655"/>
      <c r="L7" s="655"/>
      <c r="M7" s="655"/>
      <c r="N7" s="655"/>
      <c r="O7" s="655"/>
      <c r="P7" s="655"/>
      <c r="Q7" s="655"/>
      <c r="R7" s="655"/>
      <c r="S7" s="655"/>
      <c r="T7" s="655"/>
      <c r="U7" s="655"/>
      <c r="V7" s="655"/>
      <c r="W7" s="655"/>
      <c r="X7" s="655"/>
      <c r="Y7" s="655"/>
      <c r="Z7" s="655"/>
      <c r="AA7" s="655"/>
      <c r="AB7" s="655"/>
      <c r="AC7" s="655"/>
      <c r="AD7" s="655"/>
      <c r="AE7" s="655"/>
      <c r="AF7" s="655"/>
      <c r="AG7" s="655"/>
      <c r="AH7" s="655"/>
      <c r="AI7" s="655"/>
      <c r="AJ7" s="655"/>
      <c r="AK7" s="655"/>
      <c r="AL7" s="655"/>
      <c r="AM7" s="655"/>
      <c r="AN7" s="655"/>
      <c r="AO7" s="655"/>
      <c r="AP7" s="655"/>
      <c r="AQ7" s="655"/>
      <c r="AR7" s="655"/>
      <c r="AS7" s="655"/>
      <c r="AT7" s="655"/>
      <c r="AU7" s="655"/>
      <c r="AV7" s="655"/>
      <c r="AW7" s="655"/>
      <c r="AX7" s="655"/>
      <c r="AY7" s="655"/>
      <c r="AZ7" s="655"/>
      <c r="BA7" s="655"/>
      <c r="BB7" s="655"/>
      <c r="BC7" s="655"/>
      <c r="BD7" s="655"/>
      <c r="BE7" s="655"/>
      <c r="BF7" s="655"/>
      <c r="BG7" s="655"/>
      <c r="BH7" s="655"/>
      <c r="BI7" s="655"/>
      <c r="BJ7" s="655"/>
      <c r="BK7" s="655"/>
      <c r="BL7" s="655"/>
      <c r="BM7" s="655"/>
      <c r="BN7" s="655"/>
      <c r="BO7" s="655"/>
      <c r="BP7" s="655"/>
      <c r="BQ7" s="655"/>
      <c r="BR7" s="655"/>
      <c r="BS7" s="655"/>
      <c r="BT7" s="655"/>
      <c r="BU7" s="655"/>
      <c r="BV7" s="655"/>
      <c r="BW7" s="655"/>
      <c r="BX7" s="655"/>
      <c r="BY7" s="655"/>
      <c r="BZ7" s="655"/>
      <c r="CA7" s="655"/>
      <c r="CB7" s="655"/>
      <c r="CC7" s="655"/>
      <c r="CD7" s="655"/>
      <c r="CE7" s="655"/>
      <c r="CF7" s="655"/>
      <c r="CG7" s="655"/>
      <c r="CH7" s="655"/>
      <c r="CI7" s="655"/>
      <c r="CJ7" s="655"/>
      <c r="CK7" s="655"/>
      <c r="CL7" s="655"/>
      <c r="CM7" s="655"/>
      <c r="CN7" s="655"/>
      <c r="CO7" s="655"/>
      <c r="CP7" s="655"/>
      <c r="CQ7" s="655"/>
      <c r="CR7" s="655"/>
      <c r="CS7" s="655"/>
      <c r="CT7" s="655"/>
      <c r="CU7" s="655"/>
      <c r="CV7" s="655"/>
      <c r="CW7" s="655"/>
      <c r="CX7" s="655"/>
      <c r="CY7" s="655"/>
      <c r="CZ7" s="655"/>
    </row>
    <row r="8" spans="1:104" ht="16.5">
      <c r="A8" s="650" t="s">
        <v>181</v>
      </c>
      <c r="B8" s="651">
        <f t="shared" si="0"/>
        <v>5</v>
      </c>
      <c r="C8" s="652">
        <f t="shared" si="1"/>
        <v>0</v>
      </c>
      <c r="D8" s="653">
        <v>5</v>
      </c>
      <c r="E8" s="654" t="s">
        <v>6620</v>
      </c>
      <c r="F8" s="655"/>
      <c r="G8" s="655"/>
      <c r="H8" s="655"/>
      <c r="I8" s="655"/>
      <c r="J8" s="655"/>
      <c r="K8" s="655"/>
      <c r="L8" s="655"/>
      <c r="M8" s="655"/>
      <c r="N8" s="655"/>
      <c r="O8" s="655"/>
      <c r="P8" s="655"/>
      <c r="Q8" s="655"/>
      <c r="R8" s="655"/>
      <c r="S8" s="655"/>
      <c r="T8" s="655"/>
      <c r="U8" s="655"/>
      <c r="V8" s="655"/>
      <c r="W8" s="655"/>
      <c r="X8" s="655"/>
      <c r="Y8" s="655"/>
      <c r="Z8" s="655"/>
      <c r="AA8" s="655"/>
      <c r="AB8" s="655"/>
      <c r="AC8" s="655"/>
      <c r="AD8" s="655"/>
      <c r="AE8" s="655"/>
      <c r="AF8" s="655"/>
      <c r="AG8" s="655"/>
      <c r="AH8" s="655"/>
      <c r="AI8" s="655"/>
      <c r="AJ8" s="655"/>
      <c r="AK8" s="655"/>
      <c r="AL8" s="655"/>
      <c r="AM8" s="655"/>
      <c r="AN8" s="655"/>
      <c r="AO8" s="655"/>
      <c r="AP8" s="655"/>
      <c r="AQ8" s="655"/>
      <c r="AR8" s="655"/>
      <c r="AS8" s="655"/>
      <c r="AT8" s="655"/>
      <c r="AU8" s="655"/>
      <c r="AV8" s="655"/>
      <c r="AW8" s="655"/>
      <c r="AX8" s="655"/>
      <c r="AY8" s="655"/>
      <c r="AZ8" s="655"/>
      <c r="BA8" s="655"/>
      <c r="BB8" s="655"/>
      <c r="BC8" s="655"/>
      <c r="BD8" s="655"/>
      <c r="BE8" s="655"/>
      <c r="BF8" s="655"/>
      <c r="BG8" s="655"/>
      <c r="BH8" s="655"/>
      <c r="BI8" s="655"/>
      <c r="BJ8" s="655"/>
      <c r="BK8" s="655"/>
      <c r="BL8" s="655"/>
      <c r="BM8" s="655"/>
      <c r="BN8" s="655"/>
      <c r="BO8" s="655"/>
      <c r="BP8" s="655"/>
      <c r="BQ8" s="655"/>
      <c r="BR8" s="655"/>
      <c r="BS8" s="655"/>
      <c r="BT8" s="655"/>
      <c r="BU8" s="655"/>
      <c r="BV8" s="655"/>
      <c r="BW8" s="655"/>
      <c r="BX8" s="655"/>
      <c r="BY8" s="655"/>
      <c r="BZ8" s="655"/>
      <c r="CA8" s="655"/>
      <c r="CB8" s="655"/>
      <c r="CC8" s="655"/>
      <c r="CD8" s="655"/>
      <c r="CE8" s="655"/>
      <c r="CF8" s="655"/>
      <c r="CG8" s="655"/>
      <c r="CH8" s="655"/>
      <c r="CI8" s="655"/>
      <c r="CJ8" s="655"/>
      <c r="CK8" s="655"/>
      <c r="CL8" s="655"/>
      <c r="CM8" s="655"/>
      <c r="CN8" s="655"/>
      <c r="CO8" s="655"/>
      <c r="CP8" s="655"/>
      <c r="CQ8" s="655"/>
      <c r="CR8" s="655"/>
      <c r="CS8" s="655"/>
      <c r="CT8" s="655"/>
      <c r="CU8" s="655"/>
      <c r="CV8" s="655"/>
      <c r="CW8" s="655"/>
      <c r="CX8" s="655"/>
      <c r="CY8" s="655"/>
      <c r="CZ8" s="655"/>
    </row>
    <row r="9" spans="1:104" ht="16.5">
      <c r="A9" s="650" t="s">
        <v>186</v>
      </c>
      <c r="B9" s="651">
        <f t="shared" si="0"/>
        <v>5</v>
      </c>
      <c r="C9" s="652">
        <f t="shared" si="1"/>
        <v>0</v>
      </c>
      <c r="D9" s="653">
        <v>5</v>
      </c>
      <c r="E9" s="654"/>
      <c r="F9" s="655"/>
      <c r="G9" s="655"/>
      <c r="H9" s="655"/>
      <c r="I9" s="655"/>
      <c r="J9" s="655"/>
      <c r="K9" s="655"/>
      <c r="L9" s="655"/>
      <c r="M9" s="655"/>
      <c r="N9" s="655"/>
      <c r="O9" s="655"/>
      <c r="P9" s="655"/>
      <c r="Q9" s="655"/>
      <c r="R9" s="655"/>
      <c r="S9" s="655"/>
      <c r="T9" s="655"/>
      <c r="U9" s="655"/>
      <c r="V9" s="655"/>
      <c r="W9" s="655"/>
      <c r="X9" s="655"/>
      <c r="Y9" s="655"/>
      <c r="Z9" s="655"/>
      <c r="AA9" s="655"/>
      <c r="AB9" s="655"/>
      <c r="AC9" s="655"/>
      <c r="AD9" s="655"/>
      <c r="AE9" s="655"/>
      <c r="AF9" s="655"/>
      <c r="AG9" s="655"/>
      <c r="AH9" s="655"/>
      <c r="AI9" s="655"/>
      <c r="AJ9" s="655"/>
      <c r="AK9" s="655"/>
      <c r="AL9" s="655"/>
      <c r="AM9" s="655"/>
      <c r="AN9" s="655"/>
      <c r="AO9" s="655"/>
      <c r="AP9" s="655"/>
      <c r="AQ9" s="655"/>
      <c r="AR9" s="655"/>
      <c r="AS9" s="655"/>
      <c r="AT9" s="655"/>
      <c r="AU9" s="655"/>
      <c r="AV9" s="655"/>
      <c r="AW9" s="655"/>
      <c r="AX9" s="655"/>
      <c r="AY9" s="655"/>
      <c r="AZ9" s="655"/>
      <c r="BA9" s="655"/>
      <c r="BB9" s="655"/>
      <c r="BC9" s="655"/>
      <c r="BD9" s="655"/>
      <c r="BE9" s="655"/>
      <c r="BF9" s="655"/>
      <c r="BG9" s="655"/>
      <c r="BH9" s="655"/>
      <c r="BI9" s="655"/>
      <c r="BJ9" s="655"/>
      <c r="BK9" s="655"/>
      <c r="BL9" s="655"/>
      <c r="BM9" s="655"/>
      <c r="BN9" s="655"/>
      <c r="BO9" s="655"/>
      <c r="BP9" s="655"/>
      <c r="BQ9" s="655"/>
      <c r="BR9" s="655"/>
      <c r="BS9" s="655"/>
      <c r="BT9" s="655"/>
      <c r="BU9" s="655"/>
      <c r="BV9" s="655"/>
      <c r="BW9" s="655"/>
      <c r="BX9" s="655"/>
      <c r="BY9" s="655"/>
      <c r="BZ9" s="655"/>
      <c r="CA9" s="655"/>
      <c r="CB9" s="655"/>
      <c r="CC9" s="655"/>
      <c r="CD9" s="655"/>
      <c r="CE9" s="655"/>
      <c r="CF9" s="655"/>
      <c r="CG9" s="655"/>
      <c r="CH9" s="655"/>
      <c r="CI9" s="655"/>
      <c r="CJ9" s="655"/>
      <c r="CK9" s="655"/>
      <c r="CL9" s="655"/>
      <c r="CM9" s="655"/>
      <c r="CN9" s="655"/>
      <c r="CO9" s="655"/>
      <c r="CP9" s="655"/>
      <c r="CQ9" s="655"/>
      <c r="CR9" s="655"/>
      <c r="CS9" s="655"/>
      <c r="CT9" s="655"/>
      <c r="CU9" s="655"/>
      <c r="CV9" s="655"/>
      <c r="CW9" s="655"/>
      <c r="CX9" s="655"/>
      <c r="CY9" s="655"/>
      <c r="CZ9" s="655"/>
    </row>
    <row r="10" spans="1:104" ht="16.5">
      <c r="A10" s="650" t="s">
        <v>155</v>
      </c>
      <c r="B10" s="651">
        <f t="shared" si="0"/>
        <v>15</v>
      </c>
      <c r="C10" s="652">
        <f t="shared" si="1"/>
        <v>0</v>
      </c>
      <c r="D10" s="653">
        <v>15</v>
      </c>
      <c r="E10" s="654"/>
      <c r="F10" s="655"/>
      <c r="G10" s="655"/>
      <c r="H10" s="655"/>
      <c r="I10" s="655"/>
      <c r="J10" s="655"/>
      <c r="K10" s="655"/>
      <c r="L10" s="655"/>
      <c r="M10" s="655"/>
      <c r="N10" s="655"/>
      <c r="O10" s="655"/>
      <c r="P10" s="655"/>
      <c r="Q10" s="655"/>
      <c r="R10" s="655"/>
      <c r="S10" s="655"/>
      <c r="T10" s="655"/>
      <c r="U10" s="655"/>
      <c r="V10" s="655"/>
      <c r="W10" s="655"/>
      <c r="X10" s="655"/>
      <c r="Y10" s="655"/>
      <c r="Z10" s="655"/>
      <c r="AA10" s="655"/>
      <c r="AB10" s="655"/>
      <c r="AC10" s="655"/>
      <c r="AD10" s="655"/>
      <c r="AE10" s="655"/>
      <c r="AF10" s="655"/>
      <c r="AG10" s="655"/>
      <c r="AH10" s="655"/>
      <c r="AI10" s="655"/>
      <c r="AJ10" s="655"/>
      <c r="AK10" s="655"/>
      <c r="AL10" s="655"/>
      <c r="AM10" s="655"/>
      <c r="AN10" s="655"/>
      <c r="AO10" s="655"/>
      <c r="AP10" s="655"/>
      <c r="AQ10" s="655"/>
      <c r="AR10" s="655"/>
      <c r="AS10" s="655"/>
      <c r="AT10" s="655"/>
      <c r="AU10" s="655"/>
      <c r="AV10" s="655"/>
      <c r="AW10" s="655"/>
      <c r="AX10" s="655"/>
      <c r="AY10" s="655"/>
      <c r="AZ10" s="655"/>
      <c r="BA10" s="655"/>
      <c r="BB10" s="655"/>
      <c r="BC10" s="655"/>
      <c r="BD10" s="655"/>
      <c r="BE10" s="655"/>
      <c r="BF10" s="655"/>
      <c r="BG10" s="655"/>
      <c r="BH10" s="655"/>
      <c r="BI10" s="655"/>
      <c r="BJ10" s="655"/>
      <c r="BK10" s="655"/>
      <c r="BL10" s="655"/>
      <c r="BM10" s="655"/>
      <c r="BN10" s="655"/>
      <c r="BO10" s="655"/>
      <c r="BP10" s="655"/>
      <c r="BQ10" s="655"/>
      <c r="BR10" s="655"/>
      <c r="BS10" s="655"/>
      <c r="BT10" s="655"/>
      <c r="BU10" s="655"/>
      <c r="BV10" s="655"/>
      <c r="BW10" s="655"/>
      <c r="BX10" s="655"/>
      <c r="BY10" s="655"/>
      <c r="BZ10" s="655"/>
      <c r="CA10" s="655"/>
      <c r="CB10" s="655"/>
      <c r="CC10" s="655"/>
      <c r="CD10" s="655"/>
      <c r="CE10" s="655"/>
      <c r="CF10" s="655"/>
      <c r="CG10" s="655"/>
      <c r="CH10" s="655"/>
      <c r="CI10" s="655"/>
      <c r="CJ10" s="655"/>
      <c r="CK10" s="655"/>
      <c r="CL10" s="655"/>
      <c r="CM10" s="655"/>
      <c r="CN10" s="655"/>
      <c r="CO10" s="655"/>
      <c r="CP10" s="655"/>
      <c r="CQ10" s="655"/>
      <c r="CR10" s="655"/>
      <c r="CS10" s="655"/>
      <c r="CT10" s="655"/>
      <c r="CU10" s="655"/>
      <c r="CV10" s="655"/>
      <c r="CW10" s="655"/>
      <c r="CX10" s="655"/>
      <c r="CY10" s="655"/>
      <c r="CZ10" s="655"/>
    </row>
    <row r="11" spans="1:104" ht="16.5">
      <c r="A11" s="650" t="s">
        <v>166</v>
      </c>
      <c r="B11" s="651">
        <f t="shared" si="0"/>
        <v>20</v>
      </c>
      <c r="C11" s="652">
        <f t="shared" si="1"/>
        <v>0</v>
      </c>
      <c r="D11" s="653">
        <v>20</v>
      </c>
      <c r="E11" s="654" t="s">
        <v>6621</v>
      </c>
      <c r="F11" s="655"/>
      <c r="G11" s="655"/>
      <c r="H11" s="655"/>
      <c r="I11" s="655"/>
      <c r="J11" s="655"/>
      <c r="K11" s="655"/>
      <c r="L11" s="655"/>
      <c r="M11" s="655"/>
      <c r="N11" s="655"/>
      <c r="O11" s="655"/>
      <c r="P11" s="655"/>
      <c r="Q11" s="655"/>
      <c r="R11" s="655"/>
      <c r="S11" s="655"/>
      <c r="T11" s="655"/>
      <c r="U11" s="655"/>
      <c r="V11" s="655"/>
      <c r="W11" s="655"/>
      <c r="X11" s="655"/>
      <c r="Y11" s="655"/>
      <c r="Z11" s="655"/>
      <c r="AA11" s="655"/>
      <c r="AB11" s="655"/>
      <c r="AC11" s="655"/>
      <c r="AD11" s="655"/>
      <c r="AE11" s="655"/>
      <c r="AF11" s="655"/>
      <c r="AG11" s="655"/>
      <c r="AH11" s="655"/>
      <c r="AI11" s="655"/>
      <c r="AJ11" s="655"/>
      <c r="AK11" s="655"/>
      <c r="AL11" s="655"/>
      <c r="AM11" s="655"/>
      <c r="AN11" s="655"/>
      <c r="AO11" s="655"/>
      <c r="AP11" s="655"/>
      <c r="AQ11" s="655"/>
      <c r="AR11" s="655"/>
      <c r="AS11" s="655"/>
      <c r="AT11" s="655"/>
      <c r="AU11" s="655"/>
      <c r="AV11" s="655"/>
      <c r="AW11" s="655"/>
      <c r="AX11" s="655"/>
      <c r="AY11" s="655"/>
      <c r="AZ11" s="655"/>
      <c r="BA11" s="655"/>
      <c r="BB11" s="655"/>
      <c r="BC11" s="655"/>
      <c r="BD11" s="655"/>
      <c r="BE11" s="655"/>
      <c r="BF11" s="655"/>
      <c r="BG11" s="655"/>
      <c r="BH11" s="655"/>
      <c r="BI11" s="655"/>
      <c r="BJ11" s="655"/>
      <c r="BK11" s="655"/>
      <c r="BL11" s="655"/>
      <c r="BM11" s="655"/>
      <c r="BN11" s="655"/>
      <c r="BO11" s="655"/>
      <c r="BP11" s="655"/>
      <c r="BQ11" s="655"/>
      <c r="BR11" s="655"/>
      <c r="BS11" s="655"/>
      <c r="BT11" s="655"/>
      <c r="BU11" s="655"/>
      <c r="BV11" s="655"/>
      <c r="BW11" s="655"/>
      <c r="BX11" s="655"/>
      <c r="BY11" s="655"/>
      <c r="BZ11" s="655"/>
      <c r="CA11" s="655"/>
      <c r="CB11" s="655"/>
      <c r="CC11" s="655"/>
      <c r="CD11" s="655"/>
      <c r="CE11" s="655"/>
      <c r="CF11" s="655"/>
      <c r="CG11" s="655"/>
      <c r="CH11" s="655"/>
      <c r="CI11" s="655"/>
      <c r="CJ11" s="655"/>
      <c r="CK11" s="655"/>
      <c r="CL11" s="655"/>
      <c r="CM11" s="655"/>
      <c r="CN11" s="655"/>
      <c r="CO11" s="655"/>
      <c r="CP11" s="655"/>
      <c r="CQ11" s="655"/>
      <c r="CR11" s="655"/>
      <c r="CS11" s="655"/>
      <c r="CT11" s="655"/>
      <c r="CU11" s="655"/>
      <c r="CV11" s="655"/>
      <c r="CW11" s="655"/>
      <c r="CX11" s="655"/>
      <c r="CY11" s="655"/>
      <c r="CZ11" s="655"/>
    </row>
    <row r="12" spans="1:104" ht="16.5">
      <c r="A12" s="650" t="s">
        <v>165</v>
      </c>
      <c r="B12" s="651">
        <f t="shared" si="0"/>
        <v>5</v>
      </c>
      <c r="C12" s="652">
        <f t="shared" si="1"/>
        <v>0</v>
      </c>
      <c r="D12" s="653">
        <v>5</v>
      </c>
      <c r="E12" s="654" t="s">
        <v>6622</v>
      </c>
      <c r="F12" s="655"/>
      <c r="G12" s="655"/>
      <c r="H12" s="655"/>
      <c r="I12" s="655"/>
      <c r="J12" s="655"/>
      <c r="K12" s="655"/>
      <c r="L12" s="655"/>
      <c r="M12" s="655"/>
      <c r="N12" s="655"/>
      <c r="O12" s="655"/>
      <c r="P12" s="655"/>
      <c r="Q12" s="655"/>
      <c r="R12" s="655"/>
      <c r="S12" s="655"/>
      <c r="T12" s="655"/>
      <c r="U12" s="655"/>
      <c r="V12" s="655"/>
      <c r="W12" s="655"/>
      <c r="X12" s="655"/>
      <c r="Y12" s="655"/>
      <c r="Z12" s="655"/>
      <c r="AA12" s="655"/>
      <c r="AB12" s="655"/>
      <c r="AC12" s="655"/>
      <c r="AD12" s="655"/>
      <c r="AE12" s="655"/>
      <c r="AF12" s="655"/>
      <c r="AG12" s="655"/>
      <c r="AH12" s="655"/>
      <c r="AI12" s="655"/>
      <c r="AJ12" s="655"/>
      <c r="AK12" s="655"/>
      <c r="AL12" s="655"/>
      <c r="AM12" s="655"/>
      <c r="AN12" s="655"/>
      <c r="AO12" s="655"/>
      <c r="AP12" s="655"/>
      <c r="AQ12" s="655"/>
      <c r="AR12" s="655"/>
      <c r="AS12" s="655"/>
      <c r="AT12" s="655"/>
      <c r="AU12" s="655"/>
      <c r="AV12" s="655"/>
      <c r="AW12" s="655"/>
      <c r="AX12" s="655"/>
      <c r="AY12" s="655"/>
      <c r="AZ12" s="655"/>
      <c r="BA12" s="655"/>
      <c r="BB12" s="655"/>
      <c r="BC12" s="655"/>
      <c r="BD12" s="655"/>
      <c r="BE12" s="655"/>
      <c r="BF12" s="655"/>
      <c r="BG12" s="655"/>
      <c r="BH12" s="655"/>
      <c r="BI12" s="655"/>
      <c r="BJ12" s="655"/>
      <c r="BK12" s="655"/>
      <c r="BL12" s="655"/>
      <c r="BM12" s="655"/>
      <c r="BN12" s="655"/>
      <c r="BO12" s="655"/>
      <c r="BP12" s="655"/>
      <c r="BQ12" s="655"/>
      <c r="BR12" s="655"/>
      <c r="BS12" s="655"/>
      <c r="BT12" s="655"/>
      <c r="BU12" s="655"/>
      <c r="BV12" s="655"/>
      <c r="BW12" s="655"/>
      <c r="BX12" s="655"/>
      <c r="BY12" s="655"/>
      <c r="BZ12" s="655"/>
      <c r="CA12" s="655"/>
      <c r="CB12" s="655"/>
      <c r="CC12" s="655"/>
      <c r="CD12" s="655"/>
      <c r="CE12" s="655"/>
      <c r="CF12" s="655"/>
      <c r="CG12" s="655"/>
      <c r="CH12" s="655"/>
      <c r="CI12" s="655"/>
      <c r="CJ12" s="655"/>
      <c r="CK12" s="655"/>
      <c r="CL12" s="655"/>
      <c r="CM12" s="655"/>
      <c r="CN12" s="655"/>
      <c r="CO12" s="655"/>
      <c r="CP12" s="655"/>
      <c r="CQ12" s="655"/>
      <c r="CR12" s="655"/>
      <c r="CS12" s="655"/>
      <c r="CT12" s="655"/>
      <c r="CU12" s="655"/>
      <c r="CV12" s="655"/>
      <c r="CW12" s="655"/>
      <c r="CX12" s="655"/>
      <c r="CY12" s="655"/>
      <c r="CZ12" s="655"/>
    </row>
    <row r="13" spans="1:104" ht="16.5">
      <c r="A13" s="650" t="s">
        <v>150</v>
      </c>
      <c r="B13" s="651">
        <f t="shared" si="0"/>
        <v>0</v>
      </c>
      <c r="C13" s="652">
        <f t="shared" si="1"/>
        <v>0</v>
      </c>
      <c r="D13" s="653">
        <v>0</v>
      </c>
      <c r="E13" s="654" t="s">
        <v>6623</v>
      </c>
      <c r="F13" s="655"/>
      <c r="G13" s="655"/>
      <c r="H13" s="655"/>
      <c r="I13" s="655"/>
      <c r="J13" s="655"/>
      <c r="K13" s="655"/>
      <c r="L13" s="655"/>
      <c r="M13" s="655"/>
      <c r="N13" s="655"/>
      <c r="O13" s="655"/>
      <c r="P13" s="655"/>
      <c r="Q13" s="655"/>
      <c r="R13" s="655"/>
      <c r="S13" s="655"/>
      <c r="T13" s="655"/>
      <c r="U13" s="655"/>
      <c r="V13" s="655"/>
      <c r="W13" s="655"/>
      <c r="X13" s="655"/>
      <c r="Y13" s="655"/>
      <c r="Z13" s="655"/>
      <c r="AA13" s="655"/>
      <c r="AB13" s="655"/>
      <c r="AC13" s="655"/>
      <c r="AD13" s="655"/>
      <c r="AE13" s="655"/>
      <c r="AF13" s="655"/>
      <c r="AG13" s="655"/>
      <c r="AH13" s="655"/>
      <c r="AI13" s="655"/>
      <c r="AJ13" s="655"/>
      <c r="AK13" s="655"/>
      <c r="AL13" s="655"/>
      <c r="AM13" s="655"/>
      <c r="AN13" s="655"/>
      <c r="AO13" s="655"/>
      <c r="AP13" s="655"/>
      <c r="AQ13" s="655"/>
      <c r="AR13" s="655"/>
      <c r="AS13" s="655"/>
      <c r="AT13" s="655"/>
      <c r="AU13" s="655"/>
      <c r="AV13" s="655"/>
      <c r="AW13" s="655"/>
      <c r="AX13" s="655"/>
      <c r="AY13" s="655"/>
      <c r="AZ13" s="655"/>
      <c r="BA13" s="655"/>
      <c r="BB13" s="655"/>
      <c r="BC13" s="655"/>
      <c r="BD13" s="655"/>
      <c r="BE13" s="655"/>
      <c r="BF13" s="655"/>
      <c r="BG13" s="655"/>
      <c r="BH13" s="655"/>
      <c r="BI13" s="655"/>
      <c r="BJ13" s="655"/>
      <c r="BK13" s="655"/>
      <c r="BL13" s="655"/>
      <c r="BM13" s="655"/>
      <c r="BN13" s="655"/>
      <c r="BO13" s="655"/>
      <c r="BP13" s="655"/>
      <c r="BQ13" s="655"/>
      <c r="BR13" s="655"/>
      <c r="BS13" s="655"/>
      <c r="BT13" s="655"/>
      <c r="BU13" s="655"/>
      <c r="BV13" s="655"/>
      <c r="BW13" s="655"/>
      <c r="BX13" s="655"/>
      <c r="BY13" s="655"/>
      <c r="BZ13" s="655"/>
      <c r="CA13" s="655"/>
      <c r="CB13" s="655"/>
      <c r="CC13" s="655"/>
      <c r="CD13" s="655"/>
      <c r="CE13" s="655"/>
      <c r="CF13" s="655"/>
      <c r="CG13" s="655"/>
      <c r="CH13" s="655"/>
      <c r="CI13" s="655"/>
      <c r="CJ13" s="655"/>
      <c r="CK13" s="655"/>
      <c r="CL13" s="655"/>
      <c r="CM13" s="655"/>
      <c r="CN13" s="655"/>
      <c r="CO13" s="655"/>
      <c r="CP13" s="655"/>
      <c r="CQ13" s="655"/>
      <c r="CR13" s="655"/>
      <c r="CS13" s="655"/>
      <c r="CT13" s="655"/>
      <c r="CU13" s="655"/>
      <c r="CV13" s="655"/>
      <c r="CW13" s="655"/>
      <c r="CX13" s="655"/>
      <c r="CY13" s="655"/>
      <c r="CZ13" s="655"/>
    </row>
    <row r="14" spans="1:104" ht="16.5">
      <c r="A14" s="650" t="s">
        <v>152</v>
      </c>
      <c r="B14" s="651">
        <f t="shared" si="0"/>
        <v>0</v>
      </c>
      <c r="C14" s="652">
        <f t="shared" si="1"/>
        <v>0</v>
      </c>
      <c r="D14" s="653">
        <v>0</v>
      </c>
      <c r="E14" s="654"/>
      <c r="F14" s="655"/>
      <c r="G14" s="655"/>
      <c r="H14" s="655"/>
      <c r="I14" s="655"/>
      <c r="J14" s="655"/>
      <c r="K14" s="655"/>
      <c r="L14" s="655"/>
      <c r="M14" s="655"/>
      <c r="N14" s="655"/>
      <c r="O14" s="655"/>
      <c r="P14" s="655"/>
      <c r="Q14" s="655"/>
      <c r="R14" s="655"/>
      <c r="S14" s="655"/>
      <c r="T14" s="655"/>
      <c r="U14" s="655"/>
      <c r="V14" s="655"/>
      <c r="W14" s="655"/>
      <c r="X14" s="655"/>
      <c r="Y14" s="655"/>
      <c r="Z14" s="655"/>
      <c r="AA14" s="655"/>
      <c r="AB14" s="655"/>
      <c r="AC14" s="655"/>
      <c r="AD14" s="655"/>
      <c r="AE14" s="655"/>
      <c r="AF14" s="655"/>
      <c r="AG14" s="655"/>
      <c r="AH14" s="655"/>
      <c r="AI14" s="655"/>
      <c r="AJ14" s="655"/>
      <c r="AK14" s="655"/>
      <c r="AL14" s="655"/>
      <c r="AM14" s="655"/>
      <c r="AN14" s="655"/>
      <c r="AO14" s="655"/>
      <c r="AP14" s="655"/>
      <c r="AQ14" s="655"/>
      <c r="AR14" s="655"/>
      <c r="AS14" s="655"/>
      <c r="AT14" s="655"/>
      <c r="AU14" s="655"/>
      <c r="AV14" s="655"/>
      <c r="AW14" s="655"/>
      <c r="AX14" s="655"/>
      <c r="AY14" s="655"/>
      <c r="AZ14" s="655"/>
      <c r="BA14" s="655"/>
      <c r="BB14" s="655"/>
      <c r="BC14" s="655"/>
      <c r="BD14" s="655"/>
      <c r="BE14" s="655"/>
      <c r="BF14" s="655"/>
      <c r="BG14" s="655"/>
      <c r="BH14" s="655"/>
      <c r="BI14" s="655"/>
      <c r="BJ14" s="655"/>
      <c r="BK14" s="655"/>
      <c r="BL14" s="655"/>
      <c r="BM14" s="655"/>
      <c r="BN14" s="655"/>
      <c r="BO14" s="655"/>
      <c r="BP14" s="655"/>
      <c r="BQ14" s="655"/>
      <c r="BR14" s="655"/>
      <c r="BS14" s="655"/>
      <c r="BT14" s="655"/>
      <c r="BU14" s="655"/>
      <c r="BV14" s="655"/>
      <c r="BW14" s="655"/>
      <c r="BX14" s="655"/>
      <c r="BY14" s="655"/>
      <c r="BZ14" s="655"/>
      <c r="CA14" s="655"/>
      <c r="CB14" s="655"/>
      <c r="CC14" s="655"/>
      <c r="CD14" s="655"/>
      <c r="CE14" s="655"/>
      <c r="CF14" s="655"/>
      <c r="CG14" s="655"/>
      <c r="CH14" s="655"/>
      <c r="CI14" s="655"/>
      <c r="CJ14" s="655"/>
      <c r="CK14" s="655"/>
      <c r="CL14" s="655"/>
      <c r="CM14" s="655"/>
      <c r="CN14" s="655"/>
      <c r="CO14" s="655"/>
      <c r="CP14" s="655"/>
      <c r="CQ14" s="655"/>
      <c r="CR14" s="655"/>
      <c r="CS14" s="655"/>
      <c r="CT14" s="655"/>
      <c r="CU14" s="655"/>
      <c r="CV14" s="655"/>
      <c r="CW14" s="655"/>
      <c r="CX14" s="655"/>
      <c r="CY14" s="655"/>
      <c r="CZ14" s="655"/>
    </row>
    <row r="15" spans="1:104" ht="16.5">
      <c r="A15" s="650" t="s">
        <v>132</v>
      </c>
      <c r="B15" s="651">
        <f t="shared" si="0"/>
        <v>5</v>
      </c>
      <c r="C15" s="652">
        <f t="shared" si="1"/>
        <v>0</v>
      </c>
      <c r="D15" s="653">
        <v>5</v>
      </c>
      <c r="E15" s="654" t="s">
        <v>6624</v>
      </c>
      <c r="F15" s="655"/>
      <c r="G15" s="655"/>
      <c r="H15" s="655"/>
      <c r="I15" s="655"/>
      <c r="J15" s="655"/>
      <c r="K15" s="655"/>
      <c r="L15" s="655"/>
      <c r="M15" s="655"/>
      <c r="N15" s="655"/>
      <c r="O15" s="655"/>
      <c r="P15" s="655"/>
      <c r="Q15" s="655"/>
      <c r="R15" s="655"/>
      <c r="S15" s="655"/>
      <c r="T15" s="655"/>
      <c r="U15" s="655"/>
      <c r="V15" s="655"/>
      <c r="W15" s="655"/>
      <c r="X15" s="655"/>
      <c r="Y15" s="655"/>
      <c r="Z15" s="655"/>
      <c r="AA15" s="655"/>
      <c r="AB15" s="655"/>
      <c r="AC15" s="655"/>
      <c r="AD15" s="655"/>
      <c r="AE15" s="655"/>
      <c r="AF15" s="655"/>
      <c r="AG15" s="655"/>
      <c r="AH15" s="655"/>
      <c r="AI15" s="655"/>
      <c r="AJ15" s="655"/>
      <c r="AK15" s="655"/>
      <c r="AL15" s="655"/>
      <c r="AM15" s="655"/>
      <c r="AN15" s="655"/>
      <c r="AO15" s="655"/>
      <c r="AP15" s="655"/>
      <c r="AQ15" s="655"/>
      <c r="AR15" s="655"/>
      <c r="AS15" s="655"/>
      <c r="AT15" s="655"/>
      <c r="AU15" s="655"/>
      <c r="AV15" s="655"/>
      <c r="AW15" s="655"/>
      <c r="AX15" s="655"/>
      <c r="AY15" s="655"/>
      <c r="AZ15" s="655"/>
      <c r="BA15" s="655"/>
      <c r="BB15" s="655"/>
      <c r="BC15" s="655"/>
      <c r="BD15" s="655"/>
      <c r="BE15" s="655"/>
      <c r="BF15" s="655"/>
      <c r="BG15" s="655"/>
      <c r="BH15" s="655"/>
      <c r="BI15" s="655"/>
      <c r="BJ15" s="655"/>
      <c r="BK15" s="655"/>
      <c r="BL15" s="655"/>
      <c r="BM15" s="655"/>
      <c r="BN15" s="655"/>
      <c r="BO15" s="655"/>
      <c r="BP15" s="655"/>
      <c r="BQ15" s="655"/>
      <c r="BR15" s="655"/>
      <c r="BS15" s="655"/>
      <c r="BT15" s="655"/>
      <c r="BU15" s="655"/>
      <c r="BV15" s="655"/>
      <c r="BW15" s="655"/>
      <c r="BX15" s="655"/>
      <c r="BY15" s="655"/>
      <c r="BZ15" s="655"/>
      <c r="CA15" s="655"/>
      <c r="CB15" s="655"/>
      <c r="CC15" s="655"/>
      <c r="CD15" s="655"/>
      <c r="CE15" s="655"/>
      <c r="CF15" s="655"/>
      <c r="CG15" s="655"/>
      <c r="CH15" s="655"/>
      <c r="CI15" s="655"/>
      <c r="CJ15" s="655"/>
      <c r="CK15" s="655"/>
      <c r="CL15" s="655"/>
      <c r="CM15" s="655"/>
      <c r="CN15" s="655"/>
      <c r="CO15" s="655"/>
      <c r="CP15" s="655"/>
      <c r="CQ15" s="655"/>
      <c r="CR15" s="655"/>
      <c r="CS15" s="655"/>
      <c r="CT15" s="655"/>
      <c r="CU15" s="655"/>
      <c r="CV15" s="655"/>
      <c r="CW15" s="655"/>
      <c r="CX15" s="655"/>
      <c r="CY15" s="655"/>
      <c r="CZ15" s="655"/>
    </row>
    <row r="16" spans="1:104" ht="16.5">
      <c r="A16" s="650" t="s">
        <v>205</v>
      </c>
      <c r="B16" s="651">
        <f t="shared" si="0"/>
        <v>0</v>
      </c>
      <c r="C16" s="652">
        <f t="shared" si="1"/>
        <v>0</v>
      </c>
      <c r="D16" s="653">
        <v>0</v>
      </c>
      <c r="E16" s="654" t="s">
        <v>6625</v>
      </c>
      <c r="F16" s="655"/>
      <c r="G16" s="655"/>
      <c r="H16" s="655"/>
      <c r="I16" s="655"/>
      <c r="J16" s="655"/>
      <c r="K16" s="655"/>
      <c r="L16" s="655"/>
      <c r="M16" s="655"/>
      <c r="N16" s="655"/>
      <c r="O16" s="655"/>
      <c r="P16" s="655"/>
      <c r="Q16" s="655"/>
      <c r="R16" s="655"/>
      <c r="S16" s="655"/>
      <c r="T16" s="655"/>
      <c r="U16" s="655"/>
      <c r="V16" s="655"/>
      <c r="W16" s="655"/>
      <c r="X16" s="655"/>
      <c r="Y16" s="655"/>
      <c r="Z16" s="655"/>
      <c r="AA16" s="655"/>
      <c r="AB16" s="655"/>
      <c r="AC16" s="655"/>
      <c r="AD16" s="655"/>
      <c r="AE16" s="655"/>
      <c r="AF16" s="655"/>
      <c r="AG16" s="655"/>
      <c r="AH16" s="655"/>
      <c r="AI16" s="655"/>
      <c r="AJ16" s="655"/>
      <c r="AK16" s="655"/>
      <c r="AL16" s="655"/>
      <c r="AM16" s="655"/>
      <c r="AN16" s="655"/>
      <c r="AO16" s="655"/>
      <c r="AP16" s="655"/>
      <c r="AQ16" s="655"/>
      <c r="AR16" s="655"/>
      <c r="AS16" s="655"/>
      <c r="AT16" s="655"/>
      <c r="AU16" s="655"/>
      <c r="AV16" s="655"/>
      <c r="AW16" s="655"/>
      <c r="AX16" s="655"/>
      <c r="AY16" s="655"/>
      <c r="AZ16" s="655"/>
      <c r="BA16" s="655"/>
      <c r="BB16" s="655"/>
      <c r="BC16" s="655"/>
      <c r="BD16" s="655"/>
      <c r="BE16" s="655"/>
      <c r="BF16" s="655"/>
      <c r="BG16" s="655"/>
      <c r="BH16" s="655"/>
      <c r="BI16" s="655"/>
      <c r="BJ16" s="655"/>
      <c r="BK16" s="655"/>
      <c r="BL16" s="655"/>
      <c r="BM16" s="655"/>
      <c r="BN16" s="655"/>
      <c r="BO16" s="655"/>
      <c r="BP16" s="655"/>
      <c r="BQ16" s="655"/>
      <c r="BR16" s="655"/>
      <c r="BS16" s="655"/>
      <c r="BT16" s="655"/>
      <c r="BU16" s="655"/>
      <c r="BV16" s="655"/>
      <c r="BW16" s="655"/>
      <c r="BX16" s="655"/>
      <c r="BY16" s="655"/>
      <c r="BZ16" s="655"/>
      <c r="CA16" s="655"/>
      <c r="CB16" s="655"/>
      <c r="CC16" s="655"/>
      <c r="CD16" s="655"/>
      <c r="CE16" s="655"/>
      <c r="CF16" s="655"/>
      <c r="CG16" s="655"/>
      <c r="CH16" s="655"/>
      <c r="CI16" s="655"/>
      <c r="CJ16" s="655"/>
      <c r="CK16" s="655"/>
      <c r="CL16" s="655"/>
      <c r="CM16" s="655"/>
      <c r="CN16" s="655"/>
      <c r="CO16" s="655"/>
      <c r="CP16" s="655"/>
      <c r="CQ16" s="655"/>
      <c r="CR16" s="655"/>
      <c r="CS16" s="655"/>
      <c r="CT16" s="655"/>
      <c r="CU16" s="655"/>
      <c r="CV16" s="655"/>
      <c r="CW16" s="655"/>
      <c r="CX16" s="655"/>
      <c r="CY16" s="655"/>
      <c r="CZ16" s="655"/>
    </row>
    <row r="17" spans="1:104" ht="16.5">
      <c r="A17" s="650" t="s">
        <v>187</v>
      </c>
      <c r="B17" s="651">
        <f t="shared" si="0"/>
        <v>20</v>
      </c>
      <c r="C17" s="652">
        <f t="shared" si="1"/>
        <v>0</v>
      </c>
      <c r="D17" s="653">
        <v>20</v>
      </c>
      <c r="E17" s="654"/>
      <c r="F17" s="655"/>
      <c r="G17" s="655"/>
      <c r="H17" s="655"/>
      <c r="I17" s="655"/>
      <c r="J17" s="655"/>
      <c r="K17" s="655"/>
      <c r="L17" s="655"/>
      <c r="M17" s="655"/>
      <c r="N17" s="655"/>
      <c r="O17" s="655"/>
      <c r="P17" s="655"/>
      <c r="Q17" s="655"/>
      <c r="R17" s="655"/>
      <c r="S17" s="655"/>
      <c r="T17" s="655"/>
      <c r="U17" s="655"/>
      <c r="V17" s="655"/>
      <c r="W17" s="655"/>
      <c r="X17" s="655"/>
      <c r="Y17" s="655"/>
      <c r="Z17" s="655"/>
      <c r="AA17" s="655"/>
      <c r="AB17" s="655"/>
      <c r="AC17" s="655"/>
      <c r="AD17" s="655"/>
      <c r="AE17" s="655"/>
      <c r="AF17" s="655"/>
      <c r="AG17" s="655"/>
      <c r="AH17" s="655"/>
      <c r="AI17" s="655"/>
      <c r="AJ17" s="655"/>
      <c r="AK17" s="655"/>
      <c r="AL17" s="655"/>
      <c r="AM17" s="655"/>
      <c r="AN17" s="655"/>
      <c r="AO17" s="655"/>
      <c r="AP17" s="655"/>
      <c r="AQ17" s="655"/>
      <c r="AR17" s="655"/>
      <c r="AS17" s="655"/>
      <c r="AT17" s="655"/>
      <c r="AU17" s="655"/>
      <c r="AV17" s="655"/>
      <c r="AW17" s="655"/>
      <c r="AX17" s="655"/>
      <c r="AY17" s="655"/>
      <c r="AZ17" s="655"/>
      <c r="BA17" s="655"/>
      <c r="BB17" s="655"/>
      <c r="BC17" s="655"/>
      <c r="BD17" s="655"/>
      <c r="BE17" s="655"/>
      <c r="BF17" s="655"/>
      <c r="BG17" s="655"/>
      <c r="BH17" s="655"/>
      <c r="BI17" s="655"/>
      <c r="BJ17" s="655"/>
      <c r="BK17" s="655"/>
      <c r="BL17" s="655"/>
      <c r="BM17" s="655"/>
      <c r="BN17" s="655"/>
      <c r="BO17" s="655"/>
      <c r="BP17" s="655"/>
      <c r="BQ17" s="655"/>
      <c r="BR17" s="655"/>
      <c r="BS17" s="655"/>
      <c r="BT17" s="655"/>
      <c r="BU17" s="655"/>
      <c r="BV17" s="655"/>
      <c r="BW17" s="655"/>
      <c r="BX17" s="655"/>
      <c r="BY17" s="655"/>
      <c r="BZ17" s="655"/>
      <c r="CA17" s="655"/>
      <c r="CB17" s="655"/>
      <c r="CC17" s="655"/>
      <c r="CD17" s="655"/>
      <c r="CE17" s="655"/>
      <c r="CF17" s="655"/>
      <c r="CG17" s="655"/>
      <c r="CH17" s="655"/>
      <c r="CI17" s="655"/>
      <c r="CJ17" s="655"/>
      <c r="CK17" s="655"/>
      <c r="CL17" s="655"/>
      <c r="CM17" s="655"/>
      <c r="CN17" s="655"/>
      <c r="CO17" s="655"/>
      <c r="CP17" s="655"/>
      <c r="CQ17" s="655"/>
      <c r="CR17" s="655"/>
      <c r="CS17" s="655"/>
      <c r="CT17" s="655"/>
      <c r="CU17" s="655"/>
      <c r="CV17" s="655"/>
      <c r="CW17" s="655"/>
      <c r="CX17" s="655"/>
      <c r="CY17" s="655"/>
      <c r="CZ17" s="655"/>
    </row>
    <row r="18" spans="1:104" ht="16.5">
      <c r="A18" s="650" t="s">
        <v>156</v>
      </c>
      <c r="B18" s="651">
        <f t="shared" si="0"/>
        <v>10</v>
      </c>
      <c r="C18" s="652">
        <f t="shared" si="1"/>
        <v>0</v>
      </c>
      <c r="D18" s="653">
        <v>10</v>
      </c>
      <c r="E18" s="654"/>
      <c r="F18" s="655"/>
      <c r="G18" s="655"/>
      <c r="H18" s="655"/>
      <c r="I18" s="655"/>
      <c r="J18" s="655"/>
      <c r="K18" s="655"/>
      <c r="L18" s="655"/>
      <c r="M18" s="655"/>
      <c r="N18" s="655"/>
      <c r="O18" s="655"/>
      <c r="P18" s="655"/>
      <c r="Q18" s="655"/>
      <c r="R18" s="655"/>
      <c r="S18" s="655"/>
      <c r="T18" s="655"/>
      <c r="U18" s="655"/>
      <c r="V18" s="655"/>
      <c r="W18" s="655"/>
      <c r="X18" s="655"/>
      <c r="Y18" s="655"/>
      <c r="Z18" s="655"/>
      <c r="AA18" s="655"/>
      <c r="AB18" s="655"/>
      <c r="AC18" s="655"/>
      <c r="AD18" s="655"/>
      <c r="AE18" s="655"/>
      <c r="AF18" s="655"/>
      <c r="AG18" s="655"/>
      <c r="AH18" s="655"/>
      <c r="AI18" s="655"/>
      <c r="AJ18" s="655"/>
      <c r="AK18" s="655"/>
      <c r="AL18" s="655"/>
      <c r="AM18" s="655"/>
      <c r="AN18" s="655"/>
      <c r="AO18" s="655"/>
      <c r="AP18" s="655"/>
      <c r="AQ18" s="655"/>
      <c r="AR18" s="655"/>
      <c r="AS18" s="655"/>
      <c r="AT18" s="655"/>
      <c r="AU18" s="655"/>
      <c r="AV18" s="655"/>
      <c r="AW18" s="655"/>
      <c r="AX18" s="655"/>
      <c r="AY18" s="655"/>
      <c r="AZ18" s="655"/>
      <c r="BA18" s="655"/>
      <c r="BB18" s="655"/>
      <c r="BC18" s="655"/>
      <c r="BD18" s="655"/>
      <c r="BE18" s="655"/>
      <c r="BF18" s="655"/>
      <c r="BG18" s="655"/>
      <c r="BH18" s="655"/>
      <c r="BI18" s="655"/>
      <c r="BJ18" s="655"/>
      <c r="BK18" s="655"/>
      <c r="BL18" s="655"/>
      <c r="BM18" s="655"/>
      <c r="BN18" s="655"/>
      <c r="BO18" s="655"/>
      <c r="BP18" s="655"/>
      <c r="BQ18" s="655"/>
      <c r="BR18" s="655"/>
      <c r="BS18" s="655"/>
      <c r="BT18" s="655"/>
      <c r="BU18" s="655"/>
      <c r="BV18" s="655"/>
      <c r="BW18" s="655"/>
      <c r="BX18" s="655"/>
      <c r="BY18" s="655"/>
      <c r="BZ18" s="655"/>
      <c r="CA18" s="655"/>
      <c r="CB18" s="655"/>
      <c r="CC18" s="655"/>
      <c r="CD18" s="655"/>
      <c r="CE18" s="655"/>
      <c r="CF18" s="655"/>
      <c r="CG18" s="655"/>
      <c r="CH18" s="655"/>
      <c r="CI18" s="655"/>
      <c r="CJ18" s="655"/>
      <c r="CK18" s="655"/>
      <c r="CL18" s="655"/>
      <c r="CM18" s="655"/>
      <c r="CN18" s="655"/>
      <c r="CO18" s="655"/>
      <c r="CP18" s="655"/>
      <c r="CQ18" s="655"/>
      <c r="CR18" s="655"/>
      <c r="CS18" s="655"/>
      <c r="CT18" s="655"/>
      <c r="CU18" s="655"/>
      <c r="CV18" s="655"/>
      <c r="CW18" s="655"/>
      <c r="CX18" s="655"/>
      <c r="CY18" s="655"/>
      <c r="CZ18" s="655"/>
    </row>
    <row r="19" spans="1:104" ht="16.5">
      <c r="A19" s="650" t="s">
        <v>159</v>
      </c>
      <c r="B19" s="651">
        <f t="shared" si="0"/>
        <v>1</v>
      </c>
      <c r="C19" s="652">
        <f t="shared" si="1"/>
        <v>0</v>
      </c>
      <c r="D19" s="653">
        <v>1</v>
      </c>
      <c r="E19" s="654" t="s">
        <v>6626</v>
      </c>
      <c r="F19" s="655"/>
      <c r="G19" s="655"/>
      <c r="H19" s="655"/>
      <c r="I19" s="655"/>
      <c r="J19" s="655"/>
      <c r="K19" s="655"/>
      <c r="L19" s="655"/>
      <c r="M19" s="655"/>
      <c r="N19" s="655"/>
      <c r="O19" s="655"/>
      <c r="P19" s="655"/>
      <c r="Q19" s="655"/>
      <c r="R19" s="655"/>
      <c r="S19" s="655"/>
      <c r="T19" s="655"/>
      <c r="U19" s="655"/>
      <c r="V19" s="655"/>
      <c r="W19" s="655"/>
      <c r="X19" s="655"/>
      <c r="Y19" s="655"/>
      <c r="Z19" s="655"/>
      <c r="AA19" s="655"/>
      <c r="AB19" s="655"/>
      <c r="AC19" s="655"/>
      <c r="AD19" s="655"/>
      <c r="AE19" s="655"/>
      <c r="AF19" s="655"/>
      <c r="AG19" s="655"/>
      <c r="AH19" s="655"/>
      <c r="AI19" s="655"/>
      <c r="AJ19" s="655"/>
      <c r="AK19" s="655"/>
      <c r="AL19" s="655"/>
      <c r="AM19" s="655"/>
      <c r="AN19" s="655"/>
      <c r="AO19" s="655"/>
      <c r="AP19" s="655"/>
      <c r="AQ19" s="655"/>
      <c r="AR19" s="655"/>
      <c r="AS19" s="655"/>
      <c r="AT19" s="655"/>
      <c r="AU19" s="655"/>
      <c r="AV19" s="655"/>
      <c r="AW19" s="655"/>
      <c r="AX19" s="655"/>
      <c r="AY19" s="655"/>
      <c r="AZ19" s="655"/>
      <c r="BA19" s="655"/>
      <c r="BB19" s="655"/>
      <c r="BC19" s="655"/>
      <c r="BD19" s="655"/>
      <c r="BE19" s="655"/>
      <c r="BF19" s="655"/>
      <c r="BG19" s="655"/>
      <c r="BH19" s="655"/>
      <c r="BI19" s="655"/>
      <c r="BJ19" s="655"/>
      <c r="BK19" s="655"/>
      <c r="BL19" s="655"/>
      <c r="BM19" s="655"/>
      <c r="BN19" s="655"/>
      <c r="BO19" s="655"/>
      <c r="BP19" s="655"/>
      <c r="BQ19" s="655"/>
      <c r="BR19" s="655"/>
      <c r="BS19" s="655"/>
      <c r="BT19" s="655"/>
      <c r="BU19" s="655"/>
      <c r="BV19" s="655"/>
      <c r="BW19" s="655"/>
      <c r="BX19" s="655"/>
      <c r="BY19" s="655"/>
      <c r="BZ19" s="655"/>
      <c r="CA19" s="655"/>
      <c r="CB19" s="655"/>
      <c r="CC19" s="655"/>
      <c r="CD19" s="655"/>
      <c r="CE19" s="655"/>
      <c r="CF19" s="655"/>
      <c r="CG19" s="655"/>
      <c r="CH19" s="655"/>
      <c r="CI19" s="655"/>
      <c r="CJ19" s="655"/>
      <c r="CK19" s="655"/>
      <c r="CL19" s="655"/>
      <c r="CM19" s="655"/>
      <c r="CN19" s="655"/>
      <c r="CO19" s="655"/>
      <c r="CP19" s="655"/>
      <c r="CQ19" s="655"/>
      <c r="CR19" s="655"/>
      <c r="CS19" s="655"/>
      <c r="CT19" s="655"/>
      <c r="CU19" s="655"/>
      <c r="CV19" s="655"/>
      <c r="CW19" s="655"/>
      <c r="CX19" s="655"/>
      <c r="CY19" s="655"/>
      <c r="CZ19" s="655"/>
    </row>
    <row r="20" spans="1:104" ht="16.5">
      <c r="A20" s="650" t="s">
        <v>157</v>
      </c>
      <c r="B20" s="651">
        <f t="shared" si="0"/>
        <v>5</v>
      </c>
      <c r="C20" s="652">
        <f t="shared" si="1"/>
        <v>0</v>
      </c>
      <c r="D20" s="653">
        <v>5</v>
      </c>
      <c r="E20" s="654"/>
      <c r="F20" s="655"/>
      <c r="G20" s="655"/>
      <c r="H20" s="655"/>
      <c r="I20" s="655"/>
      <c r="J20" s="655"/>
      <c r="K20" s="655"/>
      <c r="L20" s="655"/>
      <c r="M20" s="655"/>
      <c r="N20" s="655"/>
      <c r="O20" s="655"/>
      <c r="P20" s="655"/>
      <c r="Q20" s="655"/>
      <c r="R20" s="655"/>
      <c r="S20" s="655"/>
      <c r="T20" s="655"/>
      <c r="U20" s="655"/>
      <c r="V20" s="655"/>
      <c r="W20" s="655"/>
      <c r="X20" s="655"/>
      <c r="Y20" s="655"/>
      <c r="Z20" s="655"/>
      <c r="AA20" s="655"/>
      <c r="AB20" s="655"/>
      <c r="AC20" s="655"/>
      <c r="AD20" s="655"/>
      <c r="AE20" s="655"/>
      <c r="AF20" s="655"/>
      <c r="AG20" s="655"/>
      <c r="AH20" s="655"/>
      <c r="AI20" s="655"/>
      <c r="AJ20" s="655"/>
      <c r="AK20" s="655"/>
      <c r="AL20" s="655"/>
      <c r="AM20" s="655"/>
      <c r="AN20" s="655"/>
      <c r="AO20" s="655"/>
      <c r="AP20" s="655"/>
      <c r="AQ20" s="655"/>
      <c r="AR20" s="655"/>
      <c r="AS20" s="655"/>
      <c r="AT20" s="655"/>
      <c r="AU20" s="655"/>
      <c r="AV20" s="655"/>
      <c r="AW20" s="655"/>
      <c r="AX20" s="655"/>
      <c r="AY20" s="655"/>
      <c r="AZ20" s="655"/>
      <c r="BA20" s="655"/>
      <c r="BB20" s="655"/>
      <c r="BC20" s="655"/>
      <c r="BD20" s="655"/>
      <c r="BE20" s="655"/>
      <c r="BF20" s="655"/>
      <c r="BG20" s="655"/>
      <c r="BH20" s="655"/>
      <c r="BI20" s="655"/>
      <c r="BJ20" s="655"/>
      <c r="BK20" s="655"/>
      <c r="BL20" s="655"/>
      <c r="BM20" s="655"/>
      <c r="BN20" s="655"/>
      <c r="BO20" s="655"/>
      <c r="BP20" s="655"/>
      <c r="BQ20" s="655"/>
      <c r="BR20" s="655"/>
      <c r="BS20" s="655"/>
      <c r="BT20" s="655"/>
      <c r="BU20" s="655"/>
      <c r="BV20" s="655"/>
      <c r="BW20" s="655"/>
      <c r="BX20" s="655"/>
      <c r="BY20" s="655"/>
      <c r="BZ20" s="655"/>
      <c r="CA20" s="655"/>
      <c r="CB20" s="655"/>
      <c r="CC20" s="655"/>
      <c r="CD20" s="655"/>
      <c r="CE20" s="655"/>
      <c r="CF20" s="655"/>
      <c r="CG20" s="655"/>
      <c r="CH20" s="655"/>
      <c r="CI20" s="655"/>
      <c r="CJ20" s="655"/>
      <c r="CK20" s="655"/>
      <c r="CL20" s="655"/>
      <c r="CM20" s="655"/>
      <c r="CN20" s="655"/>
      <c r="CO20" s="655"/>
      <c r="CP20" s="655"/>
      <c r="CQ20" s="655"/>
      <c r="CR20" s="655"/>
      <c r="CS20" s="655"/>
      <c r="CT20" s="655"/>
      <c r="CU20" s="655"/>
      <c r="CV20" s="655"/>
      <c r="CW20" s="655"/>
      <c r="CX20" s="655"/>
      <c r="CY20" s="655"/>
      <c r="CZ20" s="655"/>
    </row>
    <row r="21" spans="1:104" ht="16.5">
      <c r="A21" s="650" t="s">
        <v>6627</v>
      </c>
      <c r="B21" s="651">
        <f t="shared" si="0"/>
        <v>25</v>
      </c>
      <c r="C21" s="652">
        <f t="shared" si="1"/>
        <v>0</v>
      </c>
      <c r="D21" s="653">
        <v>25</v>
      </c>
      <c r="E21" s="654"/>
      <c r="F21" s="655"/>
      <c r="G21" s="655"/>
      <c r="H21" s="655"/>
      <c r="I21" s="655"/>
      <c r="J21" s="655"/>
      <c r="K21" s="655"/>
      <c r="L21" s="655"/>
      <c r="M21" s="655"/>
      <c r="N21" s="655"/>
      <c r="O21" s="655"/>
      <c r="P21" s="655"/>
      <c r="Q21" s="655"/>
      <c r="R21" s="655"/>
      <c r="S21" s="655"/>
      <c r="T21" s="655"/>
      <c r="U21" s="655"/>
      <c r="V21" s="655"/>
      <c r="W21" s="655"/>
      <c r="X21" s="655"/>
      <c r="Y21" s="655"/>
      <c r="Z21" s="655"/>
      <c r="AA21" s="655"/>
      <c r="AB21" s="655"/>
      <c r="AC21" s="655"/>
      <c r="AD21" s="655"/>
      <c r="AE21" s="655"/>
      <c r="AF21" s="655"/>
      <c r="AG21" s="655"/>
      <c r="AH21" s="655"/>
      <c r="AI21" s="655"/>
      <c r="AJ21" s="655"/>
      <c r="AK21" s="655"/>
      <c r="AL21" s="655"/>
      <c r="AM21" s="655"/>
      <c r="AN21" s="655"/>
      <c r="AO21" s="655"/>
      <c r="AP21" s="655"/>
      <c r="AQ21" s="655"/>
      <c r="AR21" s="655"/>
      <c r="AS21" s="655"/>
      <c r="AT21" s="655"/>
      <c r="AU21" s="655"/>
      <c r="AV21" s="655"/>
      <c r="AW21" s="655"/>
      <c r="AX21" s="655"/>
      <c r="AY21" s="655"/>
      <c r="AZ21" s="655"/>
      <c r="BA21" s="655"/>
      <c r="BB21" s="655"/>
      <c r="BC21" s="655"/>
      <c r="BD21" s="655"/>
      <c r="BE21" s="655"/>
      <c r="BF21" s="655"/>
      <c r="BG21" s="655"/>
      <c r="BH21" s="655"/>
      <c r="BI21" s="655"/>
      <c r="BJ21" s="655"/>
      <c r="BK21" s="655"/>
      <c r="BL21" s="655"/>
      <c r="BM21" s="655"/>
      <c r="BN21" s="655"/>
      <c r="BO21" s="655"/>
      <c r="BP21" s="655"/>
      <c r="BQ21" s="655"/>
      <c r="BR21" s="655"/>
      <c r="BS21" s="655"/>
      <c r="BT21" s="655"/>
      <c r="BU21" s="655"/>
      <c r="BV21" s="655"/>
      <c r="BW21" s="655"/>
      <c r="BX21" s="655"/>
      <c r="BY21" s="655"/>
      <c r="BZ21" s="655"/>
      <c r="CA21" s="655"/>
      <c r="CB21" s="655"/>
      <c r="CC21" s="655"/>
      <c r="CD21" s="655"/>
      <c r="CE21" s="655"/>
      <c r="CF21" s="655"/>
      <c r="CG21" s="655"/>
      <c r="CH21" s="655"/>
      <c r="CI21" s="655"/>
      <c r="CJ21" s="655"/>
      <c r="CK21" s="655"/>
      <c r="CL21" s="655"/>
      <c r="CM21" s="655"/>
      <c r="CN21" s="655"/>
      <c r="CO21" s="655"/>
      <c r="CP21" s="655"/>
      <c r="CQ21" s="655"/>
      <c r="CR21" s="655"/>
      <c r="CS21" s="655"/>
      <c r="CT21" s="655"/>
      <c r="CU21" s="655"/>
      <c r="CV21" s="655"/>
      <c r="CW21" s="655"/>
      <c r="CX21" s="655"/>
      <c r="CY21" s="655"/>
      <c r="CZ21" s="655"/>
    </row>
    <row r="22" spans="1:104" ht="16.5">
      <c r="A22" s="650" t="s">
        <v>212</v>
      </c>
      <c r="B22" s="651">
        <f t="shared" si="0"/>
        <v>0</v>
      </c>
      <c r="C22" s="652">
        <f t="shared" si="1"/>
        <v>0</v>
      </c>
      <c r="D22" s="653">
        <v>0</v>
      </c>
      <c r="E22" s="654"/>
      <c r="F22" s="655"/>
      <c r="G22" s="655"/>
      <c r="H22" s="655"/>
      <c r="I22" s="655"/>
      <c r="J22" s="655"/>
      <c r="K22" s="655"/>
      <c r="L22" s="655"/>
      <c r="M22" s="655"/>
      <c r="N22" s="655"/>
      <c r="O22" s="655"/>
      <c r="P22" s="655"/>
      <c r="Q22" s="655"/>
      <c r="R22" s="655"/>
      <c r="S22" s="655"/>
      <c r="T22" s="655"/>
      <c r="U22" s="655"/>
      <c r="V22" s="655"/>
      <c r="W22" s="655"/>
      <c r="X22" s="655"/>
      <c r="Y22" s="655"/>
      <c r="Z22" s="655"/>
      <c r="AA22" s="655"/>
      <c r="AB22" s="655"/>
      <c r="AC22" s="655"/>
      <c r="AD22" s="655"/>
      <c r="AE22" s="655"/>
      <c r="AF22" s="655"/>
      <c r="AG22" s="655"/>
      <c r="AH22" s="655"/>
      <c r="AI22" s="655"/>
      <c r="AJ22" s="655"/>
      <c r="AK22" s="655"/>
      <c r="AL22" s="655"/>
      <c r="AM22" s="655"/>
      <c r="AN22" s="655"/>
      <c r="AO22" s="655"/>
      <c r="AP22" s="655"/>
      <c r="AQ22" s="655"/>
      <c r="AR22" s="655"/>
      <c r="AS22" s="655"/>
      <c r="AT22" s="655"/>
      <c r="AU22" s="655"/>
      <c r="AV22" s="655"/>
      <c r="AW22" s="655"/>
      <c r="AX22" s="655"/>
      <c r="AY22" s="655"/>
      <c r="AZ22" s="655"/>
      <c r="BA22" s="655"/>
      <c r="BB22" s="655"/>
      <c r="BC22" s="655"/>
      <c r="BD22" s="655"/>
      <c r="BE22" s="655"/>
      <c r="BF22" s="655"/>
      <c r="BG22" s="655"/>
      <c r="BH22" s="655"/>
      <c r="BI22" s="655"/>
      <c r="BJ22" s="655"/>
      <c r="BK22" s="655"/>
      <c r="BL22" s="655"/>
      <c r="BM22" s="655"/>
      <c r="BN22" s="655"/>
      <c r="BO22" s="655"/>
      <c r="BP22" s="655"/>
      <c r="BQ22" s="655"/>
      <c r="BR22" s="655"/>
      <c r="BS22" s="655"/>
      <c r="BT22" s="655"/>
      <c r="BU22" s="655"/>
      <c r="BV22" s="655"/>
      <c r="BW22" s="655"/>
      <c r="BX22" s="655"/>
      <c r="BY22" s="655"/>
      <c r="BZ22" s="655"/>
      <c r="CA22" s="655"/>
      <c r="CB22" s="655"/>
      <c r="CC22" s="655"/>
      <c r="CD22" s="655"/>
      <c r="CE22" s="655"/>
      <c r="CF22" s="655"/>
      <c r="CG22" s="655"/>
      <c r="CH22" s="655"/>
      <c r="CI22" s="655"/>
      <c r="CJ22" s="655"/>
      <c r="CK22" s="655"/>
      <c r="CL22" s="655"/>
      <c r="CM22" s="655"/>
      <c r="CN22" s="655"/>
      <c r="CO22" s="655"/>
      <c r="CP22" s="655"/>
      <c r="CQ22" s="655"/>
      <c r="CR22" s="655"/>
      <c r="CS22" s="655"/>
      <c r="CT22" s="655"/>
      <c r="CU22" s="655"/>
      <c r="CV22" s="655"/>
      <c r="CW22" s="655"/>
      <c r="CX22" s="655"/>
      <c r="CY22" s="655"/>
      <c r="CZ22" s="655"/>
    </row>
    <row r="23" spans="1:104" ht="16.5">
      <c r="A23" s="650" t="s">
        <v>214</v>
      </c>
      <c r="B23" s="651">
        <f t="shared" si="0"/>
        <v>0</v>
      </c>
      <c r="C23" s="652">
        <f t="shared" si="1"/>
        <v>0</v>
      </c>
      <c r="D23" s="653">
        <v>0</v>
      </c>
      <c r="E23" s="654"/>
      <c r="F23" s="655"/>
      <c r="G23" s="655"/>
      <c r="H23" s="655"/>
      <c r="I23" s="655"/>
      <c r="J23" s="655"/>
      <c r="K23" s="655"/>
      <c r="L23" s="655"/>
      <c r="M23" s="655"/>
      <c r="N23" s="655"/>
      <c r="O23" s="655"/>
      <c r="P23" s="655"/>
      <c r="Q23" s="655"/>
      <c r="R23" s="655"/>
      <c r="S23" s="655"/>
      <c r="T23" s="655"/>
      <c r="U23" s="655"/>
      <c r="V23" s="655"/>
      <c r="W23" s="655"/>
      <c r="X23" s="655"/>
      <c r="Y23" s="655"/>
      <c r="Z23" s="655"/>
      <c r="AA23" s="655"/>
      <c r="AB23" s="655"/>
      <c r="AC23" s="655"/>
      <c r="AD23" s="655"/>
      <c r="AE23" s="655"/>
      <c r="AF23" s="655"/>
      <c r="AG23" s="655"/>
      <c r="AH23" s="655"/>
      <c r="AI23" s="655"/>
      <c r="AJ23" s="655"/>
      <c r="AK23" s="655"/>
      <c r="AL23" s="655"/>
      <c r="AM23" s="655"/>
      <c r="AN23" s="655"/>
      <c r="AO23" s="655"/>
      <c r="AP23" s="655"/>
      <c r="AQ23" s="655"/>
      <c r="AR23" s="655"/>
      <c r="AS23" s="655"/>
      <c r="AT23" s="655"/>
      <c r="AU23" s="655"/>
      <c r="AV23" s="655"/>
      <c r="AW23" s="655"/>
      <c r="AX23" s="655"/>
      <c r="AY23" s="655"/>
      <c r="AZ23" s="655"/>
      <c r="BA23" s="655"/>
      <c r="BB23" s="655"/>
      <c r="BC23" s="655"/>
      <c r="BD23" s="655"/>
      <c r="BE23" s="655"/>
      <c r="BF23" s="655"/>
      <c r="BG23" s="655"/>
      <c r="BH23" s="655"/>
      <c r="BI23" s="655"/>
      <c r="BJ23" s="655"/>
      <c r="BK23" s="655"/>
      <c r="BL23" s="655"/>
      <c r="BM23" s="655"/>
      <c r="BN23" s="655"/>
      <c r="BO23" s="655"/>
      <c r="BP23" s="655"/>
      <c r="BQ23" s="655"/>
      <c r="BR23" s="655"/>
      <c r="BS23" s="655"/>
      <c r="BT23" s="655"/>
      <c r="BU23" s="655"/>
      <c r="BV23" s="655"/>
      <c r="BW23" s="655"/>
      <c r="BX23" s="655"/>
      <c r="BY23" s="655"/>
      <c r="BZ23" s="655"/>
      <c r="CA23" s="655"/>
      <c r="CB23" s="655"/>
      <c r="CC23" s="655"/>
      <c r="CD23" s="655"/>
      <c r="CE23" s="655"/>
      <c r="CF23" s="655"/>
      <c r="CG23" s="655"/>
      <c r="CH23" s="655"/>
      <c r="CI23" s="655"/>
      <c r="CJ23" s="655"/>
      <c r="CK23" s="655"/>
      <c r="CL23" s="655"/>
      <c r="CM23" s="655"/>
      <c r="CN23" s="655"/>
      <c r="CO23" s="655"/>
      <c r="CP23" s="655"/>
      <c r="CQ23" s="655"/>
      <c r="CR23" s="655"/>
      <c r="CS23" s="655"/>
      <c r="CT23" s="655"/>
      <c r="CU23" s="655"/>
      <c r="CV23" s="655"/>
      <c r="CW23" s="655"/>
      <c r="CX23" s="655"/>
      <c r="CY23" s="655"/>
      <c r="CZ23" s="655"/>
    </row>
    <row r="24" spans="1:104" ht="16.5">
      <c r="A24" s="650" t="s">
        <v>216</v>
      </c>
      <c r="B24" s="651">
        <f t="shared" si="0"/>
        <v>0</v>
      </c>
      <c r="C24" s="652">
        <f t="shared" si="1"/>
        <v>0</v>
      </c>
      <c r="D24" s="653">
        <v>0</v>
      </c>
      <c r="E24" s="654"/>
      <c r="F24" s="655"/>
      <c r="G24" s="655"/>
      <c r="H24" s="655"/>
      <c r="I24" s="655"/>
      <c r="J24" s="655"/>
      <c r="K24" s="655"/>
      <c r="L24" s="655"/>
      <c r="M24" s="655"/>
      <c r="N24" s="655"/>
      <c r="O24" s="655"/>
      <c r="P24" s="655"/>
      <c r="Q24" s="655"/>
      <c r="R24" s="655"/>
      <c r="S24" s="655"/>
      <c r="T24" s="655"/>
      <c r="U24" s="655"/>
      <c r="V24" s="655"/>
      <c r="W24" s="655"/>
      <c r="X24" s="655"/>
      <c r="Y24" s="655"/>
      <c r="Z24" s="655"/>
      <c r="AA24" s="655"/>
      <c r="AB24" s="655"/>
      <c r="AC24" s="655"/>
      <c r="AD24" s="655"/>
      <c r="AE24" s="655"/>
      <c r="AF24" s="655"/>
      <c r="AG24" s="655"/>
      <c r="AH24" s="655"/>
      <c r="AI24" s="655"/>
      <c r="AJ24" s="655"/>
      <c r="AK24" s="655"/>
      <c r="AL24" s="655"/>
      <c r="AM24" s="655"/>
      <c r="AN24" s="655"/>
      <c r="AO24" s="655"/>
      <c r="AP24" s="655"/>
      <c r="AQ24" s="655"/>
      <c r="AR24" s="655"/>
      <c r="AS24" s="655"/>
      <c r="AT24" s="655"/>
      <c r="AU24" s="655"/>
      <c r="AV24" s="655"/>
      <c r="AW24" s="655"/>
      <c r="AX24" s="655"/>
      <c r="AY24" s="655"/>
      <c r="AZ24" s="655"/>
      <c r="BA24" s="655"/>
      <c r="BB24" s="655"/>
      <c r="BC24" s="655"/>
      <c r="BD24" s="655"/>
      <c r="BE24" s="655"/>
      <c r="BF24" s="655"/>
      <c r="BG24" s="655"/>
      <c r="BH24" s="655"/>
      <c r="BI24" s="655"/>
      <c r="BJ24" s="655"/>
      <c r="BK24" s="655"/>
      <c r="BL24" s="655"/>
      <c r="BM24" s="655"/>
      <c r="BN24" s="655"/>
      <c r="BO24" s="655"/>
      <c r="BP24" s="655"/>
      <c r="BQ24" s="655"/>
      <c r="BR24" s="655"/>
      <c r="BS24" s="655"/>
      <c r="BT24" s="655"/>
      <c r="BU24" s="655"/>
      <c r="BV24" s="655"/>
      <c r="BW24" s="655"/>
      <c r="BX24" s="655"/>
      <c r="BY24" s="655"/>
      <c r="BZ24" s="655"/>
      <c r="CA24" s="655"/>
      <c r="CB24" s="655"/>
      <c r="CC24" s="655"/>
      <c r="CD24" s="655"/>
      <c r="CE24" s="655"/>
      <c r="CF24" s="655"/>
      <c r="CG24" s="655"/>
      <c r="CH24" s="655"/>
      <c r="CI24" s="655"/>
      <c r="CJ24" s="655"/>
      <c r="CK24" s="655"/>
      <c r="CL24" s="655"/>
      <c r="CM24" s="655"/>
      <c r="CN24" s="655"/>
      <c r="CO24" s="655"/>
      <c r="CP24" s="655"/>
      <c r="CQ24" s="655"/>
      <c r="CR24" s="655"/>
      <c r="CS24" s="655"/>
      <c r="CT24" s="655"/>
      <c r="CU24" s="655"/>
      <c r="CV24" s="655"/>
      <c r="CW24" s="655"/>
      <c r="CX24" s="655"/>
      <c r="CY24" s="655"/>
      <c r="CZ24" s="655"/>
    </row>
    <row r="25" spans="1:104" ht="16.5">
      <c r="A25" s="650" t="s">
        <v>6628</v>
      </c>
      <c r="B25" s="651">
        <f t="shared" si="0"/>
        <v>20</v>
      </c>
      <c r="C25" s="652">
        <f t="shared" si="1"/>
        <v>0</v>
      </c>
      <c r="D25" s="653">
        <v>20</v>
      </c>
      <c r="E25" s="654"/>
      <c r="F25" s="655"/>
      <c r="G25" s="655"/>
      <c r="H25" s="655"/>
      <c r="I25" s="655"/>
      <c r="J25" s="655"/>
      <c r="K25" s="655"/>
      <c r="L25" s="655"/>
      <c r="M25" s="655"/>
      <c r="N25" s="655"/>
      <c r="O25" s="655"/>
      <c r="P25" s="655"/>
      <c r="Q25" s="655"/>
      <c r="R25" s="655"/>
      <c r="S25" s="655"/>
      <c r="T25" s="655"/>
      <c r="U25" s="655"/>
      <c r="V25" s="655"/>
      <c r="W25" s="655"/>
      <c r="X25" s="655"/>
      <c r="Y25" s="655"/>
      <c r="Z25" s="655"/>
      <c r="AA25" s="655"/>
      <c r="AB25" s="655"/>
      <c r="AC25" s="655"/>
      <c r="AD25" s="655"/>
      <c r="AE25" s="655"/>
      <c r="AF25" s="655"/>
      <c r="AG25" s="655"/>
      <c r="AH25" s="655"/>
      <c r="AI25" s="655"/>
      <c r="AJ25" s="655"/>
      <c r="AK25" s="655"/>
      <c r="AL25" s="655"/>
      <c r="AM25" s="655"/>
      <c r="AN25" s="655"/>
      <c r="AO25" s="655"/>
      <c r="AP25" s="655"/>
      <c r="AQ25" s="655"/>
      <c r="AR25" s="655"/>
      <c r="AS25" s="655"/>
      <c r="AT25" s="655"/>
      <c r="AU25" s="655"/>
      <c r="AV25" s="655"/>
      <c r="AW25" s="655"/>
      <c r="AX25" s="655"/>
      <c r="AY25" s="655"/>
      <c r="AZ25" s="655"/>
      <c r="BA25" s="655"/>
      <c r="BB25" s="655"/>
      <c r="BC25" s="655"/>
      <c r="BD25" s="655"/>
      <c r="BE25" s="655"/>
      <c r="BF25" s="655"/>
      <c r="BG25" s="655"/>
      <c r="BH25" s="655"/>
      <c r="BI25" s="655"/>
      <c r="BJ25" s="655"/>
      <c r="BK25" s="655"/>
      <c r="BL25" s="655"/>
      <c r="BM25" s="655"/>
      <c r="BN25" s="655"/>
      <c r="BO25" s="655"/>
      <c r="BP25" s="655"/>
      <c r="BQ25" s="655"/>
      <c r="BR25" s="655"/>
      <c r="BS25" s="655"/>
      <c r="BT25" s="655"/>
      <c r="BU25" s="655"/>
      <c r="BV25" s="655"/>
      <c r="BW25" s="655"/>
      <c r="BX25" s="655"/>
      <c r="BY25" s="655"/>
      <c r="BZ25" s="655"/>
      <c r="CA25" s="655"/>
      <c r="CB25" s="655"/>
      <c r="CC25" s="655"/>
      <c r="CD25" s="655"/>
      <c r="CE25" s="655"/>
      <c r="CF25" s="655"/>
      <c r="CG25" s="655"/>
      <c r="CH25" s="655"/>
      <c r="CI25" s="655"/>
      <c r="CJ25" s="655"/>
      <c r="CK25" s="655"/>
      <c r="CL25" s="655"/>
      <c r="CM25" s="655"/>
      <c r="CN25" s="655"/>
      <c r="CO25" s="655"/>
      <c r="CP25" s="655"/>
      <c r="CQ25" s="655"/>
      <c r="CR25" s="655"/>
      <c r="CS25" s="655"/>
      <c r="CT25" s="655"/>
      <c r="CU25" s="655"/>
      <c r="CV25" s="655"/>
      <c r="CW25" s="655"/>
      <c r="CX25" s="655"/>
      <c r="CY25" s="655"/>
      <c r="CZ25" s="655"/>
    </row>
    <row r="26" spans="1:104" ht="16.5">
      <c r="A26" s="650" t="s">
        <v>213</v>
      </c>
      <c r="B26" s="651">
        <f t="shared" si="0"/>
        <v>25</v>
      </c>
      <c r="C26" s="652">
        <f t="shared" si="1"/>
        <v>0</v>
      </c>
      <c r="D26" s="653">
        <v>25</v>
      </c>
      <c r="E26" s="654"/>
      <c r="F26" s="655"/>
      <c r="G26" s="655"/>
      <c r="H26" s="655"/>
      <c r="I26" s="655"/>
      <c r="J26" s="655"/>
      <c r="K26" s="655"/>
      <c r="L26" s="655"/>
      <c r="M26" s="655"/>
      <c r="N26" s="655"/>
      <c r="O26" s="655"/>
      <c r="P26" s="655"/>
      <c r="Q26" s="655"/>
      <c r="R26" s="655"/>
      <c r="S26" s="655"/>
      <c r="T26" s="655"/>
      <c r="U26" s="655"/>
      <c r="V26" s="655"/>
      <c r="W26" s="655"/>
      <c r="X26" s="655"/>
      <c r="Y26" s="655"/>
      <c r="Z26" s="655"/>
      <c r="AA26" s="655"/>
      <c r="AB26" s="655"/>
      <c r="AC26" s="655"/>
      <c r="AD26" s="655"/>
      <c r="AE26" s="655"/>
      <c r="AF26" s="655"/>
      <c r="AG26" s="655"/>
      <c r="AH26" s="655"/>
      <c r="AI26" s="655"/>
      <c r="AJ26" s="655"/>
      <c r="AK26" s="655"/>
      <c r="AL26" s="655"/>
      <c r="AM26" s="655"/>
      <c r="AN26" s="655"/>
      <c r="AO26" s="655"/>
      <c r="AP26" s="655"/>
      <c r="AQ26" s="655"/>
      <c r="AR26" s="655"/>
      <c r="AS26" s="655"/>
      <c r="AT26" s="655"/>
      <c r="AU26" s="655"/>
      <c r="AV26" s="655"/>
      <c r="AW26" s="655"/>
      <c r="AX26" s="655"/>
      <c r="AY26" s="655"/>
      <c r="AZ26" s="655"/>
      <c r="BA26" s="655"/>
      <c r="BB26" s="655"/>
      <c r="BC26" s="655"/>
      <c r="BD26" s="655"/>
      <c r="BE26" s="655"/>
      <c r="BF26" s="655"/>
      <c r="BG26" s="655"/>
      <c r="BH26" s="655"/>
      <c r="BI26" s="655"/>
      <c r="BJ26" s="655"/>
      <c r="BK26" s="655"/>
      <c r="BL26" s="655"/>
      <c r="BM26" s="655"/>
      <c r="BN26" s="655"/>
      <c r="BO26" s="655"/>
      <c r="BP26" s="655"/>
      <c r="BQ26" s="655"/>
      <c r="BR26" s="655"/>
      <c r="BS26" s="655"/>
      <c r="BT26" s="655"/>
      <c r="BU26" s="655"/>
      <c r="BV26" s="655"/>
      <c r="BW26" s="655"/>
      <c r="BX26" s="655"/>
      <c r="BY26" s="655"/>
      <c r="BZ26" s="655"/>
      <c r="CA26" s="655"/>
      <c r="CB26" s="655"/>
      <c r="CC26" s="655"/>
      <c r="CD26" s="655"/>
      <c r="CE26" s="655"/>
      <c r="CF26" s="655"/>
      <c r="CG26" s="655"/>
      <c r="CH26" s="655"/>
      <c r="CI26" s="655"/>
      <c r="CJ26" s="655"/>
      <c r="CK26" s="655"/>
      <c r="CL26" s="655"/>
      <c r="CM26" s="655"/>
      <c r="CN26" s="655"/>
      <c r="CO26" s="655"/>
      <c r="CP26" s="655"/>
      <c r="CQ26" s="655"/>
      <c r="CR26" s="655"/>
      <c r="CS26" s="655"/>
      <c r="CT26" s="655"/>
      <c r="CU26" s="655"/>
      <c r="CV26" s="655"/>
      <c r="CW26" s="655"/>
      <c r="CX26" s="655"/>
      <c r="CY26" s="655"/>
      <c r="CZ26" s="655"/>
    </row>
    <row r="27" spans="1:104" ht="16.5">
      <c r="A27" s="650" t="s">
        <v>215</v>
      </c>
      <c r="B27" s="651">
        <f t="shared" si="0"/>
        <v>0</v>
      </c>
      <c r="C27" s="652">
        <f t="shared" si="1"/>
        <v>0</v>
      </c>
      <c r="D27" s="653">
        <v>0</v>
      </c>
      <c r="E27" s="654"/>
      <c r="F27" s="655"/>
      <c r="G27" s="655"/>
      <c r="H27" s="655"/>
      <c r="I27" s="655"/>
      <c r="J27" s="655"/>
      <c r="K27" s="655"/>
      <c r="L27" s="655"/>
      <c r="M27" s="655"/>
      <c r="N27" s="655"/>
      <c r="O27" s="655"/>
      <c r="P27" s="655"/>
      <c r="Q27" s="655"/>
      <c r="R27" s="655"/>
      <c r="S27" s="655"/>
      <c r="T27" s="655"/>
      <c r="U27" s="655"/>
      <c r="V27" s="655"/>
      <c r="W27" s="655"/>
      <c r="X27" s="655"/>
      <c r="Y27" s="655"/>
      <c r="Z27" s="655"/>
      <c r="AA27" s="655"/>
      <c r="AB27" s="655"/>
      <c r="AC27" s="655"/>
      <c r="AD27" s="655"/>
      <c r="AE27" s="655"/>
      <c r="AF27" s="655"/>
      <c r="AG27" s="655"/>
      <c r="AH27" s="655"/>
      <c r="AI27" s="655"/>
      <c r="AJ27" s="655"/>
      <c r="AK27" s="655"/>
      <c r="AL27" s="655"/>
      <c r="AM27" s="655"/>
      <c r="AN27" s="655"/>
      <c r="AO27" s="655"/>
      <c r="AP27" s="655"/>
      <c r="AQ27" s="655"/>
      <c r="AR27" s="655"/>
      <c r="AS27" s="655"/>
      <c r="AT27" s="655"/>
      <c r="AU27" s="655"/>
      <c r="AV27" s="655"/>
      <c r="AW27" s="655"/>
      <c r="AX27" s="655"/>
      <c r="AY27" s="655"/>
      <c r="AZ27" s="655"/>
      <c r="BA27" s="655"/>
      <c r="BB27" s="655"/>
      <c r="BC27" s="655"/>
      <c r="BD27" s="655"/>
      <c r="BE27" s="655"/>
      <c r="BF27" s="655"/>
      <c r="BG27" s="655"/>
      <c r="BH27" s="655"/>
      <c r="BI27" s="655"/>
      <c r="BJ27" s="655"/>
      <c r="BK27" s="655"/>
      <c r="BL27" s="655"/>
      <c r="BM27" s="655"/>
      <c r="BN27" s="655"/>
      <c r="BO27" s="655"/>
      <c r="BP27" s="655"/>
      <c r="BQ27" s="655"/>
      <c r="BR27" s="655"/>
      <c r="BS27" s="655"/>
      <c r="BT27" s="655"/>
      <c r="BU27" s="655"/>
      <c r="BV27" s="655"/>
      <c r="BW27" s="655"/>
      <c r="BX27" s="655"/>
      <c r="BY27" s="655"/>
      <c r="BZ27" s="655"/>
      <c r="CA27" s="655"/>
      <c r="CB27" s="655"/>
      <c r="CC27" s="655"/>
      <c r="CD27" s="655"/>
      <c r="CE27" s="655"/>
      <c r="CF27" s="655"/>
      <c r="CG27" s="655"/>
      <c r="CH27" s="655"/>
      <c r="CI27" s="655"/>
      <c r="CJ27" s="655"/>
      <c r="CK27" s="655"/>
      <c r="CL27" s="655"/>
      <c r="CM27" s="655"/>
      <c r="CN27" s="655"/>
      <c r="CO27" s="655"/>
      <c r="CP27" s="655"/>
      <c r="CQ27" s="655"/>
      <c r="CR27" s="655"/>
      <c r="CS27" s="655"/>
      <c r="CT27" s="655"/>
      <c r="CU27" s="655"/>
      <c r="CV27" s="655"/>
      <c r="CW27" s="655"/>
      <c r="CX27" s="655"/>
      <c r="CY27" s="655"/>
      <c r="CZ27" s="655"/>
    </row>
    <row r="28" spans="1:104" ht="16.5">
      <c r="A28" s="650" t="s">
        <v>217</v>
      </c>
      <c r="B28" s="651">
        <f t="shared" si="0"/>
        <v>0</v>
      </c>
      <c r="C28" s="652">
        <f t="shared" si="1"/>
        <v>0</v>
      </c>
      <c r="D28" s="653">
        <v>0</v>
      </c>
      <c r="E28" s="654"/>
      <c r="F28" s="655"/>
      <c r="G28" s="655"/>
      <c r="H28" s="655"/>
      <c r="I28" s="655"/>
      <c r="J28" s="655"/>
      <c r="K28" s="655"/>
      <c r="L28" s="655"/>
      <c r="M28" s="655"/>
      <c r="N28" s="655"/>
      <c r="O28" s="655"/>
      <c r="P28" s="655"/>
      <c r="Q28" s="655"/>
      <c r="R28" s="655"/>
      <c r="S28" s="655"/>
      <c r="T28" s="655"/>
      <c r="U28" s="655"/>
      <c r="V28" s="655"/>
      <c r="W28" s="655"/>
      <c r="X28" s="655"/>
      <c r="Y28" s="655"/>
      <c r="Z28" s="655"/>
      <c r="AA28" s="655"/>
      <c r="AB28" s="655"/>
      <c r="AC28" s="655"/>
      <c r="AD28" s="655"/>
      <c r="AE28" s="655"/>
      <c r="AF28" s="655"/>
      <c r="AG28" s="655"/>
      <c r="AH28" s="655"/>
      <c r="AI28" s="655"/>
      <c r="AJ28" s="655"/>
      <c r="AK28" s="655"/>
      <c r="AL28" s="655"/>
      <c r="AM28" s="655"/>
      <c r="AN28" s="655"/>
      <c r="AO28" s="655"/>
      <c r="AP28" s="655"/>
      <c r="AQ28" s="655"/>
      <c r="AR28" s="655"/>
      <c r="AS28" s="655"/>
      <c r="AT28" s="655"/>
      <c r="AU28" s="655"/>
      <c r="AV28" s="655"/>
      <c r="AW28" s="655"/>
      <c r="AX28" s="655"/>
      <c r="AY28" s="655"/>
      <c r="AZ28" s="655"/>
      <c r="BA28" s="655"/>
      <c r="BB28" s="655"/>
      <c r="BC28" s="655"/>
      <c r="BD28" s="655"/>
      <c r="BE28" s="655"/>
      <c r="BF28" s="655"/>
      <c r="BG28" s="655"/>
      <c r="BH28" s="655"/>
      <c r="BI28" s="655"/>
      <c r="BJ28" s="655"/>
      <c r="BK28" s="655"/>
      <c r="BL28" s="655"/>
      <c r="BM28" s="655"/>
      <c r="BN28" s="655"/>
      <c r="BO28" s="655"/>
      <c r="BP28" s="655"/>
      <c r="BQ28" s="655"/>
      <c r="BR28" s="655"/>
      <c r="BS28" s="655"/>
      <c r="BT28" s="655"/>
      <c r="BU28" s="655"/>
      <c r="BV28" s="655"/>
      <c r="BW28" s="655"/>
      <c r="BX28" s="655"/>
      <c r="BY28" s="655"/>
      <c r="BZ28" s="655"/>
      <c r="CA28" s="655"/>
      <c r="CB28" s="655"/>
      <c r="CC28" s="655"/>
      <c r="CD28" s="655"/>
      <c r="CE28" s="655"/>
      <c r="CF28" s="655"/>
      <c r="CG28" s="655"/>
      <c r="CH28" s="655"/>
      <c r="CI28" s="655"/>
      <c r="CJ28" s="655"/>
      <c r="CK28" s="655"/>
      <c r="CL28" s="655"/>
      <c r="CM28" s="655"/>
      <c r="CN28" s="655"/>
      <c r="CO28" s="655"/>
      <c r="CP28" s="655"/>
      <c r="CQ28" s="655"/>
      <c r="CR28" s="655"/>
      <c r="CS28" s="655"/>
      <c r="CT28" s="655"/>
      <c r="CU28" s="655"/>
      <c r="CV28" s="655"/>
      <c r="CW28" s="655"/>
      <c r="CX28" s="655"/>
      <c r="CY28" s="655"/>
      <c r="CZ28" s="655"/>
    </row>
    <row r="29" spans="1:104" ht="16.5">
      <c r="A29" s="650" t="s">
        <v>178</v>
      </c>
      <c r="B29" s="651">
        <f t="shared" si="0"/>
        <v>30</v>
      </c>
      <c r="C29" s="652">
        <f t="shared" si="1"/>
        <v>0</v>
      </c>
      <c r="D29" s="653">
        <v>30</v>
      </c>
      <c r="E29" s="654"/>
      <c r="F29" s="655"/>
      <c r="G29" s="655"/>
      <c r="H29" s="655"/>
      <c r="I29" s="655"/>
      <c r="J29" s="655"/>
      <c r="K29" s="655"/>
      <c r="L29" s="655"/>
      <c r="M29" s="655"/>
      <c r="N29" s="655"/>
      <c r="O29" s="655"/>
      <c r="P29" s="655"/>
      <c r="Q29" s="655"/>
      <c r="R29" s="655"/>
      <c r="S29" s="655"/>
      <c r="T29" s="655"/>
      <c r="U29" s="655"/>
      <c r="V29" s="655"/>
      <c r="W29" s="655"/>
      <c r="X29" s="655"/>
      <c r="Y29" s="655"/>
      <c r="Z29" s="655"/>
      <c r="AA29" s="655"/>
      <c r="AB29" s="655"/>
      <c r="AC29" s="655"/>
      <c r="AD29" s="655"/>
      <c r="AE29" s="655"/>
      <c r="AF29" s="655"/>
      <c r="AG29" s="655"/>
      <c r="AH29" s="655"/>
      <c r="AI29" s="655"/>
      <c r="AJ29" s="655"/>
      <c r="AK29" s="655"/>
      <c r="AL29" s="655"/>
      <c r="AM29" s="655"/>
      <c r="AN29" s="655"/>
      <c r="AO29" s="655"/>
      <c r="AP29" s="655"/>
      <c r="AQ29" s="655"/>
      <c r="AR29" s="655"/>
      <c r="AS29" s="655"/>
      <c r="AT29" s="655"/>
      <c r="AU29" s="655"/>
      <c r="AV29" s="655"/>
      <c r="AW29" s="655"/>
      <c r="AX29" s="655"/>
      <c r="AY29" s="655"/>
      <c r="AZ29" s="655"/>
      <c r="BA29" s="655"/>
      <c r="BB29" s="655"/>
      <c r="BC29" s="655"/>
      <c r="BD29" s="655"/>
      <c r="BE29" s="655"/>
      <c r="BF29" s="655"/>
      <c r="BG29" s="655"/>
      <c r="BH29" s="655"/>
      <c r="BI29" s="655"/>
      <c r="BJ29" s="655"/>
      <c r="BK29" s="655"/>
      <c r="BL29" s="655"/>
      <c r="BM29" s="655"/>
      <c r="BN29" s="655"/>
      <c r="BO29" s="655"/>
      <c r="BP29" s="655"/>
      <c r="BQ29" s="655"/>
      <c r="BR29" s="655"/>
      <c r="BS29" s="655"/>
      <c r="BT29" s="655"/>
      <c r="BU29" s="655"/>
      <c r="BV29" s="655"/>
      <c r="BW29" s="655"/>
      <c r="BX29" s="655"/>
      <c r="BY29" s="655"/>
      <c r="BZ29" s="655"/>
      <c r="CA29" s="655"/>
      <c r="CB29" s="655"/>
      <c r="CC29" s="655"/>
      <c r="CD29" s="655"/>
      <c r="CE29" s="655"/>
      <c r="CF29" s="655"/>
      <c r="CG29" s="655"/>
      <c r="CH29" s="655"/>
      <c r="CI29" s="655"/>
      <c r="CJ29" s="655"/>
      <c r="CK29" s="655"/>
      <c r="CL29" s="655"/>
      <c r="CM29" s="655"/>
      <c r="CN29" s="655"/>
      <c r="CO29" s="655"/>
      <c r="CP29" s="655"/>
      <c r="CQ29" s="655"/>
      <c r="CR29" s="655"/>
      <c r="CS29" s="655"/>
      <c r="CT29" s="655"/>
      <c r="CU29" s="655"/>
      <c r="CV29" s="655"/>
      <c r="CW29" s="655"/>
      <c r="CX29" s="655"/>
      <c r="CY29" s="655"/>
      <c r="CZ29" s="655"/>
    </row>
    <row r="30" spans="1:104" ht="16.5">
      <c r="A30" s="650" t="s">
        <v>133</v>
      </c>
      <c r="B30" s="651">
        <f t="shared" si="0"/>
        <v>5</v>
      </c>
      <c r="C30" s="652">
        <f t="shared" si="1"/>
        <v>0</v>
      </c>
      <c r="D30" s="653">
        <v>5</v>
      </c>
      <c r="E30" s="654"/>
      <c r="F30" s="655"/>
      <c r="G30" s="655"/>
      <c r="H30" s="655"/>
      <c r="I30" s="655"/>
      <c r="J30" s="655"/>
      <c r="K30" s="655"/>
      <c r="L30" s="655"/>
      <c r="M30" s="655"/>
      <c r="N30" s="655"/>
      <c r="O30" s="655"/>
      <c r="P30" s="655"/>
      <c r="Q30" s="655"/>
      <c r="R30" s="655"/>
      <c r="S30" s="655"/>
      <c r="T30" s="655"/>
      <c r="U30" s="655"/>
      <c r="V30" s="655"/>
      <c r="W30" s="655"/>
      <c r="X30" s="655"/>
      <c r="Y30" s="655"/>
      <c r="Z30" s="655"/>
      <c r="AA30" s="655"/>
      <c r="AB30" s="655"/>
      <c r="AC30" s="655"/>
      <c r="AD30" s="655"/>
      <c r="AE30" s="655"/>
      <c r="AF30" s="655"/>
      <c r="AG30" s="655"/>
      <c r="AH30" s="655"/>
      <c r="AI30" s="655"/>
      <c r="AJ30" s="655"/>
      <c r="AK30" s="655"/>
      <c r="AL30" s="655"/>
      <c r="AM30" s="655"/>
      <c r="AN30" s="655"/>
      <c r="AO30" s="655"/>
      <c r="AP30" s="655"/>
      <c r="AQ30" s="655"/>
      <c r="AR30" s="655"/>
      <c r="AS30" s="655"/>
      <c r="AT30" s="655"/>
      <c r="AU30" s="655"/>
      <c r="AV30" s="655"/>
      <c r="AW30" s="655"/>
      <c r="AX30" s="655"/>
      <c r="AY30" s="655"/>
      <c r="AZ30" s="655"/>
      <c r="BA30" s="655"/>
      <c r="BB30" s="655"/>
      <c r="BC30" s="655"/>
      <c r="BD30" s="655"/>
      <c r="BE30" s="655"/>
      <c r="BF30" s="655"/>
      <c r="BG30" s="655"/>
      <c r="BH30" s="655"/>
      <c r="BI30" s="655"/>
      <c r="BJ30" s="655"/>
      <c r="BK30" s="655"/>
      <c r="BL30" s="655"/>
      <c r="BM30" s="655"/>
      <c r="BN30" s="655"/>
      <c r="BO30" s="655"/>
      <c r="BP30" s="655"/>
      <c r="BQ30" s="655"/>
      <c r="BR30" s="655"/>
      <c r="BS30" s="655"/>
      <c r="BT30" s="655"/>
      <c r="BU30" s="655"/>
      <c r="BV30" s="655"/>
      <c r="BW30" s="655"/>
      <c r="BX30" s="655"/>
      <c r="BY30" s="655"/>
      <c r="BZ30" s="655"/>
      <c r="CA30" s="655"/>
      <c r="CB30" s="655"/>
      <c r="CC30" s="655"/>
      <c r="CD30" s="655"/>
      <c r="CE30" s="655"/>
      <c r="CF30" s="655"/>
      <c r="CG30" s="655"/>
      <c r="CH30" s="655"/>
      <c r="CI30" s="655"/>
      <c r="CJ30" s="655"/>
      <c r="CK30" s="655"/>
      <c r="CL30" s="655"/>
      <c r="CM30" s="655"/>
      <c r="CN30" s="655"/>
      <c r="CO30" s="655"/>
      <c r="CP30" s="655"/>
      <c r="CQ30" s="655"/>
      <c r="CR30" s="655"/>
      <c r="CS30" s="655"/>
      <c r="CT30" s="655"/>
      <c r="CU30" s="655"/>
      <c r="CV30" s="655"/>
      <c r="CW30" s="655"/>
      <c r="CX30" s="655"/>
      <c r="CY30" s="655"/>
      <c r="CZ30" s="655"/>
    </row>
    <row r="31" spans="1:104" ht="16.5">
      <c r="A31" s="650" t="s">
        <v>160</v>
      </c>
      <c r="B31" s="651">
        <f t="shared" si="0"/>
        <v>15</v>
      </c>
      <c r="C31" s="652">
        <f t="shared" si="1"/>
        <v>0</v>
      </c>
      <c r="D31" s="653">
        <v>15</v>
      </c>
      <c r="E31" s="654"/>
      <c r="F31" s="655"/>
      <c r="G31" s="655"/>
      <c r="H31" s="655"/>
      <c r="I31" s="655"/>
      <c r="J31" s="655"/>
      <c r="K31" s="655"/>
      <c r="L31" s="655"/>
      <c r="M31" s="655"/>
      <c r="N31" s="655"/>
      <c r="O31" s="655"/>
      <c r="P31" s="655"/>
      <c r="Q31" s="655"/>
      <c r="R31" s="655"/>
      <c r="S31" s="655"/>
      <c r="T31" s="655"/>
      <c r="U31" s="655"/>
      <c r="V31" s="655"/>
      <c r="W31" s="655"/>
      <c r="X31" s="655"/>
      <c r="Y31" s="655"/>
      <c r="Z31" s="655"/>
      <c r="AA31" s="655"/>
      <c r="AB31" s="655"/>
      <c r="AC31" s="655"/>
      <c r="AD31" s="655"/>
      <c r="AE31" s="655"/>
      <c r="AF31" s="655"/>
      <c r="AG31" s="655"/>
      <c r="AH31" s="655"/>
      <c r="AI31" s="655"/>
      <c r="AJ31" s="655"/>
      <c r="AK31" s="655"/>
      <c r="AL31" s="655"/>
      <c r="AM31" s="655"/>
      <c r="AN31" s="655"/>
      <c r="AO31" s="655"/>
      <c r="AP31" s="655"/>
      <c r="AQ31" s="655"/>
      <c r="AR31" s="655"/>
      <c r="AS31" s="655"/>
      <c r="AT31" s="655"/>
      <c r="AU31" s="655"/>
      <c r="AV31" s="655"/>
      <c r="AW31" s="655"/>
      <c r="AX31" s="655"/>
      <c r="AY31" s="655"/>
      <c r="AZ31" s="655"/>
      <c r="BA31" s="655"/>
      <c r="BB31" s="655"/>
      <c r="BC31" s="655"/>
      <c r="BD31" s="655"/>
      <c r="BE31" s="655"/>
      <c r="BF31" s="655"/>
      <c r="BG31" s="655"/>
      <c r="BH31" s="655"/>
      <c r="BI31" s="655"/>
      <c r="BJ31" s="655"/>
      <c r="BK31" s="655"/>
      <c r="BL31" s="655"/>
      <c r="BM31" s="655"/>
      <c r="BN31" s="655"/>
      <c r="BO31" s="655"/>
      <c r="BP31" s="655"/>
      <c r="BQ31" s="655"/>
      <c r="BR31" s="655"/>
      <c r="BS31" s="655"/>
      <c r="BT31" s="655"/>
      <c r="BU31" s="655"/>
      <c r="BV31" s="655"/>
      <c r="BW31" s="655"/>
      <c r="BX31" s="655"/>
      <c r="BY31" s="655"/>
      <c r="BZ31" s="655"/>
      <c r="CA31" s="655"/>
      <c r="CB31" s="655"/>
      <c r="CC31" s="655"/>
      <c r="CD31" s="655"/>
      <c r="CE31" s="655"/>
      <c r="CF31" s="655"/>
      <c r="CG31" s="655"/>
      <c r="CH31" s="655"/>
      <c r="CI31" s="655"/>
      <c r="CJ31" s="655"/>
      <c r="CK31" s="655"/>
      <c r="CL31" s="655"/>
      <c r="CM31" s="655"/>
      <c r="CN31" s="655"/>
      <c r="CO31" s="655"/>
      <c r="CP31" s="655"/>
      <c r="CQ31" s="655"/>
      <c r="CR31" s="655"/>
      <c r="CS31" s="655"/>
      <c r="CT31" s="655"/>
      <c r="CU31" s="655"/>
      <c r="CV31" s="655"/>
      <c r="CW31" s="655"/>
      <c r="CX31" s="655"/>
      <c r="CY31" s="655"/>
      <c r="CZ31" s="655"/>
    </row>
    <row r="32" spans="1:104" ht="16.5">
      <c r="A32" s="650" t="s">
        <v>164</v>
      </c>
      <c r="B32" s="651">
        <f t="shared" si="0"/>
        <v>20</v>
      </c>
      <c r="C32" s="652">
        <f t="shared" si="1"/>
        <v>0</v>
      </c>
      <c r="D32" s="653">
        <v>20</v>
      </c>
      <c r="E32" s="654"/>
      <c r="F32" s="655"/>
      <c r="G32" s="655"/>
      <c r="H32" s="655"/>
      <c r="I32" s="655"/>
      <c r="J32" s="655"/>
      <c r="K32" s="655"/>
      <c r="L32" s="655"/>
      <c r="M32" s="655"/>
      <c r="N32" s="655"/>
      <c r="O32" s="655"/>
      <c r="P32" s="655"/>
      <c r="Q32" s="655"/>
      <c r="R32" s="655"/>
      <c r="S32" s="655"/>
      <c r="T32" s="655"/>
      <c r="U32" s="655"/>
      <c r="V32" s="655"/>
      <c r="W32" s="655"/>
      <c r="X32" s="655"/>
      <c r="Y32" s="655"/>
      <c r="Z32" s="655"/>
      <c r="AA32" s="655"/>
      <c r="AB32" s="655"/>
      <c r="AC32" s="655"/>
      <c r="AD32" s="655"/>
      <c r="AE32" s="655"/>
      <c r="AF32" s="655"/>
      <c r="AG32" s="655"/>
      <c r="AH32" s="655"/>
      <c r="AI32" s="655"/>
      <c r="AJ32" s="655"/>
      <c r="AK32" s="655"/>
      <c r="AL32" s="655"/>
      <c r="AM32" s="655"/>
      <c r="AN32" s="655"/>
      <c r="AO32" s="655"/>
      <c r="AP32" s="655"/>
      <c r="AQ32" s="655"/>
      <c r="AR32" s="655"/>
      <c r="AS32" s="655"/>
      <c r="AT32" s="655"/>
      <c r="AU32" s="655"/>
      <c r="AV32" s="655"/>
      <c r="AW32" s="655"/>
      <c r="AX32" s="655"/>
      <c r="AY32" s="655"/>
      <c r="AZ32" s="655"/>
      <c r="BA32" s="655"/>
      <c r="BB32" s="655"/>
      <c r="BC32" s="655"/>
      <c r="BD32" s="655"/>
      <c r="BE32" s="655"/>
      <c r="BF32" s="655"/>
      <c r="BG32" s="655"/>
      <c r="BH32" s="655"/>
      <c r="BI32" s="655"/>
      <c r="BJ32" s="655"/>
      <c r="BK32" s="655"/>
      <c r="BL32" s="655"/>
      <c r="BM32" s="655"/>
      <c r="BN32" s="655"/>
      <c r="BO32" s="655"/>
      <c r="BP32" s="655"/>
      <c r="BQ32" s="655"/>
      <c r="BR32" s="655"/>
      <c r="BS32" s="655"/>
      <c r="BT32" s="655"/>
      <c r="BU32" s="655"/>
      <c r="BV32" s="655"/>
      <c r="BW32" s="655"/>
      <c r="BX32" s="655"/>
      <c r="BY32" s="655"/>
      <c r="BZ32" s="655"/>
      <c r="CA32" s="655"/>
      <c r="CB32" s="655"/>
      <c r="CC32" s="655"/>
      <c r="CD32" s="655"/>
      <c r="CE32" s="655"/>
      <c r="CF32" s="655"/>
      <c r="CG32" s="655"/>
      <c r="CH32" s="655"/>
      <c r="CI32" s="655"/>
      <c r="CJ32" s="655"/>
      <c r="CK32" s="655"/>
      <c r="CL32" s="655"/>
      <c r="CM32" s="655"/>
      <c r="CN32" s="655"/>
      <c r="CO32" s="655"/>
      <c r="CP32" s="655"/>
      <c r="CQ32" s="655"/>
      <c r="CR32" s="655"/>
      <c r="CS32" s="655"/>
      <c r="CT32" s="655"/>
      <c r="CU32" s="655"/>
      <c r="CV32" s="655"/>
      <c r="CW32" s="655"/>
      <c r="CX32" s="655"/>
      <c r="CY32" s="655"/>
      <c r="CZ32" s="655"/>
    </row>
    <row r="33" spans="1:104" ht="16.5">
      <c r="A33" s="650" t="s">
        <v>195</v>
      </c>
      <c r="B33" s="651">
        <f t="shared" si="0"/>
        <v>1</v>
      </c>
      <c r="C33" s="652">
        <f t="shared" si="1"/>
        <v>0</v>
      </c>
      <c r="D33" s="653">
        <v>1</v>
      </c>
      <c r="E33" s="654"/>
      <c r="F33" s="655"/>
      <c r="G33" s="655"/>
      <c r="H33" s="655"/>
      <c r="I33" s="655"/>
      <c r="J33" s="655"/>
      <c r="K33" s="655"/>
      <c r="L33" s="655"/>
      <c r="M33" s="655"/>
      <c r="N33" s="655"/>
      <c r="O33" s="655"/>
      <c r="P33" s="655"/>
      <c r="Q33" s="655"/>
      <c r="R33" s="655"/>
      <c r="S33" s="655"/>
      <c r="T33" s="655"/>
      <c r="U33" s="655"/>
      <c r="V33" s="655"/>
      <c r="W33" s="655"/>
      <c r="X33" s="655"/>
      <c r="Y33" s="655"/>
      <c r="Z33" s="655"/>
      <c r="AA33" s="655"/>
      <c r="AB33" s="655"/>
      <c r="AC33" s="655"/>
      <c r="AD33" s="655"/>
      <c r="AE33" s="655"/>
      <c r="AF33" s="655"/>
      <c r="AG33" s="655"/>
      <c r="AH33" s="655"/>
      <c r="AI33" s="655"/>
      <c r="AJ33" s="655"/>
      <c r="AK33" s="655"/>
      <c r="AL33" s="655"/>
      <c r="AM33" s="655"/>
      <c r="AN33" s="655"/>
      <c r="AO33" s="655"/>
      <c r="AP33" s="655"/>
      <c r="AQ33" s="655"/>
      <c r="AR33" s="655"/>
      <c r="AS33" s="655"/>
      <c r="AT33" s="655"/>
      <c r="AU33" s="655"/>
      <c r="AV33" s="655"/>
      <c r="AW33" s="655"/>
      <c r="AX33" s="655"/>
      <c r="AY33" s="655"/>
      <c r="AZ33" s="655"/>
      <c r="BA33" s="655"/>
      <c r="BB33" s="655"/>
      <c r="BC33" s="655"/>
      <c r="BD33" s="655"/>
      <c r="BE33" s="655"/>
      <c r="BF33" s="655"/>
      <c r="BG33" s="655"/>
      <c r="BH33" s="655"/>
      <c r="BI33" s="655"/>
      <c r="BJ33" s="655"/>
      <c r="BK33" s="655"/>
      <c r="BL33" s="655"/>
      <c r="BM33" s="655"/>
      <c r="BN33" s="655"/>
      <c r="BO33" s="655"/>
      <c r="BP33" s="655"/>
      <c r="BQ33" s="655"/>
      <c r="BR33" s="655"/>
      <c r="BS33" s="655"/>
      <c r="BT33" s="655"/>
      <c r="BU33" s="655"/>
      <c r="BV33" s="655"/>
      <c r="BW33" s="655"/>
      <c r="BX33" s="655"/>
      <c r="BY33" s="655"/>
      <c r="BZ33" s="655"/>
      <c r="CA33" s="655"/>
      <c r="CB33" s="655"/>
      <c r="CC33" s="655"/>
      <c r="CD33" s="655"/>
      <c r="CE33" s="655"/>
      <c r="CF33" s="655"/>
      <c r="CG33" s="655"/>
      <c r="CH33" s="655"/>
      <c r="CI33" s="655"/>
      <c r="CJ33" s="655"/>
      <c r="CK33" s="655"/>
      <c r="CL33" s="655"/>
      <c r="CM33" s="655"/>
      <c r="CN33" s="655"/>
      <c r="CO33" s="655"/>
      <c r="CP33" s="655"/>
      <c r="CQ33" s="655"/>
      <c r="CR33" s="655"/>
      <c r="CS33" s="655"/>
      <c r="CT33" s="655"/>
      <c r="CU33" s="655"/>
      <c r="CV33" s="655"/>
      <c r="CW33" s="655"/>
      <c r="CX33" s="655"/>
      <c r="CY33" s="655"/>
      <c r="CZ33" s="655"/>
    </row>
    <row r="34" spans="1:104" ht="16.5">
      <c r="A34" s="650" t="s">
        <v>197</v>
      </c>
      <c r="B34" s="651">
        <f t="shared" si="0"/>
        <v>1</v>
      </c>
      <c r="C34" s="652">
        <f t="shared" si="1"/>
        <v>0</v>
      </c>
      <c r="D34" s="653">
        <v>1</v>
      </c>
      <c r="E34" s="654"/>
      <c r="F34" s="655"/>
      <c r="G34" s="655"/>
      <c r="H34" s="655"/>
      <c r="I34" s="655"/>
      <c r="J34" s="655"/>
      <c r="K34" s="655"/>
      <c r="L34" s="655"/>
      <c r="M34" s="655"/>
      <c r="N34" s="655"/>
      <c r="O34" s="655"/>
      <c r="P34" s="655"/>
      <c r="Q34" s="655"/>
      <c r="R34" s="655"/>
      <c r="S34" s="655"/>
      <c r="T34" s="655"/>
      <c r="U34" s="655"/>
      <c r="V34" s="655"/>
      <c r="W34" s="655"/>
      <c r="X34" s="655"/>
      <c r="Y34" s="655"/>
      <c r="Z34" s="655"/>
      <c r="AA34" s="655"/>
      <c r="AB34" s="655"/>
      <c r="AC34" s="655"/>
      <c r="AD34" s="655"/>
      <c r="AE34" s="655"/>
      <c r="AF34" s="655"/>
      <c r="AG34" s="655"/>
      <c r="AH34" s="655"/>
      <c r="AI34" s="655"/>
      <c r="AJ34" s="655"/>
      <c r="AK34" s="655"/>
      <c r="AL34" s="655"/>
      <c r="AM34" s="655"/>
      <c r="AN34" s="655"/>
      <c r="AO34" s="655"/>
      <c r="AP34" s="655"/>
      <c r="AQ34" s="655"/>
      <c r="AR34" s="655"/>
      <c r="AS34" s="655"/>
      <c r="AT34" s="655"/>
      <c r="AU34" s="655"/>
      <c r="AV34" s="655"/>
      <c r="AW34" s="655"/>
      <c r="AX34" s="655"/>
      <c r="AY34" s="655"/>
      <c r="AZ34" s="655"/>
      <c r="BA34" s="655"/>
      <c r="BB34" s="655"/>
      <c r="BC34" s="655"/>
      <c r="BD34" s="655"/>
      <c r="BE34" s="655"/>
      <c r="BF34" s="655"/>
      <c r="BG34" s="655"/>
      <c r="BH34" s="655"/>
      <c r="BI34" s="655"/>
      <c r="BJ34" s="655"/>
      <c r="BK34" s="655"/>
      <c r="BL34" s="655"/>
      <c r="BM34" s="655"/>
      <c r="BN34" s="655"/>
      <c r="BO34" s="655"/>
      <c r="BP34" s="655"/>
      <c r="BQ34" s="655"/>
      <c r="BR34" s="655"/>
      <c r="BS34" s="655"/>
      <c r="BT34" s="655"/>
      <c r="BU34" s="655"/>
      <c r="BV34" s="655"/>
      <c r="BW34" s="655"/>
      <c r="BX34" s="655"/>
      <c r="BY34" s="655"/>
      <c r="BZ34" s="655"/>
      <c r="CA34" s="655"/>
      <c r="CB34" s="655"/>
      <c r="CC34" s="655"/>
      <c r="CD34" s="655"/>
      <c r="CE34" s="655"/>
      <c r="CF34" s="655"/>
      <c r="CG34" s="655"/>
      <c r="CH34" s="655"/>
      <c r="CI34" s="655"/>
      <c r="CJ34" s="655"/>
      <c r="CK34" s="655"/>
      <c r="CL34" s="655"/>
      <c r="CM34" s="655"/>
      <c r="CN34" s="655"/>
      <c r="CO34" s="655"/>
      <c r="CP34" s="655"/>
      <c r="CQ34" s="655"/>
      <c r="CR34" s="655"/>
      <c r="CS34" s="655"/>
      <c r="CT34" s="655"/>
      <c r="CU34" s="655"/>
      <c r="CV34" s="655"/>
      <c r="CW34" s="655"/>
      <c r="CX34" s="655"/>
      <c r="CY34" s="655"/>
      <c r="CZ34" s="655"/>
    </row>
    <row r="35" spans="1:104" ht="16.5">
      <c r="A35" s="650" t="s">
        <v>199</v>
      </c>
      <c r="B35" s="651">
        <f t="shared" si="0"/>
        <v>1</v>
      </c>
      <c r="C35" s="652">
        <f t="shared" si="1"/>
        <v>0</v>
      </c>
      <c r="D35" s="653">
        <v>1</v>
      </c>
      <c r="E35" s="654"/>
      <c r="F35" s="655"/>
      <c r="G35" s="655"/>
      <c r="H35" s="655"/>
      <c r="I35" s="655"/>
      <c r="J35" s="655"/>
      <c r="K35" s="655"/>
      <c r="L35" s="655"/>
      <c r="M35" s="655"/>
      <c r="N35" s="655"/>
      <c r="O35" s="655"/>
      <c r="P35" s="655"/>
      <c r="Q35" s="655"/>
      <c r="R35" s="655"/>
      <c r="S35" s="655"/>
      <c r="T35" s="655"/>
      <c r="U35" s="655"/>
      <c r="V35" s="655"/>
      <c r="W35" s="655"/>
      <c r="X35" s="655"/>
      <c r="Y35" s="655"/>
      <c r="Z35" s="655"/>
      <c r="AA35" s="655"/>
      <c r="AB35" s="655"/>
      <c r="AC35" s="655"/>
      <c r="AD35" s="655"/>
      <c r="AE35" s="655"/>
      <c r="AF35" s="655"/>
      <c r="AG35" s="655"/>
      <c r="AH35" s="655"/>
      <c r="AI35" s="655"/>
      <c r="AJ35" s="655"/>
      <c r="AK35" s="655"/>
      <c r="AL35" s="655"/>
      <c r="AM35" s="655"/>
      <c r="AN35" s="655"/>
      <c r="AO35" s="655"/>
      <c r="AP35" s="655"/>
      <c r="AQ35" s="655"/>
      <c r="AR35" s="655"/>
      <c r="AS35" s="655"/>
      <c r="AT35" s="655"/>
      <c r="AU35" s="655"/>
      <c r="AV35" s="655"/>
      <c r="AW35" s="655"/>
      <c r="AX35" s="655"/>
      <c r="AY35" s="655"/>
      <c r="AZ35" s="655"/>
      <c r="BA35" s="655"/>
      <c r="BB35" s="655"/>
      <c r="BC35" s="655"/>
      <c r="BD35" s="655"/>
      <c r="BE35" s="655"/>
      <c r="BF35" s="655"/>
      <c r="BG35" s="655"/>
      <c r="BH35" s="655"/>
      <c r="BI35" s="655"/>
      <c r="BJ35" s="655"/>
      <c r="BK35" s="655"/>
      <c r="BL35" s="655"/>
      <c r="BM35" s="655"/>
      <c r="BN35" s="655"/>
      <c r="BO35" s="655"/>
      <c r="BP35" s="655"/>
      <c r="BQ35" s="655"/>
      <c r="BR35" s="655"/>
      <c r="BS35" s="655"/>
      <c r="BT35" s="655"/>
      <c r="BU35" s="655"/>
      <c r="BV35" s="655"/>
      <c r="BW35" s="655"/>
      <c r="BX35" s="655"/>
      <c r="BY35" s="655"/>
      <c r="BZ35" s="655"/>
      <c r="CA35" s="655"/>
      <c r="CB35" s="655"/>
      <c r="CC35" s="655"/>
      <c r="CD35" s="655"/>
      <c r="CE35" s="655"/>
      <c r="CF35" s="655"/>
      <c r="CG35" s="655"/>
      <c r="CH35" s="655"/>
      <c r="CI35" s="655"/>
      <c r="CJ35" s="655"/>
      <c r="CK35" s="655"/>
      <c r="CL35" s="655"/>
      <c r="CM35" s="655"/>
      <c r="CN35" s="655"/>
      <c r="CO35" s="655"/>
      <c r="CP35" s="655"/>
      <c r="CQ35" s="655"/>
      <c r="CR35" s="655"/>
      <c r="CS35" s="655"/>
      <c r="CT35" s="655"/>
      <c r="CU35" s="655"/>
      <c r="CV35" s="655"/>
      <c r="CW35" s="655"/>
      <c r="CX35" s="655"/>
      <c r="CY35" s="655"/>
      <c r="CZ35" s="655"/>
    </row>
    <row r="36" spans="1:104" ht="16.5">
      <c r="A36" s="650" t="s">
        <v>192</v>
      </c>
      <c r="B36" s="651">
        <f t="shared" si="0"/>
        <v>0</v>
      </c>
      <c r="C36" s="652">
        <f t="shared" si="1"/>
        <v>0</v>
      </c>
      <c r="D36" s="653">
        <v>0</v>
      </c>
      <c r="E36" s="654"/>
      <c r="F36" s="655"/>
      <c r="G36" s="655"/>
      <c r="H36" s="655"/>
      <c r="I36" s="655"/>
      <c r="J36" s="655"/>
      <c r="K36" s="655"/>
      <c r="L36" s="655"/>
      <c r="M36" s="655"/>
      <c r="N36" s="655"/>
      <c r="O36" s="655"/>
      <c r="P36" s="655"/>
      <c r="Q36" s="655"/>
      <c r="R36" s="655"/>
      <c r="S36" s="655"/>
      <c r="T36" s="655"/>
      <c r="U36" s="655"/>
      <c r="V36" s="655"/>
      <c r="W36" s="655"/>
      <c r="X36" s="655"/>
      <c r="Y36" s="655"/>
      <c r="Z36" s="655"/>
      <c r="AA36" s="655"/>
      <c r="AB36" s="655"/>
      <c r="AC36" s="655"/>
      <c r="AD36" s="655"/>
      <c r="AE36" s="655"/>
      <c r="AF36" s="655"/>
      <c r="AG36" s="655"/>
      <c r="AH36" s="655"/>
      <c r="AI36" s="655"/>
      <c r="AJ36" s="655"/>
      <c r="AK36" s="655"/>
      <c r="AL36" s="655"/>
      <c r="AM36" s="655"/>
      <c r="AN36" s="655"/>
      <c r="AO36" s="655"/>
      <c r="AP36" s="655"/>
      <c r="AQ36" s="655"/>
      <c r="AR36" s="655"/>
      <c r="AS36" s="655"/>
      <c r="AT36" s="655"/>
      <c r="AU36" s="655"/>
      <c r="AV36" s="655"/>
      <c r="AW36" s="655"/>
      <c r="AX36" s="655"/>
      <c r="AY36" s="655"/>
      <c r="AZ36" s="655"/>
      <c r="BA36" s="655"/>
      <c r="BB36" s="655"/>
      <c r="BC36" s="655"/>
      <c r="BD36" s="655"/>
      <c r="BE36" s="655"/>
      <c r="BF36" s="655"/>
      <c r="BG36" s="655"/>
      <c r="BH36" s="655"/>
      <c r="BI36" s="655"/>
      <c r="BJ36" s="655"/>
      <c r="BK36" s="655"/>
      <c r="BL36" s="655"/>
      <c r="BM36" s="655"/>
      <c r="BN36" s="655"/>
      <c r="BO36" s="655"/>
      <c r="BP36" s="655"/>
      <c r="BQ36" s="655"/>
      <c r="BR36" s="655"/>
      <c r="BS36" s="655"/>
      <c r="BT36" s="655"/>
      <c r="BU36" s="655"/>
      <c r="BV36" s="655"/>
      <c r="BW36" s="655"/>
      <c r="BX36" s="655"/>
      <c r="BY36" s="655"/>
      <c r="BZ36" s="655"/>
      <c r="CA36" s="655"/>
      <c r="CB36" s="655"/>
      <c r="CC36" s="655"/>
      <c r="CD36" s="655"/>
      <c r="CE36" s="655"/>
      <c r="CF36" s="655"/>
      <c r="CG36" s="655"/>
      <c r="CH36" s="655"/>
      <c r="CI36" s="655"/>
      <c r="CJ36" s="655"/>
      <c r="CK36" s="655"/>
      <c r="CL36" s="655"/>
      <c r="CM36" s="655"/>
      <c r="CN36" s="655"/>
      <c r="CO36" s="655"/>
      <c r="CP36" s="655"/>
      <c r="CQ36" s="655"/>
      <c r="CR36" s="655"/>
      <c r="CS36" s="655"/>
      <c r="CT36" s="655"/>
      <c r="CU36" s="655"/>
      <c r="CV36" s="655"/>
      <c r="CW36" s="655"/>
      <c r="CX36" s="655"/>
      <c r="CY36" s="655"/>
      <c r="CZ36" s="655"/>
    </row>
    <row r="37" spans="1:104" ht="16.5">
      <c r="A37" s="650" t="s">
        <v>131</v>
      </c>
      <c r="B37" s="651">
        <f t="shared" si="0"/>
        <v>5</v>
      </c>
      <c r="C37" s="652">
        <f t="shared" si="1"/>
        <v>0</v>
      </c>
      <c r="D37" s="653">
        <v>5</v>
      </c>
      <c r="E37" s="654"/>
      <c r="F37" s="655"/>
      <c r="G37" s="655"/>
      <c r="H37" s="655"/>
      <c r="I37" s="655"/>
      <c r="J37" s="655"/>
      <c r="K37" s="655"/>
      <c r="L37" s="655"/>
      <c r="M37" s="655"/>
      <c r="N37" s="655"/>
      <c r="O37" s="655"/>
      <c r="P37" s="655"/>
      <c r="Q37" s="655"/>
      <c r="R37" s="655"/>
      <c r="S37" s="655"/>
      <c r="T37" s="655"/>
      <c r="U37" s="655"/>
      <c r="V37" s="655"/>
      <c r="W37" s="655"/>
      <c r="X37" s="655"/>
      <c r="Y37" s="655"/>
      <c r="Z37" s="655"/>
      <c r="AA37" s="655"/>
      <c r="AB37" s="655"/>
      <c r="AC37" s="655"/>
      <c r="AD37" s="655"/>
      <c r="AE37" s="655"/>
      <c r="AF37" s="655"/>
      <c r="AG37" s="655"/>
      <c r="AH37" s="655"/>
      <c r="AI37" s="655"/>
      <c r="AJ37" s="655"/>
      <c r="AK37" s="655"/>
      <c r="AL37" s="655"/>
      <c r="AM37" s="655"/>
      <c r="AN37" s="655"/>
      <c r="AO37" s="655"/>
      <c r="AP37" s="655"/>
      <c r="AQ37" s="655"/>
      <c r="AR37" s="655"/>
      <c r="AS37" s="655"/>
      <c r="AT37" s="655"/>
      <c r="AU37" s="655"/>
      <c r="AV37" s="655"/>
      <c r="AW37" s="655"/>
      <c r="AX37" s="655"/>
      <c r="AY37" s="655"/>
      <c r="AZ37" s="655"/>
      <c r="BA37" s="655"/>
      <c r="BB37" s="655"/>
      <c r="BC37" s="655"/>
      <c r="BD37" s="655"/>
      <c r="BE37" s="655"/>
      <c r="BF37" s="655"/>
      <c r="BG37" s="655"/>
      <c r="BH37" s="655"/>
      <c r="BI37" s="655"/>
      <c r="BJ37" s="655"/>
      <c r="BK37" s="655"/>
      <c r="BL37" s="655"/>
      <c r="BM37" s="655"/>
      <c r="BN37" s="655"/>
      <c r="BO37" s="655"/>
      <c r="BP37" s="655"/>
      <c r="BQ37" s="655"/>
      <c r="BR37" s="655"/>
      <c r="BS37" s="655"/>
      <c r="BT37" s="655"/>
      <c r="BU37" s="655"/>
      <c r="BV37" s="655"/>
      <c r="BW37" s="655"/>
      <c r="BX37" s="655"/>
      <c r="BY37" s="655"/>
      <c r="BZ37" s="655"/>
      <c r="CA37" s="655"/>
      <c r="CB37" s="655"/>
      <c r="CC37" s="655"/>
      <c r="CD37" s="655"/>
      <c r="CE37" s="655"/>
      <c r="CF37" s="655"/>
      <c r="CG37" s="655"/>
      <c r="CH37" s="655"/>
      <c r="CI37" s="655"/>
      <c r="CJ37" s="655"/>
      <c r="CK37" s="655"/>
      <c r="CL37" s="655"/>
      <c r="CM37" s="655"/>
      <c r="CN37" s="655"/>
      <c r="CO37" s="655"/>
      <c r="CP37" s="655"/>
      <c r="CQ37" s="655"/>
      <c r="CR37" s="655"/>
      <c r="CS37" s="655"/>
      <c r="CT37" s="655"/>
      <c r="CU37" s="655"/>
      <c r="CV37" s="655"/>
      <c r="CW37" s="655"/>
      <c r="CX37" s="655"/>
      <c r="CY37" s="655"/>
      <c r="CZ37" s="655"/>
    </row>
    <row r="38" spans="1:104" ht="16.5">
      <c r="A38" s="650" t="s">
        <v>138</v>
      </c>
      <c r="B38" s="651">
        <f t="shared" si="0"/>
        <v>20</v>
      </c>
      <c r="C38" s="652">
        <f t="shared" si="1"/>
        <v>0</v>
      </c>
      <c r="D38" s="653">
        <v>20</v>
      </c>
      <c r="E38" s="654"/>
      <c r="F38" s="655"/>
      <c r="G38" s="655"/>
      <c r="H38" s="655"/>
      <c r="I38" s="655"/>
      <c r="J38" s="655"/>
      <c r="K38" s="655"/>
      <c r="L38" s="655"/>
      <c r="M38" s="655"/>
      <c r="N38" s="655"/>
      <c r="O38" s="655"/>
      <c r="P38" s="655"/>
      <c r="Q38" s="655"/>
      <c r="R38" s="655"/>
      <c r="S38" s="655"/>
      <c r="T38" s="655"/>
      <c r="U38" s="655"/>
      <c r="V38" s="655"/>
      <c r="W38" s="655"/>
      <c r="X38" s="655"/>
      <c r="Y38" s="655"/>
      <c r="Z38" s="655"/>
      <c r="AA38" s="655"/>
      <c r="AB38" s="655"/>
      <c r="AC38" s="655"/>
      <c r="AD38" s="655"/>
      <c r="AE38" s="655"/>
      <c r="AF38" s="655"/>
      <c r="AG38" s="655"/>
      <c r="AH38" s="655"/>
      <c r="AI38" s="655"/>
      <c r="AJ38" s="655"/>
      <c r="AK38" s="655"/>
      <c r="AL38" s="655"/>
      <c r="AM38" s="655"/>
      <c r="AN38" s="655"/>
      <c r="AO38" s="655"/>
      <c r="AP38" s="655"/>
      <c r="AQ38" s="655"/>
      <c r="AR38" s="655"/>
      <c r="AS38" s="655"/>
      <c r="AT38" s="655"/>
      <c r="AU38" s="655"/>
      <c r="AV38" s="655"/>
      <c r="AW38" s="655"/>
      <c r="AX38" s="655"/>
      <c r="AY38" s="655"/>
      <c r="AZ38" s="655"/>
      <c r="BA38" s="655"/>
      <c r="BB38" s="655"/>
      <c r="BC38" s="655"/>
      <c r="BD38" s="655"/>
      <c r="BE38" s="655"/>
      <c r="BF38" s="655"/>
      <c r="BG38" s="655"/>
      <c r="BH38" s="655"/>
      <c r="BI38" s="655"/>
      <c r="BJ38" s="655"/>
      <c r="BK38" s="655"/>
      <c r="BL38" s="655"/>
      <c r="BM38" s="655"/>
      <c r="BN38" s="655"/>
      <c r="BO38" s="655"/>
      <c r="BP38" s="655"/>
      <c r="BQ38" s="655"/>
      <c r="BR38" s="655"/>
      <c r="BS38" s="655"/>
      <c r="BT38" s="655"/>
      <c r="BU38" s="655"/>
      <c r="BV38" s="655"/>
      <c r="BW38" s="655"/>
      <c r="BX38" s="655"/>
      <c r="BY38" s="655"/>
      <c r="BZ38" s="655"/>
      <c r="CA38" s="655"/>
      <c r="CB38" s="655"/>
      <c r="CC38" s="655"/>
      <c r="CD38" s="655"/>
      <c r="CE38" s="655"/>
      <c r="CF38" s="655"/>
      <c r="CG38" s="655"/>
      <c r="CH38" s="655"/>
      <c r="CI38" s="655"/>
      <c r="CJ38" s="655"/>
      <c r="CK38" s="655"/>
      <c r="CL38" s="655"/>
      <c r="CM38" s="655"/>
      <c r="CN38" s="655"/>
      <c r="CO38" s="655"/>
      <c r="CP38" s="655"/>
      <c r="CQ38" s="655"/>
      <c r="CR38" s="655"/>
      <c r="CS38" s="655"/>
      <c r="CT38" s="655"/>
      <c r="CU38" s="655"/>
      <c r="CV38" s="655"/>
      <c r="CW38" s="655"/>
      <c r="CX38" s="655"/>
      <c r="CY38" s="655"/>
      <c r="CZ38" s="655"/>
    </row>
    <row r="39" spans="1:104" ht="16.5">
      <c r="A39" s="650" t="s">
        <v>141</v>
      </c>
      <c r="B39" s="651">
        <f t="shared" si="0"/>
        <v>20</v>
      </c>
      <c r="C39" s="652">
        <f t="shared" si="1"/>
        <v>0</v>
      </c>
      <c r="D39" s="653">
        <v>20</v>
      </c>
      <c r="E39" s="654"/>
      <c r="F39" s="655"/>
      <c r="G39" s="655"/>
      <c r="H39" s="655"/>
      <c r="I39" s="655"/>
      <c r="J39" s="655"/>
      <c r="K39" s="655"/>
      <c r="L39" s="655"/>
      <c r="M39" s="655"/>
      <c r="N39" s="655"/>
      <c r="O39" s="655"/>
      <c r="P39" s="655"/>
      <c r="Q39" s="655"/>
      <c r="R39" s="655"/>
      <c r="S39" s="655"/>
      <c r="T39" s="655"/>
      <c r="U39" s="655"/>
      <c r="V39" s="655"/>
      <c r="W39" s="655"/>
      <c r="X39" s="655"/>
      <c r="Y39" s="655"/>
      <c r="Z39" s="655"/>
      <c r="AA39" s="655"/>
      <c r="AB39" s="655"/>
      <c r="AC39" s="655"/>
      <c r="AD39" s="655"/>
      <c r="AE39" s="655"/>
      <c r="AF39" s="655"/>
      <c r="AG39" s="655"/>
      <c r="AH39" s="655"/>
      <c r="AI39" s="655"/>
      <c r="AJ39" s="655"/>
      <c r="AK39" s="655"/>
      <c r="AL39" s="655"/>
      <c r="AM39" s="655"/>
      <c r="AN39" s="655"/>
      <c r="AO39" s="655"/>
      <c r="AP39" s="655"/>
      <c r="AQ39" s="655"/>
      <c r="AR39" s="655"/>
      <c r="AS39" s="655"/>
      <c r="AT39" s="655"/>
      <c r="AU39" s="655"/>
      <c r="AV39" s="655"/>
      <c r="AW39" s="655"/>
      <c r="AX39" s="655"/>
      <c r="AY39" s="655"/>
      <c r="AZ39" s="655"/>
      <c r="BA39" s="655"/>
      <c r="BB39" s="655"/>
      <c r="BC39" s="655"/>
      <c r="BD39" s="655"/>
      <c r="BE39" s="655"/>
      <c r="BF39" s="655"/>
      <c r="BG39" s="655"/>
      <c r="BH39" s="655"/>
      <c r="BI39" s="655"/>
      <c r="BJ39" s="655"/>
      <c r="BK39" s="655"/>
      <c r="BL39" s="655"/>
      <c r="BM39" s="655"/>
      <c r="BN39" s="655"/>
      <c r="BO39" s="655"/>
      <c r="BP39" s="655"/>
      <c r="BQ39" s="655"/>
      <c r="BR39" s="655"/>
      <c r="BS39" s="655"/>
      <c r="BT39" s="655"/>
      <c r="BU39" s="655"/>
      <c r="BV39" s="655"/>
      <c r="BW39" s="655"/>
      <c r="BX39" s="655"/>
      <c r="BY39" s="655"/>
      <c r="BZ39" s="655"/>
      <c r="CA39" s="655"/>
      <c r="CB39" s="655"/>
      <c r="CC39" s="655"/>
      <c r="CD39" s="655"/>
      <c r="CE39" s="655"/>
      <c r="CF39" s="655"/>
      <c r="CG39" s="655"/>
      <c r="CH39" s="655"/>
      <c r="CI39" s="655"/>
      <c r="CJ39" s="655"/>
      <c r="CK39" s="655"/>
      <c r="CL39" s="655"/>
      <c r="CM39" s="655"/>
      <c r="CN39" s="655"/>
      <c r="CO39" s="655"/>
      <c r="CP39" s="655"/>
      <c r="CQ39" s="655"/>
      <c r="CR39" s="655"/>
      <c r="CS39" s="655"/>
      <c r="CT39" s="655"/>
      <c r="CU39" s="655"/>
      <c r="CV39" s="655"/>
      <c r="CW39" s="655"/>
      <c r="CX39" s="655"/>
      <c r="CY39" s="655"/>
      <c r="CZ39" s="655"/>
    </row>
    <row r="40" spans="1:104" ht="16.5">
      <c r="A40" s="650" t="s">
        <v>129</v>
      </c>
      <c r="B40" s="651">
        <f t="shared" si="0"/>
        <v>1</v>
      </c>
      <c r="C40" s="652">
        <f t="shared" si="1"/>
        <v>0</v>
      </c>
      <c r="D40" s="653">
        <v>1</v>
      </c>
      <c r="E40" s="654"/>
      <c r="F40" s="655"/>
      <c r="G40" s="655"/>
      <c r="H40" s="655"/>
      <c r="I40" s="655"/>
      <c r="J40" s="655"/>
      <c r="K40" s="655"/>
      <c r="L40" s="655"/>
      <c r="M40" s="655"/>
      <c r="N40" s="655"/>
      <c r="O40" s="655"/>
      <c r="P40" s="655"/>
      <c r="Q40" s="655"/>
      <c r="R40" s="655"/>
      <c r="S40" s="655"/>
      <c r="T40" s="655"/>
      <c r="U40" s="655"/>
      <c r="V40" s="655"/>
      <c r="W40" s="655"/>
      <c r="X40" s="655"/>
      <c r="Y40" s="655"/>
      <c r="Z40" s="655"/>
      <c r="AA40" s="655"/>
      <c r="AB40" s="655"/>
      <c r="AC40" s="655"/>
      <c r="AD40" s="655"/>
      <c r="AE40" s="655"/>
      <c r="AF40" s="655"/>
      <c r="AG40" s="655"/>
      <c r="AH40" s="655"/>
      <c r="AI40" s="655"/>
      <c r="AJ40" s="655"/>
      <c r="AK40" s="655"/>
      <c r="AL40" s="655"/>
      <c r="AM40" s="655"/>
      <c r="AN40" s="655"/>
      <c r="AO40" s="655"/>
      <c r="AP40" s="655"/>
      <c r="AQ40" s="655"/>
      <c r="AR40" s="655"/>
      <c r="AS40" s="655"/>
      <c r="AT40" s="655"/>
      <c r="AU40" s="655"/>
      <c r="AV40" s="655"/>
      <c r="AW40" s="655"/>
      <c r="AX40" s="655"/>
      <c r="AY40" s="655"/>
      <c r="AZ40" s="655"/>
      <c r="BA40" s="655"/>
      <c r="BB40" s="655"/>
      <c r="BC40" s="655"/>
      <c r="BD40" s="655"/>
      <c r="BE40" s="655"/>
      <c r="BF40" s="655"/>
      <c r="BG40" s="655"/>
      <c r="BH40" s="655"/>
      <c r="BI40" s="655"/>
      <c r="BJ40" s="655"/>
      <c r="BK40" s="655"/>
      <c r="BL40" s="655"/>
      <c r="BM40" s="655"/>
      <c r="BN40" s="655"/>
      <c r="BO40" s="655"/>
      <c r="BP40" s="655"/>
      <c r="BQ40" s="655"/>
      <c r="BR40" s="655"/>
      <c r="BS40" s="655"/>
      <c r="BT40" s="655"/>
      <c r="BU40" s="655"/>
      <c r="BV40" s="655"/>
      <c r="BW40" s="655"/>
      <c r="BX40" s="655"/>
      <c r="BY40" s="655"/>
      <c r="BZ40" s="655"/>
      <c r="CA40" s="655"/>
      <c r="CB40" s="655"/>
      <c r="CC40" s="655"/>
      <c r="CD40" s="655"/>
      <c r="CE40" s="655"/>
      <c r="CF40" s="655"/>
      <c r="CG40" s="655"/>
      <c r="CH40" s="655"/>
      <c r="CI40" s="655"/>
      <c r="CJ40" s="655"/>
      <c r="CK40" s="655"/>
      <c r="CL40" s="655"/>
      <c r="CM40" s="655"/>
      <c r="CN40" s="655"/>
      <c r="CO40" s="655"/>
      <c r="CP40" s="655"/>
      <c r="CQ40" s="655"/>
      <c r="CR40" s="655"/>
      <c r="CS40" s="655"/>
      <c r="CT40" s="655"/>
      <c r="CU40" s="655"/>
      <c r="CV40" s="655"/>
      <c r="CW40" s="655"/>
      <c r="CX40" s="655"/>
      <c r="CY40" s="655"/>
      <c r="CZ40" s="655"/>
    </row>
    <row r="41" spans="1:104" ht="16.5">
      <c r="A41" s="650" t="s">
        <v>154</v>
      </c>
      <c r="B41" s="651">
        <f t="shared" si="0"/>
        <v>10</v>
      </c>
      <c r="C41" s="652">
        <f t="shared" si="1"/>
        <v>0</v>
      </c>
      <c r="D41" s="653">
        <v>10</v>
      </c>
      <c r="E41" s="654"/>
      <c r="F41" s="655"/>
      <c r="G41" s="655"/>
      <c r="H41" s="655"/>
      <c r="I41" s="655"/>
      <c r="J41" s="655"/>
      <c r="K41" s="655"/>
      <c r="L41" s="655"/>
      <c r="M41" s="655"/>
      <c r="N41" s="655"/>
      <c r="O41" s="655"/>
      <c r="P41" s="655"/>
      <c r="Q41" s="655"/>
      <c r="R41" s="655"/>
      <c r="S41" s="655"/>
      <c r="T41" s="655"/>
      <c r="U41" s="655"/>
      <c r="V41" s="655"/>
      <c r="W41" s="655"/>
      <c r="X41" s="655"/>
      <c r="Y41" s="655"/>
      <c r="Z41" s="655"/>
      <c r="AA41" s="655"/>
      <c r="AB41" s="655"/>
      <c r="AC41" s="655"/>
      <c r="AD41" s="655"/>
      <c r="AE41" s="655"/>
      <c r="AF41" s="655"/>
      <c r="AG41" s="655"/>
      <c r="AH41" s="655"/>
      <c r="AI41" s="655"/>
      <c r="AJ41" s="655"/>
      <c r="AK41" s="655"/>
      <c r="AL41" s="655"/>
      <c r="AM41" s="655"/>
      <c r="AN41" s="655"/>
      <c r="AO41" s="655"/>
      <c r="AP41" s="655"/>
      <c r="AQ41" s="655"/>
      <c r="AR41" s="655"/>
      <c r="AS41" s="655"/>
      <c r="AT41" s="655"/>
      <c r="AU41" s="655"/>
      <c r="AV41" s="655"/>
      <c r="AW41" s="655"/>
      <c r="AX41" s="655"/>
      <c r="AY41" s="655"/>
      <c r="AZ41" s="655"/>
      <c r="BA41" s="655"/>
      <c r="BB41" s="655"/>
      <c r="BC41" s="655"/>
      <c r="BD41" s="655"/>
      <c r="BE41" s="655"/>
      <c r="BF41" s="655"/>
      <c r="BG41" s="655"/>
      <c r="BH41" s="655"/>
      <c r="BI41" s="655"/>
      <c r="BJ41" s="655"/>
      <c r="BK41" s="655"/>
      <c r="BL41" s="655"/>
      <c r="BM41" s="655"/>
      <c r="BN41" s="655"/>
      <c r="BO41" s="655"/>
      <c r="BP41" s="655"/>
      <c r="BQ41" s="655"/>
      <c r="BR41" s="655"/>
      <c r="BS41" s="655"/>
      <c r="BT41" s="655"/>
      <c r="BU41" s="655"/>
      <c r="BV41" s="655"/>
      <c r="BW41" s="655"/>
      <c r="BX41" s="655"/>
      <c r="BY41" s="655"/>
      <c r="BZ41" s="655"/>
      <c r="CA41" s="655"/>
      <c r="CB41" s="655"/>
      <c r="CC41" s="655"/>
      <c r="CD41" s="655"/>
      <c r="CE41" s="655"/>
      <c r="CF41" s="655"/>
      <c r="CG41" s="655"/>
      <c r="CH41" s="655"/>
      <c r="CI41" s="655"/>
      <c r="CJ41" s="655"/>
      <c r="CK41" s="655"/>
      <c r="CL41" s="655"/>
      <c r="CM41" s="655"/>
      <c r="CN41" s="655"/>
      <c r="CO41" s="655"/>
      <c r="CP41" s="655"/>
      <c r="CQ41" s="655"/>
      <c r="CR41" s="655"/>
      <c r="CS41" s="655"/>
      <c r="CT41" s="655"/>
      <c r="CU41" s="655"/>
      <c r="CV41" s="655"/>
      <c r="CW41" s="655"/>
      <c r="CX41" s="655"/>
      <c r="CY41" s="655"/>
      <c r="CZ41" s="655"/>
    </row>
    <row r="42" spans="1:104" ht="16.5">
      <c r="A42" s="650" t="s">
        <v>176</v>
      </c>
      <c r="B42" s="651">
        <f t="shared" si="0"/>
        <v>1</v>
      </c>
      <c r="C42" s="652">
        <f t="shared" si="1"/>
        <v>0</v>
      </c>
      <c r="D42" s="653">
        <v>1</v>
      </c>
      <c r="E42" s="654"/>
      <c r="F42" s="655"/>
      <c r="G42" s="655"/>
      <c r="H42" s="655"/>
      <c r="I42" s="655"/>
      <c r="J42" s="655"/>
      <c r="K42" s="655"/>
      <c r="L42" s="655"/>
      <c r="M42" s="655"/>
      <c r="N42" s="655"/>
      <c r="O42" s="655"/>
      <c r="P42" s="655"/>
      <c r="Q42" s="655"/>
      <c r="R42" s="655"/>
      <c r="S42" s="655"/>
      <c r="T42" s="655"/>
      <c r="U42" s="655"/>
      <c r="V42" s="655"/>
      <c r="W42" s="655"/>
      <c r="X42" s="655"/>
      <c r="Y42" s="655"/>
      <c r="Z42" s="655"/>
      <c r="AA42" s="655"/>
      <c r="AB42" s="655"/>
      <c r="AC42" s="655"/>
      <c r="AD42" s="655"/>
      <c r="AE42" s="655"/>
      <c r="AF42" s="655"/>
      <c r="AG42" s="655"/>
      <c r="AH42" s="655"/>
      <c r="AI42" s="655"/>
      <c r="AJ42" s="655"/>
      <c r="AK42" s="655"/>
      <c r="AL42" s="655"/>
      <c r="AM42" s="655"/>
      <c r="AN42" s="655"/>
      <c r="AO42" s="655"/>
      <c r="AP42" s="655"/>
      <c r="AQ42" s="655"/>
      <c r="AR42" s="655"/>
      <c r="AS42" s="655"/>
      <c r="AT42" s="655"/>
      <c r="AU42" s="655"/>
      <c r="AV42" s="655"/>
      <c r="AW42" s="655"/>
      <c r="AX42" s="655"/>
      <c r="AY42" s="655"/>
      <c r="AZ42" s="655"/>
      <c r="BA42" s="655"/>
      <c r="BB42" s="655"/>
      <c r="BC42" s="655"/>
      <c r="BD42" s="655"/>
      <c r="BE42" s="655"/>
      <c r="BF42" s="655"/>
      <c r="BG42" s="655"/>
      <c r="BH42" s="655"/>
      <c r="BI42" s="655"/>
      <c r="BJ42" s="655"/>
      <c r="BK42" s="655"/>
      <c r="BL42" s="655"/>
      <c r="BM42" s="655"/>
      <c r="BN42" s="655"/>
      <c r="BO42" s="655"/>
      <c r="BP42" s="655"/>
      <c r="BQ42" s="655"/>
      <c r="BR42" s="655"/>
      <c r="BS42" s="655"/>
      <c r="BT42" s="655"/>
      <c r="BU42" s="655"/>
      <c r="BV42" s="655"/>
      <c r="BW42" s="655"/>
      <c r="BX42" s="655"/>
      <c r="BY42" s="655"/>
      <c r="BZ42" s="655"/>
      <c r="CA42" s="655"/>
      <c r="CB42" s="655"/>
      <c r="CC42" s="655"/>
      <c r="CD42" s="655"/>
      <c r="CE42" s="655"/>
      <c r="CF42" s="655"/>
      <c r="CG42" s="655"/>
      <c r="CH42" s="655"/>
      <c r="CI42" s="655"/>
      <c r="CJ42" s="655"/>
      <c r="CK42" s="655"/>
      <c r="CL42" s="655"/>
      <c r="CM42" s="655"/>
      <c r="CN42" s="655"/>
      <c r="CO42" s="655"/>
      <c r="CP42" s="655"/>
      <c r="CQ42" s="655"/>
      <c r="CR42" s="655"/>
      <c r="CS42" s="655"/>
      <c r="CT42" s="655"/>
      <c r="CU42" s="655"/>
      <c r="CV42" s="655"/>
      <c r="CW42" s="655"/>
      <c r="CX42" s="655"/>
      <c r="CY42" s="655"/>
      <c r="CZ42" s="655"/>
    </row>
    <row r="43" spans="1:104" ht="16.5">
      <c r="A43" s="650" t="s">
        <v>143</v>
      </c>
      <c r="B43" s="651">
        <f t="shared" si="0"/>
        <v>10</v>
      </c>
      <c r="C43" s="652">
        <f t="shared" si="1"/>
        <v>0</v>
      </c>
      <c r="D43" s="653">
        <v>10</v>
      </c>
      <c r="E43" s="654"/>
      <c r="F43" s="655"/>
      <c r="G43" s="655"/>
      <c r="H43" s="655"/>
      <c r="I43" s="655"/>
      <c r="J43" s="655"/>
      <c r="K43" s="655"/>
      <c r="L43" s="655"/>
      <c r="M43" s="655"/>
      <c r="N43" s="655"/>
      <c r="O43" s="655"/>
      <c r="P43" s="655"/>
      <c r="Q43" s="655"/>
      <c r="R43" s="655"/>
      <c r="S43" s="655"/>
      <c r="T43" s="655"/>
      <c r="U43" s="655"/>
      <c r="V43" s="655"/>
      <c r="W43" s="655"/>
      <c r="X43" s="655"/>
      <c r="Y43" s="655"/>
      <c r="Z43" s="655"/>
      <c r="AA43" s="655"/>
      <c r="AB43" s="655"/>
      <c r="AC43" s="655"/>
      <c r="AD43" s="655"/>
      <c r="AE43" s="655"/>
      <c r="AF43" s="655"/>
      <c r="AG43" s="655"/>
      <c r="AH43" s="655"/>
      <c r="AI43" s="655"/>
      <c r="AJ43" s="655"/>
      <c r="AK43" s="655"/>
      <c r="AL43" s="655"/>
      <c r="AM43" s="655"/>
      <c r="AN43" s="655"/>
      <c r="AO43" s="655"/>
      <c r="AP43" s="655"/>
      <c r="AQ43" s="655"/>
      <c r="AR43" s="655"/>
      <c r="AS43" s="655"/>
      <c r="AT43" s="655"/>
      <c r="AU43" s="655"/>
      <c r="AV43" s="655"/>
      <c r="AW43" s="655"/>
      <c r="AX43" s="655"/>
      <c r="AY43" s="655"/>
      <c r="AZ43" s="655"/>
      <c r="BA43" s="655"/>
      <c r="BB43" s="655"/>
      <c r="BC43" s="655"/>
      <c r="BD43" s="655"/>
      <c r="BE43" s="655"/>
      <c r="BF43" s="655"/>
      <c r="BG43" s="655"/>
      <c r="BH43" s="655"/>
      <c r="BI43" s="655"/>
      <c r="BJ43" s="655"/>
      <c r="BK43" s="655"/>
      <c r="BL43" s="655"/>
      <c r="BM43" s="655"/>
      <c r="BN43" s="655"/>
      <c r="BO43" s="655"/>
      <c r="BP43" s="655"/>
      <c r="BQ43" s="655"/>
      <c r="BR43" s="655"/>
      <c r="BS43" s="655"/>
      <c r="BT43" s="655"/>
      <c r="BU43" s="655"/>
      <c r="BV43" s="655"/>
      <c r="BW43" s="655"/>
      <c r="BX43" s="655"/>
      <c r="BY43" s="655"/>
      <c r="BZ43" s="655"/>
      <c r="CA43" s="655"/>
      <c r="CB43" s="655"/>
      <c r="CC43" s="655"/>
      <c r="CD43" s="655"/>
      <c r="CE43" s="655"/>
      <c r="CF43" s="655"/>
      <c r="CG43" s="655"/>
      <c r="CH43" s="655"/>
      <c r="CI43" s="655"/>
      <c r="CJ43" s="655"/>
      <c r="CK43" s="655"/>
      <c r="CL43" s="655"/>
      <c r="CM43" s="655"/>
      <c r="CN43" s="655"/>
      <c r="CO43" s="655"/>
      <c r="CP43" s="655"/>
      <c r="CQ43" s="655"/>
      <c r="CR43" s="655"/>
      <c r="CS43" s="655"/>
      <c r="CT43" s="655"/>
      <c r="CU43" s="655"/>
      <c r="CV43" s="655"/>
      <c r="CW43" s="655"/>
      <c r="CX43" s="655"/>
      <c r="CY43" s="655"/>
      <c r="CZ43" s="655"/>
    </row>
    <row r="44" spans="1:104" ht="16.5">
      <c r="A44" s="650" t="s">
        <v>151</v>
      </c>
      <c r="B44" s="651">
        <f t="shared" si="0"/>
        <v>10</v>
      </c>
      <c r="C44" s="652">
        <f t="shared" si="1"/>
        <v>0</v>
      </c>
      <c r="D44" s="653">
        <v>10</v>
      </c>
      <c r="E44" s="654"/>
      <c r="F44" s="655"/>
      <c r="G44" s="655"/>
      <c r="H44" s="655"/>
      <c r="I44" s="655"/>
      <c r="J44" s="655"/>
      <c r="K44" s="655"/>
      <c r="L44" s="655"/>
      <c r="M44" s="655"/>
      <c r="N44" s="655"/>
      <c r="O44" s="655"/>
      <c r="P44" s="655"/>
      <c r="Q44" s="655"/>
      <c r="R44" s="655"/>
      <c r="S44" s="655"/>
      <c r="T44" s="655"/>
      <c r="U44" s="655"/>
      <c r="V44" s="655"/>
      <c r="W44" s="655"/>
      <c r="X44" s="655"/>
      <c r="Y44" s="655"/>
      <c r="Z44" s="655"/>
      <c r="AA44" s="655"/>
      <c r="AB44" s="655"/>
      <c r="AC44" s="655"/>
      <c r="AD44" s="655"/>
      <c r="AE44" s="655"/>
      <c r="AF44" s="655"/>
      <c r="AG44" s="655"/>
      <c r="AH44" s="655"/>
      <c r="AI44" s="655"/>
      <c r="AJ44" s="655"/>
      <c r="AK44" s="655"/>
      <c r="AL44" s="655"/>
      <c r="AM44" s="655"/>
      <c r="AN44" s="655"/>
      <c r="AO44" s="655"/>
      <c r="AP44" s="655"/>
      <c r="AQ44" s="655"/>
      <c r="AR44" s="655"/>
      <c r="AS44" s="655"/>
      <c r="AT44" s="655"/>
      <c r="AU44" s="655"/>
      <c r="AV44" s="655"/>
      <c r="AW44" s="655"/>
      <c r="AX44" s="655"/>
      <c r="AY44" s="655"/>
      <c r="AZ44" s="655"/>
      <c r="BA44" s="655"/>
      <c r="BB44" s="655"/>
      <c r="BC44" s="655"/>
      <c r="BD44" s="655"/>
      <c r="BE44" s="655"/>
      <c r="BF44" s="655"/>
      <c r="BG44" s="655"/>
      <c r="BH44" s="655"/>
      <c r="BI44" s="655"/>
      <c r="BJ44" s="655"/>
      <c r="BK44" s="655"/>
      <c r="BL44" s="655"/>
      <c r="BM44" s="655"/>
      <c r="BN44" s="655"/>
      <c r="BO44" s="655"/>
      <c r="BP44" s="655"/>
      <c r="BQ44" s="655"/>
      <c r="BR44" s="655"/>
      <c r="BS44" s="655"/>
      <c r="BT44" s="655"/>
      <c r="BU44" s="655"/>
      <c r="BV44" s="655"/>
      <c r="BW44" s="655"/>
      <c r="BX44" s="655"/>
      <c r="BY44" s="655"/>
      <c r="BZ44" s="655"/>
      <c r="CA44" s="655"/>
      <c r="CB44" s="655"/>
      <c r="CC44" s="655"/>
      <c r="CD44" s="655"/>
      <c r="CE44" s="655"/>
      <c r="CF44" s="655"/>
      <c r="CG44" s="655"/>
      <c r="CH44" s="655"/>
      <c r="CI44" s="655"/>
      <c r="CJ44" s="655"/>
      <c r="CK44" s="655"/>
      <c r="CL44" s="655"/>
      <c r="CM44" s="655"/>
      <c r="CN44" s="655"/>
      <c r="CO44" s="655"/>
      <c r="CP44" s="655"/>
      <c r="CQ44" s="655"/>
      <c r="CR44" s="655"/>
      <c r="CS44" s="655"/>
      <c r="CT44" s="655"/>
      <c r="CU44" s="655"/>
      <c r="CV44" s="655"/>
      <c r="CW44" s="655"/>
      <c r="CX44" s="655"/>
      <c r="CY44" s="655"/>
      <c r="CZ44" s="655"/>
    </row>
    <row r="45" spans="1:104" ht="16.5">
      <c r="A45" s="650" t="s">
        <v>146</v>
      </c>
      <c r="B45" s="651">
        <f t="shared" si="0"/>
        <v>5</v>
      </c>
      <c r="C45" s="652">
        <f t="shared" si="1"/>
        <v>0</v>
      </c>
      <c r="D45" s="653">
        <v>5</v>
      </c>
      <c r="E45" s="654"/>
      <c r="F45" s="655"/>
      <c r="G45" s="655"/>
      <c r="H45" s="655"/>
      <c r="I45" s="655"/>
      <c r="J45" s="655"/>
      <c r="K45" s="655"/>
      <c r="L45" s="655"/>
      <c r="M45" s="655"/>
      <c r="N45" s="655"/>
      <c r="O45" s="655"/>
      <c r="P45" s="655"/>
      <c r="Q45" s="655"/>
      <c r="R45" s="655"/>
      <c r="S45" s="655"/>
      <c r="T45" s="655"/>
      <c r="U45" s="655"/>
      <c r="V45" s="655"/>
      <c r="W45" s="655"/>
      <c r="X45" s="655"/>
      <c r="Y45" s="655"/>
      <c r="Z45" s="655"/>
      <c r="AA45" s="655"/>
      <c r="AB45" s="655"/>
      <c r="AC45" s="655"/>
      <c r="AD45" s="655"/>
      <c r="AE45" s="655"/>
      <c r="AF45" s="655"/>
      <c r="AG45" s="655"/>
      <c r="AH45" s="655"/>
      <c r="AI45" s="655"/>
      <c r="AJ45" s="655"/>
      <c r="AK45" s="655"/>
      <c r="AL45" s="655"/>
      <c r="AM45" s="655"/>
      <c r="AN45" s="655"/>
      <c r="AO45" s="655"/>
      <c r="AP45" s="655"/>
      <c r="AQ45" s="655"/>
      <c r="AR45" s="655"/>
      <c r="AS45" s="655"/>
      <c r="AT45" s="655"/>
      <c r="AU45" s="655"/>
      <c r="AV45" s="655"/>
      <c r="AW45" s="655"/>
      <c r="AX45" s="655"/>
      <c r="AY45" s="655"/>
      <c r="AZ45" s="655"/>
      <c r="BA45" s="655"/>
      <c r="BB45" s="655"/>
      <c r="BC45" s="655"/>
      <c r="BD45" s="655"/>
      <c r="BE45" s="655"/>
      <c r="BF45" s="655"/>
      <c r="BG45" s="655"/>
      <c r="BH45" s="655"/>
      <c r="BI45" s="655"/>
      <c r="BJ45" s="655"/>
      <c r="BK45" s="655"/>
      <c r="BL45" s="655"/>
      <c r="BM45" s="655"/>
      <c r="BN45" s="655"/>
      <c r="BO45" s="655"/>
      <c r="BP45" s="655"/>
      <c r="BQ45" s="655"/>
      <c r="BR45" s="655"/>
      <c r="BS45" s="655"/>
      <c r="BT45" s="655"/>
      <c r="BU45" s="655"/>
      <c r="BV45" s="655"/>
      <c r="BW45" s="655"/>
      <c r="BX45" s="655"/>
      <c r="BY45" s="655"/>
      <c r="BZ45" s="655"/>
      <c r="CA45" s="655"/>
      <c r="CB45" s="655"/>
      <c r="CC45" s="655"/>
      <c r="CD45" s="655"/>
      <c r="CE45" s="655"/>
      <c r="CF45" s="655"/>
      <c r="CG45" s="655"/>
      <c r="CH45" s="655"/>
      <c r="CI45" s="655"/>
      <c r="CJ45" s="655"/>
      <c r="CK45" s="655"/>
      <c r="CL45" s="655"/>
      <c r="CM45" s="655"/>
      <c r="CN45" s="655"/>
      <c r="CO45" s="655"/>
      <c r="CP45" s="655"/>
      <c r="CQ45" s="655"/>
      <c r="CR45" s="655"/>
      <c r="CS45" s="655"/>
      <c r="CT45" s="655"/>
      <c r="CU45" s="655"/>
      <c r="CV45" s="655"/>
      <c r="CW45" s="655"/>
      <c r="CX45" s="655"/>
      <c r="CY45" s="655"/>
      <c r="CZ45" s="655"/>
    </row>
    <row r="46" spans="1:104" ht="16.5">
      <c r="A46" s="650" t="s">
        <v>161</v>
      </c>
      <c r="B46" s="651">
        <f t="shared" si="0"/>
        <v>1</v>
      </c>
      <c r="C46" s="652">
        <f t="shared" si="1"/>
        <v>0</v>
      </c>
      <c r="D46" s="653">
        <v>1</v>
      </c>
      <c r="E46" s="654"/>
      <c r="F46" s="655"/>
      <c r="G46" s="655"/>
      <c r="H46" s="655"/>
      <c r="I46" s="655"/>
      <c r="J46" s="655"/>
      <c r="K46" s="655"/>
      <c r="L46" s="655"/>
      <c r="M46" s="655"/>
      <c r="N46" s="655"/>
      <c r="O46" s="655"/>
      <c r="P46" s="655"/>
      <c r="Q46" s="655"/>
      <c r="R46" s="655"/>
      <c r="S46" s="655"/>
      <c r="T46" s="655"/>
      <c r="U46" s="655"/>
      <c r="V46" s="655"/>
      <c r="W46" s="655"/>
      <c r="X46" s="655"/>
      <c r="Y46" s="655"/>
      <c r="Z46" s="655"/>
      <c r="AA46" s="655"/>
      <c r="AB46" s="655"/>
      <c r="AC46" s="655"/>
      <c r="AD46" s="655"/>
      <c r="AE46" s="655"/>
      <c r="AF46" s="655"/>
      <c r="AG46" s="655"/>
      <c r="AH46" s="655"/>
      <c r="AI46" s="655"/>
      <c r="AJ46" s="655"/>
      <c r="AK46" s="655"/>
      <c r="AL46" s="655"/>
      <c r="AM46" s="655"/>
      <c r="AN46" s="655"/>
      <c r="AO46" s="655"/>
      <c r="AP46" s="655"/>
      <c r="AQ46" s="655"/>
      <c r="AR46" s="655"/>
      <c r="AS46" s="655"/>
      <c r="AT46" s="655"/>
      <c r="AU46" s="655"/>
      <c r="AV46" s="655"/>
      <c r="AW46" s="655"/>
      <c r="AX46" s="655"/>
      <c r="AY46" s="655"/>
      <c r="AZ46" s="655"/>
      <c r="BA46" s="655"/>
      <c r="BB46" s="655"/>
      <c r="BC46" s="655"/>
      <c r="BD46" s="655"/>
      <c r="BE46" s="655"/>
      <c r="BF46" s="655"/>
      <c r="BG46" s="655"/>
      <c r="BH46" s="655"/>
      <c r="BI46" s="655"/>
      <c r="BJ46" s="655"/>
      <c r="BK46" s="655"/>
      <c r="BL46" s="655"/>
      <c r="BM46" s="655"/>
      <c r="BN46" s="655"/>
      <c r="BO46" s="655"/>
      <c r="BP46" s="655"/>
      <c r="BQ46" s="655"/>
      <c r="BR46" s="655"/>
      <c r="BS46" s="655"/>
      <c r="BT46" s="655"/>
      <c r="BU46" s="655"/>
      <c r="BV46" s="655"/>
      <c r="BW46" s="655"/>
      <c r="BX46" s="655"/>
      <c r="BY46" s="655"/>
      <c r="BZ46" s="655"/>
      <c r="CA46" s="655"/>
      <c r="CB46" s="655"/>
      <c r="CC46" s="655"/>
      <c r="CD46" s="655"/>
      <c r="CE46" s="655"/>
      <c r="CF46" s="655"/>
      <c r="CG46" s="655"/>
      <c r="CH46" s="655"/>
      <c r="CI46" s="655"/>
      <c r="CJ46" s="655"/>
      <c r="CK46" s="655"/>
      <c r="CL46" s="655"/>
      <c r="CM46" s="655"/>
      <c r="CN46" s="655"/>
      <c r="CO46" s="655"/>
      <c r="CP46" s="655"/>
      <c r="CQ46" s="655"/>
      <c r="CR46" s="655"/>
      <c r="CS46" s="655"/>
      <c r="CT46" s="655"/>
      <c r="CU46" s="655"/>
      <c r="CV46" s="655"/>
      <c r="CW46" s="655"/>
      <c r="CX46" s="655"/>
      <c r="CY46" s="655"/>
      <c r="CZ46" s="655"/>
    </row>
    <row r="47" spans="1:104" ht="16.5">
      <c r="A47" s="650" t="s">
        <v>162</v>
      </c>
      <c r="B47" s="651">
        <f t="shared" si="0"/>
        <v>10</v>
      </c>
      <c r="C47" s="652">
        <f t="shared" si="1"/>
        <v>0</v>
      </c>
      <c r="D47" s="653">
        <v>10</v>
      </c>
      <c r="E47" s="654"/>
      <c r="F47" s="655"/>
      <c r="G47" s="655"/>
      <c r="H47" s="655"/>
      <c r="I47" s="655"/>
      <c r="J47" s="655"/>
      <c r="K47" s="655"/>
      <c r="L47" s="655"/>
      <c r="M47" s="655"/>
      <c r="N47" s="655"/>
      <c r="O47" s="655"/>
      <c r="P47" s="655"/>
      <c r="Q47" s="655"/>
      <c r="R47" s="655"/>
      <c r="S47" s="655"/>
      <c r="T47" s="655"/>
      <c r="U47" s="655"/>
      <c r="V47" s="655"/>
      <c r="W47" s="655"/>
      <c r="X47" s="655"/>
      <c r="Y47" s="655"/>
      <c r="Z47" s="655"/>
      <c r="AA47" s="655"/>
      <c r="AB47" s="655"/>
      <c r="AC47" s="655"/>
      <c r="AD47" s="655"/>
      <c r="AE47" s="655"/>
      <c r="AF47" s="655"/>
      <c r="AG47" s="655"/>
      <c r="AH47" s="655"/>
      <c r="AI47" s="655"/>
      <c r="AJ47" s="655"/>
      <c r="AK47" s="655"/>
      <c r="AL47" s="655"/>
      <c r="AM47" s="655"/>
      <c r="AN47" s="655"/>
      <c r="AO47" s="655"/>
      <c r="AP47" s="655"/>
      <c r="AQ47" s="655"/>
      <c r="AR47" s="655"/>
      <c r="AS47" s="655"/>
      <c r="AT47" s="655"/>
      <c r="AU47" s="655"/>
      <c r="AV47" s="655"/>
      <c r="AW47" s="655"/>
      <c r="AX47" s="655"/>
      <c r="AY47" s="655"/>
      <c r="AZ47" s="655"/>
      <c r="BA47" s="655"/>
      <c r="BB47" s="655"/>
      <c r="BC47" s="655"/>
      <c r="BD47" s="655"/>
      <c r="BE47" s="655"/>
      <c r="BF47" s="655"/>
      <c r="BG47" s="655"/>
      <c r="BH47" s="655"/>
      <c r="BI47" s="655"/>
      <c r="BJ47" s="655"/>
      <c r="BK47" s="655"/>
      <c r="BL47" s="655"/>
      <c r="BM47" s="655"/>
      <c r="BN47" s="655"/>
      <c r="BO47" s="655"/>
      <c r="BP47" s="655"/>
      <c r="BQ47" s="655"/>
      <c r="BR47" s="655"/>
      <c r="BS47" s="655"/>
      <c r="BT47" s="655"/>
      <c r="BU47" s="655"/>
      <c r="BV47" s="655"/>
      <c r="BW47" s="655"/>
      <c r="BX47" s="655"/>
      <c r="BY47" s="655"/>
      <c r="BZ47" s="655"/>
      <c r="CA47" s="655"/>
      <c r="CB47" s="655"/>
      <c r="CC47" s="655"/>
      <c r="CD47" s="655"/>
      <c r="CE47" s="655"/>
      <c r="CF47" s="655"/>
      <c r="CG47" s="655"/>
      <c r="CH47" s="655"/>
      <c r="CI47" s="655"/>
      <c r="CJ47" s="655"/>
      <c r="CK47" s="655"/>
      <c r="CL47" s="655"/>
      <c r="CM47" s="655"/>
      <c r="CN47" s="655"/>
      <c r="CO47" s="655"/>
      <c r="CP47" s="655"/>
      <c r="CQ47" s="655"/>
      <c r="CR47" s="655"/>
      <c r="CS47" s="655"/>
      <c r="CT47" s="655"/>
      <c r="CU47" s="655"/>
      <c r="CV47" s="655"/>
      <c r="CW47" s="655"/>
      <c r="CX47" s="655"/>
      <c r="CY47" s="655"/>
      <c r="CZ47" s="655"/>
    </row>
    <row r="48" spans="1:104" ht="16.5">
      <c r="A48" s="650" t="s">
        <v>2259</v>
      </c>
      <c r="B48" s="651">
        <f t="shared" si="0"/>
        <v>1</v>
      </c>
      <c r="C48" s="652">
        <f t="shared" si="1"/>
        <v>0</v>
      </c>
      <c r="D48" s="653">
        <v>1</v>
      </c>
      <c r="E48" s="654"/>
      <c r="F48" s="655"/>
      <c r="G48" s="655"/>
      <c r="H48" s="655"/>
      <c r="I48" s="655"/>
      <c r="J48" s="655"/>
      <c r="K48" s="655"/>
      <c r="L48" s="655"/>
      <c r="M48" s="655"/>
      <c r="N48" s="655"/>
      <c r="O48" s="655"/>
      <c r="P48" s="655"/>
      <c r="Q48" s="655"/>
      <c r="R48" s="655"/>
      <c r="S48" s="655"/>
      <c r="T48" s="655"/>
      <c r="U48" s="655"/>
      <c r="V48" s="655"/>
      <c r="W48" s="655"/>
      <c r="X48" s="655"/>
      <c r="Y48" s="655"/>
      <c r="Z48" s="655"/>
      <c r="AA48" s="655"/>
      <c r="AB48" s="655"/>
      <c r="AC48" s="655"/>
      <c r="AD48" s="655"/>
      <c r="AE48" s="655"/>
      <c r="AF48" s="655"/>
      <c r="AG48" s="655"/>
      <c r="AH48" s="655"/>
      <c r="AI48" s="655"/>
      <c r="AJ48" s="655"/>
      <c r="AK48" s="655"/>
      <c r="AL48" s="655"/>
      <c r="AM48" s="655"/>
      <c r="AN48" s="655"/>
      <c r="AO48" s="655"/>
      <c r="AP48" s="655"/>
      <c r="AQ48" s="655"/>
      <c r="AR48" s="655"/>
      <c r="AS48" s="655"/>
      <c r="AT48" s="655"/>
      <c r="AU48" s="655"/>
      <c r="AV48" s="655"/>
      <c r="AW48" s="655"/>
      <c r="AX48" s="655"/>
      <c r="AY48" s="655"/>
      <c r="AZ48" s="655"/>
      <c r="BA48" s="655"/>
      <c r="BB48" s="655"/>
      <c r="BC48" s="655"/>
      <c r="BD48" s="655"/>
      <c r="BE48" s="655"/>
      <c r="BF48" s="655"/>
      <c r="BG48" s="655"/>
      <c r="BH48" s="655"/>
      <c r="BI48" s="655"/>
      <c r="BJ48" s="655"/>
      <c r="BK48" s="655"/>
      <c r="BL48" s="655"/>
      <c r="BM48" s="655"/>
      <c r="BN48" s="655"/>
      <c r="BO48" s="655"/>
      <c r="BP48" s="655"/>
      <c r="BQ48" s="655"/>
      <c r="BR48" s="655"/>
      <c r="BS48" s="655"/>
      <c r="BT48" s="655"/>
      <c r="BU48" s="655"/>
      <c r="BV48" s="655"/>
      <c r="BW48" s="655"/>
      <c r="BX48" s="655"/>
      <c r="BY48" s="655"/>
      <c r="BZ48" s="655"/>
      <c r="CA48" s="655"/>
      <c r="CB48" s="655"/>
      <c r="CC48" s="655"/>
      <c r="CD48" s="655"/>
      <c r="CE48" s="655"/>
      <c r="CF48" s="655"/>
      <c r="CG48" s="655"/>
      <c r="CH48" s="655"/>
      <c r="CI48" s="655"/>
      <c r="CJ48" s="655"/>
      <c r="CK48" s="655"/>
      <c r="CL48" s="655"/>
      <c r="CM48" s="655"/>
      <c r="CN48" s="655"/>
      <c r="CO48" s="655"/>
      <c r="CP48" s="655"/>
      <c r="CQ48" s="655"/>
      <c r="CR48" s="655"/>
      <c r="CS48" s="655"/>
      <c r="CT48" s="655"/>
      <c r="CU48" s="655"/>
      <c r="CV48" s="655"/>
      <c r="CW48" s="655"/>
      <c r="CX48" s="655"/>
      <c r="CY48" s="655"/>
      <c r="CZ48" s="655"/>
    </row>
    <row r="49" spans="1:104" ht="16.5">
      <c r="A49" s="650" t="s">
        <v>174</v>
      </c>
      <c r="B49" s="651">
        <f t="shared" si="0"/>
        <v>1</v>
      </c>
      <c r="C49" s="652">
        <f t="shared" si="1"/>
        <v>0</v>
      </c>
      <c r="D49" s="653">
        <v>1</v>
      </c>
      <c r="E49" s="654"/>
      <c r="F49" s="655"/>
      <c r="G49" s="655"/>
      <c r="H49" s="655"/>
      <c r="I49" s="655"/>
      <c r="J49" s="655"/>
      <c r="K49" s="655"/>
      <c r="L49" s="655"/>
      <c r="M49" s="655"/>
      <c r="N49" s="655"/>
      <c r="O49" s="655"/>
      <c r="P49" s="655"/>
      <c r="Q49" s="655"/>
      <c r="R49" s="655"/>
      <c r="S49" s="655"/>
      <c r="T49" s="655"/>
      <c r="U49" s="655"/>
      <c r="V49" s="655"/>
      <c r="W49" s="655"/>
      <c r="X49" s="655"/>
      <c r="Y49" s="655"/>
      <c r="Z49" s="655"/>
      <c r="AA49" s="655"/>
      <c r="AB49" s="655"/>
      <c r="AC49" s="655"/>
      <c r="AD49" s="655"/>
      <c r="AE49" s="655"/>
      <c r="AF49" s="655"/>
      <c r="AG49" s="655"/>
      <c r="AH49" s="655"/>
      <c r="AI49" s="655"/>
      <c r="AJ49" s="655"/>
      <c r="AK49" s="655"/>
      <c r="AL49" s="655"/>
      <c r="AM49" s="655"/>
      <c r="AN49" s="655"/>
      <c r="AO49" s="655"/>
      <c r="AP49" s="655"/>
      <c r="AQ49" s="655"/>
      <c r="AR49" s="655"/>
      <c r="AS49" s="655"/>
      <c r="AT49" s="655"/>
      <c r="AU49" s="655"/>
      <c r="AV49" s="655"/>
      <c r="AW49" s="655"/>
      <c r="AX49" s="655"/>
      <c r="AY49" s="655"/>
      <c r="AZ49" s="655"/>
      <c r="BA49" s="655"/>
      <c r="BB49" s="655"/>
      <c r="BC49" s="655"/>
      <c r="BD49" s="655"/>
      <c r="BE49" s="655"/>
      <c r="BF49" s="655"/>
      <c r="BG49" s="655"/>
      <c r="BH49" s="655"/>
      <c r="BI49" s="655"/>
      <c r="BJ49" s="655"/>
      <c r="BK49" s="655"/>
      <c r="BL49" s="655"/>
      <c r="BM49" s="655"/>
      <c r="BN49" s="655"/>
      <c r="BO49" s="655"/>
      <c r="BP49" s="655"/>
      <c r="BQ49" s="655"/>
      <c r="BR49" s="655"/>
      <c r="BS49" s="655"/>
      <c r="BT49" s="655"/>
      <c r="BU49" s="655"/>
      <c r="BV49" s="655"/>
      <c r="BW49" s="655"/>
      <c r="BX49" s="655"/>
      <c r="BY49" s="655"/>
      <c r="BZ49" s="655"/>
      <c r="CA49" s="655"/>
      <c r="CB49" s="655"/>
      <c r="CC49" s="655"/>
      <c r="CD49" s="655"/>
      <c r="CE49" s="655"/>
      <c r="CF49" s="655"/>
      <c r="CG49" s="655"/>
      <c r="CH49" s="655"/>
      <c r="CI49" s="655"/>
      <c r="CJ49" s="655"/>
      <c r="CK49" s="655"/>
      <c r="CL49" s="655"/>
      <c r="CM49" s="655"/>
      <c r="CN49" s="655"/>
      <c r="CO49" s="655"/>
      <c r="CP49" s="655"/>
      <c r="CQ49" s="655"/>
      <c r="CR49" s="655"/>
      <c r="CS49" s="655"/>
      <c r="CT49" s="655"/>
      <c r="CU49" s="655"/>
      <c r="CV49" s="655"/>
      <c r="CW49" s="655"/>
      <c r="CX49" s="655"/>
      <c r="CY49" s="655"/>
      <c r="CZ49" s="655"/>
    </row>
    <row r="50" spans="1:104" ht="16.5">
      <c r="A50" s="650" t="s">
        <v>153</v>
      </c>
      <c r="B50" s="651">
        <f t="shared" si="0"/>
        <v>10</v>
      </c>
      <c r="C50" s="652">
        <f t="shared" si="1"/>
        <v>0</v>
      </c>
      <c r="D50" s="653">
        <v>10</v>
      </c>
      <c r="E50" s="654"/>
      <c r="F50" s="655"/>
      <c r="G50" s="655"/>
      <c r="H50" s="655"/>
      <c r="I50" s="655"/>
      <c r="J50" s="655"/>
      <c r="K50" s="655"/>
      <c r="L50" s="655"/>
      <c r="M50" s="655"/>
      <c r="N50" s="655"/>
      <c r="O50" s="655"/>
      <c r="P50" s="655"/>
      <c r="Q50" s="655"/>
      <c r="R50" s="655"/>
      <c r="S50" s="655"/>
      <c r="T50" s="655"/>
      <c r="U50" s="655"/>
      <c r="V50" s="655"/>
      <c r="W50" s="655"/>
      <c r="X50" s="655"/>
      <c r="Y50" s="655"/>
      <c r="Z50" s="655"/>
      <c r="AA50" s="655"/>
      <c r="AB50" s="655"/>
      <c r="AC50" s="655"/>
      <c r="AD50" s="655"/>
      <c r="AE50" s="655"/>
      <c r="AF50" s="655"/>
      <c r="AG50" s="655"/>
      <c r="AH50" s="655"/>
      <c r="AI50" s="655"/>
      <c r="AJ50" s="655"/>
      <c r="AK50" s="655"/>
      <c r="AL50" s="655"/>
      <c r="AM50" s="655"/>
      <c r="AN50" s="655"/>
      <c r="AO50" s="655"/>
      <c r="AP50" s="655"/>
      <c r="AQ50" s="655"/>
      <c r="AR50" s="655"/>
      <c r="AS50" s="655"/>
      <c r="AT50" s="655"/>
      <c r="AU50" s="655"/>
      <c r="AV50" s="655"/>
      <c r="AW50" s="655"/>
      <c r="AX50" s="655"/>
      <c r="AY50" s="655"/>
      <c r="AZ50" s="655"/>
      <c r="BA50" s="655"/>
      <c r="BB50" s="655"/>
      <c r="BC50" s="655"/>
      <c r="BD50" s="655"/>
      <c r="BE50" s="655"/>
      <c r="BF50" s="655"/>
      <c r="BG50" s="655"/>
      <c r="BH50" s="655"/>
      <c r="BI50" s="655"/>
      <c r="BJ50" s="655"/>
      <c r="BK50" s="655"/>
      <c r="BL50" s="655"/>
      <c r="BM50" s="655"/>
      <c r="BN50" s="655"/>
      <c r="BO50" s="655"/>
      <c r="BP50" s="655"/>
      <c r="BQ50" s="655"/>
      <c r="BR50" s="655"/>
      <c r="BS50" s="655"/>
      <c r="BT50" s="655"/>
      <c r="BU50" s="655"/>
      <c r="BV50" s="655"/>
      <c r="BW50" s="655"/>
      <c r="BX50" s="655"/>
      <c r="BY50" s="655"/>
      <c r="BZ50" s="655"/>
      <c r="CA50" s="655"/>
      <c r="CB50" s="655"/>
      <c r="CC50" s="655"/>
      <c r="CD50" s="655"/>
      <c r="CE50" s="655"/>
      <c r="CF50" s="655"/>
      <c r="CG50" s="655"/>
      <c r="CH50" s="655"/>
      <c r="CI50" s="655"/>
      <c r="CJ50" s="655"/>
      <c r="CK50" s="655"/>
      <c r="CL50" s="655"/>
      <c r="CM50" s="655"/>
      <c r="CN50" s="655"/>
      <c r="CO50" s="655"/>
      <c r="CP50" s="655"/>
      <c r="CQ50" s="655"/>
      <c r="CR50" s="655"/>
      <c r="CS50" s="655"/>
      <c r="CT50" s="655"/>
      <c r="CU50" s="655"/>
      <c r="CV50" s="655"/>
      <c r="CW50" s="655"/>
      <c r="CX50" s="655"/>
      <c r="CY50" s="655"/>
      <c r="CZ50" s="655"/>
    </row>
    <row r="51" spans="1:104" ht="16.5">
      <c r="A51" s="650" t="s">
        <v>189</v>
      </c>
      <c r="B51" s="651">
        <f t="shared" si="0"/>
        <v>5</v>
      </c>
      <c r="C51" s="652">
        <f t="shared" si="1"/>
        <v>0</v>
      </c>
      <c r="D51" s="653">
        <v>5</v>
      </c>
      <c r="E51" s="654"/>
      <c r="F51" s="655"/>
      <c r="G51" s="655"/>
      <c r="H51" s="655"/>
      <c r="I51" s="655"/>
      <c r="J51" s="655"/>
      <c r="K51" s="655"/>
      <c r="L51" s="655"/>
      <c r="M51" s="655"/>
      <c r="N51" s="655"/>
      <c r="O51" s="655"/>
      <c r="P51" s="655"/>
      <c r="Q51" s="655"/>
      <c r="R51" s="655"/>
      <c r="S51" s="655"/>
      <c r="T51" s="655"/>
      <c r="U51" s="655"/>
      <c r="V51" s="655"/>
      <c r="W51" s="655"/>
      <c r="X51" s="655"/>
      <c r="Y51" s="655"/>
      <c r="Z51" s="655"/>
      <c r="AA51" s="655"/>
      <c r="AB51" s="655"/>
      <c r="AC51" s="655"/>
      <c r="AD51" s="655"/>
      <c r="AE51" s="655"/>
      <c r="AF51" s="655"/>
      <c r="AG51" s="655"/>
      <c r="AH51" s="655"/>
      <c r="AI51" s="655"/>
      <c r="AJ51" s="655"/>
      <c r="AK51" s="655"/>
      <c r="AL51" s="655"/>
      <c r="AM51" s="655"/>
      <c r="AN51" s="655"/>
      <c r="AO51" s="655"/>
      <c r="AP51" s="655"/>
      <c r="AQ51" s="655"/>
      <c r="AR51" s="655"/>
      <c r="AS51" s="655"/>
      <c r="AT51" s="655"/>
      <c r="AU51" s="655"/>
      <c r="AV51" s="655"/>
      <c r="AW51" s="655"/>
      <c r="AX51" s="655"/>
      <c r="AY51" s="655"/>
      <c r="AZ51" s="655"/>
      <c r="BA51" s="655"/>
      <c r="BB51" s="655"/>
      <c r="BC51" s="655"/>
      <c r="BD51" s="655"/>
      <c r="BE51" s="655"/>
      <c r="BF51" s="655"/>
      <c r="BG51" s="655"/>
      <c r="BH51" s="655"/>
      <c r="BI51" s="655"/>
      <c r="BJ51" s="655"/>
      <c r="BK51" s="655"/>
      <c r="BL51" s="655"/>
      <c r="BM51" s="655"/>
      <c r="BN51" s="655"/>
      <c r="BO51" s="655"/>
      <c r="BP51" s="655"/>
      <c r="BQ51" s="655"/>
      <c r="BR51" s="655"/>
      <c r="BS51" s="655"/>
      <c r="BT51" s="655"/>
      <c r="BU51" s="655"/>
      <c r="BV51" s="655"/>
      <c r="BW51" s="655"/>
      <c r="BX51" s="655"/>
      <c r="BY51" s="655"/>
      <c r="BZ51" s="655"/>
      <c r="CA51" s="655"/>
      <c r="CB51" s="655"/>
      <c r="CC51" s="655"/>
      <c r="CD51" s="655"/>
      <c r="CE51" s="655"/>
      <c r="CF51" s="655"/>
      <c r="CG51" s="655"/>
      <c r="CH51" s="655"/>
      <c r="CI51" s="655"/>
      <c r="CJ51" s="655"/>
      <c r="CK51" s="655"/>
      <c r="CL51" s="655"/>
      <c r="CM51" s="655"/>
      <c r="CN51" s="655"/>
      <c r="CO51" s="655"/>
      <c r="CP51" s="655"/>
      <c r="CQ51" s="655"/>
      <c r="CR51" s="655"/>
      <c r="CS51" s="655"/>
      <c r="CT51" s="655"/>
      <c r="CU51" s="655"/>
      <c r="CV51" s="655"/>
      <c r="CW51" s="655"/>
      <c r="CX51" s="655"/>
      <c r="CY51" s="655"/>
      <c r="CZ51" s="655"/>
    </row>
    <row r="52" spans="1:104" ht="16.5">
      <c r="A52" s="650" t="s">
        <v>167</v>
      </c>
      <c r="B52" s="651">
        <f t="shared" si="0"/>
        <v>1</v>
      </c>
      <c r="C52" s="652">
        <f t="shared" si="1"/>
        <v>0</v>
      </c>
      <c r="D52" s="653">
        <v>1</v>
      </c>
      <c r="E52" s="654"/>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C52" s="655"/>
      <c r="AD52" s="655"/>
      <c r="AE52" s="655"/>
      <c r="AF52" s="655"/>
      <c r="AG52" s="655"/>
      <c r="AH52" s="655"/>
      <c r="AI52" s="655"/>
      <c r="AJ52" s="655"/>
      <c r="AK52" s="655"/>
      <c r="AL52" s="655"/>
      <c r="AM52" s="655"/>
      <c r="AN52" s="655"/>
      <c r="AO52" s="655"/>
      <c r="AP52" s="655"/>
      <c r="AQ52" s="655"/>
      <c r="AR52" s="655"/>
      <c r="AS52" s="655"/>
      <c r="AT52" s="655"/>
      <c r="AU52" s="655"/>
      <c r="AV52" s="655"/>
      <c r="AW52" s="655"/>
      <c r="AX52" s="655"/>
      <c r="AY52" s="655"/>
      <c r="AZ52" s="655"/>
      <c r="BA52" s="655"/>
      <c r="BB52" s="655"/>
      <c r="BC52" s="655"/>
      <c r="BD52" s="655"/>
      <c r="BE52" s="655"/>
      <c r="BF52" s="655"/>
      <c r="BG52" s="655"/>
      <c r="BH52" s="655"/>
      <c r="BI52" s="655"/>
      <c r="BJ52" s="655"/>
      <c r="BK52" s="655"/>
      <c r="BL52" s="655"/>
      <c r="BM52" s="655"/>
      <c r="BN52" s="655"/>
      <c r="BO52" s="655"/>
      <c r="BP52" s="655"/>
      <c r="BQ52" s="655"/>
      <c r="BR52" s="655"/>
      <c r="BS52" s="655"/>
      <c r="BT52" s="655"/>
      <c r="BU52" s="655"/>
      <c r="BV52" s="655"/>
      <c r="BW52" s="655"/>
      <c r="BX52" s="655"/>
      <c r="BY52" s="655"/>
      <c r="BZ52" s="655"/>
      <c r="CA52" s="655"/>
      <c r="CB52" s="655"/>
      <c r="CC52" s="655"/>
      <c r="CD52" s="655"/>
      <c r="CE52" s="655"/>
      <c r="CF52" s="655"/>
      <c r="CG52" s="655"/>
      <c r="CH52" s="655"/>
      <c r="CI52" s="655"/>
      <c r="CJ52" s="655"/>
      <c r="CK52" s="655"/>
      <c r="CL52" s="655"/>
      <c r="CM52" s="655"/>
      <c r="CN52" s="655"/>
      <c r="CO52" s="655"/>
      <c r="CP52" s="655"/>
      <c r="CQ52" s="655"/>
      <c r="CR52" s="655"/>
      <c r="CS52" s="655"/>
      <c r="CT52" s="655"/>
      <c r="CU52" s="655"/>
      <c r="CV52" s="655"/>
      <c r="CW52" s="655"/>
      <c r="CX52" s="655"/>
      <c r="CY52" s="655"/>
      <c r="CZ52" s="655"/>
    </row>
    <row r="53" spans="1:104" ht="16.5">
      <c r="A53" s="650" t="s">
        <v>169</v>
      </c>
      <c r="B53" s="651">
        <f t="shared" si="0"/>
        <v>1</v>
      </c>
      <c r="C53" s="652">
        <f t="shared" si="1"/>
        <v>0</v>
      </c>
      <c r="D53" s="653">
        <v>1</v>
      </c>
      <c r="E53" s="654"/>
      <c r="F53" s="655"/>
      <c r="G53" s="655"/>
      <c r="H53" s="655"/>
      <c r="I53" s="655"/>
      <c r="J53" s="655"/>
      <c r="K53" s="655"/>
      <c r="L53" s="655"/>
      <c r="M53" s="655"/>
      <c r="N53" s="655"/>
      <c r="O53" s="655"/>
      <c r="P53" s="655"/>
      <c r="Q53" s="655"/>
      <c r="R53" s="655"/>
      <c r="S53" s="655"/>
      <c r="T53" s="655"/>
      <c r="U53" s="655"/>
      <c r="V53" s="655"/>
      <c r="W53" s="655"/>
      <c r="X53" s="655"/>
      <c r="Y53" s="655"/>
      <c r="Z53" s="655"/>
      <c r="AA53" s="655"/>
      <c r="AB53" s="655"/>
      <c r="AC53" s="655"/>
      <c r="AD53" s="655"/>
      <c r="AE53" s="655"/>
      <c r="AF53" s="655"/>
      <c r="AG53" s="655"/>
      <c r="AH53" s="655"/>
      <c r="AI53" s="655"/>
      <c r="AJ53" s="655"/>
      <c r="AK53" s="655"/>
      <c r="AL53" s="655"/>
      <c r="AM53" s="655"/>
      <c r="AN53" s="655"/>
      <c r="AO53" s="655"/>
      <c r="AP53" s="655"/>
      <c r="AQ53" s="655"/>
      <c r="AR53" s="655"/>
      <c r="AS53" s="655"/>
      <c r="AT53" s="655"/>
      <c r="AU53" s="655"/>
      <c r="AV53" s="655"/>
      <c r="AW53" s="655"/>
      <c r="AX53" s="655"/>
      <c r="AY53" s="655"/>
      <c r="AZ53" s="655"/>
      <c r="BA53" s="655"/>
      <c r="BB53" s="655"/>
      <c r="BC53" s="655"/>
      <c r="BD53" s="655"/>
      <c r="BE53" s="655"/>
      <c r="BF53" s="655"/>
      <c r="BG53" s="655"/>
      <c r="BH53" s="655"/>
      <c r="BI53" s="655"/>
      <c r="BJ53" s="655"/>
      <c r="BK53" s="655"/>
      <c r="BL53" s="655"/>
      <c r="BM53" s="655"/>
      <c r="BN53" s="655"/>
      <c r="BO53" s="655"/>
      <c r="BP53" s="655"/>
      <c r="BQ53" s="655"/>
      <c r="BR53" s="655"/>
      <c r="BS53" s="655"/>
      <c r="BT53" s="655"/>
      <c r="BU53" s="655"/>
      <c r="BV53" s="655"/>
      <c r="BW53" s="655"/>
      <c r="BX53" s="655"/>
      <c r="BY53" s="655"/>
      <c r="BZ53" s="655"/>
      <c r="CA53" s="655"/>
      <c r="CB53" s="655"/>
      <c r="CC53" s="655"/>
      <c r="CD53" s="655"/>
      <c r="CE53" s="655"/>
      <c r="CF53" s="655"/>
      <c r="CG53" s="655"/>
      <c r="CH53" s="655"/>
      <c r="CI53" s="655"/>
      <c r="CJ53" s="655"/>
      <c r="CK53" s="655"/>
      <c r="CL53" s="655"/>
      <c r="CM53" s="655"/>
      <c r="CN53" s="655"/>
      <c r="CO53" s="655"/>
      <c r="CP53" s="655"/>
      <c r="CQ53" s="655"/>
      <c r="CR53" s="655"/>
      <c r="CS53" s="655"/>
      <c r="CT53" s="655"/>
      <c r="CU53" s="655"/>
      <c r="CV53" s="655"/>
      <c r="CW53" s="655"/>
      <c r="CX53" s="655"/>
      <c r="CY53" s="655"/>
      <c r="CZ53" s="655"/>
    </row>
    <row r="54" spans="1:104" ht="16.5">
      <c r="A54" s="650" t="s">
        <v>171</v>
      </c>
      <c r="B54" s="651">
        <f t="shared" si="0"/>
        <v>1</v>
      </c>
      <c r="C54" s="652">
        <f t="shared" si="1"/>
        <v>0</v>
      </c>
      <c r="D54" s="653">
        <v>1</v>
      </c>
      <c r="E54" s="654"/>
      <c r="F54" s="655"/>
      <c r="G54" s="655"/>
      <c r="H54" s="655"/>
      <c r="I54" s="655"/>
      <c r="J54" s="655"/>
      <c r="K54" s="655"/>
      <c r="L54" s="655"/>
      <c r="M54" s="655"/>
      <c r="N54" s="655"/>
      <c r="O54" s="655"/>
      <c r="P54" s="655"/>
      <c r="Q54" s="655"/>
      <c r="R54" s="655"/>
      <c r="S54" s="655"/>
      <c r="T54" s="655"/>
      <c r="U54" s="655"/>
      <c r="V54" s="655"/>
      <c r="W54" s="655"/>
      <c r="X54" s="655"/>
      <c r="Y54" s="655"/>
      <c r="Z54" s="655"/>
      <c r="AA54" s="655"/>
      <c r="AB54" s="655"/>
      <c r="AC54" s="655"/>
      <c r="AD54" s="655"/>
      <c r="AE54" s="655"/>
      <c r="AF54" s="655"/>
      <c r="AG54" s="655"/>
      <c r="AH54" s="655"/>
      <c r="AI54" s="655"/>
      <c r="AJ54" s="655"/>
      <c r="AK54" s="655"/>
      <c r="AL54" s="655"/>
      <c r="AM54" s="655"/>
      <c r="AN54" s="655"/>
      <c r="AO54" s="655"/>
      <c r="AP54" s="655"/>
      <c r="AQ54" s="655"/>
      <c r="AR54" s="655"/>
      <c r="AS54" s="655"/>
      <c r="AT54" s="655"/>
      <c r="AU54" s="655"/>
      <c r="AV54" s="655"/>
      <c r="AW54" s="655"/>
      <c r="AX54" s="655"/>
      <c r="AY54" s="655"/>
      <c r="AZ54" s="655"/>
      <c r="BA54" s="655"/>
      <c r="BB54" s="655"/>
      <c r="BC54" s="655"/>
      <c r="BD54" s="655"/>
      <c r="BE54" s="655"/>
      <c r="BF54" s="655"/>
      <c r="BG54" s="655"/>
      <c r="BH54" s="655"/>
      <c r="BI54" s="655"/>
      <c r="BJ54" s="655"/>
      <c r="BK54" s="655"/>
      <c r="BL54" s="655"/>
      <c r="BM54" s="655"/>
      <c r="BN54" s="655"/>
      <c r="BO54" s="655"/>
      <c r="BP54" s="655"/>
      <c r="BQ54" s="655"/>
      <c r="BR54" s="655"/>
      <c r="BS54" s="655"/>
      <c r="BT54" s="655"/>
      <c r="BU54" s="655"/>
      <c r="BV54" s="655"/>
      <c r="BW54" s="655"/>
      <c r="BX54" s="655"/>
      <c r="BY54" s="655"/>
      <c r="BZ54" s="655"/>
      <c r="CA54" s="655"/>
      <c r="CB54" s="655"/>
      <c r="CC54" s="655"/>
      <c r="CD54" s="655"/>
      <c r="CE54" s="655"/>
      <c r="CF54" s="655"/>
      <c r="CG54" s="655"/>
      <c r="CH54" s="655"/>
      <c r="CI54" s="655"/>
      <c r="CJ54" s="655"/>
      <c r="CK54" s="655"/>
      <c r="CL54" s="655"/>
      <c r="CM54" s="655"/>
      <c r="CN54" s="655"/>
      <c r="CO54" s="655"/>
      <c r="CP54" s="655"/>
      <c r="CQ54" s="655"/>
      <c r="CR54" s="655"/>
      <c r="CS54" s="655"/>
      <c r="CT54" s="655"/>
      <c r="CU54" s="655"/>
      <c r="CV54" s="655"/>
      <c r="CW54" s="655"/>
      <c r="CX54" s="655"/>
      <c r="CY54" s="655"/>
      <c r="CZ54" s="655"/>
    </row>
    <row r="55" spans="1:104" ht="16.5">
      <c r="A55" s="650" t="s">
        <v>134</v>
      </c>
      <c r="B55" s="651">
        <f t="shared" si="0"/>
        <v>10</v>
      </c>
      <c r="C55" s="652">
        <f t="shared" si="1"/>
        <v>0</v>
      </c>
      <c r="D55" s="653">
        <v>10</v>
      </c>
      <c r="E55" s="654"/>
      <c r="F55" s="655"/>
      <c r="G55" s="655"/>
      <c r="H55" s="655"/>
      <c r="I55" s="655"/>
      <c r="J55" s="655"/>
      <c r="K55" s="655"/>
      <c r="L55" s="655"/>
      <c r="M55" s="655"/>
      <c r="N55" s="655"/>
      <c r="O55" s="655"/>
      <c r="P55" s="655"/>
      <c r="Q55" s="655"/>
      <c r="R55" s="655"/>
      <c r="S55" s="655"/>
      <c r="T55" s="655"/>
      <c r="U55" s="655"/>
      <c r="V55" s="655"/>
      <c r="W55" s="655"/>
      <c r="X55" s="655"/>
      <c r="Y55" s="655"/>
      <c r="Z55" s="655"/>
      <c r="AA55" s="655"/>
      <c r="AB55" s="655"/>
      <c r="AC55" s="655"/>
      <c r="AD55" s="655"/>
      <c r="AE55" s="655"/>
      <c r="AF55" s="655"/>
      <c r="AG55" s="655"/>
      <c r="AH55" s="655"/>
      <c r="AI55" s="655"/>
      <c r="AJ55" s="655"/>
      <c r="AK55" s="655"/>
      <c r="AL55" s="655"/>
      <c r="AM55" s="655"/>
      <c r="AN55" s="655"/>
      <c r="AO55" s="655"/>
      <c r="AP55" s="655"/>
      <c r="AQ55" s="655"/>
      <c r="AR55" s="655"/>
      <c r="AS55" s="655"/>
      <c r="AT55" s="655"/>
      <c r="AU55" s="655"/>
      <c r="AV55" s="655"/>
      <c r="AW55" s="655"/>
      <c r="AX55" s="655"/>
      <c r="AY55" s="655"/>
      <c r="AZ55" s="655"/>
      <c r="BA55" s="655"/>
      <c r="BB55" s="655"/>
      <c r="BC55" s="655"/>
      <c r="BD55" s="655"/>
      <c r="BE55" s="655"/>
      <c r="BF55" s="655"/>
      <c r="BG55" s="655"/>
      <c r="BH55" s="655"/>
      <c r="BI55" s="655"/>
      <c r="BJ55" s="655"/>
      <c r="BK55" s="655"/>
      <c r="BL55" s="655"/>
      <c r="BM55" s="655"/>
      <c r="BN55" s="655"/>
      <c r="BO55" s="655"/>
      <c r="BP55" s="655"/>
      <c r="BQ55" s="655"/>
      <c r="BR55" s="655"/>
      <c r="BS55" s="655"/>
      <c r="BT55" s="655"/>
      <c r="BU55" s="655"/>
      <c r="BV55" s="655"/>
      <c r="BW55" s="655"/>
      <c r="BX55" s="655"/>
      <c r="BY55" s="655"/>
      <c r="BZ55" s="655"/>
      <c r="CA55" s="655"/>
      <c r="CB55" s="655"/>
      <c r="CC55" s="655"/>
      <c r="CD55" s="655"/>
      <c r="CE55" s="655"/>
      <c r="CF55" s="655"/>
      <c r="CG55" s="655"/>
      <c r="CH55" s="655"/>
      <c r="CI55" s="655"/>
      <c r="CJ55" s="655"/>
      <c r="CK55" s="655"/>
      <c r="CL55" s="655"/>
      <c r="CM55" s="655"/>
      <c r="CN55" s="655"/>
      <c r="CO55" s="655"/>
      <c r="CP55" s="655"/>
      <c r="CQ55" s="655"/>
      <c r="CR55" s="655"/>
      <c r="CS55" s="655"/>
      <c r="CT55" s="655"/>
      <c r="CU55" s="655"/>
      <c r="CV55" s="655"/>
      <c r="CW55" s="655"/>
      <c r="CX55" s="655"/>
      <c r="CY55" s="655"/>
      <c r="CZ55" s="655"/>
    </row>
    <row r="56" spans="1:104" ht="16.5">
      <c r="A56" s="650" t="s">
        <v>144</v>
      </c>
      <c r="B56" s="651">
        <f t="shared" si="0"/>
        <v>25</v>
      </c>
      <c r="C56" s="652">
        <f t="shared" si="1"/>
        <v>0</v>
      </c>
      <c r="D56" s="653">
        <v>25</v>
      </c>
      <c r="E56" s="654"/>
      <c r="F56" s="655"/>
      <c r="G56" s="655"/>
      <c r="H56" s="655"/>
      <c r="I56" s="655"/>
      <c r="J56" s="655"/>
      <c r="K56" s="655"/>
      <c r="L56" s="655"/>
      <c r="M56" s="655"/>
      <c r="N56" s="655"/>
      <c r="O56" s="655"/>
      <c r="P56" s="655"/>
      <c r="Q56" s="655"/>
      <c r="R56" s="655"/>
      <c r="S56" s="655"/>
      <c r="T56" s="655"/>
      <c r="U56" s="655"/>
      <c r="V56" s="655"/>
      <c r="W56" s="655"/>
      <c r="X56" s="655"/>
      <c r="Y56" s="655"/>
      <c r="Z56" s="655"/>
      <c r="AA56" s="655"/>
      <c r="AB56" s="655"/>
      <c r="AC56" s="655"/>
      <c r="AD56" s="655"/>
      <c r="AE56" s="655"/>
      <c r="AF56" s="655"/>
      <c r="AG56" s="655"/>
      <c r="AH56" s="655"/>
      <c r="AI56" s="655"/>
      <c r="AJ56" s="655"/>
      <c r="AK56" s="655"/>
      <c r="AL56" s="655"/>
      <c r="AM56" s="655"/>
      <c r="AN56" s="655"/>
      <c r="AO56" s="655"/>
      <c r="AP56" s="655"/>
      <c r="AQ56" s="655"/>
      <c r="AR56" s="655"/>
      <c r="AS56" s="655"/>
      <c r="AT56" s="655"/>
      <c r="AU56" s="655"/>
      <c r="AV56" s="655"/>
      <c r="AW56" s="655"/>
      <c r="AX56" s="655"/>
      <c r="AY56" s="655"/>
      <c r="AZ56" s="655"/>
      <c r="BA56" s="655"/>
      <c r="BB56" s="655"/>
      <c r="BC56" s="655"/>
      <c r="BD56" s="655"/>
      <c r="BE56" s="655"/>
      <c r="BF56" s="655"/>
      <c r="BG56" s="655"/>
      <c r="BH56" s="655"/>
      <c r="BI56" s="655"/>
      <c r="BJ56" s="655"/>
      <c r="BK56" s="655"/>
      <c r="BL56" s="655"/>
      <c r="BM56" s="655"/>
      <c r="BN56" s="655"/>
      <c r="BO56" s="655"/>
      <c r="BP56" s="655"/>
      <c r="BQ56" s="655"/>
      <c r="BR56" s="655"/>
      <c r="BS56" s="655"/>
      <c r="BT56" s="655"/>
      <c r="BU56" s="655"/>
      <c r="BV56" s="655"/>
      <c r="BW56" s="655"/>
      <c r="BX56" s="655"/>
      <c r="BY56" s="655"/>
      <c r="BZ56" s="655"/>
      <c r="CA56" s="655"/>
      <c r="CB56" s="655"/>
      <c r="CC56" s="655"/>
      <c r="CD56" s="655"/>
      <c r="CE56" s="655"/>
      <c r="CF56" s="655"/>
      <c r="CG56" s="655"/>
      <c r="CH56" s="655"/>
      <c r="CI56" s="655"/>
      <c r="CJ56" s="655"/>
      <c r="CK56" s="655"/>
      <c r="CL56" s="655"/>
      <c r="CM56" s="655"/>
      <c r="CN56" s="655"/>
      <c r="CO56" s="655"/>
      <c r="CP56" s="655"/>
      <c r="CQ56" s="655"/>
      <c r="CR56" s="655"/>
      <c r="CS56" s="655"/>
      <c r="CT56" s="655"/>
      <c r="CU56" s="655"/>
      <c r="CV56" s="655"/>
      <c r="CW56" s="655"/>
      <c r="CX56" s="655"/>
      <c r="CY56" s="655"/>
      <c r="CZ56" s="655"/>
    </row>
    <row r="57" spans="1:104" ht="16.5">
      <c r="A57" s="650" t="s">
        <v>136</v>
      </c>
      <c r="B57" s="651">
        <f t="shared" si="0"/>
        <v>20</v>
      </c>
      <c r="C57" s="652">
        <f t="shared" si="1"/>
        <v>0</v>
      </c>
      <c r="D57" s="653">
        <v>20</v>
      </c>
      <c r="E57" s="654"/>
      <c r="F57" s="655"/>
      <c r="G57" s="655"/>
      <c r="H57" s="655"/>
      <c r="I57" s="655"/>
      <c r="J57" s="655"/>
      <c r="K57" s="655"/>
      <c r="L57" s="655"/>
      <c r="M57" s="655"/>
      <c r="N57" s="655"/>
      <c r="O57" s="655"/>
      <c r="P57" s="655"/>
      <c r="Q57" s="655"/>
      <c r="R57" s="655"/>
      <c r="S57" s="655"/>
      <c r="T57" s="655"/>
      <c r="U57" s="655"/>
      <c r="V57" s="655"/>
      <c r="W57" s="655"/>
      <c r="X57" s="655"/>
      <c r="Y57" s="655"/>
      <c r="Z57" s="655"/>
      <c r="AA57" s="655"/>
      <c r="AB57" s="655"/>
      <c r="AC57" s="655"/>
      <c r="AD57" s="655"/>
      <c r="AE57" s="655"/>
      <c r="AF57" s="655"/>
      <c r="AG57" s="655"/>
      <c r="AH57" s="655"/>
      <c r="AI57" s="655"/>
      <c r="AJ57" s="655"/>
      <c r="AK57" s="655"/>
      <c r="AL57" s="655"/>
      <c r="AM57" s="655"/>
      <c r="AN57" s="655"/>
      <c r="AO57" s="655"/>
      <c r="AP57" s="655"/>
      <c r="AQ57" s="655"/>
      <c r="AR57" s="655"/>
      <c r="AS57" s="655"/>
      <c r="AT57" s="655"/>
      <c r="AU57" s="655"/>
      <c r="AV57" s="655"/>
      <c r="AW57" s="655"/>
      <c r="AX57" s="655"/>
      <c r="AY57" s="655"/>
      <c r="AZ57" s="655"/>
      <c r="BA57" s="655"/>
      <c r="BB57" s="655"/>
      <c r="BC57" s="655"/>
      <c r="BD57" s="655"/>
      <c r="BE57" s="655"/>
      <c r="BF57" s="655"/>
      <c r="BG57" s="655"/>
      <c r="BH57" s="655"/>
      <c r="BI57" s="655"/>
      <c r="BJ57" s="655"/>
      <c r="BK57" s="655"/>
      <c r="BL57" s="655"/>
      <c r="BM57" s="655"/>
      <c r="BN57" s="655"/>
      <c r="BO57" s="655"/>
      <c r="BP57" s="655"/>
      <c r="BQ57" s="655"/>
      <c r="BR57" s="655"/>
      <c r="BS57" s="655"/>
      <c r="BT57" s="655"/>
      <c r="BU57" s="655"/>
      <c r="BV57" s="655"/>
      <c r="BW57" s="655"/>
      <c r="BX57" s="655"/>
      <c r="BY57" s="655"/>
      <c r="BZ57" s="655"/>
      <c r="CA57" s="655"/>
      <c r="CB57" s="655"/>
      <c r="CC57" s="655"/>
      <c r="CD57" s="655"/>
      <c r="CE57" s="655"/>
      <c r="CF57" s="655"/>
      <c r="CG57" s="655"/>
      <c r="CH57" s="655"/>
      <c r="CI57" s="655"/>
      <c r="CJ57" s="655"/>
      <c r="CK57" s="655"/>
      <c r="CL57" s="655"/>
      <c r="CM57" s="655"/>
      <c r="CN57" s="655"/>
      <c r="CO57" s="655"/>
      <c r="CP57" s="655"/>
      <c r="CQ57" s="655"/>
      <c r="CR57" s="655"/>
      <c r="CS57" s="655"/>
      <c r="CT57" s="655"/>
      <c r="CU57" s="655"/>
      <c r="CV57" s="655"/>
      <c r="CW57" s="655"/>
      <c r="CX57" s="655"/>
      <c r="CY57" s="655"/>
      <c r="CZ57" s="655"/>
    </row>
    <row r="58" spans="1:104" ht="16.5">
      <c r="A58" s="650" t="s">
        <v>2163</v>
      </c>
      <c r="B58" s="651">
        <f t="shared" si="0"/>
        <v>10</v>
      </c>
      <c r="C58" s="652">
        <f t="shared" si="1"/>
        <v>0</v>
      </c>
      <c r="D58" s="653">
        <v>10</v>
      </c>
      <c r="E58" s="654"/>
      <c r="F58" s="655"/>
      <c r="G58" s="655"/>
      <c r="H58" s="655"/>
      <c r="I58" s="655"/>
      <c r="J58" s="655"/>
      <c r="K58" s="655"/>
      <c r="L58" s="655"/>
      <c r="M58" s="655"/>
      <c r="N58" s="655"/>
      <c r="O58" s="655"/>
      <c r="P58" s="655"/>
      <c r="Q58" s="655"/>
      <c r="R58" s="655"/>
      <c r="S58" s="655"/>
      <c r="T58" s="655"/>
      <c r="U58" s="655"/>
      <c r="V58" s="655"/>
      <c r="W58" s="655"/>
      <c r="X58" s="655"/>
      <c r="Y58" s="655"/>
      <c r="Z58" s="655"/>
      <c r="AA58" s="655"/>
      <c r="AB58" s="655"/>
      <c r="AC58" s="655"/>
      <c r="AD58" s="655"/>
      <c r="AE58" s="655"/>
      <c r="AF58" s="655"/>
      <c r="AG58" s="655"/>
      <c r="AH58" s="655"/>
      <c r="AI58" s="655"/>
      <c r="AJ58" s="655"/>
      <c r="AK58" s="655"/>
      <c r="AL58" s="655"/>
      <c r="AM58" s="655"/>
      <c r="AN58" s="655"/>
      <c r="AO58" s="655"/>
      <c r="AP58" s="655"/>
      <c r="AQ58" s="655"/>
      <c r="AR58" s="655"/>
      <c r="AS58" s="655"/>
      <c r="AT58" s="655"/>
      <c r="AU58" s="655"/>
      <c r="AV58" s="655"/>
      <c r="AW58" s="655"/>
      <c r="AX58" s="655"/>
      <c r="AY58" s="655"/>
      <c r="AZ58" s="655"/>
      <c r="BA58" s="655"/>
      <c r="BB58" s="655"/>
      <c r="BC58" s="655"/>
      <c r="BD58" s="655"/>
      <c r="BE58" s="655"/>
      <c r="BF58" s="655"/>
      <c r="BG58" s="655"/>
      <c r="BH58" s="655"/>
      <c r="BI58" s="655"/>
      <c r="BJ58" s="655"/>
      <c r="BK58" s="655"/>
      <c r="BL58" s="655"/>
      <c r="BM58" s="655"/>
      <c r="BN58" s="655"/>
      <c r="BO58" s="655"/>
      <c r="BP58" s="655"/>
      <c r="BQ58" s="655"/>
      <c r="BR58" s="655"/>
      <c r="BS58" s="655"/>
      <c r="BT58" s="655"/>
      <c r="BU58" s="655"/>
      <c r="BV58" s="655"/>
      <c r="BW58" s="655"/>
      <c r="BX58" s="655"/>
      <c r="BY58" s="655"/>
      <c r="BZ58" s="655"/>
      <c r="CA58" s="655"/>
      <c r="CB58" s="655"/>
      <c r="CC58" s="655"/>
      <c r="CD58" s="655"/>
      <c r="CE58" s="655"/>
      <c r="CF58" s="655"/>
      <c r="CG58" s="655"/>
      <c r="CH58" s="655"/>
      <c r="CI58" s="655"/>
      <c r="CJ58" s="655"/>
      <c r="CK58" s="655"/>
      <c r="CL58" s="655"/>
      <c r="CM58" s="655"/>
      <c r="CN58" s="655"/>
      <c r="CO58" s="655"/>
      <c r="CP58" s="655"/>
      <c r="CQ58" s="655"/>
      <c r="CR58" s="655"/>
      <c r="CS58" s="655"/>
      <c r="CT58" s="655"/>
      <c r="CU58" s="655"/>
      <c r="CV58" s="655"/>
      <c r="CW58" s="655"/>
      <c r="CX58" s="655"/>
      <c r="CY58" s="655"/>
      <c r="CZ58" s="655"/>
    </row>
    <row r="59" spans="1:104" ht="16.5">
      <c r="A59" s="650" t="s">
        <v>172</v>
      </c>
      <c r="B59" s="651">
        <f t="shared" si="0"/>
        <v>20</v>
      </c>
      <c r="C59" s="652">
        <f t="shared" si="1"/>
        <v>0</v>
      </c>
      <c r="D59" s="653">
        <v>20</v>
      </c>
      <c r="E59" s="654"/>
      <c r="F59" s="655"/>
      <c r="G59" s="655"/>
      <c r="H59" s="655"/>
      <c r="I59" s="655"/>
      <c r="J59" s="655"/>
      <c r="K59" s="655"/>
      <c r="L59" s="655"/>
      <c r="M59" s="655"/>
      <c r="N59" s="655"/>
      <c r="O59" s="655"/>
      <c r="P59" s="655"/>
      <c r="Q59" s="655"/>
      <c r="R59" s="655"/>
      <c r="S59" s="655"/>
      <c r="T59" s="655"/>
      <c r="U59" s="655"/>
      <c r="V59" s="655"/>
      <c r="W59" s="655"/>
      <c r="X59" s="655"/>
      <c r="Y59" s="655"/>
      <c r="Z59" s="655"/>
      <c r="AA59" s="655"/>
      <c r="AB59" s="655"/>
      <c r="AC59" s="655"/>
      <c r="AD59" s="655"/>
      <c r="AE59" s="655"/>
      <c r="AF59" s="655"/>
      <c r="AG59" s="655"/>
      <c r="AH59" s="655"/>
      <c r="AI59" s="655"/>
      <c r="AJ59" s="655"/>
      <c r="AK59" s="655"/>
      <c r="AL59" s="655"/>
      <c r="AM59" s="655"/>
      <c r="AN59" s="655"/>
      <c r="AO59" s="655"/>
      <c r="AP59" s="655"/>
      <c r="AQ59" s="655"/>
      <c r="AR59" s="655"/>
      <c r="AS59" s="655"/>
      <c r="AT59" s="655"/>
      <c r="AU59" s="655"/>
      <c r="AV59" s="655"/>
      <c r="AW59" s="655"/>
      <c r="AX59" s="655"/>
      <c r="AY59" s="655"/>
      <c r="AZ59" s="655"/>
      <c r="BA59" s="655"/>
      <c r="BB59" s="655"/>
      <c r="BC59" s="655"/>
      <c r="BD59" s="655"/>
      <c r="BE59" s="655"/>
      <c r="BF59" s="655"/>
      <c r="BG59" s="655"/>
      <c r="BH59" s="655"/>
      <c r="BI59" s="655"/>
      <c r="BJ59" s="655"/>
      <c r="BK59" s="655"/>
      <c r="BL59" s="655"/>
      <c r="BM59" s="655"/>
      <c r="BN59" s="655"/>
      <c r="BO59" s="655"/>
      <c r="BP59" s="655"/>
      <c r="BQ59" s="655"/>
      <c r="BR59" s="655"/>
      <c r="BS59" s="655"/>
      <c r="BT59" s="655"/>
      <c r="BU59" s="655"/>
      <c r="BV59" s="655"/>
      <c r="BW59" s="655"/>
      <c r="BX59" s="655"/>
      <c r="BY59" s="655"/>
      <c r="BZ59" s="655"/>
      <c r="CA59" s="655"/>
      <c r="CB59" s="655"/>
      <c r="CC59" s="655"/>
      <c r="CD59" s="655"/>
      <c r="CE59" s="655"/>
      <c r="CF59" s="655"/>
      <c r="CG59" s="655"/>
      <c r="CH59" s="655"/>
      <c r="CI59" s="655"/>
      <c r="CJ59" s="655"/>
      <c r="CK59" s="655"/>
      <c r="CL59" s="655"/>
      <c r="CM59" s="655"/>
      <c r="CN59" s="655"/>
      <c r="CO59" s="655"/>
      <c r="CP59" s="655"/>
      <c r="CQ59" s="655"/>
      <c r="CR59" s="655"/>
      <c r="CS59" s="655"/>
      <c r="CT59" s="655"/>
      <c r="CU59" s="655"/>
      <c r="CV59" s="655"/>
      <c r="CW59" s="655"/>
      <c r="CX59" s="655"/>
      <c r="CY59" s="655"/>
      <c r="CZ59" s="655"/>
    </row>
    <row r="60" spans="1:104" ht="16.5">
      <c r="A60" s="650" t="s">
        <v>206</v>
      </c>
      <c r="B60" s="651">
        <f t="shared" si="0"/>
        <v>20</v>
      </c>
      <c r="C60" s="652">
        <f t="shared" si="1"/>
        <v>0</v>
      </c>
      <c r="D60" s="653">
        <v>20</v>
      </c>
      <c r="E60" s="654"/>
      <c r="F60" s="655"/>
      <c r="G60" s="655"/>
      <c r="H60" s="655"/>
      <c r="I60" s="655"/>
      <c r="J60" s="655"/>
      <c r="K60" s="655"/>
      <c r="L60" s="655"/>
      <c r="M60" s="655"/>
      <c r="N60" s="655"/>
      <c r="O60" s="655"/>
      <c r="P60" s="655"/>
      <c r="Q60" s="655"/>
      <c r="R60" s="655"/>
      <c r="S60" s="655"/>
      <c r="T60" s="655"/>
      <c r="U60" s="655"/>
      <c r="V60" s="655"/>
      <c r="W60" s="655"/>
      <c r="X60" s="655"/>
      <c r="Y60" s="655"/>
      <c r="Z60" s="655"/>
      <c r="AA60" s="655"/>
      <c r="AB60" s="655"/>
      <c r="AC60" s="655"/>
      <c r="AD60" s="655"/>
      <c r="AE60" s="655"/>
      <c r="AF60" s="655"/>
      <c r="AG60" s="655"/>
      <c r="AH60" s="655"/>
      <c r="AI60" s="655"/>
      <c r="AJ60" s="655"/>
      <c r="AK60" s="655"/>
      <c r="AL60" s="655"/>
      <c r="AM60" s="655"/>
      <c r="AN60" s="655"/>
      <c r="AO60" s="655"/>
      <c r="AP60" s="655"/>
      <c r="AQ60" s="655"/>
      <c r="AR60" s="655"/>
      <c r="AS60" s="655"/>
      <c r="AT60" s="655"/>
      <c r="AU60" s="655"/>
      <c r="AV60" s="655"/>
      <c r="AW60" s="655"/>
      <c r="AX60" s="655"/>
      <c r="AY60" s="655"/>
      <c r="AZ60" s="655"/>
      <c r="BA60" s="655"/>
      <c r="BB60" s="655"/>
      <c r="BC60" s="655"/>
      <c r="BD60" s="655"/>
      <c r="BE60" s="655"/>
      <c r="BF60" s="655"/>
      <c r="BG60" s="655"/>
      <c r="BH60" s="655"/>
      <c r="BI60" s="655"/>
      <c r="BJ60" s="655"/>
      <c r="BK60" s="655"/>
      <c r="BL60" s="655"/>
      <c r="BM60" s="655"/>
      <c r="BN60" s="655"/>
      <c r="BO60" s="655"/>
      <c r="BP60" s="655"/>
      <c r="BQ60" s="655"/>
      <c r="BR60" s="655"/>
      <c r="BS60" s="655"/>
      <c r="BT60" s="655"/>
      <c r="BU60" s="655"/>
      <c r="BV60" s="655"/>
      <c r="BW60" s="655"/>
      <c r="BX60" s="655"/>
      <c r="BY60" s="655"/>
      <c r="BZ60" s="655"/>
      <c r="CA60" s="655"/>
      <c r="CB60" s="655"/>
      <c r="CC60" s="655"/>
      <c r="CD60" s="655"/>
      <c r="CE60" s="655"/>
      <c r="CF60" s="655"/>
      <c r="CG60" s="655"/>
      <c r="CH60" s="655"/>
      <c r="CI60" s="655"/>
      <c r="CJ60" s="655"/>
      <c r="CK60" s="655"/>
      <c r="CL60" s="655"/>
      <c r="CM60" s="655"/>
      <c r="CN60" s="655"/>
      <c r="CO60" s="655"/>
      <c r="CP60" s="655"/>
      <c r="CQ60" s="655"/>
      <c r="CR60" s="655"/>
      <c r="CS60" s="655"/>
      <c r="CT60" s="655"/>
      <c r="CU60" s="655"/>
      <c r="CV60" s="655"/>
      <c r="CW60" s="655"/>
      <c r="CX60" s="655"/>
      <c r="CY60" s="655"/>
      <c r="CZ60" s="655"/>
    </row>
    <row r="61" spans="1:104" ht="16.5">
      <c r="A61" s="650" t="s">
        <v>147</v>
      </c>
      <c r="B61" s="651">
        <f t="shared" si="0"/>
        <v>10</v>
      </c>
      <c r="C61" s="652">
        <f t="shared" si="1"/>
        <v>0</v>
      </c>
      <c r="D61" s="653">
        <v>10</v>
      </c>
      <c r="E61" s="654"/>
      <c r="F61" s="655"/>
      <c r="G61" s="655"/>
      <c r="H61" s="655"/>
      <c r="I61" s="655"/>
      <c r="J61" s="655"/>
      <c r="K61" s="655"/>
      <c r="L61" s="655"/>
      <c r="M61" s="655"/>
      <c r="N61" s="655"/>
      <c r="O61" s="655"/>
      <c r="P61" s="655"/>
      <c r="Q61" s="655"/>
      <c r="R61" s="655"/>
      <c r="S61" s="655"/>
      <c r="T61" s="655"/>
      <c r="U61" s="655"/>
      <c r="V61" s="655"/>
      <c r="W61" s="655"/>
      <c r="X61" s="655"/>
      <c r="Y61" s="655"/>
      <c r="Z61" s="655"/>
      <c r="AA61" s="655"/>
      <c r="AB61" s="655"/>
      <c r="AC61" s="655"/>
      <c r="AD61" s="655"/>
      <c r="AE61" s="655"/>
      <c r="AF61" s="655"/>
      <c r="AG61" s="655"/>
      <c r="AH61" s="655"/>
      <c r="AI61" s="655"/>
      <c r="AJ61" s="655"/>
      <c r="AK61" s="655"/>
      <c r="AL61" s="655"/>
      <c r="AM61" s="655"/>
      <c r="AN61" s="655"/>
      <c r="AO61" s="655"/>
      <c r="AP61" s="655"/>
      <c r="AQ61" s="655"/>
      <c r="AR61" s="655"/>
      <c r="AS61" s="655"/>
      <c r="AT61" s="655"/>
      <c r="AU61" s="655"/>
      <c r="AV61" s="655"/>
      <c r="AW61" s="655"/>
      <c r="AX61" s="655"/>
      <c r="AY61" s="655"/>
      <c r="AZ61" s="655"/>
      <c r="BA61" s="655"/>
      <c r="BB61" s="655"/>
      <c r="BC61" s="655"/>
      <c r="BD61" s="655"/>
      <c r="BE61" s="655"/>
      <c r="BF61" s="655"/>
      <c r="BG61" s="655"/>
      <c r="BH61" s="655"/>
      <c r="BI61" s="655"/>
      <c r="BJ61" s="655"/>
      <c r="BK61" s="655"/>
      <c r="BL61" s="655"/>
      <c r="BM61" s="655"/>
      <c r="BN61" s="655"/>
      <c r="BO61" s="655"/>
      <c r="BP61" s="655"/>
      <c r="BQ61" s="655"/>
      <c r="BR61" s="655"/>
      <c r="BS61" s="655"/>
      <c r="BT61" s="655"/>
      <c r="BU61" s="655"/>
      <c r="BV61" s="655"/>
      <c r="BW61" s="655"/>
      <c r="BX61" s="655"/>
      <c r="BY61" s="655"/>
      <c r="BZ61" s="655"/>
      <c r="CA61" s="655"/>
      <c r="CB61" s="655"/>
      <c r="CC61" s="655"/>
      <c r="CD61" s="655"/>
      <c r="CE61" s="655"/>
      <c r="CF61" s="655"/>
      <c r="CG61" s="655"/>
      <c r="CH61" s="655"/>
      <c r="CI61" s="655"/>
      <c r="CJ61" s="655"/>
      <c r="CK61" s="655"/>
      <c r="CL61" s="655"/>
      <c r="CM61" s="655"/>
      <c r="CN61" s="655"/>
      <c r="CO61" s="655"/>
      <c r="CP61" s="655"/>
      <c r="CQ61" s="655"/>
      <c r="CR61" s="655"/>
      <c r="CS61" s="655"/>
      <c r="CT61" s="655"/>
      <c r="CU61" s="655"/>
      <c r="CV61" s="655"/>
      <c r="CW61" s="655"/>
      <c r="CX61" s="655"/>
      <c r="CY61" s="655"/>
      <c r="CZ61" s="655"/>
    </row>
    <row r="62" spans="1:104" ht="16.5">
      <c r="A62" s="650" t="s">
        <v>6629</v>
      </c>
      <c r="B62" s="651">
        <f t="shared" si="0"/>
        <v>5</v>
      </c>
      <c r="C62" s="652">
        <f t="shared" si="1"/>
        <v>0</v>
      </c>
      <c r="D62" s="653">
        <v>5</v>
      </c>
      <c r="E62" s="654"/>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L62" s="655"/>
      <c r="AM62" s="655"/>
      <c r="AN62" s="655"/>
      <c r="AO62" s="655"/>
      <c r="AP62" s="655"/>
      <c r="AQ62" s="655"/>
      <c r="AR62" s="655"/>
      <c r="AS62" s="655"/>
      <c r="AT62" s="655"/>
      <c r="AU62" s="655"/>
      <c r="AV62" s="655"/>
      <c r="AW62" s="655"/>
      <c r="AX62" s="655"/>
      <c r="AY62" s="655"/>
      <c r="AZ62" s="655"/>
      <c r="BA62" s="655"/>
      <c r="BB62" s="655"/>
      <c r="BC62" s="655"/>
      <c r="BD62" s="655"/>
      <c r="BE62" s="655"/>
      <c r="BF62" s="655"/>
      <c r="BG62" s="655"/>
      <c r="BH62" s="655"/>
      <c r="BI62" s="655"/>
      <c r="BJ62" s="655"/>
      <c r="BK62" s="655"/>
      <c r="BL62" s="655"/>
      <c r="BM62" s="655"/>
      <c r="BN62" s="655"/>
      <c r="BO62" s="655"/>
      <c r="BP62" s="655"/>
      <c r="BQ62" s="655"/>
      <c r="BR62" s="655"/>
      <c r="BS62" s="655"/>
      <c r="BT62" s="655"/>
      <c r="BU62" s="655"/>
      <c r="BV62" s="655"/>
      <c r="BW62" s="655"/>
      <c r="BX62" s="655"/>
      <c r="BY62" s="655"/>
      <c r="BZ62" s="655"/>
      <c r="CA62" s="655"/>
      <c r="CB62" s="655"/>
      <c r="CC62" s="655"/>
      <c r="CD62" s="655"/>
      <c r="CE62" s="655"/>
      <c r="CF62" s="655"/>
      <c r="CG62" s="655"/>
      <c r="CH62" s="655"/>
      <c r="CI62" s="655"/>
      <c r="CJ62" s="655"/>
      <c r="CK62" s="655"/>
      <c r="CL62" s="655"/>
      <c r="CM62" s="655"/>
      <c r="CN62" s="655"/>
      <c r="CO62" s="655"/>
      <c r="CP62" s="655"/>
      <c r="CQ62" s="655"/>
      <c r="CR62" s="655"/>
      <c r="CS62" s="655"/>
      <c r="CT62" s="655"/>
      <c r="CU62" s="655"/>
      <c r="CV62" s="655"/>
      <c r="CW62" s="655"/>
      <c r="CX62" s="655"/>
      <c r="CY62" s="655"/>
      <c r="CZ62" s="655"/>
    </row>
    <row r="63" spans="1:104" ht="16.5">
      <c r="A63" s="650" t="s">
        <v>193</v>
      </c>
      <c r="B63" s="651">
        <f t="shared" si="0"/>
        <v>1</v>
      </c>
      <c r="C63" s="652">
        <f t="shared" si="1"/>
        <v>0</v>
      </c>
      <c r="D63" s="653">
        <v>1</v>
      </c>
      <c r="E63" s="654"/>
      <c r="F63" s="655"/>
      <c r="G63" s="655"/>
      <c r="H63" s="655"/>
      <c r="I63" s="655"/>
      <c r="J63" s="655"/>
      <c r="K63" s="655"/>
      <c r="L63" s="655"/>
      <c r="M63" s="655"/>
      <c r="N63" s="655"/>
      <c r="O63" s="655"/>
      <c r="P63" s="655"/>
      <c r="Q63" s="655"/>
      <c r="R63" s="655"/>
      <c r="S63" s="655"/>
      <c r="T63" s="655"/>
      <c r="U63" s="655"/>
      <c r="V63" s="655"/>
      <c r="W63" s="655"/>
      <c r="X63" s="655"/>
      <c r="Y63" s="655"/>
      <c r="Z63" s="655"/>
      <c r="AA63" s="655"/>
      <c r="AB63" s="655"/>
      <c r="AC63" s="655"/>
      <c r="AD63" s="655"/>
      <c r="AE63" s="655"/>
      <c r="AF63" s="655"/>
      <c r="AG63" s="655"/>
      <c r="AH63" s="655"/>
      <c r="AI63" s="655"/>
      <c r="AJ63" s="655"/>
      <c r="AK63" s="655"/>
      <c r="AL63" s="655"/>
      <c r="AM63" s="655"/>
      <c r="AN63" s="655"/>
      <c r="AO63" s="655"/>
      <c r="AP63" s="655"/>
      <c r="AQ63" s="655"/>
      <c r="AR63" s="655"/>
      <c r="AS63" s="655"/>
      <c r="AT63" s="655"/>
      <c r="AU63" s="655"/>
      <c r="AV63" s="655"/>
      <c r="AW63" s="655"/>
      <c r="AX63" s="655"/>
      <c r="AY63" s="655"/>
      <c r="AZ63" s="655"/>
      <c r="BA63" s="655"/>
      <c r="BB63" s="655"/>
      <c r="BC63" s="655"/>
      <c r="BD63" s="655"/>
      <c r="BE63" s="655"/>
      <c r="BF63" s="655"/>
      <c r="BG63" s="655"/>
      <c r="BH63" s="655"/>
      <c r="BI63" s="655"/>
      <c r="BJ63" s="655"/>
      <c r="BK63" s="655"/>
      <c r="BL63" s="655"/>
      <c r="BM63" s="655"/>
      <c r="BN63" s="655"/>
      <c r="BO63" s="655"/>
      <c r="BP63" s="655"/>
      <c r="BQ63" s="655"/>
      <c r="BR63" s="655"/>
      <c r="BS63" s="655"/>
      <c r="BT63" s="655"/>
      <c r="BU63" s="655"/>
      <c r="BV63" s="655"/>
      <c r="BW63" s="655"/>
      <c r="BX63" s="655"/>
      <c r="BY63" s="655"/>
      <c r="BZ63" s="655"/>
      <c r="CA63" s="655"/>
      <c r="CB63" s="655"/>
      <c r="CC63" s="655"/>
      <c r="CD63" s="655"/>
      <c r="CE63" s="655"/>
      <c r="CF63" s="655"/>
      <c r="CG63" s="655"/>
      <c r="CH63" s="655"/>
      <c r="CI63" s="655"/>
      <c r="CJ63" s="655"/>
      <c r="CK63" s="655"/>
      <c r="CL63" s="655"/>
      <c r="CM63" s="655"/>
      <c r="CN63" s="655"/>
      <c r="CO63" s="655"/>
      <c r="CP63" s="655"/>
      <c r="CQ63" s="655"/>
      <c r="CR63" s="655"/>
      <c r="CS63" s="655"/>
      <c r="CT63" s="655"/>
      <c r="CU63" s="655"/>
      <c r="CV63" s="655"/>
      <c r="CW63" s="655"/>
      <c r="CX63" s="655"/>
      <c r="CY63" s="655"/>
      <c r="CZ63" s="655"/>
    </row>
    <row r="64" spans="1:104" ht="16.5">
      <c r="A64" s="650" t="s">
        <v>163</v>
      </c>
      <c r="B64" s="651">
        <f t="shared" si="0"/>
        <v>1</v>
      </c>
      <c r="C64" s="652">
        <f t="shared" si="1"/>
        <v>0</v>
      </c>
      <c r="D64" s="653">
        <v>1</v>
      </c>
      <c r="E64" s="654"/>
      <c r="F64" s="655"/>
      <c r="G64" s="655"/>
      <c r="H64" s="655"/>
      <c r="I64" s="655"/>
      <c r="J64" s="655"/>
      <c r="K64" s="655"/>
      <c r="L64" s="655"/>
      <c r="M64" s="655"/>
      <c r="N64" s="655"/>
      <c r="O64" s="655"/>
      <c r="P64" s="655"/>
      <c r="Q64" s="655"/>
      <c r="R64" s="655"/>
      <c r="S64" s="655"/>
      <c r="T64" s="655"/>
      <c r="U64" s="655"/>
      <c r="V64" s="655"/>
      <c r="W64" s="655"/>
      <c r="X64" s="655"/>
      <c r="Y64" s="655"/>
      <c r="Z64" s="655"/>
      <c r="AA64" s="655"/>
      <c r="AB64" s="655"/>
      <c r="AC64" s="655"/>
      <c r="AD64" s="655"/>
      <c r="AE64" s="655"/>
      <c r="AF64" s="655"/>
      <c r="AG64" s="655"/>
      <c r="AH64" s="655"/>
      <c r="AI64" s="655"/>
      <c r="AJ64" s="655"/>
      <c r="AK64" s="655"/>
      <c r="AL64" s="655"/>
      <c r="AM64" s="655"/>
      <c r="AN64" s="655"/>
      <c r="AO64" s="655"/>
      <c r="AP64" s="655"/>
      <c r="AQ64" s="655"/>
      <c r="AR64" s="655"/>
      <c r="AS64" s="655"/>
      <c r="AT64" s="655"/>
      <c r="AU64" s="655"/>
      <c r="AV64" s="655"/>
      <c r="AW64" s="655"/>
      <c r="AX64" s="655"/>
      <c r="AY64" s="655"/>
      <c r="AZ64" s="655"/>
      <c r="BA64" s="655"/>
      <c r="BB64" s="655"/>
      <c r="BC64" s="655"/>
      <c r="BD64" s="655"/>
      <c r="BE64" s="655"/>
      <c r="BF64" s="655"/>
      <c r="BG64" s="655"/>
      <c r="BH64" s="655"/>
      <c r="BI64" s="655"/>
      <c r="BJ64" s="655"/>
      <c r="BK64" s="655"/>
      <c r="BL64" s="655"/>
      <c r="BM64" s="655"/>
      <c r="BN64" s="655"/>
      <c r="BO64" s="655"/>
      <c r="BP64" s="655"/>
      <c r="BQ64" s="655"/>
      <c r="BR64" s="655"/>
      <c r="BS64" s="655"/>
      <c r="BT64" s="655"/>
      <c r="BU64" s="655"/>
      <c r="BV64" s="655"/>
      <c r="BW64" s="655"/>
      <c r="BX64" s="655"/>
      <c r="BY64" s="655"/>
      <c r="BZ64" s="655"/>
      <c r="CA64" s="655"/>
      <c r="CB64" s="655"/>
      <c r="CC64" s="655"/>
      <c r="CD64" s="655"/>
      <c r="CE64" s="655"/>
      <c r="CF64" s="655"/>
      <c r="CG64" s="655"/>
      <c r="CH64" s="655"/>
      <c r="CI64" s="655"/>
      <c r="CJ64" s="655"/>
      <c r="CK64" s="655"/>
      <c r="CL64" s="655"/>
      <c r="CM64" s="655"/>
      <c r="CN64" s="655"/>
      <c r="CO64" s="655"/>
      <c r="CP64" s="655"/>
      <c r="CQ64" s="655"/>
      <c r="CR64" s="655"/>
      <c r="CS64" s="655"/>
      <c r="CT64" s="655"/>
      <c r="CU64" s="655"/>
      <c r="CV64" s="655"/>
      <c r="CW64" s="655"/>
      <c r="CX64" s="655"/>
      <c r="CY64" s="655"/>
      <c r="CZ64" s="655"/>
    </row>
    <row r="65" spans="1:104" ht="16.5">
      <c r="A65" s="650" t="s">
        <v>196</v>
      </c>
      <c r="B65" s="651">
        <f t="shared" si="0"/>
        <v>1</v>
      </c>
      <c r="C65" s="652">
        <f t="shared" si="1"/>
        <v>0</v>
      </c>
      <c r="D65" s="653">
        <v>1</v>
      </c>
      <c r="E65" s="654"/>
      <c r="F65" s="655"/>
      <c r="G65" s="655"/>
      <c r="H65" s="655"/>
      <c r="I65" s="655"/>
      <c r="J65" s="655"/>
      <c r="K65" s="655"/>
      <c r="L65" s="655"/>
      <c r="M65" s="655"/>
      <c r="N65" s="655"/>
      <c r="O65" s="655"/>
      <c r="P65" s="655"/>
      <c r="Q65" s="655"/>
      <c r="R65" s="655"/>
      <c r="S65" s="655"/>
      <c r="T65" s="655"/>
      <c r="U65" s="655"/>
      <c r="V65" s="655"/>
      <c r="W65" s="655"/>
      <c r="X65" s="655"/>
      <c r="Y65" s="655"/>
      <c r="Z65" s="655"/>
      <c r="AA65" s="655"/>
      <c r="AB65" s="655"/>
      <c r="AC65" s="655"/>
      <c r="AD65" s="655"/>
      <c r="AE65" s="655"/>
      <c r="AF65" s="655"/>
      <c r="AG65" s="655"/>
      <c r="AH65" s="655"/>
      <c r="AI65" s="655"/>
      <c r="AJ65" s="655"/>
      <c r="AK65" s="655"/>
      <c r="AL65" s="655"/>
      <c r="AM65" s="655"/>
      <c r="AN65" s="655"/>
      <c r="AO65" s="655"/>
      <c r="AP65" s="655"/>
      <c r="AQ65" s="655"/>
      <c r="AR65" s="655"/>
      <c r="AS65" s="655"/>
      <c r="AT65" s="655"/>
      <c r="AU65" s="655"/>
      <c r="AV65" s="655"/>
      <c r="AW65" s="655"/>
      <c r="AX65" s="655"/>
      <c r="AY65" s="655"/>
      <c r="AZ65" s="655"/>
      <c r="BA65" s="655"/>
      <c r="BB65" s="655"/>
      <c r="BC65" s="655"/>
      <c r="BD65" s="655"/>
      <c r="BE65" s="655"/>
      <c r="BF65" s="655"/>
      <c r="BG65" s="655"/>
      <c r="BH65" s="655"/>
      <c r="BI65" s="655"/>
      <c r="BJ65" s="655"/>
      <c r="BK65" s="655"/>
      <c r="BL65" s="655"/>
      <c r="BM65" s="655"/>
      <c r="BN65" s="655"/>
      <c r="BO65" s="655"/>
      <c r="BP65" s="655"/>
      <c r="BQ65" s="655"/>
      <c r="BR65" s="655"/>
      <c r="BS65" s="655"/>
      <c r="BT65" s="655"/>
      <c r="BU65" s="655"/>
      <c r="BV65" s="655"/>
      <c r="BW65" s="655"/>
      <c r="BX65" s="655"/>
      <c r="BY65" s="655"/>
      <c r="BZ65" s="655"/>
      <c r="CA65" s="655"/>
      <c r="CB65" s="655"/>
      <c r="CC65" s="655"/>
      <c r="CD65" s="655"/>
      <c r="CE65" s="655"/>
      <c r="CF65" s="655"/>
      <c r="CG65" s="655"/>
      <c r="CH65" s="655"/>
      <c r="CI65" s="655"/>
      <c r="CJ65" s="655"/>
      <c r="CK65" s="655"/>
      <c r="CL65" s="655"/>
      <c r="CM65" s="655"/>
      <c r="CN65" s="655"/>
      <c r="CO65" s="655"/>
      <c r="CP65" s="655"/>
      <c r="CQ65" s="655"/>
      <c r="CR65" s="655"/>
      <c r="CS65" s="655"/>
      <c r="CT65" s="655"/>
      <c r="CU65" s="655"/>
      <c r="CV65" s="655"/>
      <c r="CW65" s="655"/>
      <c r="CX65" s="655"/>
      <c r="CY65" s="655"/>
      <c r="CZ65" s="655"/>
    </row>
    <row r="66" spans="1:104" ht="16.5">
      <c r="A66" s="650" t="s">
        <v>198</v>
      </c>
      <c r="B66" s="651">
        <f t="shared" si="0"/>
        <v>1</v>
      </c>
      <c r="C66" s="652">
        <f t="shared" si="1"/>
        <v>0</v>
      </c>
      <c r="D66" s="653">
        <v>1</v>
      </c>
      <c r="E66" s="654"/>
      <c r="F66" s="655"/>
      <c r="G66" s="655"/>
      <c r="H66" s="655"/>
      <c r="I66" s="655"/>
      <c r="J66" s="655"/>
      <c r="K66" s="655"/>
      <c r="L66" s="655"/>
      <c r="M66" s="655"/>
      <c r="N66" s="655"/>
      <c r="O66" s="655"/>
      <c r="P66" s="655"/>
      <c r="Q66" s="655"/>
      <c r="R66" s="655"/>
      <c r="S66" s="655"/>
      <c r="T66" s="655"/>
      <c r="U66" s="655"/>
      <c r="V66" s="655"/>
      <c r="W66" s="655"/>
      <c r="X66" s="655"/>
      <c r="Y66" s="655"/>
      <c r="Z66" s="655"/>
      <c r="AA66" s="655"/>
      <c r="AB66" s="655"/>
      <c r="AC66" s="655"/>
      <c r="AD66" s="655"/>
      <c r="AE66" s="655"/>
      <c r="AF66" s="655"/>
      <c r="AG66" s="655"/>
      <c r="AH66" s="655"/>
      <c r="AI66" s="655"/>
      <c r="AJ66" s="655"/>
      <c r="AK66" s="655"/>
      <c r="AL66" s="655"/>
      <c r="AM66" s="655"/>
      <c r="AN66" s="655"/>
      <c r="AO66" s="655"/>
      <c r="AP66" s="655"/>
      <c r="AQ66" s="655"/>
      <c r="AR66" s="655"/>
      <c r="AS66" s="655"/>
      <c r="AT66" s="655"/>
      <c r="AU66" s="655"/>
      <c r="AV66" s="655"/>
      <c r="AW66" s="655"/>
      <c r="AX66" s="655"/>
      <c r="AY66" s="655"/>
      <c r="AZ66" s="655"/>
      <c r="BA66" s="655"/>
      <c r="BB66" s="655"/>
      <c r="BC66" s="655"/>
      <c r="BD66" s="655"/>
      <c r="BE66" s="655"/>
      <c r="BF66" s="655"/>
      <c r="BG66" s="655"/>
      <c r="BH66" s="655"/>
      <c r="BI66" s="655"/>
      <c r="BJ66" s="655"/>
      <c r="BK66" s="655"/>
      <c r="BL66" s="655"/>
      <c r="BM66" s="655"/>
      <c r="BN66" s="655"/>
      <c r="BO66" s="655"/>
      <c r="BP66" s="655"/>
      <c r="BQ66" s="655"/>
      <c r="BR66" s="655"/>
      <c r="BS66" s="655"/>
      <c r="BT66" s="655"/>
      <c r="BU66" s="655"/>
      <c r="BV66" s="655"/>
      <c r="BW66" s="655"/>
      <c r="BX66" s="655"/>
      <c r="BY66" s="655"/>
      <c r="BZ66" s="655"/>
      <c r="CA66" s="655"/>
      <c r="CB66" s="655"/>
      <c r="CC66" s="655"/>
      <c r="CD66" s="655"/>
      <c r="CE66" s="655"/>
      <c r="CF66" s="655"/>
      <c r="CG66" s="655"/>
      <c r="CH66" s="655"/>
      <c r="CI66" s="655"/>
      <c r="CJ66" s="655"/>
      <c r="CK66" s="655"/>
      <c r="CL66" s="655"/>
      <c r="CM66" s="655"/>
      <c r="CN66" s="655"/>
      <c r="CO66" s="655"/>
      <c r="CP66" s="655"/>
      <c r="CQ66" s="655"/>
      <c r="CR66" s="655"/>
      <c r="CS66" s="655"/>
      <c r="CT66" s="655"/>
      <c r="CU66" s="655"/>
      <c r="CV66" s="655"/>
      <c r="CW66" s="655"/>
      <c r="CX66" s="655"/>
      <c r="CY66" s="655"/>
      <c r="CZ66" s="655"/>
    </row>
    <row r="67" spans="1:104" ht="16.5">
      <c r="A67" s="650" t="s">
        <v>204</v>
      </c>
      <c r="B67" s="651">
        <f t="shared" ref="B67:B95" si="2">C67+D67</f>
        <v>1</v>
      </c>
      <c r="C67" s="652">
        <f t="shared" ref="C67:C95" si="3">SUM(E67:CZ67)</f>
        <v>0</v>
      </c>
      <c r="D67" s="653">
        <v>1</v>
      </c>
      <c r="E67" s="654"/>
      <c r="F67" s="655"/>
      <c r="G67" s="655"/>
      <c r="H67" s="655"/>
      <c r="I67" s="655"/>
      <c r="J67" s="655"/>
      <c r="K67" s="655"/>
      <c r="L67" s="655"/>
      <c r="M67" s="655"/>
      <c r="N67" s="655"/>
      <c r="O67" s="655"/>
      <c r="P67" s="655"/>
      <c r="Q67" s="655"/>
      <c r="R67" s="655"/>
      <c r="S67" s="655"/>
      <c r="T67" s="655"/>
      <c r="U67" s="655"/>
      <c r="V67" s="655"/>
      <c r="W67" s="655"/>
      <c r="X67" s="655"/>
      <c r="Y67" s="655"/>
      <c r="Z67" s="655"/>
      <c r="AA67" s="655"/>
      <c r="AB67" s="655"/>
      <c r="AC67" s="655"/>
      <c r="AD67" s="655"/>
      <c r="AE67" s="655"/>
      <c r="AF67" s="655"/>
      <c r="AG67" s="655"/>
      <c r="AH67" s="655"/>
      <c r="AI67" s="655"/>
      <c r="AJ67" s="655"/>
      <c r="AK67" s="655"/>
      <c r="AL67" s="655"/>
      <c r="AM67" s="655"/>
      <c r="AN67" s="655"/>
      <c r="AO67" s="655"/>
      <c r="AP67" s="655"/>
      <c r="AQ67" s="655"/>
      <c r="AR67" s="655"/>
      <c r="AS67" s="655"/>
      <c r="AT67" s="655"/>
      <c r="AU67" s="655"/>
      <c r="AV67" s="655"/>
      <c r="AW67" s="655"/>
      <c r="AX67" s="655"/>
      <c r="AY67" s="655"/>
      <c r="AZ67" s="655"/>
      <c r="BA67" s="655"/>
      <c r="BB67" s="655"/>
      <c r="BC67" s="655"/>
      <c r="BD67" s="655"/>
      <c r="BE67" s="655"/>
      <c r="BF67" s="655"/>
      <c r="BG67" s="655"/>
      <c r="BH67" s="655"/>
      <c r="BI67" s="655"/>
      <c r="BJ67" s="655"/>
      <c r="BK67" s="655"/>
      <c r="BL67" s="655"/>
      <c r="BM67" s="655"/>
      <c r="BN67" s="655"/>
      <c r="BO67" s="655"/>
      <c r="BP67" s="655"/>
      <c r="BQ67" s="655"/>
      <c r="BR67" s="655"/>
      <c r="BS67" s="655"/>
      <c r="BT67" s="655"/>
      <c r="BU67" s="655"/>
      <c r="BV67" s="655"/>
      <c r="BW67" s="655"/>
      <c r="BX67" s="655"/>
      <c r="BY67" s="655"/>
      <c r="BZ67" s="655"/>
      <c r="CA67" s="655"/>
      <c r="CB67" s="655"/>
      <c r="CC67" s="655"/>
      <c r="CD67" s="655"/>
      <c r="CE67" s="655"/>
      <c r="CF67" s="655"/>
      <c r="CG67" s="655"/>
      <c r="CH67" s="655"/>
      <c r="CI67" s="655"/>
      <c r="CJ67" s="655"/>
      <c r="CK67" s="655"/>
      <c r="CL67" s="655"/>
      <c r="CM67" s="655"/>
      <c r="CN67" s="655"/>
      <c r="CO67" s="655"/>
      <c r="CP67" s="655"/>
      <c r="CQ67" s="655"/>
      <c r="CR67" s="655"/>
      <c r="CS67" s="655"/>
      <c r="CT67" s="655"/>
      <c r="CU67" s="655"/>
      <c r="CV67" s="655"/>
      <c r="CW67" s="655"/>
      <c r="CX67" s="655"/>
      <c r="CY67" s="655"/>
      <c r="CZ67" s="655"/>
    </row>
    <row r="68" spans="1:104" ht="16.5">
      <c r="A68" s="650" t="s">
        <v>177</v>
      </c>
      <c r="B68" s="651">
        <f t="shared" si="2"/>
        <v>1</v>
      </c>
      <c r="C68" s="652">
        <f t="shared" si="3"/>
        <v>0</v>
      </c>
      <c r="D68" s="653">
        <v>1</v>
      </c>
      <c r="E68" s="654"/>
      <c r="F68" s="655"/>
      <c r="G68" s="655"/>
      <c r="H68" s="655"/>
      <c r="I68" s="655"/>
      <c r="J68" s="655"/>
      <c r="K68" s="655"/>
      <c r="L68" s="655"/>
      <c r="M68" s="655"/>
      <c r="N68" s="655"/>
      <c r="O68" s="655"/>
      <c r="P68" s="655"/>
      <c r="Q68" s="655"/>
      <c r="R68" s="655"/>
      <c r="S68" s="655"/>
      <c r="T68" s="655"/>
      <c r="U68" s="655"/>
      <c r="V68" s="655"/>
      <c r="W68" s="655"/>
      <c r="X68" s="655"/>
      <c r="Y68" s="655"/>
      <c r="Z68" s="655"/>
      <c r="AA68" s="655"/>
      <c r="AB68" s="655"/>
      <c r="AC68" s="655"/>
      <c r="AD68" s="655"/>
      <c r="AE68" s="655"/>
      <c r="AF68" s="655"/>
      <c r="AG68" s="655"/>
      <c r="AH68" s="655"/>
      <c r="AI68" s="655"/>
      <c r="AJ68" s="655"/>
      <c r="AK68" s="655"/>
      <c r="AL68" s="655"/>
      <c r="AM68" s="655"/>
      <c r="AN68" s="655"/>
      <c r="AO68" s="655"/>
      <c r="AP68" s="655"/>
      <c r="AQ68" s="655"/>
      <c r="AR68" s="655"/>
      <c r="AS68" s="655"/>
      <c r="AT68" s="655"/>
      <c r="AU68" s="655"/>
      <c r="AV68" s="655"/>
      <c r="AW68" s="655"/>
      <c r="AX68" s="655"/>
      <c r="AY68" s="655"/>
      <c r="AZ68" s="655"/>
      <c r="BA68" s="655"/>
      <c r="BB68" s="655"/>
      <c r="BC68" s="655"/>
      <c r="BD68" s="655"/>
      <c r="BE68" s="655"/>
      <c r="BF68" s="655"/>
      <c r="BG68" s="655"/>
      <c r="BH68" s="655"/>
      <c r="BI68" s="655"/>
      <c r="BJ68" s="655"/>
      <c r="BK68" s="655"/>
      <c r="BL68" s="655"/>
      <c r="BM68" s="655"/>
      <c r="BN68" s="655"/>
      <c r="BO68" s="655"/>
      <c r="BP68" s="655"/>
      <c r="BQ68" s="655"/>
      <c r="BR68" s="655"/>
      <c r="BS68" s="655"/>
      <c r="BT68" s="655"/>
      <c r="BU68" s="655"/>
      <c r="BV68" s="655"/>
      <c r="BW68" s="655"/>
      <c r="BX68" s="655"/>
      <c r="BY68" s="655"/>
      <c r="BZ68" s="655"/>
      <c r="CA68" s="655"/>
      <c r="CB68" s="655"/>
      <c r="CC68" s="655"/>
      <c r="CD68" s="655"/>
      <c r="CE68" s="655"/>
      <c r="CF68" s="655"/>
      <c r="CG68" s="655"/>
      <c r="CH68" s="655"/>
      <c r="CI68" s="655"/>
      <c r="CJ68" s="655"/>
      <c r="CK68" s="655"/>
      <c r="CL68" s="655"/>
      <c r="CM68" s="655"/>
      <c r="CN68" s="655"/>
      <c r="CO68" s="655"/>
      <c r="CP68" s="655"/>
      <c r="CQ68" s="655"/>
      <c r="CR68" s="655"/>
      <c r="CS68" s="655"/>
      <c r="CT68" s="655"/>
      <c r="CU68" s="655"/>
      <c r="CV68" s="655"/>
      <c r="CW68" s="655"/>
      <c r="CX68" s="655"/>
      <c r="CY68" s="655"/>
      <c r="CZ68" s="655"/>
    </row>
    <row r="69" spans="1:104" ht="16.5">
      <c r="A69" s="650" t="s">
        <v>5149</v>
      </c>
      <c r="B69" s="651">
        <f t="shared" si="2"/>
        <v>0</v>
      </c>
      <c r="C69" s="652">
        <f t="shared" si="3"/>
        <v>0</v>
      </c>
      <c r="D69" s="653"/>
      <c r="E69" s="654"/>
      <c r="F69" s="655"/>
      <c r="G69" s="655"/>
      <c r="H69" s="655"/>
      <c r="I69" s="655"/>
      <c r="J69" s="655"/>
      <c r="K69" s="655"/>
      <c r="L69" s="655"/>
      <c r="M69" s="655"/>
      <c r="N69" s="655"/>
      <c r="O69" s="655"/>
      <c r="P69" s="655"/>
      <c r="Q69" s="655"/>
      <c r="R69" s="655"/>
      <c r="S69" s="655"/>
      <c r="T69" s="655"/>
      <c r="U69" s="655"/>
      <c r="V69" s="655"/>
      <c r="W69" s="655"/>
      <c r="X69" s="655"/>
      <c r="Y69" s="655"/>
      <c r="Z69" s="655"/>
      <c r="AA69" s="655"/>
      <c r="AB69" s="655"/>
      <c r="AC69" s="655"/>
      <c r="AD69" s="655"/>
      <c r="AE69" s="655"/>
      <c r="AF69" s="655"/>
      <c r="AG69" s="655"/>
      <c r="AH69" s="655"/>
      <c r="AI69" s="655"/>
      <c r="AJ69" s="655"/>
      <c r="AK69" s="655"/>
      <c r="AL69" s="655"/>
      <c r="AM69" s="655"/>
      <c r="AN69" s="655"/>
      <c r="AO69" s="655"/>
      <c r="AP69" s="655"/>
      <c r="AQ69" s="655"/>
      <c r="AR69" s="655"/>
      <c r="AS69" s="655"/>
      <c r="AT69" s="655"/>
      <c r="AU69" s="655"/>
      <c r="AV69" s="655"/>
      <c r="AW69" s="655"/>
      <c r="AX69" s="655"/>
      <c r="AY69" s="655"/>
      <c r="AZ69" s="655"/>
      <c r="BA69" s="655"/>
      <c r="BB69" s="655"/>
      <c r="BC69" s="655"/>
      <c r="BD69" s="655"/>
      <c r="BE69" s="655"/>
      <c r="BF69" s="655"/>
      <c r="BG69" s="655"/>
      <c r="BH69" s="655"/>
      <c r="BI69" s="655"/>
      <c r="BJ69" s="655"/>
      <c r="BK69" s="655"/>
      <c r="BL69" s="655"/>
      <c r="BM69" s="655"/>
      <c r="BN69" s="655"/>
      <c r="BO69" s="655"/>
      <c r="BP69" s="655"/>
      <c r="BQ69" s="655"/>
      <c r="BR69" s="655"/>
      <c r="BS69" s="655"/>
      <c r="BT69" s="655"/>
      <c r="BU69" s="655"/>
      <c r="BV69" s="655"/>
      <c r="BW69" s="655"/>
      <c r="BX69" s="655"/>
      <c r="BY69" s="655"/>
      <c r="BZ69" s="655"/>
      <c r="CA69" s="655"/>
      <c r="CB69" s="655"/>
      <c r="CC69" s="655"/>
      <c r="CD69" s="655"/>
      <c r="CE69" s="655"/>
      <c r="CF69" s="655"/>
      <c r="CG69" s="655"/>
      <c r="CH69" s="655"/>
      <c r="CI69" s="655"/>
      <c r="CJ69" s="655"/>
      <c r="CK69" s="655"/>
      <c r="CL69" s="655"/>
      <c r="CM69" s="655"/>
      <c r="CN69" s="655"/>
      <c r="CO69" s="655"/>
      <c r="CP69" s="655"/>
      <c r="CQ69" s="655"/>
      <c r="CR69" s="655"/>
      <c r="CS69" s="655"/>
      <c r="CT69" s="655"/>
      <c r="CU69" s="655"/>
      <c r="CV69" s="655"/>
      <c r="CW69" s="655"/>
      <c r="CX69" s="655"/>
      <c r="CY69" s="655"/>
      <c r="CZ69" s="655"/>
    </row>
    <row r="70" spans="1:104" ht="16.5">
      <c r="A70" s="650" t="s">
        <v>5149</v>
      </c>
      <c r="B70" s="651">
        <f t="shared" si="2"/>
        <v>0</v>
      </c>
      <c r="C70" s="652">
        <f t="shared" si="3"/>
        <v>0</v>
      </c>
      <c r="D70" s="653"/>
      <c r="E70" s="654"/>
      <c r="F70" s="655"/>
      <c r="G70" s="655"/>
      <c r="H70" s="655"/>
      <c r="I70" s="655"/>
      <c r="J70" s="655"/>
      <c r="K70" s="655"/>
      <c r="L70" s="655"/>
      <c r="M70" s="655"/>
      <c r="N70" s="655"/>
      <c r="O70" s="655"/>
      <c r="P70" s="655"/>
      <c r="Q70" s="655"/>
      <c r="R70" s="655"/>
      <c r="S70" s="655"/>
      <c r="T70" s="655"/>
      <c r="U70" s="655"/>
      <c r="V70" s="655"/>
      <c r="W70" s="655"/>
      <c r="X70" s="655"/>
      <c r="Y70" s="655"/>
      <c r="Z70" s="655"/>
      <c r="AA70" s="655"/>
      <c r="AB70" s="655"/>
      <c r="AC70" s="655"/>
      <c r="AD70" s="655"/>
      <c r="AE70" s="655"/>
      <c r="AF70" s="655"/>
      <c r="AG70" s="655"/>
      <c r="AH70" s="655"/>
      <c r="AI70" s="655"/>
      <c r="AJ70" s="655"/>
      <c r="AK70" s="655"/>
      <c r="AL70" s="655"/>
      <c r="AM70" s="655"/>
      <c r="AN70" s="655"/>
      <c r="AO70" s="655"/>
      <c r="AP70" s="655"/>
      <c r="AQ70" s="655"/>
      <c r="AR70" s="655"/>
      <c r="AS70" s="655"/>
      <c r="AT70" s="655"/>
      <c r="AU70" s="655"/>
      <c r="AV70" s="655"/>
      <c r="AW70" s="655"/>
      <c r="AX70" s="655"/>
      <c r="AY70" s="655"/>
      <c r="AZ70" s="655"/>
      <c r="BA70" s="655"/>
      <c r="BB70" s="655"/>
      <c r="BC70" s="655"/>
      <c r="BD70" s="655"/>
      <c r="BE70" s="655"/>
      <c r="BF70" s="655"/>
      <c r="BG70" s="655"/>
      <c r="BH70" s="655"/>
      <c r="BI70" s="655"/>
      <c r="BJ70" s="655"/>
      <c r="BK70" s="655"/>
      <c r="BL70" s="655"/>
      <c r="BM70" s="655"/>
      <c r="BN70" s="655"/>
      <c r="BO70" s="655"/>
      <c r="BP70" s="655"/>
      <c r="BQ70" s="655"/>
      <c r="BR70" s="655"/>
      <c r="BS70" s="655"/>
      <c r="BT70" s="655"/>
      <c r="BU70" s="655"/>
      <c r="BV70" s="655"/>
      <c r="BW70" s="655"/>
      <c r="BX70" s="655"/>
      <c r="BY70" s="655"/>
      <c r="BZ70" s="655"/>
      <c r="CA70" s="655"/>
      <c r="CB70" s="655"/>
      <c r="CC70" s="655"/>
      <c r="CD70" s="655"/>
      <c r="CE70" s="655"/>
      <c r="CF70" s="655"/>
      <c r="CG70" s="655"/>
      <c r="CH70" s="655"/>
      <c r="CI70" s="655"/>
      <c r="CJ70" s="655"/>
      <c r="CK70" s="655"/>
      <c r="CL70" s="655"/>
      <c r="CM70" s="655"/>
      <c r="CN70" s="655"/>
      <c r="CO70" s="655"/>
      <c r="CP70" s="655"/>
      <c r="CQ70" s="655"/>
      <c r="CR70" s="655"/>
      <c r="CS70" s="655"/>
      <c r="CT70" s="655"/>
      <c r="CU70" s="655"/>
      <c r="CV70" s="655"/>
      <c r="CW70" s="655"/>
      <c r="CX70" s="655"/>
      <c r="CY70" s="655"/>
      <c r="CZ70" s="655"/>
    </row>
    <row r="71" spans="1:104" ht="16.5">
      <c r="A71" s="650" t="s">
        <v>5593</v>
      </c>
      <c r="B71" s="651">
        <f t="shared" si="2"/>
        <v>0</v>
      </c>
      <c r="C71" s="652">
        <f t="shared" si="3"/>
        <v>0</v>
      </c>
      <c r="D71" s="653"/>
      <c r="E71" s="654"/>
      <c r="F71" s="655"/>
      <c r="G71" s="655"/>
      <c r="H71" s="655"/>
      <c r="I71" s="655"/>
      <c r="J71" s="655"/>
      <c r="K71" s="655"/>
      <c r="L71" s="655"/>
      <c r="M71" s="655"/>
      <c r="N71" s="655"/>
      <c r="O71" s="655"/>
      <c r="P71" s="655"/>
      <c r="Q71" s="655"/>
      <c r="R71" s="655"/>
      <c r="S71" s="655"/>
      <c r="T71" s="655"/>
      <c r="U71" s="655"/>
      <c r="V71" s="655"/>
      <c r="W71" s="655"/>
      <c r="X71" s="655"/>
      <c r="Y71" s="655"/>
      <c r="Z71" s="655"/>
      <c r="AA71" s="655"/>
      <c r="AB71" s="655"/>
      <c r="AC71" s="655"/>
      <c r="AD71" s="655"/>
      <c r="AE71" s="655"/>
      <c r="AF71" s="655"/>
      <c r="AG71" s="655"/>
      <c r="AH71" s="655"/>
      <c r="AI71" s="655"/>
      <c r="AJ71" s="655"/>
      <c r="AK71" s="655"/>
      <c r="AL71" s="655"/>
      <c r="AM71" s="655"/>
      <c r="AN71" s="655"/>
      <c r="AO71" s="655"/>
      <c r="AP71" s="655"/>
      <c r="AQ71" s="655"/>
      <c r="AR71" s="655"/>
      <c r="AS71" s="655"/>
      <c r="AT71" s="655"/>
      <c r="AU71" s="655"/>
      <c r="AV71" s="655"/>
      <c r="AW71" s="655"/>
      <c r="AX71" s="655"/>
      <c r="AY71" s="655"/>
      <c r="AZ71" s="655"/>
      <c r="BA71" s="655"/>
      <c r="BB71" s="655"/>
      <c r="BC71" s="655"/>
      <c r="BD71" s="655"/>
      <c r="BE71" s="655"/>
      <c r="BF71" s="655"/>
      <c r="BG71" s="655"/>
      <c r="BH71" s="655"/>
      <c r="BI71" s="655"/>
      <c r="BJ71" s="655"/>
      <c r="BK71" s="655"/>
      <c r="BL71" s="655"/>
      <c r="BM71" s="655"/>
      <c r="BN71" s="655"/>
      <c r="BO71" s="655"/>
      <c r="BP71" s="655"/>
      <c r="BQ71" s="655"/>
      <c r="BR71" s="655"/>
      <c r="BS71" s="655"/>
      <c r="BT71" s="655"/>
      <c r="BU71" s="655"/>
      <c r="BV71" s="655"/>
      <c r="BW71" s="655"/>
      <c r="BX71" s="655"/>
      <c r="BY71" s="655"/>
      <c r="BZ71" s="655"/>
      <c r="CA71" s="655"/>
      <c r="CB71" s="655"/>
      <c r="CC71" s="655"/>
      <c r="CD71" s="655"/>
      <c r="CE71" s="655"/>
      <c r="CF71" s="655"/>
      <c r="CG71" s="655"/>
      <c r="CH71" s="655"/>
      <c r="CI71" s="655"/>
      <c r="CJ71" s="655"/>
      <c r="CK71" s="655"/>
      <c r="CL71" s="655"/>
      <c r="CM71" s="655"/>
      <c r="CN71" s="655"/>
      <c r="CO71" s="655"/>
      <c r="CP71" s="655"/>
      <c r="CQ71" s="655"/>
      <c r="CR71" s="655"/>
      <c r="CS71" s="655"/>
      <c r="CT71" s="655"/>
      <c r="CU71" s="655"/>
      <c r="CV71" s="655"/>
      <c r="CW71" s="655"/>
      <c r="CX71" s="655"/>
      <c r="CY71" s="655"/>
      <c r="CZ71" s="655"/>
    </row>
    <row r="72" spans="1:104" ht="16.5">
      <c r="A72" s="650" t="s">
        <v>5597</v>
      </c>
      <c r="B72" s="651">
        <f t="shared" si="2"/>
        <v>0</v>
      </c>
      <c r="C72" s="652">
        <f t="shared" si="3"/>
        <v>0</v>
      </c>
      <c r="D72" s="653"/>
      <c r="E72" s="654"/>
      <c r="F72" s="655"/>
      <c r="G72" s="655"/>
      <c r="H72" s="655"/>
      <c r="I72" s="655"/>
      <c r="J72" s="655"/>
      <c r="K72" s="655"/>
      <c r="L72" s="655"/>
      <c r="M72" s="655"/>
      <c r="N72" s="655"/>
      <c r="O72" s="655"/>
      <c r="P72" s="655"/>
      <c r="Q72" s="655"/>
      <c r="R72" s="655"/>
      <c r="S72" s="655"/>
      <c r="T72" s="655"/>
      <c r="U72" s="655"/>
      <c r="V72" s="655"/>
      <c r="W72" s="655"/>
      <c r="X72" s="655"/>
      <c r="Y72" s="655"/>
      <c r="Z72" s="655"/>
      <c r="AA72" s="655"/>
      <c r="AB72" s="655"/>
      <c r="AC72" s="655"/>
      <c r="AD72" s="655"/>
      <c r="AE72" s="655"/>
      <c r="AF72" s="655"/>
      <c r="AG72" s="655"/>
      <c r="AH72" s="655"/>
      <c r="AI72" s="655"/>
      <c r="AJ72" s="655"/>
      <c r="AK72" s="655"/>
      <c r="AL72" s="655"/>
      <c r="AM72" s="655"/>
      <c r="AN72" s="655"/>
      <c r="AO72" s="655"/>
      <c r="AP72" s="655"/>
      <c r="AQ72" s="655"/>
      <c r="AR72" s="655"/>
      <c r="AS72" s="655"/>
      <c r="AT72" s="655"/>
      <c r="AU72" s="655"/>
      <c r="AV72" s="655"/>
      <c r="AW72" s="655"/>
      <c r="AX72" s="655"/>
      <c r="AY72" s="655"/>
      <c r="AZ72" s="655"/>
      <c r="BA72" s="655"/>
      <c r="BB72" s="655"/>
      <c r="BC72" s="655"/>
      <c r="BD72" s="655"/>
      <c r="BE72" s="655"/>
      <c r="BF72" s="655"/>
      <c r="BG72" s="655"/>
      <c r="BH72" s="655"/>
      <c r="BI72" s="655"/>
      <c r="BJ72" s="655"/>
      <c r="BK72" s="655"/>
      <c r="BL72" s="655"/>
      <c r="BM72" s="655"/>
      <c r="BN72" s="655"/>
      <c r="BO72" s="655"/>
      <c r="BP72" s="655"/>
      <c r="BQ72" s="655"/>
      <c r="BR72" s="655"/>
      <c r="BS72" s="655"/>
      <c r="BT72" s="655"/>
      <c r="BU72" s="655"/>
      <c r="BV72" s="655"/>
      <c r="BW72" s="655"/>
      <c r="BX72" s="655"/>
      <c r="BY72" s="655"/>
      <c r="BZ72" s="655"/>
      <c r="CA72" s="655"/>
      <c r="CB72" s="655"/>
      <c r="CC72" s="655"/>
      <c r="CD72" s="655"/>
      <c r="CE72" s="655"/>
      <c r="CF72" s="655"/>
      <c r="CG72" s="655"/>
      <c r="CH72" s="655"/>
      <c r="CI72" s="655"/>
      <c r="CJ72" s="655"/>
      <c r="CK72" s="655"/>
      <c r="CL72" s="655"/>
      <c r="CM72" s="655"/>
      <c r="CN72" s="655"/>
      <c r="CO72" s="655"/>
      <c r="CP72" s="655"/>
      <c r="CQ72" s="655"/>
      <c r="CR72" s="655"/>
      <c r="CS72" s="655"/>
      <c r="CT72" s="655"/>
      <c r="CU72" s="655"/>
      <c r="CV72" s="655"/>
      <c r="CW72" s="655"/>
      <c r="CX72" s="655"/>
      <c r="CY72" s="655"/>
      <c r="CZ72" s="655"/>
    </row>
    <row r="73" spans="1:104" ht="16.5">
      <c r="A73" s="650" t="s">
        <v>5600</v>
      </c>
      <c r="B73" s="651">
        <f t="shared" si="2"/>
        <v>0</v>
      </c>
      <c r="C73" s="652">
        <f t="shared" si="3"/>
        <v>0</v>
      </c>
      <c r="D73" s="653"/>
      <c r="E73" s="654"/>
      <c r="F73" s="655"/>
      <c r="G73" s="655"/>
      <c r="H73" s="655"/>
      <c r="I73" s="655"/>
      <c r="J73" s="655"/>
      <c r="K73" s="655"/>
      <c r="L73" s="655"/>
      <c r="M73" s="655"/>
      <c r="N73" s="655"/>
      <c r="O73" s="655"/>
      <c r="P73" s="655"/>
      <c r="Q73" s="655"/>
      <c r="R73" s="655"/>
      <c r="S73" s="655"/>
      <c r="T73" s="655"/>
      <c r="U73" s="655"/>
      <c r="V73" s="655"/>
      <c r="W73" s="655"/>
      <c r="X73" s="655"/>
      <c r="Y73" s="655"/>
      <c r="Z73" s="655"/>
      <c r="AA73" s="655"/>
      <c r="AB73" s="655"/>
      <c r="AC73" s="655"/>
      <c r="AD73" s="655"/>
      <c r="AE73" s="655"/>
      <c r="AF73" s="655"/>
      <c r="AG73" s="655"/>
      <c r="AH73" s="655"/>
      <c r="AI73" s="655"/>
      <c r="AJ73" s="655"/>
      <c r="AK73" s="655"/>
      <c r="AL73" s="655"/>
      <c r="AM73" s="655"/>
      <c r="AN73" s="655"/>
      <c r="AO73" s="655"/>
      <c r="AP73" s="655"/>
      <c r="AQ73" s="655"/>
      <c r="AR73" s="655"/>
      <c r="AS73" s="655"/>
      <c r="AT73" s="655"/>
      <c r="AU73" s="655"/>
      <c r="AV73" s="655"/>
      <c r="AW73" s="655"/>
      <c r="AX73" s="655"/>
      <c r="AY73" s="655"/>
      <c r="AZ73" s="655"/>
      <c r="BA73" s="655"/>
      <c r="BB73" s="655"/>
      <c r="BC73" s="655"/>
      <c r="BD73" s="655"/>
      <c r="BE73" s="655"/>
      <c r="BF73" s="655"/>
      <c r="BG73" s="655"/>
      <c r="BH73" s="655"/>
      <c r="BI73" s="655"/>
      <c r="BJ73" s="655"/>
      <c r="BK73" s="655"/>
      <c r="BL73" s="655"/>
      <c r="BM73" s="655"/>
      <c r="BN73" s="655"/>
      <c r="BO73" s="655"/>
      <c r="BP73" s="655"/>
      <c r="BQ73" s="655"/>
      <c r="BR73" s="655"/>
      <c r="BS73" s="655"/>
      <c r="BT73" s="655"/>
      <c r="BU73" s="655"/>
      <c r="BV73" s="655"/>
      <c r="BW73" s="655"/>
      <c r="BX73" s="655"/>
      <c r="BY73" s="655"/>
      <c r="BZ73" s="655"/>
      <c r="CA73" s="655"/>
      <c r="CB73" s="655"/>
      <c r="CC73" s="655"/>
      <c r="CD73" s="655"/>
      <c r="CE73" s="655"/>
      <c r="CF73" s="655"/>
      <c r="CG73" s="655"/>
      <c r="CH73" s="655"/>
      <c r="CI73" s="655"/>
      <c r="CJ73" s="655"/>
      <c r="CK73" s="655"/>
      <c r="CL73" s="655"/>
      <c r="CM73" s="655"/>
      <c r="CN73" s="655"/>
      <c r="CO73" s="655"/>
      <c r="CP73" s="655"/>
      <c r="CQ73" s="655"/>
      <c r="CR73" s="655"/>
      <c r="CS73" s="655"/>
      <c r="CT73" s="655"/>
      <c r="CU73" s="655"/>
      <c r="CV73" s="655"/>
      <c r="CW73" s="655"/>
      <c r="CX73" s="655"/>
      <c r="CY73" s="655"/>
      <c r="CZ73" s="655"/>
    </row>
    <row r="74" spans="1:104" ht="16.5">
      <c r="A74" s="650" t="s">
        <v>5594</v>
      </c>
      <c r="B74" s="651">
        <f t="shared" si="2"/>
        <v>0</v>
      </c>
      <c r="C74" s="652">
        <f t="shared" si="3"/>
        <v>0</v>
      </c>
      <c r="D74" s="653"/>
      <c r="E74" s="654"/>
      <c r="F74" s="655"/>
      <c r="G74" s="655"/>
      <c r="H74" s="655"/>
      <c r="I74" s="655"/>
      <c r="J74" s="655"/>
      <c r="K74" s="655"/>
      <c r="L74" s="655"/>
      <c r="M74" s="655"/>
      <c r="N74" s="655"/>
      <c r="O74" s="655"/>
      <c r="P74" s="655"/>
      <c r="Q74" s="655"/>
      <c r="R74" s="655"/>
      <c r="S74" s="655"/>
      <c r="T74" s="655"/>
      <c r="U74" s="655"/>
      <c r="V74" s="655"/>
      <c r="W74" s="655"/>
      <c r="X74" s="655"/>
      <c r="Y74" s="655"/>
      <c r="Z74" s="655"/>
      <c r="AA74" s="655"/>
      <c r="AB74" s="655"/>
      <c r="AC74" s="655"/>
      <c r="AD74" s="655"/>
      <c r="AE74" s="655"/>
      <c r="AF74" s="655"/>
      <c r="AG74" s="655"/>
      <c r="AH74" s="655"/>
      <c r="AI74" s="655"/>
      <c r="AJ74" s="655"/>
      <c r="AK74" s="655"/>
      <c r="AL74" s="655"/>
      <c r="AM74" s="655"/>
      <c r="AN74" s="655"/>
      <c r="AO74" s="655"/>
      <c r="AP74" s="655"/>
      <c r="AQ74" s="655"/>
      <c r="AR74" s="655"/>
      <c r="AS74" s="655"/>
      <c r="AT74" s="655"/>
      <c r="AU74" s="655"/>
      <c r="AV74" s="655"/>
      <c r="AW74" s="655"/>
      <c r="AX74" s="655"/>
      <c r="AY74" s="655"/>
      <c r="AZ74" s="655"/>
      <c r="BA74" s="655"/>
      <c r="BB74" s="655"/>
      <c r="BC74" s="655"/>
      <c r="BD74" s="655"/>
      <c r="BE74" s="655"/>
      <c r="BF74" s="655"/>
      <c r="BG74" s="655"/>
      <c r="BH74" s="655"/>
      <c r="BI74" s="655"/>
      <c r="BJ74" s="655"/>
      <c r="BK74" s="655"/>
      <c r="BL74" s="655"/>
      <c r="BM74" s="655"/>
      <c r="BN74" s="655"/>
      <c r="BO74" s="655"/>
      <c r="BP74" s="655"/>
      <c r="BQ74" s="655"/>
      <c r="BR74" s="655"/>
      <c r="BS74" s="655"/>
      <c r="BT74" s="655"/>
      <c r="BU74" s="655"/>
      <c r="BV74" s="655"/>
      <c r="BW74" s="655"/>
      <c r="BX74" s="655"/>
      <c r="BY74" s="655"/>
      <c r="BZ74" s="655"/>
      <c r="CA74" s="655"/>
      <c r="CB74" s="655"/>
      <c r="CC74" s="655"/>
      <c r="CD74" s="655"/>
      <c r="CE74" s="655"/>
      <c r="CF74" s="655"/>
      <c r="CG74" s="655"/>
      <c r="CH74" s="655"/>
      <c r="CI74" s="655"/>
      <c r="CJ74" s="655"/>
      <c r="CK74" s="655"/>
      <c r="CL74" s="655"/>
      <c r="CM74" s="655"/>
      <c r="CN74" s="655"/>
      <c r="CO74" s="655"/>
      <c r="CP74" s="655"/>
      <c r="CQ74" s="655"/>
      <c r="CR74" s="655"/>
      <c r="CS74" s="655"/>
      <c r="CT74" s="655"/>
      <c r="CU74" s="655"/>
      <c r="CV74" s="655"/>
      <c r="CW74" s="655"/>
      <c r="CX74" s="655"/>
      <c r="CY74" s="655"/>
      <c r="CZ74" s="655"/>
    </row>
    <row r="75" spans="1:104" ht="16.5">
      <c r="A75" s="650" t="s">
        <v>5598</v>
      </c>
      <c r="B75" s="651">
        <f t="shared" si="2"/>
        <v>0</v>
      </c>
      <c r="C75" s="652">
        <f t="shared" si="3"/>
        <v>0</v>
      </c>
      <c r="D75" s="653"/>
      <c r="E75" s="654"/>
      <c r="F75" s="655"/>
      <c r="G75" s="655"/>
      <c r="H75" s="655"/>
      <c r="I75" s="655"/>
      <c r="J75" s="655"/>
      <c r="K75" s="655"/>
      <c r="L75" s="655"/>
      <c r="M75" s="655"/>
      <c r="N75" s="655"/>
      <c r="O75" s="655"/>
      <c r="P75" s="655"/>
      <c r="Q75" s="655"/>
      <c r="R75" s="655"/>
      <c r="S75" s="655"/>
      <c r="T75" s="655"/>
      <c r="U75" s="655"/>
      <c r="V75" s="655"/>
      <c r="W75" s="655"/>
      <c r="X75" s="655"/>
      <c r="Y75" s="655"/>
      <c r="Z75" s="655"/>
      <c r="AA75" s="655"/>
      <c r="AB75" s="655"/>
      <c r="AC75" s="655"/>
      <c r="AD75" s="655"/>
      <c r="AE75" s="655"/>
      <c r="AF75" s="655"/>
      <c r="AG75" s="655"/>
      <c r="AH75" s="655"/>
      <c r="AI75" s="655"/>
      <c r="AJ75" s="655"/>
      <c r="AK75" s="655"/>
      <c r="AL75" s="655"/>
      <c r="AM75" s="655"/>
      <c r="AN75" s="655"/>
      <c r="AO75" s="655"/>
      <c r="AP75" s="655"/>
      <c r="AQ75" s="655"/>
      <c r="AR75" s="655"/>
      <c r="AS75" s="655"/>
      <c r="AT75" s="655"/>
      <c r="AU75" s="655"/>
      <c r="AV75" s="655"/>
      <c r="AW75" s="655"/>
      <c r="AX75" s="655"/>
      <c r="AY75" s="655"/>
      <c r="AZ75" s="655"/>
      <c r="BA75" s="655"/>
      <c r="BB75" s="655"/>
      <c r="BC75" s="655"/>
      <c r="BD75" s="655"/>
      <c r="BE75" s="655"/>
      <c r="BF75" s="655"/>
      <c r="BG75" s="655"/>
      <c r="BH75" s="655"/>
      <c r="BI75" s="655"/>
      <c r="BJ75" s="655"/>
      <c r="BK75" s="655"/>
      <c r="BL75" s="655"/>
      <c r="BM75" s="655"/>
      <c r="BN75" s="655"/>
      <c r="BO75" s="655"/>
      <c r="BP75" s="655"/>
      <c r="BQ75" s="655"/>
      <c r="BR75" s="655"/>
      <c r="BS75" s="655"/>
      <c r="BT75" s="655"/>
      <c r="BU75" s="655"/>
      <c r="BV75" s="655"/>
      <c r="BW75" s="655"/>
      <c r="BX75" s="655"/>
      <c r="BY75" s="655"/>
      <c r="BZ75" s="655"/>
      <c r="CA75" s="655"/>
      <c r="CB75" s="655"/>
      <c r="CC75" s="655"/>
      <c r="CD75" s="655"/>
      <c r="CE75" s="655"/>
      <c r="CF75" s="655"/>
      <c r="CG75" s="655"/>
      <c r="CH75" s="655"/>
      <c r="CI75" s="655"/>
      <c r="CJ75" s="655"/>
      <c r="CK75" s="655"/>
      <c r="CL75" s="655"/>
      <c r="CM75" s="655"/>
      <c r="CN75" s="655"/>
      <c r="CO75" s="655"/>
      <c r="CP75" s="655"/>
      <c r="CQ75" s="655"/>
      <c r="CR75" s="655"/>
      <c r="CS75" s="655"/>
      <c r="CT75" s="655"/>
      <c r="CU75" s="655"/>
      <c r="CV75" s="655"/>
      <c r="CW75" s="655"/>
      <c r="CX75" s="655"/>
      <c r="CY75" s="655"/>
      <c r="CZ75" s="655"/>
    </row>
    <row r="76" spans="1:104" ht="16.5">
      <c r="A76" s="650" t="s">
        <v>5596</v>
      </c>
      <c r="B76" s="651">
        <f t="shared" si="2"/>
        <v>0</v>
      </c>
      <c r="C76" s="652">
        <f t="shared" si="3"/>
        <v>0</v>
      </c>
      <c r="D76" s="653"/>
      <c r="E76" s="654"/>
      <c r="F76" s="655"/>
      <c r="G76" s="655"/>
      <c r="H76" s="655"/>
      <c r="I76" s="655"/>
      <c r="J76" s="655"/>
      <c r="K76" s="655"/>
      <c r="L76" s="655"/>
      <c r="M76" s="655"/>
      <c r="N76" s="655"/>
      <c r="O76" s="655"/>
      <c r="P76" s="655"/>
      <c r="Q76" s="655"/>
      <c r="R76" s="655"/>
      <c r="S76" s="655"/>
      <c r="T76" s="655"/>
      <c r="U76" s="655"/>
      <c r="V76" s="655"/>
      <c r="W76" s="655"/>
      <c r="X76" s="655"/>
      <c r="Y76" s="655"/>
      <c r="Z76" s="655"/>
      <c r="AA76" s="655"/>
      <c r="AB76" s="655"/>
      <c r="AC76" s="655"/>
      <c r="AD76" s="655"/>
      <c r="AE76" s="655"/>
      <c r="AF76" s="655"/>
      <c r="AG76" s="655"/>
      <c r="AH76" s="655"/>
      <c r="AI76" s="655"/>
      <c r="AJ76" s="655"/>
      <c r="AK76" s="655"/>
      <c r="AL76" s="655"/>
      <c r="AM76" s="655"/>
      <c r="AN76" s="655"/>
      <c r="AO76" s="655"/>
      <c r="AP76" s="655"/>
      <c r="AQ76" s="655"/>
      <c r="AR76" s="655"/>
      <c r="AS76" s="655"/>
      <c r="AT76" s="655"/>
      <c r="AU76" s="655"/>
      <c r="AV76" s="655"/>
      <c r="AW76" s="655"/>
      <c r="AX76" s="655"/>
      <c r="AY76" s="655"/>
      <c r="AZ76" s="655"/>
      <c r="BA76" s="655"/>
      <c r="BB76" s="655"/>
      <c r="BC76" s="655"/>
      <c r="BD76" s="655"/>
      <c r="BE76" s="655"/>
      <c r="BF76" s="655"/>
      <c r="BG76" s="655"/>
      <c r="BH76" s="655"/>
      <c r="BI76" s="655"/>
      <c r="BJ76" s="655"/>
      <c r="BK76" s="655"/>
      <c r="BL76" s="655"/>
      <c r="BM76" s="655"/>
      <c r="BN76" s="655"/>
      <c r="BO76" s="655"/>
      <c r="BP76" s="655"/>
      <c r="BQ76" s="655"/>
      <c r="BR76" s="655"/>
      <c r="BS76" s="655"/>
      <c r="BT76" s="655"/>
      <c r="BU76" s="655"/>
      <c r="BV76" s="655"/>
      <c r="BW76" s="655"/>
      <c r="BX76" s="655"/>
      <c r="BY76" s="655"/>
      <c r="BZ76" s="655"/>
      <c r="CA76" s="655"/>
      <c r="CB76" s="655"/>
      <c r="CC76" s="655"/>
      <c r="CD76" s="655"/>
      <c r="CE76" s="655"/>
      <c r="CF76" s="655"/>
      <c r="CG76" s="655"/>
      <c r="CH76" s="655"/>
      <c r="CI76" s="655"/>
      <c r="CJ76" s="655"/>
      <c r="CK76" s="655"/>
      <c r="CL76" s="655"/>
      <c r="CM76" s="655"/>
      <c r="CN76" s="655"/>
      <c r="CO76" s="655"/>
      <c r="CP76" s="655"/>
      <c r="CQ76" s="655"/>
      <c r="CR76" s="655"/>
      <c r="CS76" s="655"/>
      <c r="CT76" s="655"/>
      <c r="CU76" s="655"/>
      <c r="CV76" s="655"/>
      <c r="CW76" s="655"/>
      <c r="CX76" s="655"/>
      <c r="CY76" s="655"/>
      <c r="CZ76" s="655"/>
    </row>
    <row r="77" spans="1:104" ht="16.5">
      <c r="A77" s="650" t="s">
        <v>5595</v>
      </c>
      <c r="B77" s="651">
        <f t="shared" si="2"/>
        <v>0</v>
      </c>
      <c r="C77" s="652">
        <f t="shared" si="3"/>
        <v>0</v>
      </c>
      <c r="D77" s="653"/>
      <c r="E77" s="654"/>
      <c r="F77" s="655"/>
      <c r="G77" s="655"/>
      <c r="H77" s="655"/>
      <c r="I77" s="655"/>
      <c r="J77" s="655"/>
      <c r="K77" s="655"/>
      <c r="L77" s="655"/>
      <c r="M77" s="655"/>
      <c r="N77" s="655"/>
      <c r="O77" s="655"/>
      <c r="P77" s="655"/>
      <c r="Q77" s="655"/>
      <c r="R77" s="655"/>
      <c r="S77" s="655"/>
      <c r="T77" s="655"/>
      <c r="U77" s="655"/>
      <c r="V77" s="655"/>
      <c r="W77" s="655"/>
      <c r="X77" s="655"/>
      <c r="Y77" s="655"/>
      <c r="Z77" s="655"/>
      <c r="AA77" s="655"/>
      <c r="AB77" s="655"/>
      <c r="AC77" s="655"/>
      <c r="AD77" s="655"/>
      <c r="AE77" s="655"/>
      <c r="AF77" s="655"/>
      <c r="AG77" s="655"/>
      <c r="AH77" s="655"/>
      <c r="AI77" s="655"/>
      <c r="AJ77" s="655"/>
      <c r="AK77" s="655"/>
      <c r="AL77" s="655"/>
      <c r="AM77" s="655"/>
      <c r="AN77" s="655"/>
      <c r="AO77" s="655"/>
      <c r="AP77" s="655"/>
      <c r="AQ77" s="655"/>
      <c r="AR77" s="655"/>
      <c r="AS77" s="655"/>
      <c r="AT77" s="655"/>
      <c r="AU77" s="655"/>
      <c r="AV77" s="655"/>
      <c r="AW77" s="655"/>
      <c r="AX77" s="655"/>
      <c r="AY77" s="655"/>
      <c r="AZ77" s="655"/>
      <c r="BA77" s="655"/>
      <c r="BB77" s="655"/>
      <c r="BC77" s="655"/>
      <c r="BD77" s="655"/>
      <c r="BE77" s="655"/>
      <c r="BF77" s="655"/>
      <c r="BG77" s="655"/>
      <c r="BH77" s="655"/>
      <c r="BI77" s="655"/>
      <c r="BJ77" s="655"/>
      <c r="BK77" s="655"/>
      <c r="BL77" s="655"/>
      <c r="BM77" s="655"/>
      <c r="BN77" s="655"/>
      <c r="BO77" s="655"/>
      <c r="BP77" s="655"/>
      <c r="BQ77" s="655"/>
      <c r="BR77" s="655"/>
      <c r="BS77" s="655"/>
      <c r="BT77" s="655"/>
      <c r="BU77" s="655"/>
      <c r="BV77" s="655"/>
      <c r="BW77" s="655"/>
      <c r="BX77" s="655"/>
      <c r="BY77" s="655"/>
      <c r="BZ77" s="655"/>
      <c r="CA77" s="655"/>
      <c r="CB77" s="655"/>
      <c r="CC77" s="655"/>
      <c r="CD77" s="655"/>
      <c r="CE77" s="655"/>
      <c r="CF77" s="655"/>
      <c r="CG77" s="655"/>
      <c r="CH77" s="655"/>
      <c r="CI77" s="655"/>
      <c r="CJ77" s="655"/>
      <c r="CK77" s="655"/>
      <c r="CL77" s="655"/>
      <c r="CM77" s="655"/>
      <c r="CN77" s="655"/>
      <c r="CO77" s="655"/>
      <c r="CP77" s="655"/>
      <c r="CQ77" s="655"/>
      <c r="CR77" s="655"/>
      <c r="CS77" s="655"/>
      <c r="CT77" s="655"/>
      <c r="CU77" s="655"/>
      <c r="CV77" s="655"/>
      <c r="CW77" s="655"/>
      <c r="CX77" s="655"/>
      <c r="CY77" s="655"/>
      <c r="CZ77" s="655"/>
    </row>
    <row r="78" spans="1:104" ht="16.5">
      <c r="A78" s="650" t="s">
        <v>5599</v>
      </c>
      <c r="B78" s="651">
        <f t="shared" si="2"/>
        <v>0</v>
      </c>
      <c r="C78" s="652">
        <f t="shared" si="3"/>
        <v>0</v>
      </c>
      <c r="D78" s="653"/>
      <c r="E78" s="654"/>
      <c r="F78" s="655"/>
      <c r="G78" s="655"/>
      <c r="H78" s="655"/>
      <c r="I78" s="655"/>
      <c r="J78" s="655"/>
      <c r="K78" s="655"/>
      <c r="L78" s="655"/>
      <c r="M78" s="655"/>
      <c r="N78" s="655"/>
      <c r="O78" s="655"/>
      <c r="P78" s="655"/>
      <c r="Q78" s="655"/>
      <c r="R78" s="655"/>
      <c r="S78" s="655"/>
      <c r="T78" s="655"/>
      <c r="U78" s="655"/>
      <c r="V78" s="655"/>
      <c r="W78" s="655"/>
      <c r="X78" s="655"/>
      <c r="Y78" s="655"/>
      <c r="Z78" s="655"/>
      <c r="AA78" s="655"/>
      <c r="AB78" s="655"/>
      <c r="AC78" s="655"/>
      <c r="AD78" s="655"/>
      <c r="AE78" s="655"/>
      <c r="AF78" s="655"/>
      <c r="AG78" s="655"/>
      <c r="AH78" s="655"/>
      <c r="AI78" s="655"/>
      <c r="AJ78" s="655"/>
      <c r="AK78" s="655"/>
      <c r="AL78" s="655"/>
      <c r="AM78" s="655"/>
      <c r="AN78" s="655"/>
      <c r="AO78" s="655"/>
      <c r="AP78" s="655"/>
      <c r="AQ78" s="655"/>
      <c r="AR78" s="655"/>
      <c r="AS78" s="655"/>
      <c r="AT78" s="655"/>
      <c r="AU78" s="655"/>
      <c r="AV78" s="655"/>
      <c r="AW78" s="655"/>
      <c r="AX78" s="655"/>
      <c r="AY78" s="655"/>
      <c r="AZ78" s="655"/>
      <c r="BA78" s="655"/>
      <c r="BB78" s="655"/>
      <c r="BC78" s="655"/>
      <c r="BD78" s="655"/>
      <c r="BE78" s="655"/>
      <c r="BF78" s="655"/>
      <c r="BG78" s="655"/>
      <c r="BH78" s="655"/>
      <c r="BI78" s="655"/>
      <c r="BJ78" s="655"/>
      <c r="BK78" s="655"/>
      <c r="BL78" s="655"/>
      <c r="BM78" s="655"/>
      <c r="BN78" s="655"/>
      <c r="BO78" s="655"/>
      <c r="BP78" s="655"/>
      <c r="BQ78" s="655"/>
      <c r="BR78" s="655"/>
      <c r="BS78" s="655"/>
      <c r="BT78" s="655"/>
      <c r="BU78" s="655"/>
      <c r="BV78" s="655"/>
      <c r="BW78" s="655"/>
      <c r="BX78" s="655"/>
      <c r="BY78" s="655"/>
      <c r="BZ78" s="655"/>
      <c r="CA78" s="655"/>
      <c r="CB78" s="655"/>
      <c r="CC78" s="655"/>
      <c r="CD78" s="655"/>
      <c r="CE78" s="655"/>
      <c r="CF78" s="655"/>
      <c r="CG78" s="655"/>
      <c r="CH78" s="655"/>
      <c r="CI78" s="655"/>
      <c r="CJ78" s="655"/>
      <c r="CK78" s="655"/>
      <c r="CL78" s="655"/>
      <c r="CM78" s="655"/>
      <c r="CN78" s="655"/>
      <c r="CO78" s="655"/>
      <c r="CP78" s="655"/>
      <c r="CQ78" s="655"/>
      <c r="CR78" s="655"/>
      <c r="CS78" s="655"/>
      <c r="CT78" s="655"/>
      <c r="CU78" s="655"/>
      <c r="CV78" s="655"/>
      <c r="CW78" s="655"/>
      <c r="CX78" s="655"/>
      <c r="CY78" s="655"/>
      <c r="CZ78" s="655"/>
    </row>
    <row r="79" spans="1:104" ht="16.25" customHeight="1">
      <c r="A79" s="650" t="s">
        <v>97</v>
      </c>
      <c r="B79" s="651">
        <f t="shared" si="2"/>
        <v>0</v>
      </c>
      <c r="C79" s="652">
        <f t="shared" si="3"/>
        <v>0</v>
      </c>
      <c r="D79" s="653"/>
      <c r="E79" s="654"/>
      <c r="F79" s="655"/>
      <c r="G79" s="655"/>
      <c r="H79" s="655"/>
      <c r="I79" s="655"/>
      <c r="J79" s="655"/>
      <c r="K79" s="655"/>
      <c r="L79" s="655"/>
      <c r="M79" s="655"/>
      <c r="N79" s="655"/>
      <c r="O79" s="655"/>
      <c r="P79" s="655"/>
      <c r="Q79" s="655"/>
      <c r="R79" s="655"/>
      <c r="S79" s="655"/>
      <c r="T79" s="655"/>
      <c r="U79" s="655"/>
      <c r="V79" s="655"/>
      <c r="W79" s="655"/>
      <c r="X79" s="655"/>
      <c r="Y79" s="655"/>
      <c r="Z79" s="655"/>
      <c r="AA79" s="655"/>
      <c r="AB79" s="655"/>
      <c r="AC79" s="655"/>
      <c r="AD79" s="655"/>
      <c r="AE79" s="655"/>
      <c r="AF79" s="655"/>
      <c r="AG79" s="655"/>
      <c r="AH79" s="655"/>
      <c r="AI79" s="655"/>
      <c r="AJ79" s="655"/>
      <c r="AK79" s="655"/>
      <c r="AL79" s="655"/>
      <c r="AM79" s="655"/>
      <c r="AN79" s="655"/>
      <c r="AO79" s="655"/>
      <c r="AP79" s="655"/>
      <c r="AQ79" s="655"/>
      <c r="AR79" s="655"/>
      <c r="AS79" s="655"/>
      <c r="AT79" s="655"/>
      <c r="AU79" s="655"/>
      <c r="AV79" s="655"/>
      <c r="AW79" s="655"/>
      <c r="AX79" s="655"/>
      <c r="AY79" s="655"/>
      <c r="AZ79" s="655"/>
      <c r="BA79" s="655"/>
      <c r="BB79" s="655"/>
      <c r="BC79" s="655"/>
      <c r="BD79" s="655"/>
      <c r="BE79" s="655"/>
      <c r="BF79" s="655"/>
      <c r="BG79" s="655"/>
      <c r="BH79" s="655"/>
      <c r="BI79" s="655"/>
      <c r="BJ79" s="655"/>
      <c r="BK79" s="655"/>
      <c r="BL79" s="655"/>
      <c r="BM79" s="655"/>
      <c r="BN79" s="655"/>
      <c r="BO79" s="655"/>
      <c r="BP79" s="655"/>
      <c r="BQ79" s="655"/>
      <c r="BR79" s="655"/>
      <c r="BS79" s="655"/>
      <c r="BT79" s="655"/>
      <c r="BU79" s="655"/>
      <c r="BV79" s="655"/>
      <c r="BW79" s="655"/>
      <c r="BX79" s="655"/>
      <c r="BY79" s="655"/>
      <c r="BZ79" s="655"/>
      <c r="CA79" s="655"/>
      <c r="CB79" s="655"/>
      <c r="CC79" s="655"/>
      <c r="CD79" s="655"/>
      <c r="CE79" s="655"/>
      <c r="CF79" s="655"/>
      <c r="CG79" s="655"/>
      <c r="CH79" s="655"/>
      <c r="CI79" s="655"/>
      <c r="CJ79" s="655"/>
      <c r="CK79" s="655"/>
      <c r="CL79" s="655"/>
      <c r="CM79" s="655"/>
      <c r="CN79" s="655"/>
      <c r="CO79" s="655"/>
      <c r="CP79" s="655"/>
      <c r="CQ79" s="655"/>
      <c r="CR79" s="655"/>
      <c r="CS79" s="655"/>
      <c r="CT79" s="655"/>
      <c r="CU79" s="655"/>
      <c r="CV79" s="655"/>
      <c r="CW79" s="655"/>
      <c r="CX79" s="655"/>
      <c r="CY79" s="655"/>
      <c r="CZ79" s="655"/>
    </row>
    <row r="80" spans="1:104" ht="16.25" customHeight="1">
      <c r="A80" s="650" t="s">
        <v>104</v>
      </c>
      <c r="B80" s="651">
        <f t="shared" si="2"/>
        <v>0</v>
      </c>
      <c r="C80" s="652">
        <f t="shared" si="3"/>
        <v>0</v>
      </c>
      <c r="D80" s="653"/>
      <c r="E80" s="654"/>
      <c r="F80" s="655"/>
      <c r="G80" s="655"/>
      <c r="H80" s="655"/>
      <c r="I80" s="655"/>
      <c r="J80" s="655"/>
      <c r="K80" s="655"/>
      <c r="L80" s="655"/>
      <c r="M80" s="655"/>
      <c r="N80" s="655"/>
      <c r="O80" s="655"/>
      <c r="P80" s="655"/>
      <c r="Q80" s="655"/>
      <c r="R80" s="655"/>
      <c r="S80" s="655"/>
      <c r="T80" s="655"/>
      <c r="U80" s="655"/>
      <c r="V80" s="655"/>
      <c r="W80" s="655"/>
      <c r="X80" s="655"/>
      <c r="Y80" s="655"/>
      <c r="Z80" s="655"/>
      <c r="AA80" s="655"/>
      <c r="AB80" s="655"/>
      <c r="AC80" s="655"/>
      <c r="AD80" s="655"/>
      <c r="AE80" s="655"/>
      <c r="AF80" s="655"/>
      <c r="AG80" s="655"/>
      <c r="AH80" s="655"/>
      <c r="AI80" s="655"/>
      <c r="AJ80" s="655"/>
      <c r="AK80" s="655"/>
      <c r="AL80" s="655"/>
      <c r="AM80" s="655"/>
      <c r="AN80" s="655"/>
      <c r="AO80" s="655"/>
      <c r="AP80" s="655"/>
      <c r="AQ80" s="655"/>
      <c r="AR80" s="655"/>
      <c r="AS80" s="655"/>
      <c r="AT80" s="655"/>
      <c r="AU80" s="655"/>
      <c r="AV80" s="655"/>
      <c r="AW80" s="655"/>
      <c r="AX80" s="655"/>
      <c r="AY80" s="655"/>
      <c r="AZ80" s="655"/>
      <c r="BA80" s="655"/>
      <c r="BB80" s="655"/>
      <c r="BC80" s="655"/>
      <c r="BD80" s="655"/>
      <c r="BE80" s="655"/>
      <c r="BF80" s="655"/>
      <c r="BG80" s="655"/>
      <c r="BH80" s="655"/>
      <c r="BI80" s="655"/>
      <c r="BJ80" s="655"/>
      <c r="BK80" s="655"/>
      <c r="BL80" s="655"/>
      <c r="BM80" s="655"/>
      <c r="BN80" s="655"/>
      <c r="BO80" s="655"/>
      <c r="BP80" s="655"/>
      <c r="BQ80" s="655"/>
      <c r="BR80" s="655"/>
      <c r="BS80" s="655"/>
      <c r="BT80" s="655"/>
      <c r="BU80" s="655"/>
      <c r="BV80" s="655"/>
      <c r="BW80" s="655"/>
      <c r="BX80" s="655"/>
      <c r="BY80" s="655"/>
      <c r="BZ80" s="655"/>
      <c r="CA80" s="655"/>
      <c r="CB80" s="655"/>
      <c r="CC80" s="655"/>
      <c r="CD80" s="655"/>
      <c r="CE80" s="655"/>
      <c r="CF80" s="655"/>
      <c r="CG80" s="655"/>
      <c r="CH80" s="655"/>
      <c r="CI80" s="655"/>
      <c r="CJ80" s="655"/>
      <c r="CK80" s="655"/>
      <c r="CL80" s="655"/>
      <c r="CM80" s="655"/>
      <c r="CN80" s="655"/>
      <c r="CO80" s="655"/>
      <c r="CP80" s="655"/>
      <c r="CQ80" s="655"/>
      <c r="CR80" s="655"/>
      <c r="CS80" s="655"/>
      <c r="CT80" s="655"/>
      <c r="CU80" s="655"/>
      <c r="CV80" s="655"/>
      <c r="CW80" s="655"/>
      <c r="CX80" s="655"/>
      <c r="CY80" s="655"/>
      <c r="CZ80" s="655"/>
    </row>
    <row r="81" spans="1:104" ht="16.25" customHeight="1">
      <c r="A81" s="650"/>
      <c r="B81" s="651">
        <f t="shared" si="2"/>
        <v>0</v>
      </c>
      <c r="C81" s="652">
        <f t="shared" si="3"/>
        <v>0</v>
      </c>
      <c r="D81" s="653"/>
      <c r="E81" s="654"/>
      <c r="F81" s="655"/>
      <c r="G81" s="655"/>
      <c r="H81" s="655"/>
      <c r="I81" s="655"/>
      <c r="J81" s="655"/>
      <c r="K81" s="655"/>
      <c r="L81" s="655"/>
      <c r="M81" s="655"/>
      <c r="N81" s="655"/>
      <c r="O81" s="655"/>
      <c r="P81" s="655"/>
      <c r="Q81" s="655"/>
      <c r="R81" s="655"/>
      <c r="S81" s="655"/>
      <c r="T81" s="655"/>
      <c r="U81" s="655"/>
      <c r="V81" s="655"/>
      <c r="W81" s="655"/>
      <c r="X81" s="655"/>
      <c r="Y81" s="655"/>
      <c r="Z81" s="655"/>
      <c r="AA81" s="655"/>
      <c r="AB81" s="655"/>
      <c r="AC81" s="655"/>
      <c r="AD81" s="655"/>
      <c r="AE81" s="655"/>
      <c r="AF81" s="655"/>
      <c r="AG81" s="655"/>
      <c r="AH81" s="655"/>
      <c r="AI81" s="655"/>
      <c r="AJ81" s="655"/>
      <c r="AK81" s="655"/>
      <c r="AL81" s="655"/>
      <c r="AM81" s="655"/>
      <c r="AN81" s="655"/>
      <c r="AO81" s="655"/>
      <c r="AP81" s="655"/>
      <c r="AQ81" s="655"/>
      <c r="AR81" s="655"/>
      <c r="AS81" s="655"/>
      <c r="AT81" s="655"/>
      <c r="AU81" s="655"/>
      <c r="AV81" s="655"/>
      <c r="AW81" s="655"/>
      <c r="AX81" s="655"/>
      <c r="AY81" s="655"/>
      <c r="AZ81" s="655"/>
      <c r="BA81" s="655"/>
      <c r="BB81" s="655"/>
      <c r="BC81" s="655"/>
      <c r="BD81" s="655"/>
      <c r="BE81" s="655"/>
      <c r="BF81" s="655"/>
      <c r="BG81" s="655"/>
      <c r="BH81" s="655"/>
      <c r="BI81" s="655"/>
      <c r="BJ81" s="655"/>
      <c r="BK81" s="655"/>
      <c r="BL81" s="655"/>
      <c r="BM81" s="655"/>
      <c r="BN81" s="655"/>
      <c r="BO81" s="655"/>
      <c r="BP81" s="655"/>
      <c r="BQ81" s="655"/>
      <c r="BR81" s="655"/>
      <c r="BS81" s="655"/>
      <c r="BT81" s="655"/>
      <c r="BU81" s="655"/>
      <c r="BV81" s="655"/>
      <c r="BW81" s="655"/>
      <c r="BX81" s="655"/>
      <c r="BY81" s="655"/>
      <c r="BZ81" s="655"/>
      <c r="CA81" s="655"/>
      <c r="CB81" s="655"/>
      <c r="CC81" s="655"/>
      <c r="CD81" s="655"/>
      <c r="CE81" s="655"/>
      <c r="CF81" s="655"/>
      <c r="CG81" s="655"/>
      <c r="CH81" s="655"/>
      <c r="CI81" s="655"/>
      <c r="CJ81" s="655"/>
      <c r="CK81" s="655"/>
      <c r="CL81" s="655"/>
      <c r="CM81" s="655"/>
      <c r="CN81" s="655"/>
      <c r="CO81" s="655"/>
      <c r="CP81" s="655"/>
      <c r="CQ81" s="655"/>
      <c r="CR81" s="655"/>
      <c r="CS81" s="655"/>
      <c r="CT81" s="655"/>
      <c r="CU81" s="655"/>
      <c r="CV81" s="655"/>
      <c r="CW81" s="655"/>
      <c r="CX81" s="655"/>
      <c r="CY81" s="655"/>
      <c r="CZ81" s="655"/>
    </row>
    <row r="82" spans="1:104" ht="16.25" customHeight="1">
      <c r="A82" s="650"/>
      <c r="B82" s="651">
        <f t="shared" si="2"/>
        <v>0</v>
      </c>
      <c r="C82" s="652">
        <f t="shared" si="3"/>
        <v>0</v>
      </c>
      <c r="D82" s="653"/>
      <c r="E82" s="654"/>
      <c r="F82" s="655"/>
      <c r="G82" s="655"/>
      <c r="H82" s="655"/>
      <c r="I82" s="655"/>
      <c r="J82" s="655"/>
      <c r="K82" s="655"/>
      <c r="L82" s="655"/>
      <c r="M82" s="655"/>
      <c r="N82" s="655"/>
      <c r="O82" s="655"/>
      <c r="P82" s="655"/>
      <c r="Q82" s="655"/>
      <c r="R82" s="655"/>
      <c r="S82" s="655"/>
      <c r="T82" s="655"/>
      <c r="U82" s="655"/>
      <c r="V82" s="655"/>
      <c r="W82" s="655"/>
      <c r="X82" s="655"/>
      <c r="Y82" s="655"/>
      <c r="Z82" s="655"/>
      <c r="AA82" s="655"/>
      <c r="AB82" s="655"/>
      <c r="AC82" s="655"/>
      <c r="AD82" s="655"/>
      <c r="AE82" s="655"/>
      <c r="AF82" s="655"/>
      <c r="AG82" s="655"/>
      <c r="AH82" s="655"/>
      <c r="AI82" s="655"/>
      <c r="AJ82" s="655"/>
      <c r="AK82" s="655"/>
      <c r="AL82" s="655"/>
      <c r="AM82" s="655"/>
      <c r="AN82" s="655"/>
      <c r="AO82" s="655"/>
      <c r="AP82" s="655"/>
      <c r="AQ82" s="655"/>
      <c r="AR82" s="655"/>
      <c r="AS82" s="655"/>
      <c r="AT82" s="655"/>
      <c r="AU82" s="655"/>
      <c r="AV82" s="655"/>
      <c r="AW82" s="655"/>
      <c r="AX82" s="655"/>
      <c r="AY82" s="655"/>
      <c r="AZ82" s="655"/>
      <c r="BA82" s="655"/>
      <c r="BB82" s="655"/>
      <c r="BC82" s="655"/>
      <c r="BD82" s="655"/>
      <c r="BE82" s="655"/>
      <c r="BF82" s="655"/>
      <c r="BG82" s="655"/>
      <c r="BH82" s="655"/>
      <c r="BI82" s="655"/>
      <c r="BJ82" s="655"/>
      <c r="BK82" s="655"/>
      <c r="BL82" s="655"/>
      <c r="BM82" s="655"/>
      <c r="BN82" s="655"/>
      <c r="BO82" s="655"/>
      <c r="BP82" s="655"/>
      <c r="BQ82" s="655"/>
      <c r="BR82" s="655"/>
      <c r="BS82" s="655"/>
      <c r="BT82" s="655"/>
      <c r="BU82" s="655"/>
      <c r="BV82" s="655"/>
      <c r="BW82" s="655"/>
      <c r="BX82" s="655"/>
      <c r="BY82" s="655"/>
      <c r="BZ82" s="655"/>
      <c r="CA82" s="655"/>
      <c r="CB82" s="655"/>
      <c r="CC82" s="655"/>
      <c r="CD82" s="655"/>
      <c r="CE82" s="655"/>
      <c r="CF82" s="655"/>
      <c r="CG82" s="655"/>
      <c r="CH82" s="655"/>
      <c r="CI82" s="655"/>
      <c r="CJ82" s="655"/>
      <c r="CK82" s="655"/>
      <c r="CL82" s="655"/>
      <c r="CM82" s="655"/>
      <c r="CN82" s="655"/>
      <c r="CO82" s="655"/>
      <c r="CP82" s="655"/>
      <c r="CQ82" s="655"/>
      <c r="CR82" s="655"/>
      <c r="CS82" s="655"/>
      <c r="CT82" s="655"/>
      <c r="CU82" s="655"/>
      <c r="CV82" s="655"/>
      <c r="CW82" s="655"/>
      <c r="CX82" s="655"/>
      <c r="CY82" s="655"/>
      <c r="CZ82" s="655"/>
    </row>
    <row r="83" spans="1:104" ht="16.25" customHeight="1">
      <c r="A83" s="650"/>
      <c r="B83" s="651">
        <f t="shared" si="2"/>
        <v>0</v>
      </c>
      <c r="C83" s="652">
        <f t="shared" si="3"/>
        <v>0</v>
      </c>
      <c r="D83" s="653"/>
      <c r="E83" s="654"/>
      <c r="F83" s="655"/>
      <c r="G83" s="655"/>
      <c r="H83" s="655"/>
      <c r="I83" s="655"/>
      <c r="J83" s="655"/>
      <c r="K83" s="655"/>
      <c r="L83" s="655"/>
      <c r="M83" s="655"/>
      <c r="N83" s="655"/>
      <c r="O83" s="655"/>
      <c r="P83" s="655"/>
      <c r="Q83" s="655"/>
      <c r="R83" s="655"/>
      <c r="S83" s="655"/>
      <c r="T83" s="655"/>
      <c r="U83" s="655"/>
      <c r="V83" s="655"/>
      <c r="W83" s="655"/>
      <c r="X83" s="655"/>
      <c r="Y83" s="655"/>
      <c r="Z83" s="655"/>
      <c r="AA83" s="655"/>
      <c r="AB83" s="655"/>
      <c r="AC83" s="655"/>
      <c r="AD83" s="655"/>
      <c r="AE83" s="655"/>
      <c r="AF83" s="655"/>
      <c r="AG83" s="655"/>
      <c r="AH83" s="655"/>
      <c r="AI83" s="655"/>
      <c r="AJ83" s="655"/>
      <c r="AK83" s="655"/>
      <c r="AL83" s="655"/>
      <c r="AM83" s="655"/>
      <c r="AN83" s="655"/>
      <c r="AO83" s="655"/>
      <c r="AP83" s="655"/>
      <c r="AQ83" s="655"/>
      <c r="AR83" s="655"/>
      <c r="AS83" s="655"/>
      <c r="AT83" s="655"/>
      <c r="AU83" s="655"/>
      <c r="AV83" s="655"/>
      <c r="AW83" s="655"/>
      <c r="AX83" s="655"/>
      <c r="AY83" s="655"/>
      <c r="AZ83" s="655"/>
      <c r="BA83" s="655"/>
      <c r="BB83" s="655"/>
      <c r="BC83" s="655"/>
      <c r="BD83" s="655"/>
      <c r="BE83" s="655"/>
      <c r="BF83" s="655"/>
      <c r="BG83" s="655"/>
      <c r="BH83" s="655"/>
      <c r="BI83" s="655"/>
      <c r="BJ83" s="655"/>
      <c r="BK83" s="655"/>
      <c r="BL83" s="655"/>
      <c r="BM83" s="655"/>
      <c r="BN83" s="655"/>
      <c r="BO83" s="655"/>
      <c r="BP83" s="655"/>
      <c r="BQ83" s="655"/>
      <c r="BR83" s="655"/>
      <c r="BS83" s="655"/>
      <c r="BT83" s="655"/>
      <c r="BU83" s="655"/>
      <c r="BV83" s="655"/>
      <c r="BW83" s="655"/>
      <c r="BX83" s="655"/>
      <c r="BY83" s="655"/>
      <c r="BZ83" s="655"/>
      <c r="CA83" s="655"/>
      <c r="CB83" s="655"/>
      <c r="CC83" s="655"/>
      <c r="CD83" s="655"/>
      <c r="CE83" s="655"/>
      <c r="CF83" s="655"/>
      <c r="CG83" s="655"/>
      <c r="CH83" s="655"/>
      <c r="CI83" s="655"/>
      <c r="CJ83" s="655"/>
      <c r="CK83" s="655"/>
      <c r="CL83" s="655"/>
      <c r="CM83" s="655"/>
      <c r="CN83" s="655"/>
      <c r="CO83" s="655"/>
      <c r="CP83" s="655"/>
      <c r="CQ83" s="655"/>
      <c r="CR83" s="655"/>
      <c r="CS83" s="655"/>
      <c r="CT83" s="655"/>
      <c r="CU83" s="655"/>
      <c r="CV83" s="655"/>
      <c r="CW83" s="655"/>
      <c r="CX83" s="655"/>
      <c r="CY83" s="655"/>
      <c r="CZ83" s="655"/>
    </row>
    <row r="84" spans="1:104" ht="16.25" customHeight="1">
      <c r="A84" s="650"/>
      <c r="B84" s="651">
        <f t="shared" si="2"/>
        <v>0</v>
      </c>
      <c r="C84" s="652">
        <f t="shared" si="3"/>
        <v>0</v>
      </c>
      <c r="D84" s="653"/>
      <c r="E84" s="654"/>
      <c r="F84" s="655"/>
      <c r="G84" s="655"/>
      <c r="H84" s="655"/>
      <c r="I84" s="655"/>
      <c r="J84" s="655"/>
      <c r="K84" s="655"/>
      <c r="L84" s="655"/>
      <c r="M84" s="655"/>
      <c r="N84" s="655"/>
      <c r="O84" s="655"/>
      <c r="P84" s="655"/>
      <c r="Q84" s="655"/>
      <c r="R84" s="655"/>
      <c r="S84" s="655"/>
      <c r="T84" s="655"/>
      <c r="U84" s="655"/>
      <c r="V84" s="655"/>
      <c r="W84" s="655"/>
      <c r="X84" s="655"/>
      <c r="Y84" s="655"/>
      <c r="Z84" s="655"/>
      <c r="AA84" s="655"/>
      <c r="AB84" s="655"/>
      <c r="AC84" s="655"/>
      <c r="AD84" s="655"/>
      <c r="AE84" s="655"/>
      <c r="AF84" s="655"/>
      <c r="AG84" s="655"/>
      <c r="AH84" s="655"/>
      <c r="AI84" s="655"/>
      <c r="AJ84" s="655"/>
      <c r="AK84" s="655"/>
      <c r="AL84" s="655"/>
      <c r="AM84" s="655"/>
      <c r="AN84" s="655"/>
      <c r="AO84" s="655"/>
      <c r="AP84" s="655"/>
      <c r="AQ84" s="655"/>
      <c r="AR84" s="655"/>
      <c r="AS84" s="655"/>
      <c r="AT84" s="655"/>
      <c r="AU84" s="655"/>
      <c r="AV84" s="655"/>
      <c r="AW84" s="655"/>
      <c r="AX84" s="655"/>
      <c r="AY84" s="655"/>
      <c r="AZ84" s="655"/>
      <c r="BA84" s="655"/>
      <c r="BB84" s="655"/>
      <c r="BC84" s="655"/>
      <c r="BD84" s="655"/>
      <c r="BE84" s="655"/>
      <c r="BF84" s="655"/>
      <c r="BG84" s="655"/>
      <c r="BH84" s="655"/>
      <c r="BI84" s="655"/>
      <c r="BJ84" s="655"/>
      <c r="BK84" s="655"/>
      <c r="BL84" s="655"/>
      <c r="BM84" s="655"/>
      <c r="BN84" s="655"/>
      <c r="BO84" s="655"/>
      <c r="BP84" s="655"/>
      <c r="BQ84" s="655"/>
      <c r="BR84" s="655"/>
      <c r="BS84" s="655"/>
      <c r="BT84" s="655"/>
      <c r="BU84" s="655"/>
      <c r="BV84" s="655"/>
      <c r="BW84" s="655"/>
      <c r="BX84" s="655"/>
      <c r="BY84" s="655"/>
      <c r="BZ84" s="655"/>
      <c r="CA84" s="655"/>
      <c r="CB84" s="655"/>
      <c r="CC84" s="655"/>
      <c r="CD84" s="655"/>
      <c r="CE84" s="655"/>
      <c r="CF84" s="655"/>
      <c r="CG84" s="655"/>
      <c r="CH84" s="655"/>
      <c r="CI84" s="655"/>
      <c r="CJ84" s="655"/>
      <c r="CK84" s="655"/>
      <c r="CL84" s="655"/>
      <c r="CM84" s="655"/>
      <c r="CN84" s="655"/>
      <c r="CO84" s="655"/>
      <c r="CP84" s="655"/>
      <c r="CQ84" s="655"/>
      <c r="CR84" s="655"/>
      <c r="CS84" s="655"/>
      <c r="CT84" s="655"/>
      <c r="CU84" s="655"/>
      <c r="CV84" s="655"/>
      <c r="CW84" s="655"/>
      <c r="CX84" s="655"/>
      <c r="CY84" s="655"/>
      <c r="CZ84" s="655"/>
    </row>
    <row r="85" spans="1:104" ht="16.25" customHeight="1">
      <c r="A85" s="650"/>
      <c r="B85" s="651">
        <f t="shared" si="2"/>
        <v>0</v>
      </c>
      <c r="C85" s="652">
        <f t="shared" si="3"/>
        <v>0</v>
      </c>
      <c r="D85" s="653"/>
      <c r="E85" s="654"/>
      <c r="F85" s="655"/>
      <c r="G85" s="655"/>
      <c r="H85" s="655"/>
      <c r="I85" s="655"/>
      <c r="J85" s="655"/>
      <c r="K85" s="655"/>
      <c r="L85" s="655"/>
      <c r="M85" s="655"/>
      <c r="N85" s="655"/>
      <c r="O85" s="655"/>
      <c r="P85" s="655"/>
      <c r="Q85" s="655"/>
      <c r="R85" s="655"/>
      <c r="S85" s="655"/>
      <c r="T85" s="655"/>
      <c r="U85" s="655"/>
      <c r="V85" s="655"/>
      <c r="W85" s="655"/>
      <c r="X85" s="655"/>
      <c r="Y85" s="655"/>
      <c r="Z85" s="655"/>
      <c r="AA85" s="655"/>
      <c r="AB85" s="655"/>
      <c r="AC85" s="655"/>
      <c r="AD85" s="655"/>
      <c r="AE85" s="655"/>
      <c r="AF85" s="655"/>
      <c r="AG85" s="655"/>
      <c r="AH85" s="655"/>
      <c r="AI85" s="655"/>
      <c r="AJ85" s="655"/>
      <c r="AK85" s="655"/>
      <c r="AL85" s="655"/>
      <c r="AM85" s="655"/>
      <c r="AN85" s="655"/>
      <c r="AO85" s="655"/>
      <c r="AP85" s="655"/>
      <c r="AQ85" s="655"/>
      <c r="AR85" s="655"/>
      <c r="AS85" s="655"/>
      <c r="AT85" s="655"/>
      <c r="AU85" s="655"/>
      <c r="AV85" s="655"/>
      <c r="AW85" s="655"/>
      <c r="AX85" s="655"/>
      <c r="AY85" s="655"/>
      <c r="AZ85" s="655"/>
      <c r="BA85" s="655"/>
      <c r="BB85" s="655"/>
      <c r="BC85" s="655"/>
      <c r="BD85" s="655"/>
      <c r="BE85" s="655"/>
      <c r="BF85" s="655"/>
      <c r="BG85" s="655"/>
      <c r="BH85" s="655"/>
      <c r="BI85" s="655"/>
      <c r="BJ85" s="655"/>
      <c r="BK85" s="655"/>
      <c r="BL85" s="655"/>
      <c r="BM85" s="655"/>
      <c r="BN85" s="655"/>
      <c r="BO85" s="655"/>
      <c r="BP85" s="655"/>
      <c r="BQ85" s="655"/>
      <c r="BR85" s="655"/>
      <c r="BS85" s="655"/>
      <c r="BT85" s="655"/>
      <c r="BU85" s="655"/>
      <c r="BV85" s="655"/>
      <c r="BW85" s="655"/>
      <c r="BX85" s="655"/>
      <c r="BY85" s="655"/>
      <c r="BZ85" s="655"/>
      <c r="CA85" s="655"/>
      <c r="CB85" s="655"/>
      <c r="CC85" s="655"/>
      <c r="CD85" s="655"/>
      <c r="CE85" s="655"/>
      <c r="CF85" s="655"/>
      <c r="CG85" s="655"/>
      <c r="CH85" s="655"/>
      <c r="CI85" s="655"/>
      <c r="CJ85" s="655"/>
      <c r="CK85" s="655"/>
      <c r="CL85" s="655"/>
      <c r="CM85" s="655"/>
      <c r="CN85" s="655"/>
      <c r="CO85" s="655"/>
      <c r="CP85" s="655"/>
      <c r="CQ85" s="655"/>
      <c r="CR85" s="655"/>
      <c r="CS85" s="655"/>
      <c r="CT85" s="655"/>
      <c r="CU85" s="655"/>
      <c r="CV85" s="655"/>
      <c r="CW85" s="655"/>
      <c r="CX85" s="655"/>
      <c r="CY85" s="655"/>
      <c r="CZ85" s="655"/>
    </row>
    <row r="86" spans="1:104" ht="16.25" customHeight="1">
      <c r="A86" s="650"/>
      <c r="B86" s="651">
        <f t="shared" si="2"/>
        <v>0</v>
      </c>
      <c r="C86" s="652">
        <f t="shared" si="3"/>
        <v>0</v>
      </c>
      <c r="D86" s="653"/>
      <c r="E86" s="654"/>
      <c r="F86" s="655"/>
      <c r="G86" s="655"/>
      <c r="H86" s="655"/>
      <c r="I86" s="655"/>
      <c r="J86" s="655"/>
      <c r="K86" s="655"/>
      <c r="L86" s="655"/>
      <c r="M86" s="655"/>
      <c r="N86" s="655"/>
      <c r="O86" s="655"/>
      <c r="P86" s="655"/>
      <c r="Q86" s="655"/>
      <c r="R86" s="655"/>
      <c r="S86" s="655"/>
      <c r="T86" s="655"/>
      <c r="U86" s="655"/>
      <c r="V86" s="655"/>
      <c r="W86" s="655"/>
      <c r="X86" s="655"/>
      <c r="Y86" s="655"/>
      <c r="Z86" s="655"/>
      <c r="AA86" s="655"/>
      <c r="AB86" s="655"/>
      <c r="AC86" s="655"/>
      <c r="AD86" s="655"/>
      <c r="AE86" s="655"/>
      <c r="AF86" s="655"/>
      <c r="AG86" s="655"/>
      <c r="AH86" s="655"/>
      <c r="AI86" s="655"/>
      <c r="AJ86" s="655"/>
      <c r="AK86" s="655"/>
      <c r="AL86" s="655"/>
      <c r="AM86" s="655"/>
      <c r="AN86" s="655"/>
      <c r="AO86" s="655"/>
      <c r="AP86" s="655"/>
      <c r="AQ86" s="655"/>
      <c r="AR86" s="655"/>
      <c r="AS86" s="655"/>
      <c r="AT86" s="655"/>
      <c r="AU86" s="655"/>
      <c r="AV86" s="655"/>
      <c r="AW86" s="655"/>
      <c r="AX86" s="655"/>
      <c r="AY86" s="655"/>
      <c r="AZ86" s="655"/>
      <c r="BA86" s="655"/>
      <c r="BB86" s="655"/>
      <c r="BC86" s="655"/>
      <c r="BD86" s="655"/>
      <c r="BE86" s="655"/>
      <c r="BF86" s="655"/>
      <c r="BG86" s="655"/>
      <c r="BH86" s="655"/>
      <c r="BI86" s="655"/>
      <c r="BJ86" s="655"/>
      <c r="BK86" s="655"/>
      <c r="BL86" s="655"/>
      <c r="BM86" s="655"/>
      <c r="BN86" s="655"/>
      <c r="BO86" s="655"/>
      <c r="BP86" s="655"/>
      <c r="BQ86" s="655"/>
      <c r="BR86" s="655"/>
      <c r="BS86" s="655"/>
      <c r="BT86" s="655"/>
      <c r="BU86" s="655"/>
      <c r="BV86" s="655"/>
      <c r="BW86" s="655"/>
      <c r="BX86" s="655"/>
      <c r="BY86" s="655"/>
      <c r="BZ86" s="655"/>
      <c r="CA86" s="655"/>
      <c r="CB86" s="655"/>
      <c r="CC86" s="655"/>
      <c r="CD86" s="655"/>
      <c r="CE86" s="655"/>
      <c r="CF86" s="655"/>
      <c r="CG86" s="655"/>
      <c r="CH86" s="655"/>
      <c r="CI86" s="655"/>
      <c r="CJ86" s="655"/>
      <c r="CK86" s="655"/>
      <c r="CL86" s="655"/>
      <c r="CM86" s="655"/>
      <c r="CN86" s="655"/>
      <c r="CO86" s="655"/>
      <c r="CP86" s="655"/>
      <c r="CQ86" s="655"/>
      <c r="CR86" s="655"/>
      <c r="CS86" s="655"/>
      <c r="CT86" s="655"/>
      <c r="CU86" s="655"/>
      <c r="CV86" s="655"/>
      <c r="CW86" s="655"/>
      <c r="CX86" s="655"/>
      <c r="CY86" s="655"/>
      <c r="CZ86" s="655"/>
    </row>
    <row r="87" spans="1:104" ht="16.25" customHeight="1">
      <c r="A87" s="650"/>
      <c r="B87" s="651">
        <f t="shared" si="2"/>
        <v>0</v>
      </c>
      <c r="C87" s="652">
        <f t="shared" si="3"/>
        <v>0</v>
      </c>
      <c r="D87" s="653"/>
      <c r="E87" s="654"/>
      <c r="F87" s="655"/>
      <c r="G87" s="655"/>
      <c r="H87" s="655"/>
      <c r="I87" s="655"/>
      <c r="J87" s="655"/>
      <c r="K87" s="655"/>
      <c r="L87" s="655"/>
      <c r="M87" s="655"/>
      <c r="N87" s="655"/>
      <c r="O87" s="655"/>
      <c r="P87" s="655"/>
      <c r="Q87" s="655"/>
      <c r="R87" s="655"/>
      <c r="S87" s="655"/>
      <c r="T87" s="655"/>
      <c r="U87" s="655"/>
      <c r="V87" s="655"/>
      <c r="W87" s="655"/>
      <c r="X87" s="655"/>
      <c r="Y87" s="655"/>
      <c r="Z87" s="655"/>
      <c r="AA87" s="655"/>
      <c r="AB87" s="655"/>
      <c r="AC87" s="655"/>
      <c r="AD87" s="655"/>
      <c r="AE87" s="655"/>
      <c r="AF87" s="655"/>
      <c r="AG87" s="655"/>
      <c r="AH87" s="655"/>
      <c r="AI87" s="655"/>
      <c r="AJ87" s="655"/>
      <c r="AK87" s="655"/>
      <c r="AL87" s="655"/>
      <c r="AM87" s="655"/>
      <c r="AN87" s="655"/>
      <c r="AO87" s="655"/>
      <c r="AP87" s="655"/>
      <c r="AQ87" s="655"/>
      <c r="AR87" s="655"/>
      <c r="AS87" s="655"/>
      <c r="AT87" s="655"/>
      <c r="AU87" s="655"/>
      <c r="AV87" s="655"/>
      <c r="AW87" s="655"/>
      <c r="AX87" s="655"/>
      <c r="AY87" s="655"/>
      <c r="AZ87" s="655"/>
      <c r="BA87" s="655"/>
      <c r="BB87" s="655"/>
      <c r="BC87" s="655"/>
      <c r="BD87" s="655"/>
      <c r="BE87" s="655"/>
      <c r="BF87" s="655"/>
      <c r="BG87" s="655"/>
      <c r="BH87" s="655"/>
      <c r="BI87" s="655"/>
      <c r="BJ87" s="655"/>
      <c r="BK87" s="655"/>
      <c r="BL87" s="655"/>
      <c r="BM87" s="655"/>
      <c r="BN87" s="655"/>
      <c r="BO87" s="655"/>
      <c r="BP87" s="655"/>
      <c r="BQ87" s="655"/>
      <c r="BR87" s="655"/>
      <c r="BS87" s="655"/>
      <c r="BT87" s="655"/>
      <c r="BU87" s="655"/>
      <c r="BV87" s="655"/>
      <c r="BW87" s="655"/>
      <c r="BX87" s="655"/>
      <c r="BY87" s="655"/>
      <c r="BZ87" s="655"/>
      <c r="CA87" s="655"/>
      <c r="CB87" s="655"/>
      <c r="CC87" s="655"/>
      <c r="CD87" s="655"/>
      <c r="CE87" s="655"/>
      <c r="CF87" s="655"/>
      <c r="CG87" s="655"/>
      <c r="CH87" s="655"/>
      <c r="CI87" s="655"/>
      <c r="CJ87" s="655"/>
      <c r="CK87" s="655"/>
      <c r="CL87" s="655"/>
      <c r="CM87" s="655"/>
      <c r="CN87" s="655"/>
      <c r="CO87" s="655"/>
      <c r="CP87" s="655"/>
      <c r="CQ87" s="655"/>
      <c r="CR87" s="655"/>
      <c r="CS87" s="655"/>
      <c r="CT87" s="655"/>
      <c r="CU87" s="655"/>
      <c r="CV87" s="655"/>
      <c r="CW87" s="655"/>
      <c r="CX87" s="655"/>
      <c r="CY87" s="655"/>
      <c r="CZ87" s="655"/>
    </row>
    <row r="88" spans="1:104" ht="16.25" customHeight="1">
      <c r="A88" s="650"/>
      <c r="B88" s="651">
        <f t="shared" si="2"/>
        <v>0</v>
      </c>
      <c r="C88" s="652">
        <f t="shared" si="3"/>
        <v>0</v>
      </c>
      <c r="D88" s="653"/>
      <c r="E88" s="654"/>
      <c r="F88" s="655"/>
      <c r="G88" s="655"/>
      <c r="H88" s="655"/>
      <c r="I88" s="655"/>
      <c r="J88" s="655"/>
      <c r="K88" s="655"/>
      <c r="L88" s="655"/>
      <c r="M88" s="655"/>
      <c r="N88" s="655"/>
      <c r="O88" s="655"/>
      <c r="P88" s="655"/>
      <c r="Q88" s="655"/>
      <c r="R88" s="655"/>
      <c r="S88" s="655"/>
      <c r="T88" s="655"/>
      <c r="U88" s="655"/>
      <c r="V88" s="655"/>
      <c r="W88" s="655"/>
      <c r="X88" s="655"/>
      <c r="Y88" s="655"/>
      <c r="Z88" s="655"/>
      <c r="AA88" s="655"/>
      <c r="AB88" s="655"/>
      <c r="AC88" s="655"/>
      <c r="AD88" s="655"/>
      <c r="AE88" s="655"/>
      <c r="AF88" s="655"/>
      <c r="AG88" s="655"/>
      <c r="AH88" s="655"/>
      <c r="AI88" s="655"/>
      <c r="AJ88" s="655"/>
      <c r="AK88" s="655"/>
      <c r="AL88" s="655"/>
      <c r="AM88" s="655"/>
      <c r="AN88" s="655"/>
      <c r="AO88" s="655"/>
      <c r="AP88" s="655"/>
      <c r="AQ88" s="655"/>
      <c r="AR88" s="655"/>
      <c r="AS88" s="655"/>
      <c r="AT88" s="655"/>
      <c r="AU88" s="655"/>
      <c r="AV88" s="655"/>
      <c r="AW88" s="655"/>
      <c r="AX88" s="655"/>
      <c r="AY88" s="655"/>
      <c r="AZ88" s="655"/>
      <c r="BA88" s="655"/>
      <c r="BB88" s="655"/>
      <c r="BC88" s="655"/>
      <c r="BD88" s="655"/>
      <c r="BE88" s="655"/>
      <c r="BF88" s="655"/>
      <c r="BG88" s="655"/>
      <c r="BH88" s="655"/>
      <c r="BI88" s="655"/>
      <c r="BJ88" s="655"/>
      <c r="BK88" s="655"/>
      <c r="BL88" s="655"/>
      <c r="BM88" s="655"/>
      <c r="BN88" s="655"/>
      <c r="BO88" s="655"/>
      <c r="BP88" s="655"/>
      <c r="BQ88" s="655"/>
      <c r="BR88" s="655"/>
      <c r="BS88" s="655"/>
      <c r="BT88" s="655"/>
      <c r="BU88" s="655"/>
      <c r="BV88" s="655"/>
      <c r="BW88" s="655"/>
      <c r="BX88" s="655"/>
      <c r="BY88" s="655"/>
      <c r="BZ88" s="655"/>
      <c r="CA88" s="655"/>
      <c r="CB88" s="655"/>
      <c r="CC88" s="655"/>
      <c r="CD88" s="655"/>
      <c r="CE88" s="655"/>
      <c r="CF88" s="655"/>
      <c r="CG88" s="655"/>
      <c r="CH88" s="655"/>
      <c r="CI88" s="655"/>
      <c r="CJ88" s="655"/>
      <c r="CK88" s="655"/>
      <c r="CL88" s="655"/>
      <c r="CM88" s="655"/>
      <c r="CN88" s="655"/>
      <c r="CO88" s="655"/>
      <c r="CP88" s="655"/>
      <c r="CQ88" s="655"/>
      <c r="CR88" s="655"/>
      <c r="CS88" s="655"/>
      <c r="CT88" s="655"/>
      <c r="CU88" s="655"/>
      <c r="CV88" s="655"/>
      <c r="CW88" s="655"/>
      <c r="CX88" s="655"/>
      <c r="CY88" s="655"/>
      <c r="CZ88" s="655"/>
    </row>
    <row r="89" spans="1:104" ht="16.25" customHeight="1">
      <c r="A89" s="650"/>
      <c r="B89" s="651">
        <f t="shared" si="2"/>
        <v>0</v>
      </c>
      <c r="C89" s="652">
        <f t="shared" si="3"/>
        <v>0</v>
      </c>
      <c r="D89" s="653"/>
      <c r="E89" s="654"/>
      <c r="F89" s="655"/>
      <c r="G89" s="655"/>
      <c r="H89" s="655"/>
      <c r="I89" s="655"/>
      <c r="J89" s="655"/>
      <c r="K89" s="655"/>
      <c r="L89" s="655"/>
      <c r="M89" s="655"/>
      <c r="N89" s="655"/>
      <c r="O89" s="655"/>
      <c r="P89" s="655"/>
      <c r="Q89" s="655"/>
      <c r="R89" s="655"/>
      <c r="S89" s="655"/>
      <c r="T89" s="655"/>
      <c r="U89" s="655"/>
      <c r="V89" s="655"/>
      <c r="W89" s="655"/>
      <c r="X89" s="655"/>
      <c r="Y89" s="655"/>
      <c r="Z89" s="655"/>
      <c r="AA89" s="655"/>
      <c r="AB89" s="655"/>
      <c r="AC89" s="655"/>
      <c r="AD89" s="655"/>
      <c r="AE89" s="655"/>
      <c r="AF89" s="655"/>
      <c r="AG89" s="655"/>
      <c r="AH89" s="655"/>
      <c r="AI89" s="655"/>
      <c r="AJ89" s="655"/>
      <c r="AK89" s="655"/>
      <c r="AL89" s="655"/>
      <c r="AM89" s="655"/>
      <c r="AN89" s="655"/>
      <c r="AO89" s="655"/>
      <c r="AP89" s="655"/>
      <c r="AQ89" s="655"/>
      <c r="AR89" s="655"/>
      <c r="AS89" s="655"/>
      <c r="AT89" s="655"/>
      <c r="AU89" s="655"/>
      <c r="AV89" s="655"/>
      <c r="AW89" s="655"/>
      <c r="AX89" s="655"/>
      <c r="AY89" s="655"/>
      <c r="AZ89" s="655"/>
      <c r="BA89" s="655"/>
      <c r="BB89" s="655"/>
      <c r="BC89" s="655"/>
      <c r="BD89" s="655"/>
      <c r="BE89" s="655"/>
      <c r="BF89" s="655"/>
      <c r="BG89" s="655"/>
      <c r="BH89" s="655"/>
      <c r="BI89" s="655"/>
      <c r="BJ89" s="655"/>
      <c r="BK89" s="655"/>
      <c r="BL89" s="655"/>
      <c r="BM89" s="655"/>
      <c r="BN89" s="655"/>
      <c r="BO89" s="655"/>
      <c r="BP89" s="655"/>
      <c r="BQ89" s="655"/>
      <c r="BR89" s="655"/>
      <c r="BS89" s="655"/>
      <c r="BT89" s="655"/>
      <c r="BU89" s="655"/>
      <c r="BV89" s="655"/>
      <c r="BW89" s="655"/>
      <c r="BX89" s="655"/>
      <c r="BY89" s="655"/>
      <c r="BZ89" s="655"/>
      <c r="CA89" s="655"/>
      <c r="CB89" s="655"/>
      <c r="CC89" s="655"/>
      <c r="CD89" s="655"/>
      <c r="CE89" s="655"/>
      <c r="CF89" s="655"/>
      <c r="CG89" s="655"/>
      <c r="CH89" s="655"/>
      <c r="CI89" s="655"/>
      <c r="CJ89" s="655"/>
      <c r="CK89" s="655"/>
      <c r="CL89" s="655"/>
      <c r="CM89" s="655"/>
      <c r="CN89" s="655"/>
      <c r="CO89" s="655"/>
      <c r="CP89" s="655"/>
      <c r="CQ89" s="655"/>
      <c r="CR89" s="655"/>
      <c r="CS89" s="655"/>
      <c r="CT89" s="655"/>
      <c r="CU89" s="655"/>
      <c r="CV89" s="655"/>
      <c r="CW89" s="655"/>
      <c r="CX89" s="655"/>
      <c r="CY89" s="655"/>
      <c r="CZ89" s="655"/>
    </row>
    <row r="90" spans="1:104" ht="16.25" customHeight="1">
      <c r="A90" s="650"/>
      <c r="B90" s="651">
        <f t="shared" si="2"/>
        <v>0</v>
      </c>
      <c r="C90" s="652">
        <f t="shared" si="3"/>
        <v>0</v>
      </c>
      <c r="D90" s="653"/>
      <c r="E90" s="654"/>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655"/>
      <c r="AQ90" s="655"/>
      <c r="AR90" s="655"/>
      <c r="AS90" s="655"/>
      <c r="AT90" s="655"/>
      <c r="AU90" s="655"/>
      <c r="AV90" s="655"/>
      <c r="AW90" s="655"/>
      <c r="AX90" s="655"/>
      <c r="AY90" s="655"/>
      <c r="AZ90" s="655"/>
      <c r="BA90" s="655"/>
      <c r="BB90" s="655"/>
      <c r="BC90" s="655"/>
      <c r="BD90" s="655"/>
      <c r="BE90" s="655"/>
      <c r="BF90" s="655"/>
      <c r="BG90" s="655"/>
      <c r="BH90" s="655"/>
      <c r="BI90" s="655"/>
      <c r="BJ90" s="655"/>
      <c r="BK90" s="655"/>
      <c r="BL90" s="655"/>
      <c r="BM90" s="655"/>
      <c r="BN90" s="655"/>
      <c r="BO90" s="655"/>
      <c r="BP90" s="655"/>
      <c r="BQ90" s="655"/>
      <c r="BR90" s="655"/>
      <c r="BS90" s="655"/>
      <c r="BT90" s="655"/>
      <c r="BU90" s="655"/>
      <c r="BV90" s="655"/>
      <c r="BW90" s="655"/>
      <c r="BX90" s="655"/>
      <c r="BY90" s="655"/>
      <c r="BZ90" s="655"/>
      <c r="CA90" s="655"/>
      <c r="CB90" s="655"/>
      <c r="CC90" s="655"/>
      <c r="CD90" s="655"/>
      <c r="CE90" s="655"/>
      <c r="CF90" s="655"/>
      <c r="CG90" s="655"/>
      <c r="CH90" s="655"/>
      <c r="CI90" s="655"/>
      <c r="CJ90" s="655"/>
      <c r="CK90" s="655"/>
      <c r="CL90" s="655"/>
      <c r="CM90" s="655"/>
      <c r="CN90" s="655"/>
      <c r="CO90" s="655"/>
      <c r="CP90" s="655"/>
      <c r="CQ90" s="655"/>
      <c r="CR90" s="655"/>
      <c r="CS90" s="655"/>
      <c r="CT90" s="655"/>
      <c r="CU90" s="655"/>
      <c r="CV90" s="655"/>
      <c r="CW90" s="655"/>
      <c r="CX90" s="655"/>
      <c r="CY90" s="655"/>
      <c r="CZ90" s="655"/>
    </row>
    <row r="91" spans="1:104" ht="16.25" customHeight="1">
      <c r="A91" s="650"/>
      <c r="B91" s="651">
        <f t="shared" si="2"/>
        <v>0</v>
      </c>
      <c r="C91" s="652">
        <f t="shared" si="3"/>
        <v>0</v>
      </c>
      <c r="D91" s="653"/>
      <c r="E91" s="654"/>
      <c r="F91" s="655"/>
      <c r="G91" s="655"/>
      <c r="H91" s="655"/>
      <c r="I91" s="655"/>
      <c r="J91" s="655"/>
      <c r="K91" s="655"/>
      <c r="L91" s="655"/>
      <c r="M91" s="655"/>
      <c r="N91" s="655"/>
      <c r="O91" s="655"/>
      <c r="P91" s="655"/>
      <c r="Q91" s="655"/>
      <c r="R91" s="655"/>
      <c r="S91" s="655"/>
      <c r="T91" s="655"/>
      <c r="U91" s="655"/>
      <c r="V91" s="655"/>
      <c r="W91" s="655"/>
      <c r="X91" s="655"/>
      <c r="Y91" s="655"/>
      <c r="Z91" s="655"/>
      <c r="AA91" s="655"/>
      <c r="AB91" s="655"/>
      <c r="AC91" s="655"/>
      <c r="AD91" s="655"/>
      <c r="AE91" s="655"/>
      <c r="AF91" s="655"/>
      <c r="AG91" s="655"/>
      <c r="AH91" s="655"/>
      <c r="AI91" s="655"/>
      <c r="AJ91" s="655"/>
      <c r="AK91" s="655"/>
      <c r="AL91" s="655"/>
      <c r="AM91" s="655"/>
      <c r="AN91" s="655"/>
      <c r="AO91" s="655"/>
      <c r="AP91" s="655"/>
      <c r="AQ91" s="655"/>
      <c r="AR91" s="655"/>
      <c r="AS91" s="655"/>
      <c r="AT91" s="655"/>
      <c r="AU91" s="655"/>
      <c r="AV91" s="655"/>
      <c r="AW91" s="655"/>
      <c r="AX91" s="655"/>
      <c r="AY91" s="655"/>
      <c r="AZ91" s="655"/>
      <c r="BA91" s="655"/>
      <c r="BB91" s="655"/>
      <c r="BC91" s="655"/>
      <c r="BD91" s="655"/>
      <c r="BE91" s="655"/>
      <c r="BF91" s="655"/>
      <c r="BG91" s="655"/>
      <c r="BH91" s="655"/>
      <c r="BI91" s="655"/>
      <c r="BJ91" s="655"/>
      <c r="BK91" s="655"/>
      <c r="BL91" s="655"/>
      <c r="BM91" s="655"/>
      <c r="BN91" s="655"/>
      <c r="BO91" s="655"/>
      <c r="BP91" s="655"/>
      <c r="BQ91" s="655"/>
      <c r="BR91" s="655"/>
      <c r="BS91" s="655"/>
      <c r="BT91" s="655"/>
      <c r="BU91" s="655"/>
      <c r="BV91" s="655"/>
      <c r="BW91" s="655"/>
      <c r="BX91" s="655"/>
      <c r="BY91" s="655"/>
      <c r="BZ91" s="655"/>
      <c r="CA91" s="655"/>
      <c r="CB91" s="655"/>
      <c r="CC91" s="655"/>
      <c r="CD91" s="655"/>
      <c r="CE91" s="655"/>
      <c r="CF91" s="655"/>
      <c r="CG91" s="655"/>
      <c r="CH91" s="655"/>
      <c r="CI91" s="655"/>
      <c r="CJ91" s="655"/>
      <c r="CK91" s="655"/>
      <c r="CL91" s="655"/>
      <c r="CM91" s="655"/>
      <c r="CN91" s="655"/>
      <c r="CO91" s="655"/>
      <c r="CP91" s="655"/>
      <c r="CQ91" s="655"/>
      <c r="CR91" s="655"/>
      <c r="CS91" s="655"/>
      <c r="CT91" s="655"/>
      <c r="CU91" s="655"/>
      <c r="CV91" s="655"/>
      <c r="CW91" s="655"/>
      <c r="CX91" s="655"/>
      <c r="CY91" s="655"/>
      <c r="CZ91" s="655"/>
    </row>
    <row r="92" spans="1:104" ht="16.25" customHeight="1">
      <c r="A92" s="650"/>
      <c r="B92" s="651">
        <f t="shared" si="2"/>
        <v>0</v>
      </c>
      <c r="C92" s="652">
        <f t="shared" si="3"/>
        <v>0</v>
      </c>
      <c r="D92" s="653"/>
      <c r="E92" s="654"/>
      <c r="F92" s="655"/>
      <c r="G92" s="655"/>
      <c r="H92" s="655"/>
      <c r="I92" s="655"/>
      <c r="J92" s="655"/>
      <c r="K92" s="655"/>
      <c r="L92" s="655"/>
      <c r="M92" s="655"/>
      <c r="N92" s="655"/>
      <c r="O92" s="655"/>
      <c r="P92" s="655"/>
      <c r="Q92" s="655"/>
      <c r="R92" s="655"/>
      <c r="S92" s="655"/>
      <c r="T92" s="655"/>
      <c r="U92" s="655"/>
      <c r="V92" s="655"/>
      <c r="W92" s="655"/>
      <c r="X92" s="655"/>
      <c r="Y92" s="655"/>
      <c r="Z92" s="655"/>
      <c r="AA92" s="655"/>
      <c r="AB92" s="655"/>
      <c r="AC92" s="655"/>
      <c r="AD92" s="655"/>
      <c r="AE92" s="655"/>
      <c r="AF92" s="655"/>
      <c r="AG92" s="655"/>
      <c r="AH92" s="655"/>
      <c r="AI92" s="655"/>
      <c r="AJ92" s="655"/>
      <c r="AK92" s="655"/>
      <c r="AL92" s="655"/>
      <c r="AM92" s="655"/>
      <c r="AN92" s="655"/>
      <c r="AO92" s="655"/>
      <c r="AP92" s="655"/>
      <c r="AQ92" s="655"/>
      <c r="AR92" s="655"/>
      <c r="AS92" s="655"/>
      <c r="AT92" s="655"/>
      <c r="AU92" s="655"/>
      <c r="AV92" s="655"/>
      <c r="AW92" s="655"/>
      <c r="AX92" s="655"/>
      <c r="AY92" s="655"/>
      <c r="AZ92" s="655"/>
      <c r="BA92" s="655"/>
      <c r="BB92" s="655"/>
      <c r="BC92" s="655"/>
      <c r="BD92" s="655"/>
      <c r="BE92" s="655"/>
      <c r="BF92" s="655"/>
      <c r="BG92" s="655"/>
      <c r="BH92" s="655"/>
      <c r="BI92" s="655"/>
      <c r="BJ92" s="655"/>
      <c r="BK92" s="655"/>
      <c r="BL92" s="655"/>
      <c r="BM92" s="655"/>
      <c r="BN92" s="655"/>
      <c r="BO92" s="655"/>
      <c r="BP92" s="655"/>
      <c r="BQ92" s="655"/>
      <c r="BR92" s="655"/>
      <c r="BS92" s="655"/>
      <c r="BT92" s="655"/>
      <c r="BU92" s="655"/>
      <c r="BV92" s="655"/>
      <c r="BW92" s="655"/>
      <c r="BX92" s="655"/>
      <c r="BY92" s="655"/>
      <c r="BZ92" s="655"/>
      <c r="CA92" s="655"/>
      <c r="CB92" s="655"/>
      <c r="CC92" s="655"/>
      <c r="CD92" s="655"/>
      <c r="CE92" s="655"/>
      <c r="CF92" s="655"/>
      <c r="CG92" s="655"/>
      <c r="CH92" s="655"/>
      <c r="CI92" s="655"/>
      <c r="CJ92" s="655"/>
      <c r="CK92" s="655"/>
      <c r="CL92" s="655"/>
      <c r="CM92" s="655"/>
      <c r="CN92" s="655"/>
      <c r="CO92" s="655"/>
      <c r="CP92" s="655"/>
      <c r="CQ92" s="655"/>
      <c r="CR92" s="655"/>
      <c r="CS92" s="655"/>
      <c r="CT92" s="655"/>
      <c r="CU92" s="655"/>
      <c r="CV92" s="655"/>
      <c r="CW92" s="655"/>
      <c r="CX92" s="655"/>
      <c r="CY92" s="655"/>
      <c r="CZ92" s="655"/>
    </row>
    <row r="93" spans="1:104" ht="16.25" customHeight="1">
      <c r="A93" s="650"/>
      <c r="B93" s="651">
        <f t="shared" si="2"/>
        <v>0</v>
      </c>
      <c r="C93" s="652">
        <f t="shared" si="3"/>
        <v>0</v>
      </c>
      <c r="D93" s="653"/>
      <c r="E93" s="654"/>
      <c r="F93" s="655"/>
      <c r="G93" s="655"/>
      <c r="H93" s="655"/>
      <c r="I93" s="655"/>
      <c r="J93" s="655"/>
      <c r="K93" s="655"/>
      <c r="L93" s="655"/>
      <c r="M93" s="655"/>
      <c r="N93" s="655"/>
      <c r="O93" s="655"/>
      <c r="P93" s="655"/>
      <c r="Q93" s="655"/>
      <c r="R93" s="655"/>
      <c r="S93" s="655"/>
      <c r="T93" s="655"/>
      <c r="U93" s="655"/>
      <c r="V93" s="655"/>
      <c r="W93" s="655"/>
      <c r="X93" s="655"/>
      <c r="Y93" s="655"/>
      <c r="Z93" s="655"/>
      <c r="AA93" s="655"/>
      <c r="AB93" s="655"/>
      <c r="AC93" s="655"/>
      <c r="AD93" s="655"/>
      <c r="AE93" s="655"/>
      <c r="AF93" s="655"/>
      <c r="AG93" s="655"/>
      <c r="AH93" s="655"/>
      <c r="AI93" s="655"/>
      <c r="AJ93" s="655"/>
      <c r="AK93" s="655"/>
      <c r="AL93" s="655"/>
      <c r="AM93" s="655"/>
      <c r="AN93" s="655"/>
      <c r="AO93" s="655"/>
      <c r="AP93" s="655"/>
      <c r="AQ93" s="655"/>
      <c r="AR93" s="655"/>
      <c r="AS93" s="655"/>
      <c r="AT93" s="655"/>
      <c r="AU93" s="655"/>
      <c r="AV93" s="655"/>
      <c r="AW93" s="655"/>
      <c r="AX93" s="655"/>
      <c r="AY93" s="655"/>
      <c r="AZ93" s="655"/>
      <c r="BA93" s="655"/>
      <c r="BB93" s="655"/>
      <c r="BC93" s="655"/>
      <c r="BD93" s="655"/>
      <c r="BE93" s="655"/>
      <c r="BF93" s="655"/>
      <c r="BG93" s="655"/>
      <c r="BH93" s="655"/>
      <c r="BI93" s="655"/>
      <c r="BJ93" s="655"/>
      <c r="BK93" s="655"/>
      <c r="BL93" s="655"/>
      <c r="BM93" s="655"/>
      <c r="BN93" s="655"/>
      <c r="BO93" s="655"/>
      <c r="BP93" s="655"/>
      <c r="BQ93" s="655"/>
      <c r="BR93" s="655"/>
      <c r="BS93" s="655"/>
      <c r="BT93" s="655"/>
      <c r="BU93" s="655"/>
      <c r="BV93" s="655"/>
      <c r="BW93" s="655"/>
      <c r="BX93" s="655"/>
      <c r="BY93" s="655"/>
      <c r="BZ93" s="655"/>
      <c r="CA93" s="655"/>
      <c r="CB93" s="655"/>
      <c r="CC93" s="655"/>
      <c r="CD93" s="655"/>
      <c r="CE93" s="655"/>
      <c r="CF93" s="655"/>
      <c r="CG93" s="655"/>
      <c r="CH93" s="655"/>
      <c r="CI93" s="655"/>
      <c r="CJ93" s="655"/>
      <c r="CK93" s="655"/>
      <c r="CL93" s="655"/>
      <c r="CM93" s="655"/>
      <c r="CN93" s="655"/>
      <c r="CO93" s="655"/>
      <c r="CP93" s="655"/>
      <c r="CQ93" s="655"/>
      <c r="CR93" s="655"/>
      <c r="CS93" s="655"/>
      <c r="CT93" s="655"/>
      <c r="CU93" s="655"/>
      <c r="CV93" s="655"/>
      <c r="CW93" s="655"/>
      <c r="CX93" s="655"/>
      <c r="CY93" s="655"/>
      <c r="CZ93" s="655"/>
    </row>
    <row r="94" spans="1:104" ht="16.25" customHeight="1">
      <c r="A94" s="650"/>
      <c r="B94" s="651">
        <f t="shared" si="2"/>
        <v>0</v>
      </c>
      <c r="C94" s="652">
        <f t="shared" si="3"/>
        <v>0</v>
      </c>
      <c r="D94" s="653"/>
      <c r="E94" s="654"/>
      <c r="F94" s="655"/>
      <c r="G94" s="655"/>
      <c r="H94" s="655"/>
      <c r="I94" s="655"/>
      <c r="J94" s="655"/>
      <c r="K94" s="655"/>
      <c r="L94" s="655"/>
      <c r="M94" s="655"/>
      <c r="N94" s="655"/>
      <c r="O94" s="655"/>
      <c r="P94" s="655"/>
      <c r="Q94" s="655"/>
      <c r="R94" s="655"/>
      <c r="S94" s="655"/>
      <c r="T94" s="655"/>
      <c r="U94" s="655"/>
      <c r="V94" s="655"/>
      <c r="W94" s="655"/>
      <c r="X94" s="655"/>
      <c r="Y94" s="655"/>
      <c r="Z94" s="655"/>
      <c r="AA94" s="655"/>
      <c r="AB94" s="655"/>
      <c r="AC94" s="655"/>
      <c r="AD94" s="655"/>
      <c r="AE94" s="655"/>
      <c r="AF94" s="655"/>
      <c r="AG94" s="655"/>
      <c r="AH94" s="655"/>
      <c r="AI94" s="655"/>
      <c r="AJ94" s="655"/>
      <c r="AK94" s="655"/>
      <c r="AL94" s="655"/>
      <c r="AM94" s="655"/>
      <c r="AN94" s="655"/>
      <c r="AO94" s="655"/>
      <c r="AP94" s="655"/>
      <c r="AQ94" s="655"/>
      <c r="AR94" s="655"/>
      <c r="AS94" s="655"/>
      <c r="AT94" s="655"/>
      <c r="AU94" s="655"/>
      <c r="AV94" s="655"/>
      <c r="AW94" s="655"/>
      <c r="AX94" s="655"/>
      <c r="AY94" s="655"/>
      <c r="AZ94" s="655"/>
      <c r="BA94" s="655"/>
      <c r="BB94" s="655"/>
      <c r="BC94" s="655"/>
      <c r="BD94" s="655"/>
      <c r="BE94" s="655"/>
      <c r="BF94" s="655"/>
      <c r="BG94" s="655"/>
      <c r="BH94" s="655"/>
      <c r="BI94" s="655"/>
      <c r="BJ94" s="655"/>
      <c r="BK94" s="655"/>
      <c r="BL94" s="655"/>
      <c r="BM94" s="655"/>
      <c r="BN94" s="655"/>
      <c r="BO94" s="655"/>
      <c r="BP94" s="655"/>
      <c r="BQ94" s="655"/>
      <c r="BR94" s="655"/>
      <c r="BS94" s="655"/>
      <c r="BT94" s="655"/>
      <c r="BU94" s="655"/>
      <c r="BV94" s="655"/>
      <c r="BW94" s="655"/>
      <c r="BX94" s="655"/>
      <c r="BY94" s="655"/>
      <c r="BZ94" s="655"/>
      <c r="CA94" s="655"/>
      <c r="CB94" s="655"/>
      <c r="CC94" s="655"/>
      <c r="CD94" s="655"/>
      <c r="CE94" s="655"/>
      <c r="CF94" s="655"/>
      <c r="CG94" s="655"/>
      <c r="CH94" s="655"/>
      <c r="CI94" s="655"/>
      <c r="CJ94" s="655"/>
      <c r="CK94" s="655"/>
      <c r="CL94" s="655"/>
      <c r="CM94" s="655"/>
      <c r="CN94" s="655"/>
      <c r="CO94" s="655"/>
      <c r="CP94" s="655"/>
      <c r="CQ94" s="655"/>
      <c r="CR94" s="655"/>
      <c r="CS94" s="655"/>
      <c r="CT94" s="655"/>
      <c r="CU94" s="655"/>
      <c r="CV94" s="655"/>
      <c r="CW94" s="655"/>
      <c r="CX94" s="655"/>
      <c r="CY94" s="655"/>
      <c r="CZ94" s="655"/>
    </row>
    <row r="95" spans="1:104" ht="16.25" customHeight="1">
      <c r="A95" s="656"/>
      <c r="B95" s="657">
        <f t="shared" si="2"/>
        <v>0</v>
      </c>
      <c r="C95" s="658">
        <f t="shared" si="3"/>
        <v>0</v>
      </c>
      <c r="D95" s="659"/>
      <c r="E95" s="660"/>
      <c r="F95" s="661"/>
      <c r="G95" s="661"/>
      <c r="H95" s="661"/>
      <c r="I95" s="661"/>
      <c r="J95" s="661"/>
      <c r="K95" s="661"/>
      <c r="L95" s="661"/>
      <c r="M95" s="661"/>
      <c r="N95" s="661"/>
      <c r="O95" s="661"/>
      <c r="P95" s="661"/>
      <c r="Q95" s="661"/>
      <c r="R95" s="661"/>
      <c r="S95" s="661"/>
      <c r="T95" s="661"/>
      <c r="U95" s="661"/>
      <c r="V95" s="661"/>
      <c r="W95" s="661"/>
      <c r="X95" s="661"/>
      <c r="Y95" s="661"/>
      <c r="Z95" s="661"/>
      <c r="AA95" s="661"/>
      <c r="AB95" s="661"/>
      <c r="AC95" s="661"/>
      <c r="AD95" s="661"/>
      <c r="AE95" s="661"/>
      <c r="AF95" s="661"/>
      <c r="AG95" s="661"/>
      <c r="AH95" s="661"/>
      <c r="AI95" s="661"/>
      <c r="AJ95" s="661"/>
      <c r="AK95" s="661"/>
      <c r="AL95" s="661"/>
      <c r="AM95" s="661"/>
      <c r="AN95" s="661"/>
      <c r="AO95" s="661"/>
      <c r="AP95" s="661"/>
      <c r="AQ95" s="661"/>
      <c r="AR95" s="661"/>
      <c r="AS95" s="661"/>
      <c r="AT95" s="661"/>
      <c r="AU95" s="661"/>
      <c r="AV95" s="661"/>
      <c r="AW95" s="661"/>
      <c r="AX95" s="661"/>
      <c r="AY95" s="661"/>
      <c r="AZ95" s="661"/>
      <c r="BA95" s="661"/>
      <c r="BB95" s="661"/>
      <c r="BC95" s="661"/>
      <c r="BD95" s="661"/>
      <c r="BE95" s="661"/>
      <c r="BF95" s="661"/>
      <c r="BG95" s="661"/>
      <c r="BH95" s="661"/>
      <c r="BI95" s="661"/>
      <c r="BJ95" s="661"/>
      <c r="BK95" s="661"/>
      <c r="BL95" s="661"/>
      <c r="BM95" s="661"/>
      <c r="BN95" s="661"/>
      <c r="BO95" s="661"/>
      <c r="BP95" s="661"/>
      <c r="BQ95" s="661"/>
      <c r="BR95" s="661"/>
      <c r="BS95" s="661"/>
      <c r="BT95" s="661"/>
      <c r="BU95" s="661"/>
      <c r="BV95" s="661"/>
      <c r="BW95" s="661"/>
      <c r="BX95" s="661"/>
      <c r="BY95" s="661"/>
      <c r="BZ95" s="661"/>
      <c r="CA95" s="661"/>
      <c r="CB95" s="661"/>
      <c r="CC95" s="661"/>
      <c r="CD95" s="661"/>
      <c r="CE95" s="661"/>
      <c r="CF95" s="661"/>
      <c r="CG95" s="661"/>
      <c r="CH95" s="661"/>
      <c r="CI95" s="661"/>
      <c r="CJ95" s="661"/>
      <c r="CK95" s="661"/>
      <c r="CL95" s="661"/>
      <c r="CM95" s="661"/>
      <c r="CN95" s="661"/>
      <c r="CO95" s="661"/>
      <c r="CP95" s="661"/>
      <c r="CQ95" s="661"/>
      <c r="CR95" s="661"/>
      <c r="CS95" s="661"/>
      <c r="CT95" s="661"/>
      <c r="CU95" s="661"/>
      <c r="CV95" s="661"/>
      <c r="CW95" s="661"/>
      <c r="CX95" s="661"/>
      <c r="CY95" s="661"/>
      <c r="CZ95" s="661"/>
    </row>
    <row r="96" spans="1:104" ht="16.25" customHeight="1">
      <c r="A96" s="3274" t="s">
        <v>6630</v>
      </c>
      <c r="B96" s="3277" t="s">
        <v>6631</v>
      </c>
      <c r="C96" s="3278"/>
      <c r="D96" s="3279"/>
      <c r="E96" s="662" t="s">
        <v>6518</v>
      </c>
      <c r="F96" s="663"/>
      <c r="G96" s="663"/>
      <c r="H96" s="663"/>
      <c r="I96" s="663"/>
      <c r="J96" s="663"/>
      <c r="K96" s="663"/>
      <c r="L96" s="663"/>
      <c r="M96" s="663"/>
      <c r="N96" s="663"/>
      <c r="O96" s="663"/>
      <c r="P96" s="663"/>
      <c r="Q96" s="663"/>
      <c r="R96" s="663"/>
      <c r="S96" s="663"/>
      <c r="T96" s="663"/>
      <c r="U96" s="663"/>
      <c r="V96" s="663"/>
      <c r="W96" s="663"/>
      <c r="X96" s="663"/>
      <c r="Y96" s="663"/>
      <c r="Z96" s="663"/>
      <c r="AA96" s="663"/>
      <c r="AB96" s="663"/>
      <c r="AC96" s="663"/>
      <c r="AD96" s="663"/>
      <c r="AE96" s="663"/>
      <c r="AF96" s="663"/>
      <c r="AG96" s="663"/>
      <c r="AH96" s="663"/>
      <c r="AI96" s="663"/>
      <c r="AJ96" s="663"/>
      <c r="AK96" s="663"/>
      <c r="AL96" s="663"/>
      <c r="AM96" s="663"/>
      <c r="AN96" s="663"/>
      <c r="AO96" s="663"/>
      <c r="AP96" s="663"/>
      <c r="AQ96" s="663"/>
      <c r="AR96" s="663"/>
      <c r="AS96" s="663"/>
      <c r="AT96" s="663"/>
      <c r="AU96" s="663"/>
      <c r="AV96" s="663"/>
      <c r="AW96" s="663"/>
      <c r="AX96" s="663"/>
      <c r="AY96" s="663"/>
      <c r="AZ96" s="663"/>
      <c r="BA96" s="663"/>
      <c r="BB96" s="663"/>
      <c r="BC96" s="663"/>
      <c r="BD96" s="663"/>
      <c r="BE96" s="663"/>
      <c r="BF96" s="663"/>
      <c r="BG96" s="663"/>
      <c r="BH96" s="663"/>
      <c r="BI96" s="663"/>
      <c r="BJ96" s="663"/>
      <c r="BK96" s="663"/>
      <c r="BL96" s="663"/>
      <c r="BM96" s="663"/>
      <c r="BN96" s="663"/>
      <c r="BO96" s="663"/>
      <c r="BP96" s="663"/>
      <c r="BQ96" s="663"/>
      <c r="BR96" s="663"/>
      <c r="BS96" s="663"/>
      <c r="BT96" s="663"/>
      <c r="BU96" s="663"/>
      <c r="BV96" s="663"/>
      <c r="BW96" s="663"/>
      <c r="BX96" s="663"/>
      <c r="BY96" s="663"/>
      <c r="BZ96" s="663"/>
      <c r="CA96" s="663"/>
      <c r="CB96" s="663"/>
      <c r="CC96" s="663"/>
      <c r="CD96" s="663"/>
      <c r="CE96" s="663"/>
      <c r="CF96" s="663"/>
      <c r="CG96" s="663"/>
      <c r="CH96" s="663"/>
      <c r="CI96" s="663"/>
      <c r="CJ96" s="663"/>
      <c r="CK96" s="663"/>
      <c r="CL96" s="663"/>
      <c r="CM96" s="663"/>
      <c r="CN96" s="663"/>
      <c r="CO96" s="663"/>
      <c r="CP96" s="663"/>
      <c r="CQ96" s="663"/>
      <c r="CR96" s="663"/>
      <c r="CS96" s="663"/>
      <c r="CT96" s="663"/>
      <c r="CU96" s="663"/>
      <c r="CV96" s="663"/>
      <c r="CW96" s="663"/>
      <c r="CX96" s="663"/>
      <c r="CY96" s="663"/>
      <c r="CZ96" s="664"/>
    </row>
    <row r="97" spans="1:104" ht="16.25" customHeight="1">
      <c r="A97" s="3275"/>
      <c r="B97" s="3280"/>
      <c r="C97" s="3281"/>
      <c r="D97" s="3282"/>
      <c r="E97" s="654" t="s">
        <v>6632</v>
      </c>
      <c r="F97" s="655"/>
      <c r="G97" s="655"/>
      <c r="H97" s="655"/>
      <c r="I97" s="655"/>
      <c r="J97" s="655"/>
      <c r="K97" s="655"/>
      <c r="L97" s="655"/>
      <c r="M97" s="655"/>
      <c r="N97" s="655"/>
      <c r="O97" s="655"/>
      <c r="P97" s="655"/>
      <c r="Q97" s="655"/>
      <c r="R97" s="655"/>
      <c r="S97" s="655"/>
      <c r="T97" s="655"/>
      <c r="U97" s="655"/>
      <c r="V97" s="655"/>
      <c r="W97" s="655"/>
      <c r="X97" s="655"/>
      <c r="Y97" s="655"/>
      <c r="Z97" s="655"/>
      <c r="AA97" s="655"/>
      <c r="AB97" s="655"/>
      <c r="AC97" s="655"/>
      <c r="AD97" s="655"/>
      <c r="AE97" s="655"/>
      <c r="AF97" s="655"/>
      <c r="AG97" s="655"/>
      <c r="AH97" s="655"/>
      <c r="AI97" s="655"/>
      <c r="AJ97" s="655"/>
      <c r="AK97" s="655"/>
      <c r="AL97" s="655"/>
      <c r="AM97" s="655"/>
      <c r="AN97" s="655"/>
      <c r="AO97" s="655"/>
      <c r="AP97" s="655"/>
      <c r="AQ97" s="655"/>
      <c r="AR97" s="655"/>
      <c r="AS97" s="655"/>
      <c r="AT97" s="655"/>
      <c r="AU97" s="655"/>
      <c r="AV97" s="655"/>
      <c r="AW97" s="655"/>
      <c r="AX97" s="655"/>
      <c r="AY97" s="655"/>
      <c r="AZ97" s="655"/>
      <c r="BA97" s="655"/>
      <c r="BB97" s="655"/>
      <c r="BC97" s="655"/>
      <c r="BD97" s="655"/>
      <c r="BE97" s="655"/>
      <c r="BF97" s="655"/>
      <c r="BG97" s="655"/>
      <c r="BH97" s="655"/>
      <c r="BI97" s="655"/>
      <c r="BJ97" s="655"/>
      <c r="BK97" s="655"/>
      <c r="BL97" s="655"/>
      <c r="BM97" s="655"/>
      <c r="BN97" s="655"/>
      <c r="BO97" s="655"/>
      <c r="BP97" s="655"/>
      <c r="BQ97" s="655"/>
      <c r="BR97" s="655"/>
      <c r="BS97" s="655"/>
      <c r="BT97" s="655"/>
      <c r="BU97" s="655"/>
      <c r="BV97" s="655"/>
      <c r="BW97" s="655"/>
      <c r="BX97" s="655"/>
      <c r="BY97" s="655"/>
      <c r="BZ97" s="655"/>
      <c r="CA97" s="655"/>
      <c r="CB97" s="655"/>
      <c r="CC97" s="655"/>
      <c r="CD97" s="655"/>
      <c r="CE97" s="655"/>
      <c r="CF97" s="655"/>
      <c r="CG97" s="655"/>
      <c r="CH97" s="655"/>
      <c r="CI97" s="655"/>
      <c r="CJ97" s="655"/>
      <c r="CK97" s="655"/>
      <c r="CL97" s="655"/>
      <c r="CM97" s="655"/>
      <c r="CN97" s="655"/>
      <c r="CO97" s="655"/>
      <c r="CP97" s="655"/>
      <c r="CQ97" s="655"/>
      <c r="CR97" s="655"/>
      <c r="CS97" s="655"/>
      <c r="CT97" s="655"/>
      <c r="CU97" s="655"/>
      <c r="CV97" s="655"/>
      <c r="CW97" s="655"/>
      <c r="CX97" s="655"/>
      <c r="CY97" s="655"/>
      <c r="CZ97" s="665"/>
    </row>
    <row r="98" spans="1:104" ht="16.25" customHeight="1">
      <c r="A98" s="3275"/>
      <c r="B98" s="3280"/>
      <c r="C98" s="3281"/>
      <c r="D98" s="3282"/>
      <c r="E98" s="654" t="s">
        <v>6633</v>
      </c>
      <c r="F98" s="655"/>
      <c r="G98" s="655"/>
      <c r="H98" s="655"/>
      <c r="I98" s="655"/>
      <c r="J98" s="655"/>
      <c r="K98" s="655"/>
      <c r="L98" s="655"/>
      <c r="M98" s="655"/>
      <c r="N98" s="655"/>
      <c r="O98" s="655"/>
      <c r="P98" s="655"/>
      <c r="Q98" s="655"/>
      <c r="R98" s="655"/>
      <c r="S98" s="655"/>
      <c r="T98" s="655"/>
      <c r="U98" s="655"/>
      <c r="V98" s="655"/>
      <c r="W98" s="655"/>
      <c r="X98" s="655"/>
      <c r="Y98" s="655"/>
      <c r="Z98" s="655"/>
      <c r="AA98" s="655"/>
      <c r="AB98" s="655"/>
      <c r="AC98" s="655"/>
      <c r="AD98" s="655"/>
      <c r="AE98" s="655"/>
      <c r="AF98" s="655"/>
      <c r="AG98" s="655"/>
      <c r="AH98" s="655"/>
      <c r="AI98" s="655"/>
      <c r="AJ98" s="655"/>
      <c r="AK98" s="655"/>
      <c r="AL98" s="655"/>
      <c r="AM98" s="655"/>
      <c r="AN98" s="655"/>
      <c r="AO98" s="655"/>
      <c r="AP98" s="655"/>
      <c r="AQ98" s="655"/>
      <c r="AR98" s="655"/>
      <c r="AS98" s="655"/>
      <c r="AT98" s="655"/>
      <c r="AU98" s="655"/>
      <c r="AV98" s="655"/>
      <c r="AW98" s="655"/>
      <c r="AX98" s="655"/>
      <c r="AY98" s="655"/>
      <c r="AZ98" s="655"/>
      <c r="BA98" s="655"/>
      <c r="BB98" s="655"/>
      <c r="BC98" s="655"/>
      <c r="BD98" s="655"/>
      <c r="BE98" s="655"/>
      <c r="BF98" s="655"/>
      <c r="BG98" s="655"/>
      <c r="BH98" s="655"/>
      <c r="BI98" s="655"/>
      <c r="BJ98" s="655"/>
      <c r="BK98" s="655"/>
      <c r="BL98" s="655"/>
      <c r="BM98" s="655"/>
      <c r="BN98" s="655"/>
      <c r="BO98" s="655"/>
      <c r="BP98" s="655"/>
      <c r="BQ98" s="655"/>
      <c r="BR98" s="655"/>
      <c r="BS98" s="655"/>
      <c r="BT98" s="655"/>
      <c r="BU98" s="655"/>
      <c r="BV98" s="655"/>
      <c r="BW98" s="655"/>
      <c r="BX98" s="655"/>
      <c r="BY98" s="655"/>
      <c r="BZ98" s="655"/>
      <c r="CA98" s="655"/>
      <c r="CB98" s="655"/>
      <c r="CC98" s="655"/>
      <c r="CD98" s="655"/>
      <c r="CE98" s="655"/>
      <c r="CF98" s="655"/>
      <c r="CG98" s="655"/>
      <c r="CH98" s="655"/>
      <c r="CI98" s="655"/>
      <c r="CJ98" s="655"/>
      <c r="CK98" s="655"/>
      <c r="CL98" s="655"/>
      <c r="CM98" s="655"/>
      <c r="CN98" s="655"/>
      <c r="CO98" s="655"/>
      <c r="CP98" s="655"/>
      <c r="CQ98" s="655"/>
      <c r="CR98" s="655"/>
      <c r="CS98" s="655"/>
      <c r="CT98" s="655"/>
      <c r="CU98" s="655"/>
      <c r="CV98" s="655"/>
      <c r="CW98" s="655"/>
      <c r="CX98" s="655"/>
      <c r="CY98" s="655"/>
      <c r="CZ98" s="665"/>
    </row>
    <row r="99" spans="1:104" ht="16.25" customHeight="1">
      <c r="A99" s="3275"/>
      <c r="B99" s="3280"/>
      <c r="C99" s="3281"/>
      <c r="D99" s="3282"/>
      <c r="E99" s="654" t="s">
        <v>6634</v>
      </c>
      <c r="F99" s="655"/>
      <c r="G99" s="655"/>
      <c r="H99" s="655"/>
      <c r="I99" s="655"/>
      <c r="J99" s="655"/>
      <c r="K99" s="655"/>
      <c r="L99" s="655"/>
      <c r="M99" s="655"/>
      <c r="N99" s="655"/>
      <c r="O99" s="655"/>
      <c r="P99" s="655"/>
      <c r="Q99" s="655"/>
      <c r="R99" s="655"/>
      <c r="S99" s="655"/>
      <c r="T99" s="655"/>
      <c r="U99" s="655"/>
      <c r="V99" s="655"/>
      <c r="W99" s="655"/>
      <c r="X99" s="655"/>
      <c r="Y99" s="655"/>
      <c r="Z99" s="655"/>
      <c r="AA99" s="655"/>
      <c r="AB99" s="655"/>
      <c r="AC99" s="655"/>
      <c r="AD99" s="655"/>
      <c r="AE99" s="655"/>
      <c r="AF99" s="655"/>
      <c r="AG99" s="655"/>
      <c r="AH99" s="655"/>
      <c r="AI99" s="655"/>
      <c r="AJ99" s="655"/>
      <c r="AK99" s="655"/>
      <c r="AL99" s="655"/>
      <c r="AM99" s="655"/>
      <c r="AN99" s="655"/>
      <c r="AO99" s="655"/>
      <c r="AP99" s="655"/>
      <c r="AQ99" s="655"/>
      <c r="AR99" s="655"/>
      <c r="AS99" s="655"/>
      <c r="AT99" s="655"/>
      <c r="AU99" s="655"/>
      <c r="AV99" s="655"/>
      <c r="AW99" s="655"/>
      <c r="AX99" s="655"/>
      <c r="AY99" s="655"/>
      <c r="AZ99" s="655"/>
      <c r="BA99" s="655"/>
      <c r="BB99" s="655"/>
      <c r="BC99" s="655"/>
      <c r="BD99" s="655"/>
      <c r="BE99" s="655"/>
      <c r="BF99" s="655"/>
      <c r="BG99" s="655"/>
      <c r="BH99" s="655"/>
      <c r="BI99" s="655"/>
      <c r="BJ99" s="655"/>
      <c r="BK99" s="655"/>
      <c r="BL99" s="655"/>
      <c r="BM99" s="655"/>
      <c r="BN99" s="655"/>
      <c r="BO99" s="655"/>
      <c r="BP99" s="655"/>
      <c r="BQ99" s="655"/>
      <c r="BR99" s="655"/>
      <c r="BS99" s="655"/>
      <c r="BT99" s="655"/>
      <c r="BU99" s="655"/>
      <c r="BV99" s="655"/>
      <c r="BW99" s="655"/>
      <c r="BX99" s="655"/>
      <c r="BY99" s="655"/>
      <c r="BZ99" s="655"/>
      <c r="CA99" s="655"/>
      <c r="CB99" s="655"/>
      <c r="CC99" s="655"/>
      <c r="CD99" s="655"/>
      <c r="CE99" s="655"/>
      <c r="CF99" s="655"/>
      <c r="CG99" s="655"/>
      <c r="CH99" s="655"/>
      <c r="CI99" s="655"/>
      <c r="CJ99" s="655"/>
      <c r="CK99" s="655"/>
      <c r="CL99" s="655"/>
      <c r="CM99" s="655"/>
      <c r="CN99" s="655"/>
      <c r="CO99" s="655"/>
      <c r="CP99" s="655"/>
      <c r="CQ99" s="655"/>
      <c r="CR99" s="655"/>
      <c r="CS99" s="655"/>
      <c r="CT99" s="655"/>
      <c r="CU99" s="655"/>
      <c r="CV99" s="655"/>
      <c r="CW99" s="655"/>
      <c r="CX99" s="655"/>
      <c r="CY99" s="655"/>
      <c r="CZ99" s="665"/>
    </row>
    <row r="100" spans="1:104" ht="16.25" customHeight="1">
      <c r="A100" s="3276"/>
      <c r="B100" s="3283"/>
      <c r="C100" s="3284"/>
      <c r="D100" s="3285"/>
      <c r="E100" s="666" t="s">
        <v>6635</v>
      </c>
      <c r="F100" s="667"/>
      <c r="G100" s="667"/>
      <c r="H100" s="667"/>
      <c r="I100" s="667"/>
      <c r="J100" s="667"/>
      <c r="K100" s="667"/>
      <c r="L100" s="667"/>
      <c r="M100" s="667"/>
      <c r="N100" s="667"/>
      <c r="O100" s="667"/>
      <c r="P100" s="667"/>
      <c r="Q100" s="667"/>
      <c r="R100" s="667"/>
      <c r="S100" s="667"/>
      <c r="T100" s="667"/>
      <c r="U100" s="667"/>
      <c r="V100" s="667"/>
      <c r="W100" s="667"/>
      <c r="X100" s="667"/>
      <c r="Y100" s="667"/>
      <c r="Z100" s="667"/>
      <c r="AA100" s="667"/>
      <c r="AB100" s="667"/>
      <c r="AC100" s="667"/>
      <c r="AD100" s="667"/>
      <c r="AE100" s="667"/>
      <c r="AF100" s="667"/>
      <c r="AG100" s="667"/>
      <c r="AH100" s="667"/>
      <c r="AI100" s="667"/>
      <c r="AJ100" s="667"/>
      <c r="AK100" s="667"/>
      <c r="AL100" s="667"/>
      <c r="AM100" s="667"/>
      <c r="AN100" s="667"/>
      <c r="AO100" s="667"/>
      <c r="AP100" s="667"/>
      <c r="AQ100" s="667"/>
      <c r="AR100" s="667"/>
      <c r="AS100" s="667"/>
      <c r="AT100" s="667"/>
      <c r="AU100" s="667"/>
      <c r="AV100" s="667"/>
      <c r="AW100" s="667"/>
      <c r="AX100" s="667"/>
      <c r="AY100" s="667"/>
      <c r="AZ100" s="667"/>
      <c r="BA100" s="667"/>
      <c r="BB100" s="667"/>
      <c r="BC100" s="667"/>
      <c r="BD100" s="667"/>
      <c r="BE100" s="667"/>
      <c r="BF100" s="667"/>
      <c r="BG100" s="667"/>
      <c r="BH100" s="667"/>
      <c r="BI100" s="667"/>
      <c r="BJ100" s="667"/>
      <c r="BK100" s="667"/>
      <c r="BL100" s="667"/>
      <c r="BM100" s="667"/>
      <c r="BN100" s="667"/>
      <c r="BO100" s="667"/>
      <c r="BP100" s="667"/>
      <c r="BQ100" s="667"/>
      <c r="BR100" s="667"/>
      <c r="BS100" s="667"/>
      <c r="BT100" s="667"/>
      <c r="BU100" s="667"/>
      <c r="BV100" s="667"/>
      <c r="BW100" s="667"/>
      <c r="BX100" s="667"/>
      <c r="BY100" s="667"/>
      <c r="BZ100" s="667"/>
      <c r="CA100" s="667"/>
      <c r="CB100" s="667"/>
      <c r="CC100" s="667"/>
      <c r="CD100" s="667"/>
      <c r="CE100" s="667"/>
      <c r="CF100" s="667"/>
      <c r="CG100" s="667"/>
      <c r="CH100" s="667"/>
      <c r="CI100" s="667"/>
      <c r="CJ100" s="667"/>
      <c r="CK100" s="667"/>
      <c r="CL100" s="667"/>
      <c r="CM100" s="667"/>
      <c r="CN100" s="667"/>
      <c r="CO100" s="667"/>
      <c r="CP100" s="667"/>
      <c r="CQ100" s="667"/>
      <c r="CR100" s="667"/>
      <c r="CS100" s="667"/>
      <c r="CT100" s="667"/>
      <c r="CU100" s="667"/>
      <c r="CV100" s="667"/>
      <c r="CW100" s="667"/>
      <c r="CX100" s="667"/>
      <c r="CY100" s="667"/>
      <c r="CZ100" s="668"/>
    </row>
  </sheetData>
  <sheetProtection selectLockedCells="1"/>
  <mergeCells count="4">
    <mergeCell ref="C1:E1"/>
    <mergeCell ref="F1:H1"/>
    <mergeCell ref="A96:A100"/>
    <mergeCell ref="B96:D100"/>
  </mergeCells>
  <phoneticPr fontId="282" type="noConversion"/>
  <pageMargins left="0.7" right="0.7" top="0.75" bottom="0.75" header="0.3" footer="0.3"/>
  <pageSetup paperSize="9"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A87"/>
  <sheetViews>
    <sheetView workbookViewId="0">
      <pane xSplit="1" ySplit="2" topLeftCell="HV29" activePane="bottomRight" state="frozen"/>
      <selection pane="topRight"/>
      <selection pane="bottomLeft"/>
      <selection pane="bottomRight" activeCell="HQ30" sqref="HQ30"/>
    </sheetView>
  </sheetViews>
  <sheetFormatPr defaultColWidth="3" defaultRowHeight="18" customHeight="1"/>
  <cols>
    <col min="1" max="1" width="20.453125" style="449" customWidth="1"/>
    <col min="2" max="237" width="3.08984375" style="449" customWidth="1"/>
    <col min="238" max="238" width="3" style="449" customWidth="1"/>
    <col min="239" max="16384" width="3" style="449"/>
  </cols>
  <sheetData>
    <row r="1" spans="1:261" ht="18" customHeight="1">
      <c r="B1" s="449">
        <v>0</v>
      </c>
      <c r="C1" s="565">
        <v>1</v>
      </c>
      <c r="D1" s="565">
        <v>2</v>
      </c>
      <c r="E1" s="565">
        <v>3</v>
      </c>
      <c r="F1" s="565">
        <v>4</v>
      </c>
      <c r="G1" s="449">
        <v>5</v>
      </c>
      <c r="H1" s="449">
        <v>6</v>
      </c>
      <c r="I1" s="449">
        <v>7</v>
      </c>
      <c r="J1" s="449">
        <v>8</v>
      </c>
      <c r="K1" s="449">
        <v>9</v>
      </c>
      <c r="L1" s="449">
        <v>10</v>
      </c>
      <c r="M1" s="449">
        <v>11</v>
      </c>
      <c r="N1" s="449">
        <v>12</v>
      </c>
      <c r="O1" s="449">
        <v>13</v>
      </c>
      <c r="P1" s="449">
        <v>14</v>
      </c>
      <c r="Q1" s="449">
        <v>15</v>
      </c>
      <c r="R1" s="449">
        <v>16</v>
      </c>
      <c r="S1" s="449">
        <v>17</v>
      </c>
      <c r="T1" s="449">
        <v>18</v>
      </c>
      <c r="U1" s="449">
        <v>19</v>
      </c>
      <c r="V1" s="449">
        <v>20</v>
      </c>
      <c r="W1" s="449">
        <v>21</v>
      </c>
      <c r="X1" s="449">
        <v>22</v>
      </c>
      <c r="Y1" s="449">
        <v>23</v>
      </c>
      <c r="Z1" s="449">
        <v>24</v>
      </c>
      <c r="AA1" s="449">
        <v>25</v>
      </c>
      <c r="AB1" s="449">
        <v>26</v>
      </c>
      <c r="AC1" s="449">
        <v>27</v>
      </c>
      <c r="AD1" s="449">
        <v>28</v>
      </c>
      <c r="AE1" s="449">
        <v>29</v>
      </c>
      <c r="AF1" s="449">
        <v>30</v>
      </c>
      <c r="AG1" s="449">
        <v>31</v>
      </c>
      <c r="AH1" s="449">
        <v>32</v>
      </c>
      <c r="AI1" s="449">
        <v>33</v>
      </c>
      <c r="AJ1" s="449">
        <v>34</v>
      </c>
      <c r="AK1" s="449">
        <v>35</v>
      </c>
      <c r="AL1" s="449">
        <v>36</v>
      </c>
      <c r="AM1" s="449">
        <v>37</v>
      </c>
      <c r="AN1" s="449">
        <v>38</v>
      </c>
      <c r="AO1" s="449">
        <v>39</v>
      </c>
      <c r="AP1" s="449">
        <v>40</v>
      </c>
      <c r="AQ1" s="449">
        <v>41</v>
      </c>
      <c r="AR1" s="449">
        <v>42</v>
      </c>
      <c r="AS1" s="449">
        <v>43</v>
      </c>
      <c r="AT1" s="449">
        <v>44</v>
      </c>
      <c r="AU1" s="449">
        <v>45</v>
      </c>
      <c r="AV1" s="449">
        <v>46</v>
      </c>
      <c r="AW1" s="449">
        <v>47</v>
      </c>
      <c r="AX1" s="449">
        <v>48</v>
      </c>
      <c r="AY1" s="449">
        <v>49</v>
      </c>
      <c r="AZ1" s="449">
        <v>50</v>
      </c>
      <c r="BA1" s="449">
        <v>51</v>
      </c>
      <c r="BB1" s="449">
        <v>52</v>
      </c>
      <c r="BC1" s="449">
        <v>53</v>
      </c>
      <c r="BD1" s="449">
        <v>54</v>
      </c>
      <c r="BE1" s="449">
        <v>55</v>
      </c>
      <c r="BF1" s="449">
        <v>56</v>
      </c>
      <c r="BG1" s="449">
        <v>57</v>
      </c>
      <c r="BH1" s="449">
        <v>58</v>
      </c>
      <c r="BI1" s="449">
        <v>59</v>
      </c>
      <c r="BJ1" s="449">
        <v>60</v>
      </c>
      <c r="BK1" s="449">
        <v>61</v>
      </c>
      <c r="BL1" s="449">
        <v>62</v>
      </c>
      <c r="BM1" s="449">
        <v>63</v>
      </c>
      <c r="BN1" s="449">
        <v>64</v>
      </c>
      <c r="BO1" s="449">
        <v>65</v>
      </c>
      <c r="BP1" s="449">
        <v>66</v>
      </c>
      <c r="BQ1" s="449">
        <v>67</v>
      </c>
      <c r="BR1" s="449">
        <v>68</v>
      </c>
      <c r="BS1" s="449">
        <v>69</v>
      </c>
      <c r="BT1" s="449">
        <v>70</v>
      </c>
      <c r="BU1" s="449">
        <v>71</v>
      </c>
      <c r="BV1" s="449">
        <v>72</v>
      </c>
      <c r="BW1" s="449">
        <v>73</v>
      </c>
      <c r="BX1" s="449">
        <v>74</v>
      </c>
      <c r="BY1" s="449">
        <v>75</v>
      </c>
      <c r="BZ1" s="449">
        <v>76</v>
      </c>
      <c r="CA1" s="449">
        <v>77</v>
      </c>
      <c r="CB1" s="449">
        <v>78</v>
      </c>
      <c r="CC1" s="449">
        <v>79</v>
      </c>
      <c r="CD1" s="449">
        <v>80</v>
      </c>
      <c r="CE1" s="449">
        <v>81</v>
      </c>
      <c r="CF1" s="449">
        <v>82</v>
      </c>
      <c r="CG1" s="449">
        <v>83</v>
      </c>
      <c r="CH1" s="449">
        <v>84</v>
      </c>
      <c r="CI1" s="449">
        <v>85</v>
      </c>
      <c r="CJ1" s="449">
        <v>86</v>
      </c>
      <c r="CK1" s="449">
        <v>87</v>
      </c>
      <c r="CL1" s="449">
        <v>88</v>
      </c>
      <c r="CM1" s="449">
        <v>89</v>
      </c>
      <c r="CN1" s="449">
        <v>90</v>
      </c>
      <c r="CO1" s="449">
        <v>91</v>
      </c>
      <c r="CP1" s="449">
        <v>92</v>
      </c>
      <c r="CQ1" s="449">
        <v>93</v>
      </c>
      <c r="CR1" s="449">
        <v>94</v>
      </c>
      <c r="CS1" s="449">
        <v>95</v>
      </c>
      <c r="CT1" s="449">
        <v>96</v>
      </c>
      <c r="CU1" s="449">
        <v>97</v>
      </c>
      <c r="CV1" s="449">
        <v>98</v>
      </c>
      <c r="CW1" s="449">
        <v>99</v>
      </c>
      <c r="CX1" s="449">
        <v>100</v>
      </c>
      <c r="CY1" s="449">
        <v>101</v>
      </c>
      <c r="CZ1" s="449">
        <v>102</v>
      </c>
      <c r="DA1" s="449">
        <v>103</v>
      </c>
      <c r="DB1" s="449">
        <v>104</v>
      </c>
      <c r="DC1" s="449">
        <v>105</v>
      </c>
      <c r="DD1" s="449">
        <v>106</v>
      </c>
      <c r="DE1" s="449">
        <v>107</v>
      </c>
      <c r="DF1" s="449">
        <v>108</v>
      </c>
      <c r="DG1" s="449">
        <v>109</v>
      </c>
      <c r="DH1" s="449">
        <v>110</v>
      </c>
      <c r="DI1" s="449">
        <v>111</v>
      </c>
      <c r="DJ1" s="449">
        <v>112</v>
      </c>
      <c r="DK1" s="449">
        <v>113</v>
      </c>
      <c r="DL1" s="449">
        <v>114</v>
      </c>
      <c r="DM1" s="449">
        <v>115</v>
      </c>
      <c r="DN1" s="449">
        <v>116</v>
      </c>
      <c r="DO1" s="449">
        <v>117</v>
      </c>
      <c r="DP1" s="449">
        <v>118</v>
      </c>
      <c r="DQ1" s="449">
        <v>119</v>
      </c>
      <c r="DR1" s="449">
        <v>120</v>
      </c>
      <c r="DS1" s="449">
        <v>121</v>
      </c>
      <c r="DT1" s="449">
        <v>122</v>
      </c>
      <c r="DU1" s="449">
        <v>123</v>
      </c>
      <c r="DV1" s="449">
        <v>124</v>
      </c>
      <c r="DW1" s="449">
        <v>125</v>
      </c>
      <c r="DX1" s="449">
        <v>126</v>
      </c>
      <c r="DY1" s="449">
        <v>127</v>
      </c>
      <c r="DZ1" s="449">
        <v>128</v>
      </c>
      <c r="EA1" s="449">
        <v>129</v>
      </c>
      <c r="EB1" s="449">
        <v>130</v>
      </c>
      <c r="EC1" s="449">
        <v>131</v>
      </c>
      <c r="ED1" s="449">
        <v>132</v>
      </c>
      <c r="EE1" s="449">
        <v>133</v>
      </c>
      <c r="EF1" s="449">
        <v>134</v>
      </c>
      <c r="EG1" s="449">
        <v>135</v>
      </c>
      <c r="EH1" s="449">
        <v>136</v>
      </c>
      <c r="EI1" s="449">
        <v>137</v>
      </c>
      <c r="EJ1" s="449">
        <v>138</v>
      </c>
      <c r="EK1" s="449">
        <v>139</v>
      </c>
      <c r="EL1" s="449">
        <v>140</v>
      </c>
      <c r="EM1" s="449">
        <v>141</v>
      </c>
      <c r="EN1" s="449">
        <v>142</v>
      </c>
      <c r="EO1" s="449">
        <v>143</v>
      </c>
      <c r="EP1" s="449">
        <v>144</v>
      </c>
      <c r="EQ1" s="449">
        <v>145</v>
      </c>
      <c r="ER1" s="449">
        <v>146</v>
      </c>
      <c r="ES1" s="449">
        <v>147</v>
      </c>
      <c r="ET1" s="449">
        <v>148</v>
      </c>
      <c r="EU1" s="449">
        <v>149</v>
      </c>
      <c r="EV1" s="449">
        <v>150</v>
      </c>
      <c r="EW1" s="449">
        <v>151</v>
      </c>
      <c r="EX1" s="449">
        <v>152</v>
      </c>
      <c r="EY1" s="449">
        <v>153</v>
      </c>
      <c r="EZ1" s="449">
        <v>154</v>
      </c>
      <c r="FA1" s="449">
        <v>155</v>
      </c>
      <c r="FB1" s="449">
        <v>156</v>
      </c>
      <c r="FC1" s="449">
        <v>157</v>
      </c>
      <c r="FD1" s="449">
        <v>158</v>
      </c>
      <c r="FE1" s="449">
        <v>159</v>
      </c>
      <c r="FF1" s="449">
        <v>160</v>
      </c>
      <c r="FG1" s="449">
        <v>161</v>
      </c>
      <c r="FH1" s="449">
        <v>162</v>
      </c>
      <c r="FI1" s="449">
        <v>163</v>
      </c>
      <c r="FJ1" s="449">
        <v>164</v>
      </c>
      <c r="FK1" s="449">
        <v>165</v>
      </c>
      <c r="FL1" s="449">
        <v>166</v>
      </c>
      <c r="FM1" s="449">
        <v>167</v>
      </c>
      <c r="FN1" s="449">
        <v>168</v>
      </c>
      <c r="FO1" s="449">
        <v>169</v>
      </c>
      <c r="FP1" s="449">
        <v>170</v>
      </c>
      <c r="FQ1" s="449">
        <v>171</v>
      </c>
      <c r="FR1" s="449">
        <v>172</v>
      </c>
      <c r="FS1" s="449">
        <v>173</v>
      </c>
      <c r="FT1" s="449">
        <v>174</v>
      </c>
      <c r="FU1" s="449">
        <v>175</v>
      </c>
      <c r="FV1" s="449">
        <v>176</v>
      </c>
      <c r="FW1" s="449">
        <v>177</v>
      </c>
      <c r="FX1" s="449">
        <v>178</v>
      </c>
      <c r="FY1" s="449">
        <v>179</v>
      </c>
      <c r="FZ1" s="449">
        <v>180</v>
      </c>
      <c r="GA1" s="449">
        <v>181</v>
      </c>
      <c r="GB1" s="449">
        <v>182</v>
      </c>
      <c r="GC1" s="449">
        <v>183</v>
      </c>
      <c r="GD1" s="449">
        <v>184</v>
      </c>
      <c r="GE1" s="449">
        <v>185</v>
      </c>
      <c r="GF1" s="449">
        <v>186</v>
      </c>
      <c r="GG1" s="449">
        <v>187</v>
      </c>
      <c r="GH1" s="449">
        <v>188</v>
      </c>
      <c r="GI1" s="449">
        <v>189</v>
      </c>
      <c r="GJ1" s="449">
        <v>190</v>
      </c>
      <c r="GK1" s="449">
        <v>191</v>
      </c>
      <c r="GL1" s="449">
        <v>192</v>
      </c>
      <c r="GM1" s="449">
        <v>193</v>
      </c>
      <c r="GN1" s="449">
        <v>194</v>
      </c>
      <c r="GO1" s="449">
        <v>195</v>
      </c>
      <c r="GP1" s="449">
        <v>196</v>
      </c>
      <c r="GQ1" s="449">
        <v>197</v>
      </c>
      <c r="GR1" s="449">
        <v>198</v>
      </c>
      <c r="GS1" s="449">
        <v>199</v>
      </c>
      <c r="GT1" s="449">
        <v>200</v>
      </c>
      <c r="GU1" s="449">
        <v>201</v>
      </c>
      <c r="GV1" s="449">
        <v>202</v>
      </c>
      <c r="GW1" s="449">
        <v>203</v>
      </c>
      <c r="GX1" s="449">
        <v>204</v>
      </c>
      <c r="GY1" s="449">
        <v>205</v>
      </c>
      <c r="GZ1" s="449">
        <v>206</v>
      </c>
      <c r="HA1" s="449">
        <v>207</v>
      </c>
      <c r="HB1" s="449">
        <v>208</v>
      </c>
      <c r="HC1" s="449">
        <v>209</v>
      </c>
      <c r="HD1" s="449">
        <v>210</v>
      </c>
      <c r="HE1" s="449">
        <v>211</v>
      </c>
      <c r="HF1" s="449">
        <v>212</v>
      </c>
      <c r="HG1" s="449">
        <v>213</v>
      </c>
      <c r="HH1" s="449">
        <v>214</v>
      </c>
      <c r="HI1" s="449">
        <v>215</v>
      </c>
      <c r="HJ1" s="449">
        <v>216</v>
      </c>
      <c r="HK1" s="449">
        <v>217</v>
      </c>
      <c r="HL1" s="449">
        <v>218</v>
      </c>
      <c r="HM1" s="449">
        <v>219</v>
      </c>
      <c r="HN1" s="449">
        <v>220</v>
      </c>
      <c r="HO1" s="449">
        <v>221</v>
      </c>
      <c r="HP1" s="449">
        <v>222</v>
      </c>
      <c r="HQ1" s="449">
        <v>223</v>
      </c>
      <c r="HR1" s="449">
        <v>224</v>
      </c>
      <c r="HS1" s="449">
        <v>225</v>
      </c>
      <c r="HT1" s="449">
        <v>226</v>
      </c>
      <c r="HU1" s="449">
        <v>227</v>
      </c>
      <c r="HV1" s="449">
        <v>228</v>
      </c>
      <c r="HW1" s="449">
        <v>229</v>
      </c>
      <c r="HX1" s="449">
        <v>230</v>
      </c>
      <c r="HY1" s="449">
        <v>231</v>
      </c>
      <c r="HZ1" s="449">
        <v>232</v>
      </c>
      <c r="IA1" s="449">
        <v>233</v>
      </c>
      <c r="IB1" s="449">
        <v>234</v>
      </c>
      <c r="IC1" s="449">
        <v>235</v>
      </c>
    </row>
    <row r="2" spans="1:261" s="552" customFormat="1" ht="182">
      <c r="C2" s="552" t="s">
        <v>457</v>
      </c>
      <c r="D2" s="552" t="s">
        <v>5676</v>
      </c>
      <c r="E2" s="552" t="s">
        <v>5682</v>
      </c>
      <c r="F2" s="552" t="s">
        <v>5688</v>
      </c>
      <c r="G2" s="552" t="s">
        <v>6636</v>
      </c>
      <c r="H2" s="552" t="s">
        <v>5698</v>
      </c>
      <c r="I2" s="552" t="s">
        <v>5703</v>
      </c>
      <c r="J2" s="552" t="s">
        <v>5709</v>
      </c>
      <c r="K2" s="552" t="s">
        <v>5715</v>
      </c>
      <c r="L2" s="552" t="s">
        <v>5720</v>
      </c>
      <c r="M2" s="552" t="s">
        <v>6637</v>
      </c>
      <c r="N2" s="552" t="s">
        <v>5731</v>
      </c>
      <c r="O2" s="552" t="s">
        <v>5736</v>
      </c>
      <c r="P2" s="552" t="s">
        <v>5742</v>
      </c>
      <c r="Q2" s="552" t="s">
        <v>5746</v>
      </c>
      <c r="R2" s="552" t="s">
        <v>5751</v>
      </c>
      <c r="S2" s="552" t="s">
        <v>5755</v>
      </c>
      <c r="T2" s="552" t="s">
        <v>5760</v>
      </c>
      <c r="U2" s="552" t="s">
        <v>5765</v>
      </c>
      <c r="V2" s="552" t="s">
        <v>5770</v>
      </c>
      <c r="W2" s="552" t="s">
        <v>5775</v>
      </c>
      <c r="X2" s="552" t="s">
        <v>5779</v>
      </c>
      <c r="Y2" s="552" t="s">
        <v>5784</v>
      </c>
      <c r="Z2" s="552" t="s">
        <v>5789</v>
      </c>
      <c r="AA2" s="552" t="s">
        <v>5794</v>
      </c>
      <c r="AB2" s="552" t="s">
        <v>5798</v>
      </c>
      <c r="AC2" s="552" t="s">
        <v>5804</v>
      </c>
      <c r="AD2" s="552" t="s">
        <v>5807</v>
      </c>
      <c r="AE2" s="552" t="s">
        <v>5811</v>
      </c>
      <c r="AF2" s="552" t="s">
        <v>5816</v>
      </c>
      <c r="AG2" s="552" t="s">
        <v>5820</v>
      </c>
      <c r="AH2" s="552" t="s">
        <v>5824</v>
      </c>
      <c r="AI2" s="552" t="s">
        <v>5829</v>
      </c>
      <c r="AJ2" s="552" t="s">
        <v>5834</v>
      </c>
      <c r="AK2" s="552" t="s">
        <v>5840</v>
      </c>
      <c r="AL2" s="552" t="s">
        <v>5846</v>
      </c>
      <c r="AM2" s="552" t="s">
        <v>5851</v>
      </c>
      <c r="AN2" s="552" t="s">
        <v>5857</v>
      </c>
      <c r="AO2" s="552" t="s">
        <v>5862</v>
      </c>
      <c r="AP2" s="552" t="s">
        <v>5867</v>
      </c>
      <c r="AQ2" s="552" t="s">
        <v>5871</v>
      </c>
      <c r="AR2" s="552" t="s">
        <v>5876</v>
      </c>
      <c r="AS2" s="552" t="s">
        <v>5881</v>
      </c>
      <c r="AT2" s="552" t="s">
        <v>5886</v>
      </c>
      <c r="AU2" s="552" t="s">
        <v>5890</v>
      </c>
      <c r="AV2" s="552" t="s">
        <v>5894</v>
      </c>
      <c r="AW2" s="552" t="s">
        <v>5898</v>
      </c>
      <c r="AX2" s="552" t="s">
        <v>5903</v>
      </c>
      <c r="AY2" s="552" t="s">
        <v>5907</v>
      </c>
      <c r="AZ2" s="552" t="s">
        <v>5912</v>
      </c>
      <c r="BA2" s="552" t="s">
        <v>5918</v>
      </c>
      <c r="BB2" s="552" t="s">
        <v>5922</v>
      </c>
      <c r="BC2" s="552" t="s">
        <v>5926</v>
      </c>
      <c r="BD2" s="552" t="s">
        <v>5930</v>
      </c>
      <c r="BE2" s="552" t="s">
        <v>5935</v>
      </c>
      <c r="BF2" s="552" t="s">
        <v>5940</v>
      </c>
      <c r="BG2" s="552" t="s">
        <v>5944</v>
      </c>
      <c r="BH2" s="552" t="s">
        <v>5948</v>
      </c>
      <c r="BI2" s="552" t="s">
        <v>5953</v>
      </c>
      <c r="BJ2" s="552" t="s">
        <v>5957</v>
      </c>
      <c r="BK2" s="552" t="s">
        <v>5961</v>
      </c>
      <c r="BL2" s="552" t="s">
        <v>5965</v>
      </c>
      <c r="BM2" s="552" t="s">
        <v>5969</v>
      </c>
      <c r="BN2" s="552" t="s">
        <v>5974</v>
      </c>
      <c r="BO2" s="552" t="s">
        <v>5980</v>
      </c>
      <c r="BP2" s="552" t="s">
        <v>5985</v>
      </c>
      <c r="BQ2" s="552" t="s">
        <v>5988</v>
      </c>
      <c r="BR2" s="552" t="s">
        <v>5993</v>
      </c>
      <c r="BS2" s="552" t="s">
        <v>5997</v>
      </c>
      <c r="BT2" s="552" t="s">
        <v>6003</v>
      </c>
      <c r="BU2" s="552" t="s">
        <v>6007</v>
      </c>
      <c r="BV2" s="552" t="s">
        <v>6011</v>
      </c>
      <c r="BW2" s="552" t="s">
        <v>6016</v>
      </c>
      <c r="BX2" s="552" t="s">
        <v>6638</v>
      </c>
      <c r="BY2" s="552" t="s">
        <v>6024</v>
      </c>
      <c r="BZ2" s="552" t="s">
        <v>6027</v>
      </c>
      <c r="CA2" s="552" t="s">
        <v>6030</v>
      </c>
      <c r="CB2" s="552" t="s">
        <v>6034</v>
      </c>
      <c r="CC2" s="552" t="s">
        <v>6039</v>
      </c>
      <c r="CD2" s="552" t="s">
        <v>6043</v>
      </c>
      <c r="CE2" s="552" t="s">
        <v>6048</v>
      </c>
      <c r="CF2" s="552" t="s">
        <v>6053</v>
      </c>
      <c r="CG2" s="552" t="s">
        <v>6057</v>
      </c>
      <c r="CH2" s="552" t="s">
        <v>6061</v>
      </c>
      <c r="CI2" s="552" t="s">
        <v>6066</v>
      </c>
      <c r="CJ2" s="552" t="s">
        <v>6070</v>
      </c>
      <c r="CK2" s="552" t="s">
        <v>6075</v>
      </c>
      <c r="CL2" s="552" t="s">
        <v>6080</v>
      </c>
      <c r="CM2" s="552" t="s">
        <v>6084</v>
      </c>
      <c r="CN2" s="552" t="s">
        <v>6089</v>
      </c>
      <c r="CO2" s="552" t="s">
        <v>6093</v>
      </c>
      <c r="CP2" s="552" t="s">
        <v>6096</v>
      </c>
      <c r="CQ2" s="552" t="s">
        <v>6100</v>
      </c>
      <c r="CR2" s="552" t="s">
        <v>6104</v>
      </c>
      <c r="CS2" s="552" t="s">
        <v>6108</v>
      </c>
      <c r="CT2" s="552" t="s">
        <v>5676</v>
      </c>
      <c r="CU2" s="552" t="s">
        <v>6115</v>
      </c>
      <c r="CV2" s="552" t="s">
        <v>6119</v>
      </c>
      <c r="CW2" s="552" t="s">
        <v>6124</v>
      </c>
      <c r="CX2" s="552" t="s">
        <v>6129</v>
      </c>
      <c r="CY2" s="552" t="s">
        <v>6133</v>
      </c>
      <c r="CZ2" s="552" t="s">
        <v>6137</v>
      </c>
      <c r="DA2" s="552" t="s">
        <v>6141</v>
      </c>
      <c r="DB2" s="552" t="s">
        <v>6146</v>
      </c>
      <c r="DC2" s="552" t="s">
        <v>6150</v>
      </c>
      <c r="DD2" s="552" t="s">
        <v>6154</v>
      </c>
      <c r="DE2" s="552" t="s">
        <v>6158</v>
      </c>
      <c r="DF2" s="552" t="s">
        <v>6163</v>
      </c>
      <c r="DG2" s="552" t="s">
        <v>6168</v>
      </c>
      <c r="DH2" s="552" t="s">
        <v>6171</v>
      </c>
      <c r="DI2" s="552" t="s">
        <v>6175</v>
      </c>
      <c r="DJ2" s="552" t="s">
        <v>6180</v>
      </c>
      <c r="DK2" s="552" t="s">
        <v>6185</v>
      </c>
      <c r="DL2" s="552" t="s">
        <v>6190</v>
      </c>
      <c r="DM2" s="552" t="s">
        <v>6194</v>
      </c>
      <c r="DN2" s="552" t="s">
        <v>6198</v>
      </c>
      <c r="DO2" s="552" t="s">
        <v>6202</v>
      </c>
      <c r="DP2" s="552" t="s">
        <v>6206</v>
      </c>
      <c r="DQ2" s="552" t="s">
        <v>6211</v>
      </c>
      <c r="DR2" s="552" t="s">
        <v>6215</v>
      </c>
      <c r="DS2" s="552" t="s">
        <v>6219</v>
      </c>
      <c r="DT2" s="552" t="s">
        <v>6224</v>
      </c>
      <c r="DU2" s="552" t="s">
        <v>6226</v>
      </c>
      <c r="DV2" s="552" t="s">
        <v>6231</v>
      </c>
      <c r="DW2" s="552" t="s">
        <v>6234</v>
      </c>
      <c r="DX2" s="552" t="s">
        <v>6237</v>
      </c>
      <c r="DY2" s="552" t="s">
        <v>6240</v>
      </c>
      <c r="DZ2" s="552" t="s">
        <v>6244</v>
      </c>
      <c r="EA2" s="552" t="s">
        <v>6247</v>
      </c>
      <c r="EB2" s="552" t="s">
        <v>6248</v>
      </c>
      <c r="EC2" s="552" t="s">
        <v>6251</v>
      </c>
      <c r="ED2" s="552" t="s">
        <v>6254</v>
      </c>
      <c r="EE2" s="552" t="s">
        <v>6257</v>
      </c>
      <c r="EF2" s="552" t="s">
        <v>6260</v>
      </c>
      <c r="EG2" s="552" t="s">
        <v>6263</v>
      </c>
      <c r="EH2" s="552" t="s">
        <v>6266</v>
      </c>
      <c r="EI2" s="552" t="s">
        <v>6269</v>
      </c>
      <c r="EJ2" s="552" t="s">
        <v>6273</v>
      </c>
      <c r="EK2" s="552" t="s">
        <v>6274</v>
      </c>
      <c r="EL2" s="552" t="s">
        <v>6275</v>
      </c>
      <c r="EM2" s="552" t="s">
        <v>6276</v>
      </c>
      <c r="EN2" s="552" t="s">
        <v>6278</v>
      </c>
      <c r="EO2" s="552" t="s">
        <v>6281</v>
      </c>
      <c r="EP2" s="552" t="s">
        <v>6284</v>
      </c>
      <c r="EQ2" s="552" t="s">
        <v>6639</v>
      </c>
      <c r="ER2" s="552" t="s">
        <v>6290</v>
      </c>
      <c r="ES2" s="552" t="s">
        <v>6293</v>
      </c>
      <c r="ET2" s="552" t="s">
        <v>6297</v>
      </c>
      <c r="EU2" s="552" t="s">
        <v>6640</v>
      </c>
      <c r="EV2" s="552" t="s">
        <v>6303</v>
      </c>
      <c r="EW2" s="552" t="s">
        <v>6306</v>
      </c>
      <c r="EX2" s="552" t="s">
        <v>6308</v>
      </c>
      <c r="EY2" s="552" t="s">
        <v>6310</v>
      </c>
      <c r="EZ2" s="552" t="s">
        <v>6313</v>
      </c>
      <c r="FA2" s="552" t="s">
        <v>6316</v>
      </c>
      <c r="FB2" s="552" t="s">
        <v>6320</v>
      </c>
      <c r="FC2" s="552" t="s">
        <v>6323</v>
      </c>
      <c r="FD2" s="552" t="s">
        <v>6326</v>
      </c>
      <c r="FE2" s="552" t="s">
        <v>6329</v>
      </c>
      <c r="FF2" s="552" t="s">
        <v>6332</v>
      </c>
      <c r="FG2" s="552" t="s">
        <v>6337</v>
      </c>
      <c r="FH2" s="552" t="s">
        <v>6342</v>
      </c>
      <c r="FI2" s="552" t="s">
        <v>6349</v>
      </c>
      <c r="FJ2" s="552" t="s">
        <v>6353</v>
      </c>
      <c r="FK2" s="552" t="s">
        <v>6358</v>
      </c>
      <c r="FL2" s="552" t="s">
        <v>6362</v>
      </c>
      <c r="FM2" s="552" t="s">
        <v>6365</v>
      </c>
      <c r="FN2" s="552" t="s">
        <v>6369</v>
      </c>
      <c r="FO2" s="552" t="s">
        <v>6373</v>
      </c>
      <c r="FP2" s="552" t="s">
        <v>6376</v>
      </c>
      <c r="FQ2" s="552" t="s">
        <v>6378</v>
      </c>
      <c r="FR2" s="552" t="s">
        <v>6380</v>
      </c>
      <c r="FS2" s="552" t="s">
        <v>6384</v>
      </c>
      <c r="FT2" s="552" t="s">
        <v>6641</v>
      </c>
      <c r="FU2" s="552" t="s">
        <v>6390</v>
      </c>
      <c r="FV2" s="552" t="s">
        <v>6395</v>
      </c>
      <c r="FW2" s="552" t="s">
        <v>6398</v>
      </c>
      <c r="FX2" s="552" t="s">
        <v>6401</v>
      </c>
      <c r="FY2" s="552" t="s">
        <v>6404</v>
      </c>
      <c r="FZ2" s="552" t="s">
        <v>6408</v>
      </c>
      <c r="GA2" s="552" t="s">
        <v>6410</v>
      </c>
      <c r="GB2" s="552" t="s">
        <v>6412</v>
      </c>
      <c r="GC2" s="552" t="s">
        <v>6413</v>
      </c>
      <c r="GD2" s="552" t="s">
        <v>6416</v>
      </c>
      <c r="GE2" s="552" t="s">
        <v>6417</v>
      </c>
      <c r="GF2" s="552" t="s">
        <v>6419</v>
      </c>
      <c r="GG2" s="552" t="s">
        <v>6421</v>
      </c>
      <c r="GH2" s="552" t="s">
        <v>6423</v>
      </c>
      <c r="GI2" s="552" t="s">
        <v>6424</v>
      </c>
      <c r="GJ2" s="552" t="s">
        <v>6425</v>
      </c>
      <c r="GK2" s="552" t="s">
        <v>6427</v>
      </c>
      <c r="GL2" s="552" t="s">
        <v>6428</v>
      </c>
      <c r="GM2" s="552" t="s">
        <v>6430</v>
      </c>
      <c r="GN2" s="552" t="s">
        <v>6432</v>
      </c>
      <c r="GO2" s="552" t="s">
        <v>6434</v>
      </c>
      <c r="GP2" s="552" t="s">
        <v>6436</v>
      </c>
      <c r="GQ2" s="552" t="s">
        <v>6437</v>
      </c>
      <c r="GR2" s="552" t="s">
        <v>6438</v>
      </c>
      <c r="GS2" s="552" t="s">
        <v>6439</v>
      </c>
      <c r="GT2" s="552" t="s">
        <v>6441</v>
      </c>
      <c r="GU2" s="552" t="s">
        <v>6443</v>
      </c>
      <c r="GV2" s="552" t="s">
        <v>6445</v>
      </c>
      <c r="GW2" s="552" t="s">
        <v>6448</v>
      </c>
      <c r="GX2" s="552" t="s">
        <v>6449</v>
      </c>
      <c r="GY2" s="552" t="s">
        <v>6451</v>
      </c>
      <c r="GZ2" s="552" t="s">
        <v>6453</v>
      </c>
      <c r="HA2" s="552" t="s">
        <v>6454</v>
      </c>
      <c r="HB2" s="552" t="s">
        <v>6457</v>
      </c>
      <c r="HC2" s="552" t="s">
        <v>6459</v>
      </c>
      <c r="HD2" s="552" t="s">
        <v>6461</v>
      </c>
      <c r="HE2" s="552" t="s">
        <v>6465</v>
      </c>
      <c r="HF2" s="552" t="s">
        <v>6467</v>
      </c>
      <c r="HG2" s="552" t="s">
        <v>5760</v>
      </c>
      <c r="HH2" s="552" t="s">
        <v>6471</v>
      </c>
      <c r="HI2" s="552" t="s">
        <v>6473</v>
      </c>
      <c r="HJ2" s="552" t="s">
        <v>6475</v>
      </c>
      <c r="HK2" s="552" t="s">
        <v>6478</v>
      </c>
      <c r="HL2" s="552" t="s">
        <v>5824</v>
      </c>
      <c r="HM2" s="552" t="s">
        <v>6482</v>
      </c>
      <c r="HN2" s="552" t="s">
        <v>6484</v>
      </c>
      <c r="HO2" s="552" t="s">
        <v>5944</v>
      </c>
      <c r="HP2" s="552" t="s">
        <v>6487</v>
      </c>
      <c r="HQ2" s="552" t="s">
        <v>6490</v>
      </c>
      <c r="HR2" s="552" t="s">
        <v>5676</v>
      </c>
      <c r="HS2" s="552" t="s">
        <v>6494</v>
      </c>
      <c r="HT2" s="552" t="s">
        <v>6496</v>
      </c>
      <c r="HU2" s="552" t="s">
        <v>6030</v>
      </c>
      <c r="HV2" s="552" t="s">
        <v>6499</v>
      </c>
      <c r="HW2" s="552" t="s">
        <v>6501</v>
      </c>
      <c r="HX2" s="552" t="s">
        <v>6503</v>
      </c>
      <c r="HY2" s="552" t="s">
        <v>6154</v>
      </c>
      <c r="HZ2" s="552" t="s">
        <v>6506</v>
      </c>
      <c r="IA2" s="552" t="s">
        <v>6508</v>
      </c>
      <c r="IB2" s="552" t="s">
        <v>6510</v>
      </c>
      <c r="IC2" s="552" t="s">
        <v>6512</v>
      </c>
      <c r="ID2" s="566"/>
      <c r="IE2" s="566"/>
      <c r="IF2" s="566"/>
      <c r="IG2" s="566"/>
      <c r="IH2" s="566"/>
      <c r="II2" s="566"/>
      <c r="IJ2" s="566"/>
      <c r="IK2" s="566"/>
      <c r="IL2" s="566"/>
      <c r="IM2" s="566"/>
      <c r="IN2" s="566"/>
      <c r="IO2" s="566"/>
      <c r="IP2" s="566"/>
      <c r="IQ2" s="566"/>
      <c r="IR2" s="566"/>
      <c r="IS2" s="566"/>
      <c r="IT2" s="566"/>
      <c r="IU2" s="566"/>
      <c r="IV2" s="566"/>
      <c r="IW2" s="566"/>
      <c r="IX2" s="566"/>
      <c r="IY2" s="566"/>
      <c r="IZ2" s="566"/>
      <c r="JA2" s="566"/>
    </row>
    <row r="3" spans="1:261" s="553" customFormat="1" ht="18" customHeight="1">
      <c r="A3" s="567" t="s">
        <v>6642</v>
      </c>
      <c r="B3" s="567"/>
      <c r="C3" s="567"/>
      <c r="D3" s="567"/>
      <c r="E3" s="567"/>
      <c r="F3" s="567"/>
      <c r="G3" s="567"/>
      <c r="H3" s="567"/>
      <c r="I3" s="567"/>
      <c r="J3" s="567"/>
      <c r="K3" s="567"/>
      <c r="L3" s="567"/>
      <c r="M3" s="567"/>
      <c r="N3" s="567"/>
      <c r="O3" s="567"/>
      <c r="P3" s="567"/>
      <c r="Q3" s="567"/>
      <c r="R3" s="567">
        <v>1</v>
      </c>
      <c r="S3" s="567">
        <v>1</v>
      </c>
      <c r="T3" s="567">
        <v>1</v>
      </c>
      <c r="U3" s="567"/>
      <c r="V3" s="567"/>
      <c r="W3" s="567">
        <v>1</v>
      </c>
      <c r="X3" s="567"/>
      <c r="Y3" s="567">
        <v>1</v>
      </c>
      <c r="Z3" s="567"/>
      <c r="AA3" s="567">
        <v>1</v>
      </c>
      <c r="AB3" s="567"/>
      <c r="AC3" s="567">
        <v>1</v>
      </c>
      <c r="AD3" s="567"/>
      <c r="AE3" s="567"/>
      <c r="AF3" s="567"/>
      <c r="AG3" s="567">
        <v>1</v>
      </c>
      <c r="AH3" s="567"/>
      <c r="AI3" s="567"/>
      <c r="AJ3" s="567">
        <v>1</v>
      </c>
      <c r="AK3" s="567"/>
      <c r="AL3" s="567">
        <v>1</v>
      </c>
      <c r="AM3" s="567">
        <v>1</v>
      </c>
      <c r="AN3" s="567">
        <v>1</v>
      </c>
      <c r="AO3" s="567">
        <v>1</v>
      </c>
      <c r="AP3" s="567"/>
      <c r="AQ3" s="567"/>
      <c r="AR3" s="567">
        <v>1</v>
      </c>
      <c r="AS3" s="567"/>
      <c r="AT3" s="567"/>
      <c r="AU3" s="567">
        <v>1</v>
      </c>
      <c r="AV3" s="567">
        <v>1</v>
      </c>
      <c r="AW3" s="567"/>
      <c r="AX3" s="567"/>
      <c r="AY3" s="567"/>
      <c r="AZ3" s="567"/>
      <c r="BA3" s="567"/>
      <c r="BB3" s="567"/>
      <c r="BC3" s="567"/>
      <c r="BD3" s="567"/>
      <c r="BE3" s="567"/>
      <c r="BF3" s="567"/>
      <c r="BG3" s="567"/>
      <c r="BH3" s="567">
        <v>1</v>
      </c>
      <c r="BI3" s="567"/>
      <c r="BJ3" s="567"/>
      <c r="BK3" s="567"/>
      <c r="BL3" s="567"/>
      <c r="BM3" s="567"/>
      <c r="BN3" s="567"/>
      <c r="BO3" s="567"/>
      <c r="BP3" s="567"/>
      <c r="BQ3" s="567"/>
      <c r="BR3" s="567">
        <v>1</v>
      </c>
      <c r="BS3" s="567"/>
      <c r="BT3" s="567"/>
      <c r="BU3" s="567"/>
      <c r="BV3" s="567"/>
      <c r="BW3" s="567">
        <v>1</v>
      </c>
      <c r="BX3" s="567"/>
      <c r="BY3" s="567">
        <v>1</v>
      </c>
      <c r="BZ3" s="567"/>
      <c r="CA3" s="567"/>
      <c r="CB3" s="567"/>
      <c r="CC3" s="567"/>
      <c r="CD3" s="567"/>
      <c r="CE3" s="567"/>
      <c r="CF3" s="567"/>
      <c r="CG3" s="567"/>
      <c r="CH3" s="567"/>
      <c r="CI3" s="567"/>
      <c r="CJ3" s="567"/>
      <c r="CK3" s="567"/>
      <c r="CL3" s="567"/>
      <c r="CM3" s="567"/>
      <c r="CN3" s="567"/>
      <c r="CO3" s="567"/>
      <c r="CP3" s="567"/>
      <c r="CQ3" s="567"/>
      <c r="CR3" s="567">
        <v>1</v>
      </c>
      <c r="CS3" s="567">
        <v>1</v>
      </c>
      <c r="CT3" s="567"/>
      <c r="CU3" s="567"/>
      <c r="CV3" s="567"/>
      <c r="CW3" s="567"/>
      <c r="CX3" s="567"/>
      <c r="CY3" s="567"/>
      <c r="CZ3" s="567"/>
      <c r="DA3" s="567">
        <v>1</v>
      </c>
      <c r="DB3" s="567"/>
      <c r="DC3" s="567">
        <v>1</v>
      </c>
      <c r="DD3" s="567">
        <v>1</v>
      </c>
      <c r="DE3" s="567">
        <v>1</v>
      </c>
      <c r="DF3" s="567"/>
      <c r="DG3" s="567">
        <v>1</v>
      </c>
      <c r="DH3" s="567">
        <v>1</v>
      </c>
      <c r="DI3" s="567">
        <v>1</v>
      </c>
      <c r="DJ3" s="567">
        <v>1</v>
      </c>
      <c r="DK3" s="567">
        <v>1</v>
      </c>
      <c r="DL3" s="567"/>
      <c r="DM3" s="567"/>
      <c r="DN3" s="567"/>
      <c r="DO3" s="567">
        <v>1</v>
      </c>
      <c r="DP3" s="567"/>
      <c r="DQ3" s="567"/>
      <c r="DR3" s="567"/>
      <c r="DS3" s="567"/>
      <c r="DT3" s="567"/>
      <c r="DU3" s="567"/>
      <c r="DV3" s="567"/>
      <c r="DW3" s="567"/>
      <c r="DX3" s="567"/>
      <c r="DY3" s="567"/>
      <c r="DZ3" s="567"/>
      <c r="EA3" s="567"/>
      <c r="EB3" s="567"/>
      <c r="EC3" s="567"/>
      <c r="ED3" s="567"/>
      <c r="EE3" s="567"/>
      <c r="EF3" s="567"/>
      <c r="EG3" s="567"/>
      <c r="EH3" s="567"/>
      <c r="EI3" s="567"/>
      <c r="EJ3" s="567"/>
      <c r="EK3" s="567"/>
      <c r="EL3" s="567"/>
      <c r="EM3" s="567"/>
      <c r="EN3" s="567"/>
      <c r="EO3" s="567">
        <v>1</v>
      </c>
      <c r="EP3" s="567"/>
      <c r="EQ3" s="567"/>
      <c r="ER3" s="567"/>
      <c r="ES3" s="567">
        <v>1</v>
      </c>
      <c r="ET3" s="567"/>
      <c r="EU3" s="567"/>
      <c r="EV3" s="567"/>
      <c r="EW3" s="567">
        <v>1</v>
      </c>
      <c r="EX3" s="567"/>
      <c r="EY3" s="567"/>
      <c r="EZ3" s="567"/>
      <c r="FA3" s="567"/>
      <c r="FB3" s="567"/>
      <c r="FC3" s="567"/>
      <c r="FD3" s="567"/>
      <c r="FE3" s="567"/>
      <c r="FF3" s="567"/>
      <c r="FG3" s="567">
        <v>1</v>
      </c>
      <c r="FH3" s="567">
        <v>1</v>
      </c>
      <c r="FI3" s="567"/>
      <c r="FJ3" s="567">
        <v>1</v>
      </c>
      <c r="FK3" s="567"/>
      <c r="FL3" s="567"/>
      <c r="FM3" s="567"/>
      <c r="FN3" s="567">
        <v>1</v>
      </c>
      <c r="FO3" s="567">
        <v>1</v>
      </c>
      <c r="FP3" s="567"/>
      <c r="FQ3" s="567">
        <v>1</v>
      </c>
      <c r="FR3" s="567"/>
      <c r="FS3" s="567"/>
      <c r="FT3" s="567"/>
      <c r="FU3" s="567"/>
      <c r="FV3" s="567"/>
      <c r="FW3" s="567"/>
      <c r="FX3" s="567"/>
      <c r="FY3" s="567"/>
      <c r="FZ3" s="567"/>
      <c r="GA3" s="567"/>
      <c r="GB3" s="567"/>
      <c r="GC3" s="567"/>
      <c r="GD3" s="567"/>
      <c r="GE3" s="567">
        <v>1</v>
      </c>
      <c r="GF3" s="567"/>
      <c r="GG3" s="567"/>
      <c r="GH3" s="567">
        <v>1</v>
      </c>
      <c r="GI3" s="567">
        <v>1</v>
      </c>
      <c r="GJ3" s="567">
        <v>1</v>
      </c>
      <c r="GK3" s="567">
        <v>1</v>
      </c>
      <c r="GL3" s="567"/>
      <c r="GM3" s="567"/>
      <c r="GN3" s="567"/>
      <c r="GO3" s="567"/>
      <c r="GP3" s="567"/>
      <c r="GQ3" s="567"/>
      <c r="GR3" s="567"/>
      <c r="GS3" s="567"/>
      <c r="GT3" s="567"/>
      <c r="GU3" s="567"/>
      <c r="GV3" s="567"/>
      <c r="GW3" s="567"/>
      <c r="GX3" s="567"/>
      <c r="GY3" s="567"/>
      <c r="GZ3" s="567">
        <v>1</v>
      </c>
      <c r="HA3" s="567"/>
      <c r="HB3" s="567">
        <v>1</v>
      </c>
      <c r="HC3" s="567"/>
      <c r="HD3" s="567">
        <v>1</v>
      </c>
      <c r="HE3" s="567"/>
      <c r="HF3" s="567"/>
      <c r="HG3" s="567"/>
      <c r="HH3" s="567"/>
      <c r="HI3" s="567"/>
      <c r="HJ3" s="567"/>
      <c r="HK3" s="567"/>
      <c r="HL3" s="567"/>
      <c r="HM3" s="567"/>
      <c r="HN3" s="567"/>
      <c r="HO3" s="567"/>
      <c r="HP3" s="567">
        <v>1</v>
      </c>
      <c r="HQ3" s="567"/>
      <c r="HR3" s="567"/>
      <c r="HS3" s="567"/>
      <c r="HT3" s="567"/>
      <c r="HU3" s="567"/>
      <c r="HV3" s="567"/>
      <c r="HW3" s="567"/>
      <c r="HX3" s="567"/>
      <c r="HY3" s="567"/>
      <c r="HZ3" s="567"/>
      <c r="IA3" s="567"/>
      <c r="IB3" s="567"/>
      <c r="IC3" s="567"/>
      <c r="ID3" s="568"/>
      <c r="IE3" s="568"/>
      <c r="IF3" s="568"/>
      <c r="IG3" s="568"/>
      <c r="IH3" s="568"/>
      <c r="II3" s="568"/>
      <c r="IJ3" s="568"/>
      <c r="IK3" s="568"/>
      <c r="IL3" s="568"/>
      <c r="IM3" s="568"/>
      <c r="IN3" s="568"/>
      <c r="IO3" s="568"/>
      <c r="IP3" s="568"/>
      <c r="IQ3" s="568"/>
      <c r="IR3" s="568"/>
      <c r="IS3" s="568"/>
      <c r="IT3" s="568"/>
      <c r="IU3" s="568"/>
      <c r="IV3" s="568"/>
      <c r="IW3" s="568"/>
      <c r="IX3" s="568"/>
      <c r="IY3" s="568"/>
      <c r="IZ3" s="568"/>
      <c r="JA3" s="568"/>
    </row>
    <row r="4" spans="1:261" s="553" customFormat="1" ht="18" customHeight="1">
      <c r="A4" s="567" t="s">
        <v>6643</v>
      </c>
      <c r="B4" s="569"/>
      <c r="C4" s="569"/>
      <c r="D4" s="569"/>
      <c r="E4" s="569"/>
      <c r="F4" s="569"/>
      <c r="G4" s="569"/>
      <c r="H4" s="569"/>
      <c r="I4" s="569"/>
      <c r="J4" s="570"/>
      <c r="K4" s="569"/>
      <c r="L4" s="569"/>
      <c r="M4" s="569"/>
      <c r="N4" s="569"/>
      <c r="O4" s="569"/>
      <c r="P4" s="569"/>
      <c r="Q4" s="569"/>
      <c r="R4" s="569"/>
      <c r="S4" s="569"/>
      <c r="T4" s="569"/>
      <c r="U4" s="569"/>
      <c r="V4" s="569"/>
      <c r="W4" s="569"/>
      <c r="X4" s="569"/>
      <c r="Y4" s="569">
        <v>1</v>
      </c>
      <c r="Z4" s="569"/>
      <c r="AA4" s="569">
        <v>1</v>
      </c>
      <c r="AB4" s="569"/>
      <c r="AC4" s="569"/>
      <c r="AD4" s="569"/>
      <c r="AE4" s="569"/>
      <c r="AF4" s="569"/>
      <c r="AG4" s="569">
        <v>1</v>
      </c>
      <c r="AH4" s="569"/>
      <c r="AI4" s="569"/>
      <c r="AJ4" s="569"/>
      <c r="AK4" s="569"/>
      <c r="AL4" s="569"/>
      <c r="AM4" s="569"/>
      <c r="AN4" s="569">
        <v>1</v>
      </c>
      <c r="AO4" s="569"/>
      <c r="AP4" s="569"/>
      <c r="AQ4" s="569"/>
      <c r="AR4" s="569"/>
      <c r="AS4" s="569"/>
      <c r="AT4" s="569"/>
      <c r="AU4" s="569"/>
      <c r="AV4" s="569"/>
      <c r="AW4" s="569"/>
      <c r="AX4" s="569"/>
      <c r="AY4" s="569"/>
      <c r="AZ4" s="569"/>
      <c r="BA4" s="569"/>
      <c r="BB4" s="569"/>
      <c r="BC4" s="569"/>
      <c r="BD4" s="569"/>
      <c r="BE4" s="569"/>
      <c r="BF4" s="569"/>
      <c r="BG4" s="569"/>
      <c r="BH4" s="569"/>
      <c r="BI4" s="569"/>
      <c r="BJ4" s="569"/>
      <c r="BK4" s="569"/>
      <c r="BL4" s="569"/>
      <c r="BM4" s="569"/>
      <c r="BN4" s="569"/>
      <c r="BO4" s="569"/>
      <c r="BP4" s="569"/>
      <c r="BQ4" s="569"/>
      <c r="BR4" s="569"/>
      <c r="BS4" s="569"/>
      <c r="BT4" s="569"/>
      <c r="BU4" s="569"/>
      <c r="BV4" s="569"/>
      <c r="BW4" s="569"/>
      <c r="BX4" s="569"/>
      <c r="BY4" s="569"/>
      <c r="BZ4" s="569"/>
      <c r="CA4" s="569"/>
      <c r="CB4" s="569"/>
      <c r="CC4" s="569"/>
      <c r="CD4" s="569"/>
      <c r="CE4" s="569"/>
      <c r="CF4" s="569"/>
      <c r="CG4" s="569"/>
      <c r="CH4" s="569"/>
      <c r="CI4" s="569"/>
      <c r="CJ4" s="569"/>
      <c r="CK4" s="569"/>
      <c r="CL4" s="569"/>
      <c r="CM4" s="569"/>
      <c r="CN4" s="569"/>
      <c r="CO4" s="569"/>
      <c r="CP4" s="569"/>
      <c r="CQ4" s="569"/>
      <c r="CR4" s="569"/>
      <c r="CS4" s="569"/>
      <c r="CT4" s="569"/>
      <c r="CU4" s="569"/>
      <c r="CV4" s="569"/>
      <c r="CW4" s="569"/>
      <c r="CX4" s="569"/>
      <c r="CY4" s="569"/>
      <c r="CZ4" s="569"/>
      <c r="DA4" s="569"/>
      <c r="DB4" s="569"/>
      <c r="DC4" s="569"/>
      <c r="DD4" s="569"/>
      <c r="DE4" s="569">
        <v>1</v>
      </c>
      <c r="DF4" s="569"/>
      <c r="DG4" s="569"/>
      <c r="DH4" s="569"/>
      <c r="DI4" s="569"/>
      <c r="DJ4" s="569"/>
      <c r="DK4" s="569"/>
      <c r="DL4" s="569"/>
      <c r="DM4" s="569"/>
      <c r="DN4" s="569"/>
      <c r="DO4" s="569"/>
      <c r="DP4" s="569"/>
      <c r="DQ4" s="569"/>
      <c r="DR4" s="569"/>
      <c r="DS4" s="569"/>
      <c r="DT4" s="569"/>
      <c r="DU4" s="569"/>
      <c r="DV4" s="569"/>
      <c r="DW4" s="569"/>
      <c r="DX4" s="569"/>
      <c r="DY4" s="569"/>
      <c r="DZ4" s="569"/>
      <c r="EA4" s="569"/>
      <c r="EB4" s="569"/>
      <c r="EC4" s="569"/>
      <c r="ED4" s="569"/>
      <c r="EE4" s="569"/>
      <c r="EF4" s="569"/>
      <c r="EG4" s="569"/>
      <c r="EH4" s="569"/>
      <c r="EI4" s="569"/>
      <c r="EJ4" s="569"/>
      <c r="EK4" s="569"/>
      <c r="EL4" s="569"/>
      <c r="EM4" s="569"/>
      <c r="EN4" s="569"/>
      <c r="EO4" s="569"/>
      <c r="EP4" s="569"/>
      <c r="EQ4" s="569"/>
      <c r="ER4" s="569"/>
      <c r="ES4" s="569"/>
      <c r="ET4" s="569"/>
      <c r="EU4" s="569"/>
      <c r="EV4" s="569"/>
      <c r="EW4" s="569"/>
      <c r="EX4" s="569"/>
      <c r="EY4" s="569"/>
      <c r="EZ4" s="569"/>
      <c r="FA4" s="569"/>
      <c r="FB4" s="569"/>
      <c r="FC4" s="569"/>
      <c r="FD4" s="569"/>
      <c r="FE4" s="569"/>
      <c r="FF4" s="569"/>
      <c r="FG4" s="569"/>
      <c r="FH4" s="569"/>
      <c r="FI4" s="569"/>
      <c r="FJ4" s="569"/>
      <c r="FK4" s="569"/>
      <c r="FL4" s="569"/>
      <c r="FM4" s="569"/>
      <c r="FN4" s="569"/>
      <c r="FO4" s="569"/>
      <c r="FP4" s="569"/>
      <c r="FQ4" s="569"/>
      <c r="FR4" s="569"/>
      <c r="FS4" s="569"/>
      <c r="FT4" s="569"/>
      <c r="FU4" s="569"/>
      <c r="FV4" s="569"/>
      <c r="FW4" s="569"/>
      <c r="FX4" s="569"/>
      <c r="FY4" s="569"/>
      <c r="FZ4" s="569"/>
      <c r="GA4" s="569"/>
      <c r="GB4" s="569"/>
      <c r="GC4" s="569"/>
      <c r="GD4" s="569"/>
      <c r="GE4" s="569"/>
      <c r="GF4" s="569"/>
      <c r="GG4" s="569"/>
      <c r="GH4" s="569"/>
      <c r="GI4" s="569"/>
      <c r="GJ4" s="569"/>
      <c r="GK4" s="569"/>
      <c r="GL4" s="569"/>
      <c r="GM4" s="569"/>
      <c r="GN4" s="569"/>
      <c r="GO4" s="569"/>
      <c r="GP4" s="569"/>
      <c r="GQ4" s="569"/>
      <c r="GR4" s="569"/>
      <c r="GS4" s="569"/>
      <c r="GT4" s="569"/>
      <c r="GU4" s="569"/>
      <c r="GV4" s="569"/>
      <c r="GW4" s="569"/>
      <c r="GX4" s="569"/>
      <c r="GY4" s="569"/>
      <c r="GZ4" s="569"/>
      <c r="HA4" s="569"/>
      <c r="HB4" s="569"/>
      <c r="HC4" s="569"/>
      <c r="HD4" s="569"/>
      <c r="HE4" s="569"/>
      <c r="HF4" s="569"/>
      <c r="HG4" s="569"/>
      <c r="HH4" s="569"/>
      <c r="HI4" s="569"/>
      <c r="HJ4" s="569"/>
      <c r="HK4" s="569"/>
      <c r="HL4" s="569"/>
      <c r="HM4" s="569"/>
      <c r="HN4" s="569"/>
      <c r="HO4" s="569"/>
      <c r="HP4" s="569"/>
      <c r="HQ4" s="569"/>
      <c r="HR4" s="569"/>
      <c r="HS4" s="569"/>
      <c r="HT4" s="569"/>
      <c r="HU4" s="569"/>
      <c r="HV4" s="569"/>
      <c r="HW4" s="569"/>
      <c r="HX4" s="569"/>
      <c r="HY4" s="569"/>
      <c r="HZ4" s="569"/>
      <c r="IA4" s="569"/>
      <c r="IB4" s="569"/>
      <c r="IC4" s="569"/>
      <c r="ID4" s="568"/>
      <c r="IE4" s="568"/>
      <c r="IF4" s="568"/>
      <c r="IG4" s="568"/>
      <c r="IH4" s="568"/>
      <c r="II4" s="568"/>
      <c r="IJ4" s="568"/>
      <c r="IK4" s="568"/>
      <c r="IL4" s="568"/>
      <c r="IM4" s="568"/>
      <c r="IN4" s="568"/>
      <c r="IO4" s="568"/>
      <c r="IP4" s="568"/>
      <c r="IQ4" s="568"/>
      <c r="IR4" s="568"/>
      <c r="IS4" s="568"/>
      <c r="IT4" s="568"/>
      <c r="IU4" s="568"/>
      <c r="IV4" s="568"/>
      <c r="IW4" s="568"/>
      <c r="IX4" s="568"/>
      <c r="IY4" s="568"/>
      <c r="IZ4" s="568"/>
      <c r="JA4" s="568"/>
    </row>
    <row r="5" spans="1:261" s="554" customFormat="1" ht="18" customHeight="1">
      <c r="A5" s="571" t="s">
        <v>6644</v>
      </c>
      <c r="B5" s="572"/>
      <c r="C5" s="569"/>
      <c r="D5" s="572"/>
      <c r="E5" s="572"/>
      <c r="F5" s="572"/>
      <c r="G5" s="572"/>
      <c r="H5" s="572"/>
      <c r="I5" s="572"/>
      <c r="J5" s="572"/>
      <c r="K5" s="572">
        <v>2</v>
      </c>
      <c r="L5" s="572">
        <v>2</v>
      </c>
      <c r="M5" s="572">
        <v>1</v>
      </c>
      <c r="N5" s="572"/>
      <c r="O5" s="572"/>
      <c r="P5" s="572">
        <v>1</v>
      </c>
      <c r="Q5" s="572">
        <v>2</v>
      </c>
      <c r="R5" s="572"/>
      <c r="S5" s="572"/>
      <c r="T5" s="572">
        <v>1</v>
      </c>
      <c r="U5" s="572">
        <v>2</v>
      </c>
      <c r="V5" s="572">
        <v>1</v>
      </c>
      <c r="W5" s="572"/>
      <c r="X5" s="572">
        <v>2</v>
      </c>
      <c r="Y5" s="572"/>
      <c r="Z5" s="572">
        <v>1</v>
      </c>
      <c r="AA5" s="572">
        <v>1</v>
      </c>
      <c r="AB5" s="572"/>
      <c r="AC5" s="572"/>
      <c r="AD5" s="572">
        <v>1</v>
      </c>
      <c r="AE5" s="572"/>
      <c r="AF5" s="572">
        <v>1</v>
      </c>
      <c r="AG5" s="572"/>
      <c r="AH5" s="572"/>
      <c r="AI5" s="572"/>
      <c r="AJ5" s="572"/>
      <c r="AK5" s="572">
        <v>2</v>
      </c>
      <c r="AL5" s="572"/>
      <c r="AM5" s="572">
        <v>2</v>
      </c>
      <c r="AN5" s="572">
        <v>1</v>
      </c>
      <c r="AO5" s="572">
        <v>2</v>
      </c>
      <c r="AP5" s="572">
        <v>1</v>
      </c>
      <c r="AQ5" s="572"/>
      <c r="AR5" s="572">
        <v>1</v>
      </c>
      <c r="AS5" s="572">
        <v>1</v>
      </c>
      <c r="AT5" s="572">
        <v>2</v>
      </c>
      <c r="AU5" s="572">
        <v>2</v>
      </c>
      <c r="AV5" s="572"/>
      <c r="AW5" s="572">
        <v>2</v>
      </c>
      <c r="AX5" s="572"/>
      <c r="AY5" s="572"/>
      <c r="AZ5" s="572">
        <v>1</v>
      </c>
      <c r="BA5" s="572">
        <v>2</v>
      </c>
      <c r="BB5" s="572">
        <v>1</v>
      </c>
      <c r="BC5" s="572"/>
      <c r="BD5" s="572">
        <v>2</v>
      </c>
      <c r="BE5" s="572"/>
      <c r="BF5" s="572"/>
      <c r="BG5" s="572">
        <v>2</v>
      </c>
      <c r="BH5" s="572"/>
      <c r="BI5" s="572">
        <v>1</v>
      </c>
      <c r="BJ5" s="572"/>
      <c r="BK5" s="572"/>
      <c r="BL5" s="572">
        <v>2</v>
      </c>
      <c r="BM5" s="572"/>
      <c r="BN5" s="572">
        <v>2</v>
      </c>
      <c r="BO5" s="572">
        <v>2</v>
      </c>
      <c r="BP5" s="572">
        <v>2</v>
      </c>
      <c r="BQ5" s="572">
        <v>2</v>
      </c>
      <c r="BR5" s="572"/>
      <c r="BS5" s="572">
        <v>1</v>
      </c>
      <c r="BT5" s="572">
        <v>1</v>
      </c>
      <c r="BU5" s="572">
        <v>1</v>
      </c>
      <c r="BV5" s="572"/>
      <c r="BW5" s="572"/>
      <c r="BX5" s="572"/>
      <c r="BY5" s="572"/>
      <c r="BZ5" s="572"/>
      <c r="CA5" s="572">
        <v>2</v>
      </c>
      <c r="CB5" s="572"/>
      <c r="CC5" s="572"/>
      <c r="CD5" s="572">
        <v>2</v>
      </c>
      <c r="CE5" s="572">
        <v>1</v>
      </c>
      <c r="CF5" s="572"/>
      <c r="CG5" s="572"/>
      <c r="CH5" s="572">
        <v>1</v>
      </c>
      <c r="CI5" s="572">
        <v>1</v>
      </c>
      <c r="CJ5" s="572">
        <v>1</v>
      </c>
      <c r="CK5" s="572"/>
      <c r="CL5" s="572"/>
      <c r="CM5" s="572">
        <v>1</v>
      </c>
      <c r="CN5" s="572">
        <v>1</v>
      </c>
      <c r="CO5" s="572">
        <v>1</v>
      </c>
      <c r="CP5" s="572"/>
      <c r="CQ5" s="572"/>
      <c r="CR5" s="572">
        <v>1</v>
      </c>
      <c r="CS5" s="572"/>
      <c r="CT5" s="572">
        <v>1</v>
      </c>
      <c r="CU5" s="572"/>
      <c r="CV5" s="572"/>
      <c r="CW5" s="572">
        <v>2</v>
      </c>
      <c r="CX5" s="572"/>
      <c r="CY5" s="572"/>
      <c r="CZ5" s="572">
        <v>1</v>
      </c>
      <c r="DA5" s="572"/>
      <c r="DB5" s="572">
        <v>1</v>
      </c>
      <c r="DC5" s="572">
        <v>2</v>
      </c>
      <c r="DD5" s="572">
        <v>1</v>
      </c>
      <c r="DE5" s="572">
        <v>2</v>
      </c>
      <c r="DF5" s="572">
        <v>2</v>
      </c>
      <c r="DG5" s="572"/>
      <c r="DH5" s="572">
        <v>1</v>
      </c>
      <c r="DI5" s="572"/>
      <c r="DJ5" s="572"/>
      <c r="DK5" s="572"/>
      <c r="DL5" s="572">
        <v>1</v>
      </c>
      <c r="DM5" s="572">
        <v>2</v>
      </c>
      <c r="DN5" s="572">
        <v>2</v>
      </c>
      <c r="DO5" s="572">
        <v>1</v>
      </c>
      <c r="DP5" s="572">
        <v>2</v>
      </c>
      <c r="DQ5" s="572">
        <v>2</v>
      </c>
      <c r="DR5" s="572"/>
      <c r="DS5" s="572"/>
      <c r="DT5" s="572">
        <v>1</v>
      </c>
      <c r="DU5" s="572">
        <v>1</v>
      </c>
      <c r="DV5" s="572">
        <v>1</v>
      </c>
      <c r="DW5" s="572">
        <v>1</v>
      </c>
      <c r="DX5" s="572">
        <v>3</v>
      </c>
      <c r="DY5" s="572">
        <v>2</v>
      </c>
      <c r="DZ5" s="572">
        <v>1</v>
      </c>
      <c r="EA5" s="572">
        <v>1</v>
      </c>
      <c r="EB5" s="572">
        <v>1</v>
      </c>
      <c r="EC5" s="572">
        <v>1</v>
      </c>
      <c r="ED5" s="572">
        <v>2</v>
      </c>
      <c r="EE5" s="572">
        <v>2</v>
      </c>
      <c r="EF5" s="572">
        <v>2</v>
      </c>
      <c r="EG5" s="572">
        <v>2</v>
      </c>
      <c r="EH5" s="572">
        <v>1</v>
      </c>
      <c r="EI5" s="572"/>
      <c r="EJ5" s="572">
        <v>2</v>
      </c>
      <c r="EK5" s="572"/>
      <c r="EL5" s="572"/>
      <c r="EM5" s="572"/>
      <c r="EN5" s="572">
        <v>1</v>
      </c>
      <c r="EO5" s="572">
        <v>1</v>
      </c>
      <c r="EP5" s="572">
        <v>1</v>
      </c>
      <c r="EQ5" s="572"/>
      <c r="ER5" s="572">
        <v>2</v>
      </c>
      <c r="ES5" s="572"/>
      <c r="ET5" s="572">
        <v>1</v>
      </c>
      <c r="EU5" s="572"/>
      <c r="EV5" s="572"/>
      <c r="EW5" s="572">
        <v>2</v>
      </c>
      <c r="EX5" s="572">
        <v>2</v>
      </c>
      <c r="EY5" s="572">
        <v>2</v>
      </c>
      <c r="EZ5" s="572">
        <v>2</v>
      </c>
      <c r="FA5" s="572">
        <v>2</v>
      </c>
      <c r="FB5" s="572"/>
      <c r="FC5" s="572">
        <v>2</v>
      </c>
      <c r="FD5" s="572">
        <v>2</v>
      </c>
      <c r="FE5" s="572"/>
      <c r="FF5" s="572">
        <v>2</v>
      </c>
      <c r="FG5" s="572">
        <v>1</v>
      </c>
      <c r="FH5" s="572"/>
      <c r="FI5" s="572"/>
      <c r="FJ5" s="572">
        <v>1</v>
      </c>
      <c r="FK5" s="572">
        <v>1</v>
      </c>
      <c r="FL5" s="572">
        <v>1</v>
      </c>
      <c r="FM5" s="572"/>
      <c r="FN5" s="572"/>
      <c r="FO5" s="572"/>
      <c r="FP5" s="572"/>
      <c r="FQ5" s="572"/>
      <c r="FR5" s="572">
        <v>2</v>
      </c>
      <c r="FS5" s="572"/>
      <c r="FT5" s="572"/>
      <c r="FU5" s="572"/>
      <c r="FV5" s="572">
        <v>2</v>
      </c>
      <c r="FW5" s="572">
        <v>1</v>
      </c>
      <c r="FX5" s="572"/>
      <c r="FY5" s="572"/>
      <c r="FZ5" s="572"/>
      <c r="GA5" s="572">
        <v>1</v>
      </c>
      <c r="GB5" s="572"/>
      <c r="GC5" s="572"/>
      <c r="GD5" s="572">
        <v>2</v>
      </c>
      <c r="GE5" s="572"/>
      <c r="GF5" s="572"/>
      <c r="GG5" s="572">
        <v>1</v>
      </c>
      <c r="GH5" s="572"/>
      <c r="GI5" s="572"/>
      <c r="GJ5" s="572"/>
      <c r="GK5" s="572">
        <v>1</v>
      </c>
      <c r="GL5" s="572">
        <v>2</v>
      </c>
      <c r="GM5" s="572">
        <v>2</v>
      </c>
      <c r="GN5" s="572">
        <v>2</v>
      </c>
      <c r="GO5" s="572"/>
      <c r="GP5" s="572"/>
      <c r="GQ5" s="572"/>
      <c r="GR5" s="572"/>
      <c r="GS5" s="572">
        <v>2</v>
      </c>
      <c r="GT5" s="572">
        <v>2</v>
      </c>
      <c r="GU5" s="572">
        <v>1</v>
      </c>
      <c r="GV5" s="572">
        <v>2</v>
      </c>
      <c r="GW5" s="572"/>
      <c r="GX5" s="572"/>
      <c r="GY5" s="572">
        <v>1</v>
      </c>
      <c r="GZ5" s="572"/>
      <c r="HA5" s="572"/>
      <c r="HB5" s="572">
        <v>1</v>
      </c>
      <c r="HC5" s="572">
        <v>1</v>
      </c>
      <c r="HD5" s="572">
        <v>1</v>
      </c>
      <c r="HE5" s="572">
        <v>1</v>
      </c>
      <c r="HF5" s="572"/>
      <c r="HG5" s="572"/>
      <c r="HH5" s="572">
        <v>1</v>
      </c>
      <c r="HI5" s="572">
        <v>1</v>
      </c>
      <c r="HJ5" s="572">
        <v>1</v>
      </c>
      <c r="HK5" s="572"/>
      <c r="HL5" s="572">
        <v>1</v>
      </c>
      <c r="HM5" s="572">
        <v>1</v>
      </c>
      <c r="HN5" s="572"/>
      <c r="HO5" s="572">
        <v>2</v>
      </c>
      <c r="HP5" s="572">
        <v>1</v>
      </c>
      <c r="HQ5" s="572"/>
      <c r="HR5" s="572">
        <v>2</v>
      </c>
      <c r="HS5" s="572">
        <v>2</v>
      </c>
      <c r="HT5" s="572"/>
      <c r="HU5" s="572">
        <v>2</v>
      </c>
      <c r="HV5" s="572"/>
      <c r="HW5" s="572">
        <v>1</v>
      </c>
      <c r="HX5" s="572">
        <v>1</v>
      </c>
      <c r="HY5" s="572">
        <v>1</v>
      </c>
      <c r="HZ5" s="572"/>
      <c r="IA5" s="572">
        <v>1</v>
      </c>
      <c r="IB5" s="572"/>
      <c r="IC5" s="572">
        <v>1</v>
      </c>
      <c r="ID5" s="573"/>
      <c r="IE5" s="573"/>
      <c r="IF5" s="573"/>
      <c r="IG5" s="573"/>
      <c r="IH5" s="573"/>
      <c r="II5" s="573"/>
      <c r="IJ5" s="573"/>
      <c r="IK5" s="573"/>
      <c r="IL5" s="573"/>
      <c r="IM5" s="573"/>
      <c r="IN5" s="573"/>
      <c r="IO5" s="573"/>
      <c r="IP5" s="573"/>
      <c r="IQ5" s="573"/>
      <c r="IR5" s="573"/>
      <c r="IS5" s="573"/>
      <c r="IT5" s="573"/>
      <c r="IU5" s="573"/>
      <c r="IV5" s="573"/>
      <c r="IW5" s="573"/>
      <c r="IX5" s="573"/>
      <c r="IY5" s="573"/>
      <c r="IZ5" s="573"/>
      <c r="JA5" s="573"/>
    </row>
    <row r="6" spans="1:261" s="553" customFormat="1" ht="18" customHeight="1">
      <c r="A6" s="553" t="s">
        <v>6645</v>
      </c>
      <c r="AN6" s="553">
        <v>1</v>
      </c>
      <c r="DG6" s="553">
        <v>1</v>
      </c>
      <c r="DJ6" s="553">
        <v>1</v>
      </c>
      <c r="GH6" s="553">
        <v>1</v>
      </c>
      <c r="GI6" s="553">
        <v>1</v>
      </c>
      <c r="GZ6" s="553">
        <v>1</v>
      </c>
      <c r="HT6" s="553">
        <v>1</v>
      </c>
      <c r="HZ6" s="553">
        <v>1</v>
      </c>
    </row>
    <row r="7" spans="1:261" ht="18" customHeight="1">
      <c r="A7" s="553" t="s">
        <v>130</v>
      </c>
      <c r="B7" s="574"/>
      <c r="C7" s="574">
        <f>职业列表!J12</f>
        <v>0</v>
      </c>
      <c r="D7" s="574">
        <v>2</v>
      </c>
      <c r="E7" s="574">
        <v>2</v>
      </c>
      <c r="F7" s="574">
        <v>2</v>
      </c>
      <c r="G7" s="574">
        <v>2</v>
      </c>
      <c r="H7" s="574">
        <v>2</v>
      </c>
      <c r="I7" s="574">
        <v>2</v>
      </c>
      <c r="J7" s="574">
        <v>2</v>
      </c>
      <c r="K7" s="574">
        <v>1</v>
      </c>
      <c r="L7" s="574">
        <v>2</v>
      </c>
      <c r="M7" s="574"/>
      <c r="N7" s="574"/>
      <c r="O7" s="574">
        <v>1</v>
      </c>
      <c r="P7" s="574">
        <v>1</v>
      </c>
      <c r="Q7" s="574"/>
      <c r="R7" s="574"/>
      <c r="S7" s="574"/>
      <c r="T7" s="574">
        <v>2</v>
      </c>
      <c r="U7" s="574"/>
      <c r="V7" s="574">
        <v>1</v>
      </c>
      <c r="W7" s="574">
        <v>1</v>
      </c>
      <c r="X7" s="574">
        <v>1</v>
      </c>
      <c r="Y7" s="574"/>
      <c r="Z7" s="574"/>
      <c r="AA7" s="574"/>
      <c r="AB7" s="574">
        <v>2</v>
      </c>
      <c r="AC7" s="574">
        <v>1</v>
      </c>
      <c r="AD7" s="574">
        <v>1</v>
      </c>
      <c r="AE7" s="574">
        <v>2</v>
      </c>
      <c r="AF7" s="574">
        <v>2</v>
      </c>
      <c r="AG7" s="574"/>
      <c r="AH7" s="574">
        <v>2</v>
      </c>
      <c r="AI7" s="574"/>
      <c r="AJ7" s="574">
        <v>1</v>
      </c>
      <c r="AK7" s="574"/>
      <c r="AL7" s="574"/>
      <c r="AM7" s="574"/>
      <c r="AN7" s="574"/>
      <c r="AO7" s="574">
        <v>1</v>
      </c>
      <c r="AP7" s="574">
        <v>1</v>
      </c>
      <c r="AQ7" s="574">
        <v>1</v>
      </c>
      <c r="AR7" s="574"/>
      <c r="AS7" s="574"/>
      <c r="AT7" s="574">
        <v>2</v>
      </c>
      <c r="AU7" s="574"/>
      <c r="AV7" s="574">
        <v>1</v>
      </c>
      <c r="AW7" s="574">
        <v>3</v>
      </c>
      <c r="AX7" s="574">
        <v>1</v>
      </c>
      <c r="AY7" s="574">
        <v>2</v>
      </c>
      <c r="AZ7" s="574">
        <v>2</v>
      </c>
      <c r="BA7" s="574">
        <v>1</v>
      </c>
      <c r="BB7" s="574">
        <v>1</v>
      </c>
      <c r="BC7" s="574">
        <v>1</v>
      </c>
      <c r="BD7" s="574">
        <v>1</v>
      </c>
      <c r="BE7" s="574"/>
      <c r="BF7" s="574">
        <v>1</v>
      </c>
      <c r="BG7" s="574">
        <v>2</v>
      </c>
      <c r="BH7" s="574"/>
      <c r="BI7" s="574">
        <v>1</v>
      </c>
      <c r="BJ7" s="574">
        <v>1</v>
      </c>
      <c r="BK7" s="574"/>
      <c r="BL7" s="574">
        <v>1</v>
      </c>
      <c r="BM7" s="574"/>
      <c r="BN7" s="574"/>
      <c r="BO7" s="574"/>
      <c r="BP7" s="574">
        <v>2</v>
      </c>
      <c r="BQ7" s="574"/>
      <c r="BR7" s="574">
        <v>1</v>
      </c>
      <c r="BS7" s="574"/>
      <c r="BT7" s="574">
        <v>2</v>
      </c>
      <c r="BU7" s="574"/>
      <c r="BV7" s="574"/>
      <c r="BW7" s="574">
        <v>1</v>
      </c>
      <c r="BX7" s="574">
        <v>1</v>
      </c>
      <c r="BY7" s="574"/>
      <c r="BZ7" s="574">
        <v>1</v>
      </c>
      <c r="CA7" s="574">
        <v>2</v>
      </c>
      <c r="CB7" s="574">
        <v>4</v>
      </c>
      <c r="CC7" s="574">
        <v>2</v>
      </c>
      <c r="CD7" s="574">
        <v>1</v>
      </c>
      <c r="CE7" s="574">
        <v>2</v>
      </c>
      <c r="CF7" s="574"/>
      <c r="CG7" s="574"/>
      <c r="CH7" s="574">
        <v>4</v>
      </c>
      <c r="CI7" s="574"/>
      <c r="CJ7" s="574">
        <v>1</v>
      </c>
      <c r="CK7" s="574"/>
      <c r="CL7" s="574">
        <v>1</v>
      </c>
      <c r="CM7" s="574"/>
      <c r="CN7" s="574">
        <v>2</v>
      </c>
      <c r="CO7" s="574">
        <v>2</v>
      </c>
      <c r="CP7" s="574">
        <v>2</v>
      </c>
      <c r="CQ7" s="574">
        <v>1</v>
      </c>
      <c r="CR7" s="574">
        <v>1</v>
      </c>
      <c r="CS7" s="574"/>
      <c r="CT7" s="574">
        <v>1</v>
      </c>
      <c r="CU7" s="574">
        <v>4</v>
      </c>
      <c r="CV7" s="574">
        <v>1</v>
      </c>
      <c r="CW7" s="574">
        <v>1</v>
      </c>
      <c r="CX7" s="574"/>
      <c r="CY7" s="574">
        <v>2</v>
      </c>
      <c r="CZ7" s="574">
        <v>3</v>
      </c>
      <c r="DA7" s="574"/>
      <c r="DB7" s="574"/>
      <c r="DC7" s="574">
        <v>1</v>
      </c>
      <c r="DD7" s="574"/>
      <c r="DE7" s="574">
        <v>1</v>
      </c>
      <c r="DF7" s="574"/>
      <c r="DG7" s="574"/>
      <c r="DH7" s="574"/>
      <c r="DI7" s="574">
        <v>5</v>
      </c>
      <c r="DJ7" s="574"/>
      <c r="DK7" s="574"/>
      <c r="DL7" s="574"/>
      <c r="DM7" s="574"/>
      <c r="DN7" s="574">
        <v>1</v>
      </c>
      <c r="DO7" s="574">
        <v>2</v>
      </c>
      <c r="DP7" s="574">
        <v>2</v>
      </c>
      <c r="DQ7" s="574">
        <v>3</v>
      </c>
      <c r="DR7" s="574"/>
      <c r="DS7" s="574"/>
      <c r="DT7" s="574">
        <v>1</v>
      </c>
      <c r="DU7" s="574">
        <v>1</v>
      </c>
      <c r="DV7" s="574">
        <v>1</v>
      </c>
      <c r="DW7" s="574">
        <v>1</v>
      </c>
      <c r="DX7" s="574">
        <v>1</v>
      </c>
      <c r="DY7" s="574">
        <v>2</v>
      </c>
      <c r="DZ7" s="574">
        <v>1</v>
      </c>
      <c r="EA7" s="574">
        <v>1</v>
      </c>
      <c r="EB7" s="574">
        <v>1</v>
      </c>
      <c r="EC7" s="574"/>
      <c r="ED7" s="574">
        <v>2</v>
      </c>
      <c r="EE7" s="574"/>
      <c r="EF7" s="574">
        <v>1</v>
      </c>
      <c r="EG7" s="574">
        <v>2</v>
      </c>
      <c r="EH7" s="574">
        <v>1</v>
      </c>
      <c r="EI7" s="574">
        <v>2</v>
      </c>
      <c r="EJ7" s="574">
        <v>2</v>
      </c>
      <c r="EK7" s="574">
        <v>2</v>
      </c>
      <c r="EL7" s="574">
        <v>2</v>
      </c>
      <c r="EM7" s="574">
        <v>2</v>
      </c>
      <c r="EN7" s="574">
        <v>1</v>
      </c>
      <c r="EO7" s="574">
        <v>2</v>
      </c>
      <c r="EP7" s="574">
        <v>2</v>
      </c>
      <c r="EQ7" s="574">
        <v>1</v>
      </c>
      <c r="ER7" s="574">
        <v>1</v>
      </c>
      <c r="ES7" s="574">
        <v>1</v>
      </c>
      <c r="ET7" s="574">
        <v>3</v>
      </c>
      <c r="EU7" s="574">
        <v>2</v>
      </c>
      <c r="EV7" s="574">
        <v>2</v>
      </c>
      <c r="EW7" s="574">
        <v>1</v>
      </c>
      <c r="EX7" s="574">
        <v>1</v>
      </c>
      <c r="EY7" s="574">
        <v>4</v>
      </c>
      <c r="EZ7" s="574">
        <v>2</v>
      </c>
      <c r="FA7" s="574">
        <v>2</v>
      </c>
      <c r="FB7" s="574">
        <v>1</v>
      </c>
      <c r="FC7" s="574">
        <v>2</v>
      </c>
      <c r="FD7" s="574">
        <v>2</v>
      </c>
      <c r="FE7" s="574"/>
      <c r="FF7" s="574">
        <v>1</v>
      </c>
      <c r="FG7" s="574"/>
      <c r="FH7" s="574"/>
      <c r="FI7" s="574">
        <v>3</v>
      </c>
      <c r="FJ7" s="574">
        <v>1</v>
      </c>
      <c r="FK7" s="574">
        <v>1</v>
      </c>
      <c r="FL7" s="574">
        <v>1</v>
      </c>
      <c r="FM7" s="574">
        <v>2</v>
      </c>
      <c r="FN7" s="574">
        <v>0</v>
      </c>
      <c r="FO7" s="574">
        <v>1</v>
      </c>
      <c r="FP7" s="574">
        <v>1</v>
      </c>
      <c r="FQ7" s="574"/>
      <c r="FR7" s="574">
        <v>2</v>
      </c>
      <c r="FS7" s="574">
        <v>1</v>
      </c>
      <c r="FT7" s="574">
        <v>2</v>
      </c>
      <c r="FU7" s="574"/>
      <c r="FV7" s="574">
        <v>1</v>
      </c>
      <c r="FW7" s="574"/>
      <c r="FX7" s="574">
        <v>2</v>
      </c>
      <c r="FY7" s="574">
        <v>1</v>
      </c>
      <c r="FZ7" s="574"/>
      <c r="GA7" s="574">
        <v>1</v>
      </c>
      <c r="GB7" s="574">
        <v>1</v>
      </c>
      <c r="GC7" s="574"/>
      <c r="GD7" s="574">
        <v>2</v>
      </c>
      <c r="GE7" s="574">
        <v>1</v>
      </c>
      <c r="GF7" s="574"/>
      <c r="GG7" s="574"/>
      <c r="GH7" s="574"/>
      <c r="GI7" s="574"/>
      <c r="GJ7" s="574"/>
      <c r="GK7" s="574"/>
      <c r="GL7" s="574">
        <v>2</v>
      </c>
      <c r="GM7" s="574">
        <v>2</v>
      </c>
      <c r="GN7" s="574">
        <v>2</v>
      </c>
      <c r="GO7" s="574">
        <v>2</v>
      </c>
      <c r="GP7" s="574">
        <v>2</v>
      </c>
      <c r="GQ7" s="574">
        <v>2</v>
      </c>
      <c r="GR7" s="574">
        <v>2</v>
      </c>
      <c r="GS7" s="574"/>
      <c r="GT7" s="574">
        <v>2</v>
      </c>
      <c r="GU7" s="574"/>
      <c r="GV7" s="574">
        <v>1</v>
      </c>
      <c r="GW7" s="574">
        <v>2</v>
      </c>
      <c r="GX7" s="574">
        <v>1</v>
      </c>
      <c r="GY7" s="574">
        <v>2</v>
      </c>
      <c r="GZ7" s="574"/>
      <c r="HA7" s="574">
        <v>3</v>
      </c>
      <c r="HB7" s="574"/>
      <c r="HC7" s="574">
        <v>2</v>
      </c>
      <c r="HD7" s="574">
        <v>1</v>
      </c>
      <c r="HE7" s="574">
        <v>2</v>
      </c>
      <c r="HF7" s="574">
        <v>3</v>
      </c>
      <c r="HG7" s="574">
        <v>2</v>
      </c>
      <c r="HH7" s="574">
        <v>2</v>
      </c>
      <c r="HI7" s="574">
        <v>1</v>
      </c>
      <c r="HJ7" s="574">
        <v>2</v>
      </c>
      <c r="HK7" s="574">
        <v>2</v>
      </c>
      <c r="HL7" s="574">
        <v>1</v>
      </c>
      <c r="HM7" s="574">
        <v>1</v>
      </c>
      <c r="HN7" s="574">
        <v>6</v>
      </c>
      <c r="HO7" s="574">
        <v>3</v>
      </c>
      <c r="HP7" s="574"/>
      <c r="HQ7" s="574"/>
      <c r="HR7" s="574">
        <v>1</v>
      </c>
      <c r="HS7" s="574"/>
      <c r="HT7" s="574">
        <v>1</v>
      </c>
      <c r="HU7" s="574">
        <v>2</v>
      </c>
      <c r="HV7" s="574">
        <v>2</v>
      </c>
      <c r="HW7" s="574"/>
      <c r="HX7" s="574">
        <v>6</v>
      </c>
      <c r="HY7" s="574">
        <v>6</v>
      </c>
      <c r="HZ7" s="574">
        <v>1</v>
      </c>
      <c r="IA7" s="574">
        <v>1</v>
      </c>
      <c r="IB7" s="574">
        <v>2</v>
      </c>
      <c r="IC7" s="574"/>
    </row>
    <row r="8" spans="1:261" ht="18" customHeight="1">
      <c r="A8" s="575" t="s">
        <v>128</v>
      </c>
      <c r="B8" s="576"/>
      <c r="C8" s="577" t="str">
        <f>IF(ISTEXT(IFERROR(VLOOKUP(本职技能!A8,职业列表!I3:J15,1,FALSE),0)),"★","")</f>
        <v/>
      </c>
      <c r="D8" s="576"/>
      <c r="E8" s="576"/>
      <c r="F8" s="576"/>
      <c r="G8" s="576"/>
      <c r="H8" s="576"/>
      <c r="I8" s="576" t="s">
        <v>149</v>
      </c>
      <c r="J8" s="576"/>
      <c r="K8" s="576"/>
      <c r="L8" s="576"/>
      <c r="M8" s="576"/>
      <c r="N8" s="576"/>
      <c r="O8" s="576"/>
      <c r="P8" s="576"/>
      <c r="Q8" s="576" t="s">
        <v>149</v>
      </c>
      <c r="R8" s="576"/>
      <c r="S8" s="576" t="s">
        <v>149</v>
      </c>
      <c r="T8" s="576"/>
      <c r="U8" s="576"/>
      <c r="V8" s="576"/>
      <c r="W8" s="576"/>
      <c r="X8" s="576" t="s">
        <v>149</v>
      </c>
      <c r="Y8" s="576"/>
      <c r="Z8" s="576" t="s">
        <v>149</v>
      </c>
      <c r="AA8" s="576"/>
      <c r="AB8" s="576"/>
      <c r="AC8" s="576" t="s">
        <v>6642</v>
      </c>
      <c r="AD8" s="576" t="s">
        <v>149</v>
      </c>
      <c r="AE8" s="576"/>
      <c r="AF8" s="576"/>
      <c r="AG8" s="576"/>
      <c r="AH8" s="576" t="s">
        <v>149</v>
      </c>
      <c r="AI8" s="576"/>
      <c r="AJ8" s="576"/>
      <c r="AK8" s="576"/>
      <c r="AL8" s="576"/>
      <c r="AM8" s="576"/>
      <c r="AN8" s="576"/>
      <c r="AO8" s="576"/>
      <c r="AP8" s="576" t="s">
        <v>149</v>
      </c>
      <c r="AQ8" s="576" t="s">
        <v>149</v>
      </c>
      <c r="AR8" s="576"/>
      <c r="AS8" s="576"/>
      <c r="AT8" s="576" t="s">
        <v>149</v>
      </c>
      <c r="AU8" s="576"/>
      <c r="AV8" s="576" t="s">
        <v>149</v>
      </c>
      <c r="AW8" s="576"/>
      <c r="AX8" s="576"/>
      <c r="AY8" s="576"/>
      <c r="AZ8" s="576"/>
      <c r="BA8" s="576"/>
      <c r="BB8" s="576" t="s">
        <v>149</v>
      </c>
      <c r="BC8" s="576" t="s">
        <v>149</v>
      </c>
      <c r="BD8" s="576" t="s">
        <v>149</v>
      </c>
      <c r="BE8" s="576"/>
      <c r="BF8" s="576"/>
      <c r="BG8" s="576"/>
      <c r="BH8" s="576"/>
      <c r="BI8" s="576"/>
      <c r="BJ8" s="576"/>
      <c r="BK8" s="576"/>
      <c r="BL8" s="576"/>
      <c r="BM8" s="576"/>
      <c r="BN8" s="576" t="s">
        <v>149</v>
      </c>
      <c r="BO8" s="576"/>
      <c r="BP8" s="576"/>
      <c r="BQ8" s="576"/>
      <c r="BR8" s="576"/>
      <c r="BS8" s="576"/>
      <c r="BT8" s="576"/>
      <c r="BU8" s="576"/>
      <c r="BV8" s="576"/>
      <c r="BW8" s="576"/>
      <c r="BX8" s="576"/>
      <c r="BY8" s="576"/>
      <c r="BZ8" s="576"/>
      <c r="CA8" s="576" t="s">
        <v>149</v>
      </c>
      <c r="CB8" s="576" t="s">
        <v>149</v>
      </c>
      <c r="CC8" s="576"/>
      <c r="CD8" s="576" t="s">
        <v>149</v>
      </c>
      <c r="CE8" s="576"/>
      <c r="CF8" s="576"/>
      <c r="CG8" s="576" t="s">
        <v>149</v>
      </c>
      <c r="CH8" s="576"/>
      <c r="CI8" s="576"/>
      <c r="CJ8" s="576"/>
      <c r="CK8" s="576"/>
      <c r="CL8" s="576"/>
      <c r="CM8" s="576" t="s">
        <v>149</v>
      </c>
      <c r="CN8" s="576"/>
      <c r="CO8" s="576"/>
      <c r="CP8" s="576"/>
      <c r="CQ8" s="576" t="s">
        <v>149</v>
      </c>
      <c r="CR8" s="576"/>
      <c r="CS8" s="576"/>
      <c r="CT8" s="576"/>
      <c r="CU8" s="576"/>
      <c r="CV8" s="576"/>
      <c r="CW8" s="576"/>
      <c r="CX8" s="576"/>
      <c r="CY8" s="576" t="s">
        <v>149</v>
      </c>
      <c r="CZ8" s="576"/>
      <c r="DA8" s="576"/>
      <c r="DB8" s="576"/>
      <c r="DC8" s="576" t="s">
        <v>149</v>
      </c>
      <c r="DD8" s="576"/>
      <c r="DE8" s="576" t="s">
        <v>149</v>
      </c>
      <c r="DF8" s="576" t="s">
        <v>149</v>
      </c>
      <c r="DG8" s="576"/>
      <c r="DH8" s="576"/>
      <c r="DI8" s="576"/>
      <c r="DJ8" s="576"/>
      <c r="DK8" s="576"/>
      <c r="DL8" s="576" t="s">
        <v>149</v>
      </c>
      <c r="DM8" s="576" t="s">
        <v>149</v>
      </c>
      <c r="DN8" s="576" t="s">
        <v>149</v>
      </c>
      <c r="DO8" s="576" t="s">
        <v>149</v>
      </c>
      <c r="DP8" s="576" t="s">
        <v>149</v>
      </c>
      <c r="DQ8" s="576"/>
      <c r="DR8" s="576" t="s">
        <v>149</v>
      </c>
      <c r="DS8" s="576"/>
      <c r="DT8" s="576"/>
      <c r="DU8" s="576"/>
      <c r="DV8" s="576"/>
      <c r="DW8" s="576"/>
      <c r="DX8" s="576"/>
      <c r="DY8" s="576" t="s">
        <v>149</v>
      </c>
      <c r="DZ8" s="576" t="s">
        <v>149</v>
      </c>
      <c r="EA8" s="576" t="s">
        <v>149</v>
      </c>
      <c r="EB8" s="576"/>
      <c r="EC8" s="576"/>
      <c r="ED8" s="576"/>
      <c r="EE8" s="576"/>
      <c r="EF8" s="576" t="s">
        <v>149</v>
      </c>
      <c r="EG8" s="576" t="s">
        <v>149</v>
      </c>
      <c r="EH8" s="576"/>
      <c r="EI8" s="576" t="s">
        <v>149</v>
      </c>
      <c r="EJ8" s="576" t="s">
        <v>149</v>
      </c>
      <c r="EK8" s="576"/>
      <c r="EL8" s="576"/>
      <c r="EM8" s="576"/>
      <c r="EN8" s="576" t="s">
        <v>149</v>
      </c>
      <c r="EO8" s="576" t="s">
        <v>149</v>
      </c>
      <c r="EP8" s="576"/>
      <c r="EQ8" s="576"/>
      <c r="ER8" s="576" t="s">
        <v>149</v>
      </c>
      <c r="ES8" s="576"/>
      <c r="ET8" s="576" t="s">
        <v>149</v>
      </c>
      <c r="EU8" s="576"/>
      <c r="EV8" s="576"/>
      <c r="EW8" s="576" t="s">
        <v>149</v>
      </c>
      <c r="EX8" s="576" t="s">
        <v>149</v>
      </c>
      <c r="EY8" s="576" t="s">
        <v>149</v>
      </c>
      <c r="EZ8" s="576"/>
      <c r="FA8" s="576" t="s">
        <v>149</v>
      </c>
      <c r="FB8" s="576" t="s">
        <v>149</v>
      </c>
      <c r="FC8" s="576"/>
      <c r="FD8" s="576" t="s">
        <v>149</v>
      </c>
      <c r="FE8" s="576"/>
      <c r="FF8" s="576"/>
      <c r="FG8" s="576"/>
      <c r="FH8" s="576"/>
      <c r="FI8" s="576"/>
      <c r="FJ8" s="576"/>
      <c r="FK8" s="576"/>
      <c r="FL8" s="576"/>
      <c r="FM8" s="576"/>
      <c r="FN8" s="576"/>
      <c r="FO8" s="576"/>
      <c r="FP8" s="576"/>
      <c r="FQ8" s="576"/>
      <c r="FR8" s="576"/>
      <c r="FS8" s="576"/>
      <c r="FT8" s="576"/>
      <c r="FU8" s="576"/>
      <c r="FV8" s="576"/>
      <c r="FW8" s="576"/>
      <c r="FX8" s="576" t="s">
        <v>149</v>
      </c>
      <c r="FY8" s="576"/>
      <c r="FZ8" s="576"/>
      <c r="GA8" s="576" t="s">
        <v>149</v>
      </c>
      <c r="GB8" s="576"/>
      <c r="GC8" s="576"/>
      <c r="GD8" s="576"/>
      <c r="GE8" s="576" t="s">
        <v>149</v>
      </c>
      <c r="GF8" s="576"/>
      <c r="GG8" s="576"/>
      <c r="GH8" s="576"/>
      <c r="GI8" s="576"/>
      <c r="GJ8" s="576"/>
      <c r="GK8" s="576"/>
      <c r="GL8" s="576"/>
      <c r="GM8" s="576"/>
      <c r="GN8" s="576"/>
      <c r="GO8" s="576"/>
      <c r="GP8" s="576"/>
      <c r="GQ8" s="576"/>
      <c r="GR8" s="576"/>
      <c r="GS8" s="576"/>
      <c r="GT8" s="576"/>
      <c r="GU8" s="576"/>
      <c r="GV8" s="576"/>
      <c r="GW8" s="576"/>
      <c r="GX8" s="576"/>
      <c r="GY8" s="576"/>
      <c r="GZ8" s="576"/>
      <c r="HA8" s="576"/>
      <c r="HB8" s="576"/>
      <c r="HC8" s="576"/>
      <c r="HD8" s="576"/>
      <c r="HE8" s="577" t="s">
        <v>149</v>
      </c>
      <c r="HF8" s="576"/>
      <c r="HG8" s="576"/>
      <c r="HH8" s="576"/>
      <c r="HI8" s="576"/>
      <c r="HJ8" s="576"/>
      <c r="HK8" s="576"/>
      <c r="HL8" s="577" t="s">
        <v>149</v>
      </c>
      <c r="HM8" s="576"/>
      <c r="HN8" s="576"/>
      <c r="HO8" s="576"/>
      <c r="HP8" s="576"/>
      <c r="HQ8" s="576"/>
      <c r="HR8" s="577" t="s">
        <v>149</v>
      </c>
      <c r="HS8" s="576"/>
      <c r="HT8" s="576"/>
      <c r="HU8" s="576" t="s">
        <v>149</v>
      </c>
      <c r="HV8" s="576"/>
      <c r="HW8" s="576"/>
      <c r="HX8" s="576"/>
      <c r="HY8" s="576"/>
      <c r="HZ8" s="576" t="s">
        <v>6645</v>
      </c>
      <c r="IA8" s="576" t="s">
        <v>149</v>
      </c>
      <c r="IB8" s="576"/>
      <c r="IC8" s="576"/>
      <c r="ID8" s="566"/>
      <c r="IE8" s="566"/>
      <c r="IF8" s="566"/>
      <c r="IG8" s="566"/>
      <c r="IH8" s="566"/>
      <c r="II8" s="566"/>
      <c r="IJ8" s="566"/>
      <c r="IK8" s="566"/>
      <c r="IL8" s="566"/>
      <c r="IM8" s="566"/>
      <c r="IN8" s="566"/>
      <c r="IO8" s="566"/>
      <c r="IP8" s="566"/>
      <c r="IQ8" s="566"/>
      <c r="IR8" s="566"/>
      <c r="IS8" s="566"/>
      <c r="IT8" s="566"/>
      <c r="IU8" s="566"/>
      <c r="IV8" s="566"/>
      <c r="IW8" s="566"/>
      <c r="IX8" s="566"/>
      <c r="IY8" s="566"/>
      <c r="IZ8" s="566"/>
      <c r="JA8" s="566"/>
    </row>
    <row r="9" spans="1:261" ht="18" customHeight="1">
      <c r="A9" s="575" t="s">
        <v>135</v>
      </c>
      <c r="B9" s="576"/>
      <c r="C9" s="576" t="str">
        <f>IF(ISTEXT(IFERROR(VLOOKUP(A9,职业列表!I3:J15,1,FALSE),0)),"★","")</f>
        <v/>
      </c>
      <c r="D9" s="576"/>
      <c r="E9" s="576"/>
      <c r="F9" s="576" t="s">
        <v>149</v>
      </c>
      <c r="G9" s="576"/>
      <c r="H9" s="576"/>
      <c r="I9" s="576"/>
      <c r="J9" s="576"/>
      <c r="K9" s="576"/>
      <c r="L9" s="576"/>
      <c r="M9" s="576"/>
      <c r="N9" s="576"/>
      <c r="O9" s="576"/>
      <c r="P9" s="576"/>
      <c r="Q9" s="576"/>
      <c r="R9" s="576"/>
      <c r="S9" s="576"/>
      <c r="T9" s="576"/>
      <c r="U9" s="576"/>
      <c r="V9" s="576"/>
      <c r="W9" s="576"/>
      <c r="X9" s="576"/>
      <c r="Y9" s="576"/>
      <c r="Z9" s="576"/>
      <c r="AA9" s="576"/>
      <c r="AB9" s="576"/>
      <c r="AC9" s="576"/>
      <c r="AD9" s="576"/>
      <c r="AE9" s="576"/>
      <c r="AF9" s="576"/>
      <c r="AG9" s="576"/>
      <c r="AH9" s="576"/>
      <c r="AI9" s="576"/>
      <c r="AJ9" s="576"/>
      <c r="AK9" s="576"/>
      <c r="AL9" s="576"/>
      <c r="AM9" s="576"/>
      <c r="AN9" s="576"/>
      <c r="AO9" s="576"/>
      <c r="AP9" s="576"/>
      <c r="AQ9" s="576"/>
      <c r="AR9" s="576"/>
      <c r="AS9" s="576"/>
      <c r="AT9" s="576"/>
      <c r="AU9" s="576"/>
      <c r="AV9" s="576"/>
      <c r="AW9" s="576"/>
      <c r="AX9" s="576"/>
      <c r="AY9" s="576"/>
      <c r="AZ9" s="576"/>
      <c r="BA9" s="576"/>
      <c r="BB9" s="576"/>
      <c r="BC9" s="576"/>
      <c r="BD9" s="576"/>
      <c r="BE9" s="576"/>
      <c r="BF9" s="576"/>
      <c r="BG9" s="576"/>
      <c r="BH9" s="576"/>
      <c r="BI9" s="576"/>
      <c r="BJ9" s="576"/>
      <c r="BK9" s="576"/>
      <c r="BL9" s="576"/>
      <c r="BM9" s="576"/>
      <c r="BN9" s="576"/>
      <c r="BO9" s="576"/>
      <c r="BP9" s="576"/>
      <c r="BQ9" s="576"/>
      <c r="BR9" s="576"/>
      <c r="BS9" s="576"/>
      <c r="BT9" s="576"/>
      <c r="BU9" s="576"/>
      <c r="BV9" s="576"/>
      <c r="BW9" s="576"/>
      <c r="BX9" s="576"/>
      <c r="BY9" s="576"/>
      <c r="BZ9" s="576"/>
      <c r="CA9" s="576"/>
      <c r="CB9" s="576"/>
      <c r="CC9" s="576"/>
      <c r="CD9" s="576"/>
      <c r="CE9" s="576"/>
      <c r="CF9" s="576"/>
      <c r="CG9" s="576"/>
      <c r="CH9" s="576"/>
      <c r="CI9" s="576"/>
      <c r="CJ9" s="576" t="s">
        <v>149</v>
      </c>
      <c r="CK9" s="576"/>
      <c r="CL9" s="576" t="s">
        <v>149</v>
      </c>
      <c r="CM9" s="576"/>
      <c r="CN9" s="576"/>
      <c r="CO9" s="576"/>
      <c r="CP9" s="576"/>
      <c r="CQ9" s="576"/>
      <c r="CR9" s="576"/>
      <c r="CS9" s="576"/>
      <c r="CT9" s="576"/>
      <c r="CU9" s="576"/>
      <c r="CV9" s="576"/>
      <c r="CW9" s="576"/>
      <c r="CX9" s="576"/>
      <c r="CY9" s="576"/>
      <c r="CZ9" s="576"/>
      <c r="DA9" s="576"/>
      <c r="DB9" s="576"/>
      <c r="DC9" s="576"/>
      <c r="DD9" s="576"/>
      <c r="DE9" s="576"/>
      <c r="DF9" s="576"/>
      <c r="DG9" s="576"/>
      <c r="DH9" s="576"/>
      <c r="DI9" s="576"/>
      <c r="DJ9" s="576"/>
      <c r="DK9" s="576"/>
      <c r="DL9" s="576"/>
      <c r="DM9" s="576"/>
      <c r="DN9" s="576"/>
      <c r="DO9" s="576"/>
      <c r="DP9" s="576"/>
      <c r="DQ9" s="576"/>
      <c r="DR9" s="576"/>
      <c r="DS9" s="576"/>
      <c r="DT9" s="576"/>
      <c r="DU9" s="576"/>
      <c r="DV9" s="576"/>
      <c r="DW9" s="576"/>
      <c r="DX9" s="576"/>
      <c r="DY9" s="576"/>
      <c r="DZ9" s="576"/>
      <c r="EA9" s="576"/>
      <c r="EB9" s="576"/>
      <c r="EC9" s="576"/>
      <c r="ED9" s="576"/>
      <c r="EE9" s="576"/>
      <c r="EF9" s="576"/>
      <c r="EG9" s="576"/>
      <c r="EH9" s="576"/>
      <c r="EI9" s="576"/>
      <c r="EJ9" s="576"/>
      <c r="EK9" s="576"/>
      <c r="EL9" s="576"/>
      <c r="EM9" s="576"/>
      <c r="EN9" s="576"/>
      <c r="EO9" s="576"/>
      <c r="EP9" s="576"/>
      <c r="EQ9" s="576"/>
      <c r="ER9" s="576"/>
      <c r="ES9" s="576" t="s">
        <v>149</v>
      </c>
      <c r="ET9" s="576"/>
      <c r="EU9" s="576"/>
      <c r="EV9" s="576"/>
      <c r="EW9" s="576"/>
      <c r="EX9" s="576"/>
      <c r="EY9" s="576"/>
      <c r="EZ9" s="576"/>
      <c r="FA9" s="576"/>
      <c r="FB9" s="576"/>
      <c r="FC9" s="576"/>
      <c r="FD9" s="576"/>
      <c r="FE9" s="576"/>
      <c r="FF9" s="576"/>
      <c r="FG9" s="576"/>
      <c r="FH9" s="576"/>
      <c r="FI9" s="576"/>
      <c r="FJ9" s="576"/>
      <c r="FK9" s="576"/>
      <c r="FL9" s="576"/>
      <c r="FM9" s="576"/>
      <c r="FN9" s="576"/>
      <c r="FO9" s="576"/>
      <c r="FP9" s="576"/>
      <c r="FQ9" s="576"/>
      <c r="FR9" s="576"/>
      <c r="FS9" s="576"/>
      <c r="FT9" s="576"/>
      <c r="FU9" s="576"/>
      <c r="FV9" s="576"/>
      <c r="FW9" s="576"/>
      <c r="FX9" s="576"/>
      <c r="FY9" s="576"/>
      <c r="FZ9" s="576"/>
      <c r="GA9" s="576"/>
      <c r="GB9" s="576"/>
      <c r="GC9" s="576"/>
      <c r="GD9" s="576"/>
      <c r="GE9" s="576"/>
      <c r="GF9" s="576"/>
      <c r="GG9" s="576"/>
      <c r="GH9" s="576"/>
      <c r="GI9" s="576"/>
      <c r="GJ9" s="576"/>
      <c r="GK9" s="576"/>
      <c r="GL9" s="576"/>
      <c r="GM9" s="576"/>
      <c r="GN9" s="576"/>
      <c r="GO9" s="576"/>
      <c r="GP9" s="576"/>
      <c r="GQ9" s="576"/>
      <c r="GR9" s="576"/>
      <c r="GS9" s="576"/>
      <c r="GT9" s="576"/>
      <c r="GU9" s="576"/>
      <c r="GV9" s="576"/>
      <c r="GW9" s="576"/>
      <c r="GX9" s="576"/>
      <c r="GY9" s="576"/>
      <c r="GZ9" s="576"/>
      <c r="HA9" s="576"/>
      <c r="HB9" s="576"/>
      <c r="HC9" s="576"/>
      <c r="HD9" s="576"/>
      <c r="HE9" s="576"/>
      <c r="HF9" s="576"/>
      <c r="HG9" s="576"/>
      <c r="HH9" s="576"/>
      <c r="HI9" s="576"/>
      <c r="HJ9" s="576"/>
      <c r="HK9" s="577" t="s">
        <v>149</v>
      </c>
      <c r="HL9" s="576"/>
      <c r="HM9" s="576"/>
      <c r="HN9" s="576"/>
      <c r="HO9" s="576"/>
      <c r="HP9" s="576"/>
      <c r="HQ9" s="577" t="s">
        <v>149</v>
      </c>
      <c r="HR9" s="576"/>
      <c r="HS9" s="576"/>
      <c r="HT9" s="576"/>
      <c r="HU9" s="576"/>
      <c r="HV9" s="576"/>
      <c r="HW9" s="576"/>
      <c r="HX9" s="576"/>
      <c r="HY9" s="576"/>
      <c r="HZ9" s="576"/>
      <c r="IA9" s="576"/>
      <c r="IB9" s="576"/>
      <c r="IC9" s="576"/>
      <c r="ID9" s="566"/>
      <c r="IE9" s="566"/>
      <c r="IF9" s="566"/>
      <c r="IG9" s="566"/>
      <c r="IH9" s="566"/>
      <c r="II9" s="566"/>
      <c r="IJ9" s="566"/>
      <c r="IK9" s="566"/>
      <c r="IL9" s="566"/>
      <c r="IM9" s="566"/>
      <c r="IN9" s="566"/>
      <c r="IO9" s="566"/>
      <c r="IP9" s="566"/>
      <c r="IQ9" s="566"/>
      <c r="IR9" s="566"/>
      <c r="IS9" s="566"/>
      <c r="IT9" s="566"/>
      <c r="IU9" s="566"/>
      <c r="IV9" s="566"/>
      <c r="IW9" s="566"/>
      <c r="IX9" s="566"/>
      <c r="IY9" s="566"/>
      <c r="IZ9" s="566"/>
      <c r="JA9" s="566"/>
    </row>
    <row r="10" spans="1:261" ht="18" customHeight="1">
      <c r="A10" s="575" t="s">
        <v>137</v>
      </c>
      <c r="B10" s="576"/>
      <c r="C10" s="576" t="str">
        <f>IF(ISTEXT(IFERROR(VLOOKUP(A10,职业列表!I3:J15,1,FALSE),0)),"★","")</f>
        <v/>
      </c>
      <c r="D10" s="576"/>
      <c r="E10" s="576"/>
      <c r="F10" s="576"/>
      <c r="G10" s="576"/>
      <c r="H10" s="576"/>
      <c r="I10" s="576"/>
      <c r="J10" s="576"/>
      <c r="K10" s="576"/>
      <c r="L10" s="576"/>
      <c r="M10" s="576"/>
      <c r="N10" s="576"/>
      <c r="O10" s="576"/>
      <c r="P10" s="576" t="s">
        <v>149</v>
      </c>
      <c r="Q10" s="576" t="s">
        <v>149</v>
      </c>
      <c r="R10" s="576" t="s">
        <v>149</v>
      </c>
      <c r="S10" s="576"/>
      <c r="T10" s="576"/>
      <c r="U10" s="576"/>
      <c r="V10" s="576"/>
      <c r="W10" s="576"/>
      <c r="X10" s="576"/>
      <c r="Y10" s="576"/>
      <c r="Z10" s="576" t="s">
        <v>149</v>
      </c>
      <c r="AA10" s="576"/>
      <c r="AB10" s="576"/>
      <c r="AC10" s="576" t="s">
        <v>6642</v>
      </c>
      <c r="AD10" s="576"/>
      <c r="AE10" s="576"/>
      <c r="AF10" s="576"/>
      <c r="AG10" s="576"/>
      <c r="AH10" s="576"/>
      <c r="AI10" s="576"/>
      <c r="AJ10" s="576"/>
      <c r="AK10" s="576"/>
      <c r="AL10" s="576" t="s">
        <v>149</v>
      </c>
      <c r="AM10" s="576" t="s">
        <v>149</v>
      </c>
      <c r="AN10" s="576" t="s">
        <v>149</v>
      </c>
      <c r="AO10" s="576"/>
      <c r="AP10" s="576" t="s">
        <v>149</v>
      </c>
      <c r="AQ10" s="576" t="s">
        <v>149</v>
      </c>
      <c r="AR10" s="576"/>
      <c r="AS10" s="576"/>
      <c r="AT10" s="576"/>
      <c r="AU10" s="576"/>
      <c r="AV10" s="576"/>
      <c r="AW10" s="576"/>
      <c r="AX10" s="576"/>
      <c r="AY10" s="576"/>
      <c r="AZ10" s="576"/>
      <c r="BA10" s="576"/>
      <c r="BB10" s="576"/>
      <c r="BC10" s="576"/>
      <c r="BD10" s="576"/>
      <c r="BE10" s="576"/>
      <c r="BF10" s="576"/>
      <c r="BG10" s="576"/>
      <c r="BH10" s="576"/>
      <c r="BI10" s="576"/>
      <c r="BJ10" s="576"/>
      <c r="BK10" s="576"/>
      <c r="BL10" s="576"/>
      <c r="BM10" s="576"/>
      <c r="BN10" s="576"/>
      <c r="BO10" s="576"/>
      <c r="BP10" s="576"/>
      <c r="BQ10" s="576"/>
      <c r="BR10" s="576"/>
      <c r="BS10" s="576"/>
      <c r="BT10" s="576"/>
      <c r="BU10" s="576"/>
      <c r="BV10" s="576"/>
      <c r="BW10" s="576"/>
      <c r="BX10" s="576"/>
      <c r="BY10" s="576"/>
      <c r="BZ10" s="576"/>
      <c r="CA10" s="576"/>
      <c r="CB10" s="576"/>
      <c r="CC10" s="576"/>
      <c r="CD10" s="576"/>
      <c r="CE10" s="576"/>
      <c r="CF10" s="576"/>
      <c r="CG10" s="576" t="s">
        <v>149</v>
      </c>
      <c r="CH10" s="576"/>
      <c r="CI10" s="576"/>
      <c r="CJ10" s="576"/>
      <c r="CK10" s="576"/>
      <c r="CL10" s="576"/>
      <c r="CM10" s="576"/>
      <c r="CN10" s="576"/>
      <c r="CO10" s="576"/>
      <c r="CP10" s="576"/>
      <c r="CQ10" s="576"/>
      <c r="CR10" s="576"/>
      <c r="CS10" s="576"/>
      <c r="CT10" s="576"/>
      <c r="CU10" s="576"/>
      <c r="CV10" s="576"/>
      <c r="CW10" s="576"/>
      <c r="CX10" s="576"/>
      <c r="CY10" s="576"/>
      <c r="CZ10" s="576"/>
      <c r="DA10" s="576"/>
      <c r="DB10" s="576"/>
      <c r="DC10" s="576"/>
      <c r="DD10" s="576"/>
      <c r="DE10" s="576"/>
      <c r="DF10" s="576"/>
      <c r="DG10" s="576"/>
      <c r="DH10" s="576"/>
      <c r="DI10" s="576"/>
      <c r="DJ10" s="576"/>
      <c r="DK10" s="576"/>
      <c r="DL10" s="576"/>
      <c r="DM10" s="576"/>
      <c r="DN10" s="576"/>
      <c r="DO10" s="576"/>
      <c r="DP10" s="576"/>
      <c r="DQ10" s="576"/>
      <c r="DR10" s="576"/>
      <c r="DS10" s="576"/>
      <c r="DT10" s="576"/>
      <c r="DU10" s="576"/>
      <c r="DV10" s="576"/>
      <c r="DW10" s="576"/>
      <c r="DX10" s="576"/>
      <c r="DY10" s="576"/>
      <c r="DZ10" s="576"/>
      <c r="EA10" s="576"/>
      <c r="EB10" s="576"/>
      <c r="EC10" s="576"/>
      <c r="ED10" s="576"/>
      <c r="EE10" s="576"/>
      <c r="EF10" s="576"/>
      <c r="EG10" s="576" t="s">
        <v>149</v>
      </c>
      <c r="EH10" s="576"/>
      <c r="EI10" s="576"/>
      <c r="EJ10" s="576"/>
      <c r="EK10" s="576"/>
      <c r="EL10" s="576"/>
      <c r="EM10" s="576"/>
      <c r="EN10" s="576"/>
      <c r="EO10" s="576"/>
      <c r="EP10" s="576"/>
      <c r="EQ10" s="576"/>
      <c r="ER10" s="576"/>
      <c r="ES10" s="576"/>
      <c r="ET10" s="576"/>
      <c r="EU10" s="576"/>
      <c r="EV10" s="576"/>
      <c r="EW10" s="576"/>
      <c r="EX10" s="576"/>
      <c r="EY10" s="576"/>
      <c r="EZ10" s="576"/>
      <c r="FA10" s="576" t="s">
        <v>149</v>
      </c>
      <c r="FB10" s="576"/>
      <c r="FC10" s="576"/>
      <c r="FD10" s="576"/>
      <c r="FE10" s="576"/>
      <c r="FF10" s="576"/>
      <c r="FG10" s="576" t="s">
        <v>149</v>
      </c>
      <c r="FH10" s="576"/>
      <c r="FI10" s="576"/>
      <c r="FJ10" s="576"/>
      <c r="FK10" s="576"/>
      <c r="FL10" s="576"/>
      <c r="FM10" s="576"/>
      <c r="FN10" s="576"/>
      <c r="FO10" s="576"/>
      <c r="FP10" s="576"/>
      <c r="FQ10" s="576"/>
      <c r="FR10" s="576"/>
      <c r="FS10" s="576"/>
      <c r="FT10" s="576"/>
      <c r="FU10" s="576"/>
      <c r="FV10" s="576"/>
      <c r="FW10" s="576"/>
      <c r="FX10" s="576"/>
      <c r="FY10" s="576"/>
      <c r="FZ10" s="576"/>
      <c r="GA10" s="576"/>
      <c r="GB10" s="576"/>
      <c r="GC10" s="576"/>
      <c r="GD10" s="576"/>
      <c r="GE10" s="576"/>
      <c r="GF10" s="576"/>
      <c r="GG10" s="576"/>
      <c r="GH10" s="576"/>
      <c r="GI10" s="576"/>
      <c r="GJ10" s="576"/>
      <c r="GK10" s="576"/>
      <c r="GL10" s="576"/>
      <c r="GM10" s="576"/>
      <c r="GN10" s="576"/>
      <c r="GO10" s="576"/>
      <c r="GP10" s="576"/>
      <c r="GQ10" s="576"/>
      <c r="GR10" s="576"/>
      <c r="GS10" s="576"/>
      <c r="GT10" s="576"/>
      <c r="GU10" s="576"/>
      <c r="GV10" s="576"/>
      <c r="GW10" s="576"/>
      <c r="GX10" s="576"/>
      <c r="GY10" s="576"/>
      <c r="GZ10" s="576"/>
      <c r="HA10" s="576"/>
      <c r="HB10" s="576"/>
      <c r="HC10" s="576"/>
      <c r="HD10" s="577" t="s">
        <v>149</v>
      </c>
      <c r="HE10" s="576" t="s">
        <v>149</v>
      </c>
      <c r="HF10" s="576"/>
      <c r="HG10" s="577" t="s">
        <v>149</v>
      </c>
      <c r="HH10" s="576"/>
      <c r="HI10" s="576"/>
      <c r="HJ10" s="576"/>
      <c r="HK10" s="576" t="s">
        <v>149</v>
      </c>
      <c r="HL10" s="577" t="s">
        <v>149</v>
      </c>
      <c r="HM10" s="577" t="s">
        <v>149</v>
      </c>
      <c r="HN10" s="576"/>
      <c r="HO10" s="576"/>
      <c r="HP10" s="576"/>
      <c r="HQ10" s="577" t="s">
        <v>149</v>
      </c>
      <c r="HR10" s="576"/>
      <c r="HS10" s="577" t="s">
        <v>149</v>
      </c>
      <c r="HT10" s="578" t="s">
        <v>149</v>
      </c>
      <c r="HU10" s="576" t="s">
        <v>149</v>
      </c>
      <c r="HV10" s="576"/>
      <c r="HW10" s="576"/>
      <c r="HX10" s="576"/>
      <c r="HY10" s="576"/>
      <c r="HZ10" s="576" t="s">
        <v>6645</v>
      </c>
      <c r="IA10" s="576" t="s">
        <v>149</v>
      </c>
      <c r="IB10" s="576"/>
      <c r="IC10" s="576"/>
      <c r="ID10" s="566"/>
      <c r="IE10" s="566"/>
      <c r="IF10" s="566"/>
      <c r="IG10" s="566"/>
      <c r="IH10" s="566"/>
      <c r="II10" s="566"/>
      <c r="IJ10" s="566"/>
      <c r="IK10" s="566"/>
      <c r="IL10" s="566"/>
      <c r="IM10" s="566"/>
      <c r="IN10" s="566"/>
      <c r="IO10" s="566"/>
      <c r="IP10" s="566"/>
      <c r="IQ10" s="566"/>
      <c r="IR10" s="566"/>
      <c r="IS10" s="566"/>
      <c r="IT10" s="566"/>
      <c r="IU10" s="566"/>
      <c r="IV10" s="566"/>
      <c r="IW10" s="566"/>
      <c r="IX10" s="566"/>
      <c r="IY10" s="566"/>
      <c r="IZ10" s="566"/>
      <c r="JA10" s="566"/>
    </row>
    <row r="11" spans="1:261" ht="18" customHeight="1">
      <c r="A11" s="575" t="s">
        <v>140</v>
      </c>
      <c r="B11" s="576"/>
      <c r="C11" s="576" t="str">
        <f>IF(ISTEXT(IFERROR(VLOOKUP(A11,职业列表!I3:J15,1,FALSE),0)),"★","")</f>
        <v/>
      </c>
      <c r="D11" s="576"/>
      <c r="E11" s="576"/>
      <c r="F11" s="576"/>
      <c r="G11" s="576"/>
      <c r="H11" s="576"/>
      <c r="I11" s="576"/>
      <c r="J11" s="576"/>
      <c r="K11" s="576"/>
      <c r="L11" s="576"/>
      <c r="M11" s="576"/>
      <c r="N11" s="576"/>
      <c r="O11" s="576"/>
      <c r="P11" s="576"/>
      <c r="Q11" s="576"/>
      <c r="R11" s="576" t="s">
        <v>149</v>
      </c>
      <c r="S11" s="576"/>
      <c r="T11" s="576"/>
      <c r="U11" s="576"/>
      <c r="V11" s="576"/>
      <c r="W11" s="576"/>
      <c r="X11" s="576"/>
      <c r="Y11" s="576"/>
      <c r="Z11" s="576"/>
      <c r="AA11" s="576"/>
      <c r="AB11" s="576"/>
      <c r="AC11" s="576"/>
      <c r="AD11" s="576"/>
      <c r="AE11" s="576"/>
      <c r="AF11" s="576"/>
      <c r="AG11" s="576"/>
      <c r="AH11" s="576"/>
      <c r="AI11" s="576"/>
      <c r="AJ11" s="576"/>
      <c r="AK11" s="576"/>
      <c r="AL11" s="576"/>
      <c r="AM11" s="576"/>
      <c r="AN11" s="576"/>
      <c r="AO11" s="576"/>
      <c r="AP11" s="576"/>
      <c r="AQ11" s="576"/>
      <c r="AR11" s="576"/>
      <c r="AS11" s="576"/>
      <c r="AT11" s="576"/>
      <c r="AU11" s="576"/>
      <c r="AV11" s="576"/>
      <c r="AW11" s="576"/>
      <c r="AX11" s="576"/>
      <c r="AY11" s="576"/>
      <c r="AZ11" s="576"/>
      <c r="BA11" s="576"/>
      <c r="BB11" s="576"/>
      <c r="BC11" s="576"/>
      <c r="BD11" s="576"/>
      <c r="BE11" s="576"/>
      <c r="BF11" s="576"/>
      <c r="BG11" s="576"/>
      <c r="BH11" s="576"/>
      <c r="BI11" s="576"/>
      <c r="BJ11" s="576"/>
      <c r="BK11" s="576"/>
      <c r="BL11" s="576"/>
      <c r="BM11" s="576"/>
      <c r="BN11" s="576"/>
      <c r="BO11" s="576"/>
      <c r="BP11" s="576"/>
      <c r="BQ11" s="576"/>
      <c r="BR11" s="576"/>
      <c r="BS11" s="576"/>
      <c r="BT11" s="576"/>
      <c r="BU11" s="576"/>
      <c r="BV11" s="576"/>
      <c r="BW11" s="576"/>
      <c r="BX11" s="576"/>
      <c r="BY11" s="576"/>
      <c r="BZ11" s="576"/>
      <c r="CA11" s="576"/>
      <c r="CB11" s="576"/>
      <c r="CC11" s="576"/>
      <c r="CD11" s="576"/>
      <c r="CE11" s="576"/>
      <c r="CF11" s="576"/>
      <c r="CG11" s="576" t="s">
        <v>149</v>
      </c>
      <c r="CH11" s="576"/>
      <c r="CI11" s="576"/>
      <c r="CJ11" s="576"/>
      <c r="CK11" s="576"/>
      <c r="CL11" s="576"/>
      <c r="CM11" s="576"/>
      <c r="CN11" s="576"/>
      <c r="CO11" s="576"/>
      <c r="CP11" s="576"/>
      <c r="CQ11" s="576"/>
      <c r="CR11" s="576"/>
      <c r="CS11" s="576"/>
      <c r="CT11" s="576"/>
      <c r="CU11" s="576"/>
      <c r="CV11" s="576"/>
      <c r="CW11" s="576"/>
      <c r="CX11" s="576"/>
      <c r="CY11" s="576"/>
      <c r="CZ11" s="576"/>
      <c r="DA11" s="576"/>
      <c r="DB11" s="576"/>
      <c r="DC11" s="576"/>
      <c r="DD11" s="576"/>
      <c r="DE11" s="576"/>
      <c r="DF11" s="576"/>
      <c r="DG11" s="576"/>
      <c r="DH11" s="576"/>
      <c r="DI11" s="576"/>
      <c r="DJ11" s="576"/>
      <c r="DK11" s="576"/>
      <c r="DL11" s="576"/>
      <c r="DM11" s="576"/>
      <c r="DN11" s="576"/>
      <c r="DO11" s="576"/>
      <c r="DP11" s="576"/>
      <c r="DQ11" s="576"/>
      <c r="DR11" s="576"/>
      <c r="DS11" s="576"/>
      <c r="DT11" s="576"/>
      <c r="DU11" s="576"/>
      <c r="DV11" s="576"/>
      <c r="DW11" s="576"/>
      <c r="DX11" s="576"/>
      <c r="DY11" s="576"/>
      <c r="DZ11" s="576"/>
      <c r="EA11" s="576"/>
      <c r="EB11" s="576"/>
      <c r="EC11" s="576"/>
      <c r="ED11" s="576"/>
      <c r="EE11" s="576"/>
      <c r="EF11" s="576"/>
      <c r="EG11" s="576"/>
      <c r="EH11" s="576"/>
      <c r="EI11" s="576"/>
      <c r="EJ11" s="576"/>
      <c r="EK11" s="576"/>
      <c r="EL11" s="576"/>
      <c r="EM11" s="576"/>
      <c r="EN11" s="576"/>
      <c r="EO11" s="576"/>
      <c r="EP11" s="576"/>
      <c r="EQ11" s="576"/>
      <c r="ER11" s="576"/>
      <c r="ES11" s="576"/>
      <c r="ET11" s="576"/>
      <c r="EU11" s="576"/>
      <c r="EV11" s="576"/>
      <c r="EW11" s="576"/>
      <c r="EX11" s="576"/>
      <c r="EY11" s="576"/>
      <c r="EZ11" s="576"/>
      <c r="FA11" s="576"/>
      <c r="FB11" s="576"/>
      <c r="FC11" s="576"/>
      <c r="FD11" s="576"/>
      <c r="FE11" s="576"/>
      <c r="FF11" s="576"/>
      <c r="FG11" s="576"/>
      <c r="FH11" s="576"/>
      <c r="FI11" s="576"/>
      <c r="FJ11" s="576"/>
      <c r="FK11" s="576"/>
      <c r="FL11" s="576"/>
      <c r="FM11" s="576"/>
      <c r="FN11" s="576"/>
      <c r="FO11" s="576"/>
      <c r="FP11" s="576"/>
      <c r="FQ11" s="576"/>
      <c r="FR11" s="576"/>
      <c r="FS11" s="576"/>
      <c r="FT11" s="576"/>
      <c r="FU11" s="576"/>
      <c r="FV11" s="576"/>
      <c r="FW11" s="576"/>
      <c r="FX11" s="576"/>
      <c r="FY11" s="576"/>
      <c r="FZ11" s="576"/>
      <c r="GA11" s="576"/>
      <c r="GB11" s="576"/>
      <c r="GC11" s="576"/>
      <c r="GD11" s="576"/>
      <c r="GE11" s="576"/>
      <c r="GF11" s="576"/>
      <c r="GG11" s="576"/>
      <c r="GH11" s="576"/>
      <c r="GI11" s="576"/>
      <c r="GJ11" s="576"/>
      <c r="GK11" s="576"/>
      <c r="GL11" s="576"/>
      <c r="GM11" s="576"/>
      <c r="GN11" s="576"/>
      <c r="GO11" s="576"/>
      <c r="GP11" s="576"/>
      <c r="GQ11" s="576"/>
      <c r="GR11" s="576"/>
      <c r="GS11" s="576"/>
      <c r="GT11" s="576"/>
      <c r="GU11" s="576"/>
      <c r="GV11" s="576"/>
      <c r="GW11" s="576"/>
      <c r="GX11" s="576"/>
      <c r="GY11" s="576"/>
      <c r="GZ11" s="576"/>
      <c r="HA11" s="576"/>
      <c r="HB11" s="576"/>
      <c r="HC11" s="576"/>
      <c r="HD11" s="576"/>
      <c r="HE11" s="576"/>
      <c r="HF11" s="576"/>
      <c r="HG11" s="576"/>
      <c r="HH11" s="576"/>
      <c r="HI11" s="576"/>
      <c r="HJ11" s="576"/>
      <c r="HK11" s="576"/>
      <c r="HL11" s="576"/>
      <c r="HM11" s="576"/>
      <c r="HN11" s="576"/>
      <c r="HO11" s="576"/>
      <c r="HP11" s="576"/>
      <c r="HQ11" s="576" t="s">
        <v>149</v>
      </c>
      <c r="HR11" s="576"/>
      <c r="HS11" s="576"/>
      <c r="HT11" s="576"/>
      <c r="HU11" s="576"/>
      <c r="HV11" s="576"/>
      <c r="HW11" s="576"/>
      <c r="HX11" s="576"/>
      <c r="HY11" s="576"/>
      <c r="HZ11" s="576"/>
      <c r="IA11" s="576"/>
      <c r="IB11" s="576"/>
      <c r="IC11" s="576"/>
      <c r="ID11" s="566"/>
      <c r="IE11" s="566"/>
      <c r="IF11" s="566"/>
      <c r="IG11" s="566"/>
      <c r="IH11" s="566"/>
      <c r="II11" s="566"/>
      <c r="IJ11" s="566"/>
      <c r="IK11" s="566"/>
      <c r="IL11" s="566"/>
      <c r="IM11" s="566"/>
      <c r="IN11" s="566"/>
      <c r="IO11" s="566"/>
      <c r="IP11" s="566"/>
      <c r="IQ11" s="566"/>
      <c r="IR11" s="566"/>
      <c r="IS11" s="566"/>
      <c r="IT11" s="566"/>
      <c r="IU11" s="566"/>
      <c r="IV11" s="566"/>
      <c r="IW11" s="566"/>
      <c r="IX11" s="566"/>
      <c r="IY11" s="566"/>
      <c r="IZ11" s="566"/>
      <c r="JA11" s="566"/>
    </row>
    <row r="12" spans="1:261" ht="18" customHeight="1">
      <c r="A12" s="575" t="s">
        <v>133</v>
      </c>
      <c r="B12" s="576"/>
      <c r="C12" s="577" t="str">
        <f>IF(ISTEXT(IFERROR(VLOOKUP(A12,职业列表!I3:J15,1,FALSE),0)),"★","")</f>
        <v/>
      </c>
      <c r="D12" s="576"/>
      <c r="E12" s="576"/>
      <c r="F12" s="576"/>
      <c r="G12" s="576"/>
      <c r="H12" s="576"/>
      <c r="I12" s="576"/>
      <c r="J12" s="576"/>
      <c r="K12" s="576" t="s">
        <v>149</v>
      </c>
      <c r="L12" s="576"/>
      <c r="M12" s="576"/>
      <c r="N12" s="576"/>
      <c r="O12" s="576"/>
      <c r="P12" s="576" t="s">
        <v>149</v>
      </c>
      <c r="Q12" s="576" t="s">
        <v>149</v>
      </c>
      <c r="R12" s="576" t="s">
        <v>149</v>
      </c>
      <c r="S12" s="576"/>
      <c r="T12" s="576" t="s">
        <v>6642</v>
      </c>
      <c r="U12" s="576"/>
      <c r="V12" s="576"/>
      <c r="W12" s="576" t="s">
        <v>149</v>
      </c>
      <c r="X12" s="576"/>
      <c r="Y12" s="576"/>
      <c r="Z12" s="576" t="s">
        <v>149</v>
      </c>
      <c r="AA12" s="576"/>
      <c r="AB12" s="576"/>
      <c r="AC12" s="576"/>
      <c r="AD12" s="576" t="s">
        <v>149</v>
      </c>
      <c r="AE12" s="576"/>
      <c r="AF12" s="576"/>
      <c r="AG12" s="576"/>
      <c r="AH12" s="576"/>
      <c r="AI12" s="576"/>
      <c r="AJ12" s="576"/>
      <c r="AK12" s="576"/>
      <c r="AL12" s="576"/>
      <c r="AM12" s="576"/>
      <c r="AN12" s="576"/>
      <c r="AO12" s="576"/>
      <c r="AP12" s="576" t="s">
        <v>149</v>
      </c>
      <c r="AQ12" s="576" t="s">
        <v>149</v>
      </c>
      <c r="AR12" s="576"/>
      <c r="AS12" s="576"/>
      <c r="AT12" s="576"/>
      <c r="AU12" s="576" t="s">
        <v>149</v>
      </c>
      <c r="AV12" s="576"/>
      <c r="AW12" s="576"/>
      <c r="AX12" s="576"/>
      <c r="AY12" s="576"/>
      <c r="AZ12" s="576"/>
      <c r="BA12" s="576"/>
      <c r="BB12" s="576"/>
      <c r="BC12" s="576"/>
      <c r="BD12" s="576" t="s">
        <v>149</v>
      </c>
      <c r="BE12" s="576" t="s">
        <v>149</v>
      </c>
      <c r="BF12" s="576"/>
      <c r="BG12" s="576"/>
      <c r="BH12" s="576" t="s">
        <v>149</v>
      </c>
      <c r="BI12" s="576"/>
      <c r="BJ12" s="576"/>
      <c r="BK12" s="576"/>
      <c r="BL12" s="576" t="s">
        <v>149</v>
      </c>
      <c r="BM12" s="576"/>
      <c r="BN12" s="576"/>
      <c r="BO12" s="576"/>
      <c r="BP12" s="576"/>
      <c r="BQ12" s="576" t="s">
        <v>149</v>
      </c>
      <c r="BR12" s="576"/>
      <c r="BS12" s="576"/>
      <c r="BT12" s="576" t="s">
        <v>149</v>
      </c>
      <c r="BU12" s="576" t="s">
        <v>149</v>
      </c>
      <c r="BV12" s="576" t="s">
        <v>149</v>
      </c>
      <c r="BW12" s="576"/>
      <c r="BX12" s="576"/>
      <c r="BY12" s="576"/>
      <c r="BZ12" s="576"/>
      <c r="CA12" s="576"/>
      <c r="CB12" s="576"/>
      <c r="CC12" s="576"/>
      <c r="CD12" s="576"/>
      <c r="CE12" s="576"/>
      <c r="CF12" s="576"/>
      <c r="CG12" s="576" t="s">
        <v>149</v>
      </c>
      <c r="CH12" s="576"/>
      <c r="CI12" s="576"/>
      <c r="CJ12" s="576" t="s">
        <v>149</v>
      </c>
      <c r="CK12" s="576"/>
      <c r="CL12" s="576" t="s">
        <v>149</v>
      </c>
      <c r="CM12" s="576"/>
      <c r="CN12" s="576"/>
      <c r="CO12" s="576"/>
      <c r="CP12" s="576"/>
      <c r="CQ12" s="576"/>
      <c r="CR12" s="576"/>
      <c r="CS12" s="576"/>
      <c r="CT12" s="576"/>
      <c r="CU12" s="576"/>
      <c r="CV12" s="576" t="s">
        <v>149</v>
      </c>
      <c r="CW12" s="576"/>
      <c r="CX12" s="576"/>
      <c r="CY12" s="576"/>
      <c r="CZ12" s="576" t="s">
        <v>149</v>
      </c>
      <c r="DA12" s="576"/>
      <c r="DB12" s="576"/>
      <c r="DC12" s="576"/>
      <c r="DD12" s="576"/>
      <c r="DE12" s="576"/>
      <c r="DF12" s="576"/>
      <c r="DG12" s="576"/>
      <c r="DH12" s="576"/>
      <c r="DI12" s="576"/>
      <c r="DJ12" s="576"/>
      <c r="DK12" s="576"/>
      <c r="DL12" s="576" t="s">
        <v>149</v>
      </c>
      <c r="DM12" s="576"/>
      <c r="DN12" s="576"/>
      <c r="DO12" s="576"/>
      <c r="DP12" s="576"/>
      <c r="DQ12" s="576" t="s">
        <v>149</v>
      </c>
      <c r="DR12" s="576"/>
      <c r="DS12" s="576" t="s">
        <v>149</v>
      </c>
      <c r="DT12" s="576"/>
      <c r="DU12" s="576"/>
      <c r="DV12" s="576"/>
      <c r="DW12" s="576"/>
      <c r="DX12" s="576"/>
      <c r="DY12" s="576"/>
      <c r="DZ12" s="576"/>
      <c r="EA12" s="576" t="s">
        <v>149</v>
      </c>
      <c r="EB12" s="576" t="s">
        <v>149</v>
      </c>
      <c r="EC12" s="576" t="s">
        <v>149</v>
      </c>
      <c r="ED12" s="576"/>
      <c r="EE12" s="576" t="s">
        <v>149</v>
      </c>
      <c r="EF12" s="576"/>
      <c r="EG12" s="576"/>
      <c r="EH12" s="576"/>
      <c r="EI12" s="576"/>
      <c r="EJ12" s="576"/>
      <c r="EK12" s="576"/>
      <c r="EL12" s="576"/>
      <c r="EM12" s="576"/>
      <c r="EN12" s="576"/>
      <c r="EO12" s="576"/>
      <c r="EP12" s="576"/>
      <c r="EQ12" s="576"/>
      <c r="ER12" s="576"/>
      <c r="ES12" s="576"/>
      <c r="ET12" s="576"/>
      <c r="EU12" s="576"/>
      <c r="EV12" s="576"/>
      <c r="EW12" s="576"/>
      <c r="EX12" s="576"/>
      <c r="EY12" s="576"/>
      <c r="EZ12" s="576"/>
      <c r="FA12" s="576"/>
      <c r="FB12" s="576"/>
      <c r="FC12" s="576"/>
      <c r="FD12" s="576"/>
      <c r="FE12" s="576"/>
      <c r="FF12" s="576"/>
      <c r="FG12" s="576" t="s">
        <v>149</v>
      </c>
      <c r="FH12" s="576"/>
      <c r="FI12" s="576"/>
      <c r="FJ12" s="576" t="s">
        <v>6642</v>
      </c>
      <c r="FK12" s="576"/>
      <c r="FL12" s="576"/>
      <c r="FM12" s="576"/>
      <c r="FN12" s="576" t="s">
        <v>6642</v>
      </c>
      <c r="FO12" s="576" t="s">
        <v>149</v>
      </c>
      <c r="FP12" s="576" t="s">
        <v>6642</v>
      </c>
      <c r="FQ12" s="576"/>
      <c r="FR12" s="576" t="s">
        <v>149</v>
      </c>
      <c r="FS12" s="576"/>
      <c r="FT12" s="576"/>
      <c r="FU12" s="576"/>
      <c r="FV12" s="576"/>
      <c r="FW12" s="576"/>
      <c r="FX12" s="576"/>
      <c r="FY12" s="576"/>
      <c r="FZ12" s="576"/>
      <c r="GA12" s="576"/>
      <c r="GB12" s="576"/>
      <c r="GC12" s="576"/>
      <c r="GD12" s="576"/>
      <c r="GE12" s="576"/>
      <c r="GF12" s="576"/>
      <c r="GG12" s="576"/>
      <c r="GH12" s="576"/>
      <c r="GI12" s="576"/>
      <c r="GJ12" s="576" t="s">
        <v>149</v>
      </c>
      <c r="GK12" s="576" t="s">
        <v>6642</v>
      </c>
      <c r="GL12" s="576"/>
      <c r="GM12" s="576"/>
      <c r="GN12" s="576"/>
      <c r="GO12" s="576"/>
      <c r="GP12" s="576"/>
      <c r="GQ12" s="576"/>
      <c r="GR12" s="576"/>
      <c r="GS12" s="576"/>
      <c r="GT12" s="576"/>
      <c r="GU12" s="576"/>
      <c r="GV12" s="576" t="s">
        <v>149</v>
      </c>
      <c r="GW12" s="576"/>
      <c r="GX12" s="576"/>
      <c r="GY12" s="576"/>
      <c r="GZ12" s="576"/>
      <c r="HA12" s="576"/>
      <c r="HB12" s="576"/>
      <c r="HC12" s="576"/>
      <c r="HD12" s="576"/>
      <c r="HE12" s="577" t="s">
        <v>149</v>
      </c>
      <c r="HF12" s="576"/>
      <c r="HG12" s="577" t="s">
        <v>149</v>
      </c>
      <c r="HH12" s="577" t="s">
        <v>149</v>
      </c>
      <c r="HI12" s="576"/>
      <c r="HJ12" s="577" t="s">
        <v>149</v>
      </c>
      <c r="HK12" s="576" t="s">
        <v>149</v>
      </c>
      <c r="HL12" s="576"/>
      <c r="HM12" s="576"/>
      <c r="HN12" s="576"/>
      <c r="HO12" s="576"/>
      <c r="HP12" s="576"/>
      <c r="HQ12" s="576"/>
      <c r="HR12" s="576"/>
      <c r="HS12" s="576"/>
      <c r="HT12" s="576"/>
      <c r="HU12" s="577" t="s">
        <v>149</v>
      </c>
      <c r="HV12" s="576"/>
      <c r="HW12" s="576"/>
      <c r="HX12" s="576"/>
      <c r="HY12" s="576" t="s">
        <v>149</v>
      </c>
      <c r="HZ12" s="576"/>
      <c r="IA12" s="576"/>
      <c r="IB12" s="576"/>
      <c r="IC12" s="576" t="s">
        <v>149</v>
      </c>
      <c r="ID12" s="566"/>
      <c r="IE12" s="566"/>
      <c r="IF12" s="566"/>
      <c r="IG12" s="566"/>
      <c r="IH12" s="566"/>
      <c r="II12" s="566"/>
      <c r="IJ12" s="566"/>
      <c r="IK12" s="566"/>
      <c r="IL12" s="566"/>
      <c r="IM12" s="566"/>
      <c r="IN12" s="566"/>
      <c r="IO12" s="566"/>
      <c r="IP12" s="566"/>
      <c r="IQ12" s="566"/>
      <c r="IR12" s="566"/>
      <c r="IS12" s="566"/>
      <c r="IT12" s="566"/>
      <c r="IU12" s="566"/>
      <c r="IV12" s="566"/>
      <c r="IW12" s="566"/>
      <c r="IX12" s="566"/>
      <c r="IY12" s="566"/>
      <c r="IZ12" s="566"/>
      <c r="JA12" s="566"/>
    </row>
    <row r="13" spans="1:261" ht="18" customHeight="1">
      <c r="A13" s="575" t="s">
        <v>131</v>
      </c>
      <c r="B13" s="576"/>
      <c r="C13" s="576" t="str">
        <f>IF(ISTEXT(IFERROR(VLOOKUP(A13,职业列表!I3:J15,1,FALSE),0)),"★","")</f>
        <v/>
      </c>
      <c r="D13" s="576"/>
      <c r="E13" s="576"/>
      <c r="F13" s="576"/>
      <c r="G13" s="576"/>
      <c r="H13" s="576"/>
      <c r="I13" s="576" t="s">
        <v>149</v>
      </c>
      <c r="J13" s="576"/>
      <c r="K13" s="576"/>
      <c r="L13" s="576"/>
      <c r="M13" s="576" t="s">
        <v>149</v>
      </c>
      <c r="N13" s="576" t="s">
        <v>149</v>
      </c>
      <c r="O13" s="576"/>
      <c r="P13" s="576"/>
      <c r="Q13" s="576"/>
      <c r="R13" s="576"/>
      <c r="S13" s="576" t="s">
        <v>149</v>
      </c>
      <c r="T13" s="576"/>
      <c r="U13" s="576"/>
      <c r="V13" s="576"/>
      <c r="W13" s="576"/>
      <c r="X13" s="576"/>
      <c r="Y13" s="576"/>
      <c r="Z13" s="576"/>
      <c r="AA13" s="576" t="s">
        <v>149</v>
      </c>
      <c r="AB13" s="576"/>
      <c r="AC13" s="576"/>
      <c r="AD13" s="576"/>
      <c r="AE13" s="576"/>
      <c r="AF13" s="576"/>
      <c r="AG13" s="576"/>
      <c r="AH13" s="576"/>
      <c r="AI13" s="576"/>
      <c r="AJ13" s="576"/>
      <c r="AK13" s="576"/>
      <c r="AL13" s="576"/>
      <c r="AM13" s="576" t="s">
        <v>6642</v>
      </c>
      <c r="AN13" s="576"/>
      <c r="AO13" s="576"/>
      <c r="AP13" s="576"/>
      <c r="AQ13" s="576"/>
      <c r="AR13" s="576"/>
      <c r="AS13" s="576"/>
      <c r="AT13" s="576"/>
      <c r="AU13" s="576"/>
      <c r="AV13" s="576"/>
      <c r="AW13" s="576"/>
      <c r="AX13" s="576"/>
      <c r="AY13" s="576"/>
      <c r="AZ13" s="576"/>
      <c r="BA13" s="576"/>
      <c r="BB13" s="576"/>
      <c r="BC13" s="576"/>
      <c r="BD13" s="576"/>
      <c r="BE13" s="576"/>
      <c r="BF13" s="576"/>
      <c r="BG13" s="576"/>
      <c r="BH13" s="576"/>
      <c r="BI13" s="576"/>
      <c r="BJ13" s="576" t="s">
        <v>149</v>
      </c>
      <c r="BK13" s="576"/>
      <c r="BL13" s="576"/>
      <c r="BM13" s="576"/>
      <c r="BN13" s="576"/>
      <c r="BO13" s="576" t="s">
        <v>149</v>
      </c>
      <c r="BP13" s="576"/>
      <c r="BQ13" s="576"/>
      <c r="BR13" s="576"/>
      <c r="BS13" s="576"/>
      <c r="BT13" s="576"/>
      <c r="BU13" s="576"/>
      <c r="BV13" s="576" t="s">
        <v>149</v>
      </c>
      <c r="BW13" s="576"/>
      <c r="BX13" s="576"/>
      <c r="BY13" s="576"/>
      <c r="BZ13" s="576"/>
      <c r="CA13" s="576" t="s">
        <v>149</v>
      </c>
      <c r="CB13" s="576"/>
      <c r="CC13" s="576"/>
      <c r="CD13" s="576"/>
      <c r="CE13" s="576"/>
      <c r="CF13" s="576"/>
      <c r="CG13" s="576"/>
      <c r="CH13" s="576"/>
      <c r="CI13" s="576"/>
      <c r="CJ13" s="576"/>
      <c r="CK13" s="576"/>
      <c r="CL13" s="576"/>
      <c r="CM13" s="576"/>
      <c r="CN13" s="576"/>
      <c r="CO13" s="576"/>
      <c r="CP13" s="576"/>
      <c r="CQ13" s="576"/>
      <c r="CR13" s="576" t="s">
        <v>149</v>
      </c>
      <c r="CS13" s="576" t="s">
        <v>149</v>
      </c>
      <c r="CT13" s="576" t="s">
        <v>149</v>
      </c>
      <c r="CU13" s="576"/>
      <c r="CV13" s="576"/>
      <c r="CW13" s="576"/>
      <c r="CX13" s="576"/>
      <c r="CY13" s="576"/>
      <c r="CZ13" s="576"/>
      <c r="DA13" s="576"/>
      <c r="DB13" s="576"/>
      <c r="DC13" s="576"/>
      <c r="DD13" s="576"/>
      <c r="DE13" s="576"/>
      <c r="DF13" s="576"/>
      <c r="DG13" s="576"/>
      <c r="DH13" s="576"/>
      <c r="DI13" s="576"/>
      <c r="DJ13" s="576"/>
      <c r="DK13" s="576"/>
      <c r="DL13" s="576"/>
      <c r="DM13" s="576" t="s">
        <v>149</v>
      </c>
      <c r="DN13" s="576"/>
      <c r="DO13" s="576" t="s">
        <v>149</v>
      </c>
      <c r="DP13" s="576" t="s">
        <v>149</v>
      </c>
      <c r="DQ13" s="576"/>
      <c r="DR13" s="576"/>
      <c r="DS13" s="576"/>
      <c r="DT13" s="576"/>
      <c r="DU13" s="576"/>
      <c r="DV13" s="576"/>
      <c r="DW13" s="576"/>
      <c r="DX13" s="576"/>
      <c r="DY13" s="576" t="s">
        <v>149</v>
      </c>
      <c r="DZ13" s="576"/>
      <c r="EA13" s="576"/>
      <c r="EB13" s="576"/>
      <c r="EC13" s="576"/>
      <c r="ED13" s="576"/>
      <c r="EE13" s="576"/>
      <c r="EF13" s="576"/>
      <c r="EG13" s="576"/>
      <c r="EH13" s="576"/>
      <c r="EI13" s="576" t="s">
        <v>149</v>
      </c>
      <c r="EJ13" s="576" t="s">
        <v>149</v>
      </c>
      <c r="EK13" s="576"/>
      <c r="EL13" s="576"/>
      <c r="EM13" s="576"/>
      <c r="EN13" s="576"/>
      <c r="EO13" s="576"/>
      <c r="EP13" s="576"/>
      <c r="EQ13" s="576" t="s">
        <v>149</v>
      </c>
      <c r="ER13" s="576"/>
      <c r="ES13" s="576"/>
      <c r="ET13" s="576"/>
      <c r="EU13" s="576"/>
      <c r="EV13" s="576"/>
      <c r="EW13" s="576"/>
      <c r="EX13" s="576"/>
      <c r="EY13" s="576"/>
      <c r="EZ13" s="576"/>
      <c r="FA13" s="576"/>
      <c r="FB13" s="576"/>
      <c r="FC13" s="576"/>
      <c r="FD13" s="576" t="s">
        <v>149</v>
      </c>
      <c r="FE13" s="576"/>
      <c r="FF13" s="576"/>
      <c r="FG13" s="576"/>
      <c r="FH13" s="576" t="s">
        <v>149</v>
      </c>
      <c r="FI13" s="576"/>
      <c r="FJ13" s="576"/>
      <c r="FK13" s="576"/>
      <c r="FL13" s="576"/>
      <c r="FM13" s="576"/>
      <c r="FN13" s="576"/>
      <c r="FO13" s="576"/>
      <c r="FP13" s="576"/>
      <c r="FQ13" s="576"/>
      <c r="FR13" s="576"/>
      <c r="FS13" s="576"/>
      <c r="FT13" s="576"/>
      <c r="FU13" s="576"/>
      <c r="FV13" s="576" t="s">
        <v>149</v>
      </c>
      <c r="FW13" s="576"/>
      <c r="FX13" s="576"/>
      <c r="FY13" s="576"/>
      <c r="FZ13" s="576"/>
      <c r="GA13" s="576" t="s">
        <v>149</v>
      </c>
      <c r="GB13" s="576" t="s">
        <v>149</v>
      </c>
      <c r="GC13" s="576"/>
      <c r="GD13" s="576"/>
      <c r="GE13" s="576"/>
      <c r="GF13" s="576"/>
      <c r="GG13" s="576"/>
      <c r="GH13" s="576"/>
      <c r="GI13" s="576"/>
      <c r="GJ13" s="576"/>
      <c r="GK13" s="576"/>
      <c r="GL13" s="576"/>
      <c r="GM13" s="576"/>
      <c r="GN13" s="576"/>
      <c r="GO13" s="576"/>
      <c r="GP13" s="576"/>
      <c r="GQ13" s="576"/>
      <c r="GR13" s="576"/>
      <c r="GS13" s="576"/>
      <c r="GT13" s="576" t="s">
        <v>149</v>
      </c>
      <c r="GU13" s="576"/>
      <c r="GV13" s="576"/>
      <c r="GW13" s="576"/>
      <c r="GX13" s="576"/>
      <c r="GY13" s="576"/>
      <c r="GZ13" s="576"/>
      <c r="HA13" s="576"/>
      <c r="HB13" s="576" t="s">
        <v>149</v>
      </c>
      <c r="HC13" s="576"/>
      <c r="HD13" s="576"/>
      <c r="HE13" s="576"/>
      <c r="HF13" s="577" t="s">
        <v>149</v>
      </c>
      <c r="HG13" s="576"/>
      <c r="HH13" s="576"/>
      <c r="HI13" s="576"/>
      <c r="HJ13" s="576"/>
      <c r="HK13" s="576" t="s">
        <v>149</v>
      </c>
      <c r="HL13" s="576"/>
      <c r="HM13" s="576"/>
      <c r="HN13" s="576"/>
      <c r="HO13" s="576"/>
      <c r="HP13" s="576"/>
      <c r="HQ13" s="576"/>
      <c r="HR13" s="577" t="s">
        <v>149</v>
      </c>
      <c r="HS13" s="576"/>
      <c r="HT13" s="576"/>
      <c r="HU13" s="576" t="s">
        <v>149</v>
      </c>
      <c r="HV13" s="576"/>
      <c r="HW13" s="576" t="s">
        <v>149</v>
      </c>
      <c r="HX13" s="576"/>
      <c r="HY13" s="576"/>
      <c r="HZ13" s="576"/>
      <c r="IA13" s="576"/>
      <c r="IB13" s="576"/>
      <c r="IC13" s="576"/>
      <c r="ID13" s="566"/>
      <c r="IE13" s="566"/>
      <c r="IF13" s="566"/>
      <c r="IG13" s="566"/>
      <c r="IH13" s="566"/>
      <c r="II13" s="566"/>
      <c r="IJ13" s="566"/>
      <c r="IK13" s="566"/>
      <c r="IL13" s="566"/>
      <c r="IM13" s="566"/>
      <c r="IN13" s="566"/>
      <c r="IO13" s="566"/>
      <c r="IP13" s="566"/>
      <c r="IQ13" s="566"/>
      <c r="IR13" s="566"/>
      <c r="IS13" s="566"/>
      <c r="IT13" s="566"/>
      <c r="IU13" s="566"/>
      <c r="IV13" s="566"/>
      <c r="IW13" s="566"/>
      <c r="IX13" s="566"/>
      <c r="IY13" s="566"/>
      <c r="IZ13" s="566"/>
      <c r="JA13" s="566"/>
    </row>
    <row r="14" spans="1:261" ht="18" customHeight="1">
      <c r="A14" s="575" t="s">
        <v>143</v>
      </c>
      <c r="B14" s="576"/>
      <c r="C14" s="577" t="str">
        <f>IF(ISTEXT(IFERROR(VLOOKUP(A14,职业列表!I3:J15,1,FALSE),0)),"★","")</f>
        <v/>
      </c>
      <c r="D14" s="576"/>
      <c r="E14" s="576"/>
      <c r="F14" s="576"/>
      <c r="G14" s="576"/>
      <c r="H14" s="576"/>
      <c r="I14" s="576"/>
      <c r="J14" s="576"/>
      <c r="K14" s="576"/>
      <c r="L14" s="576"/>
      <c r="M14" s="576"/>
      <c r="N14" s="576"/>
      <c r="O14" s="576" t="s">
        <v>149</v>
      </c>
      <c r="P14" s="576"/>
      <c r="Q14" s="576"/>
      <c r="R14" s="576"/>
      <c r="S14" s="576"/>
      <c r="T14" s="576" t="s">
        <v>6642</v>
      </c>
      <c r="U14" s="576"/>
      <c r="V14" s="576"/>
      <c r="W14" s="576" t="s">
        <v>6642</v>
      </c>
      <c r="X14" s="576"/>
      <c r="Y14" s="576" t="s">
        <v>149</v>
      </c>
      <c r="Z14" s="576"/>
      <c r="AA14" s="576"/>
      <c r="AB14" s="576"/>
      <c r="AC14" s="576"/>
      <c r="AD14" s="576"/>
      <c r="AE14" s="576"/>
      <c r="AF14" s="576"/>
      <c r="AG14" s="576" t="s">
        <v>6642</v>
      </c>
      <c r="AH14" s="576" t="s">
        <v>149</v>
      </c>
      <c r="AI14" s="576"/>
      <c r="AJ14" s="576"/>
      <c r="AK14" s="576"/>
      <c r="AL14" s="576"/>
      <c r="AM14" s="576"/>
      <c r="AN14" s="576"/>
      <c r="AO14" s="576"/>
      <c r="AP14" s="576"/>
      <c r="AQ14" s="576"/>
      <c r="AR14" s="576"/>
      <c r="AS14" s="576"/>
      <c r="AT14" s="576"/>
      <c r="AU14" s="576"/>
      <c r="AV14" s="576"/>
      <c r="AW14" s="576"/>
      <c r="AX14" s="576"/>
      <c r="AY14" s="576"/>
      <c r="AZ14" s="576"/>
      <c r="BA14" s="576"/>
      <c r="BB14" s="576"/>
      <c r="BC14" s="576"/>
      <c r="BD14" s="576"/>
      <c r="BE14" s="576"/>
      <c r="BF14" s="576"/>
      <c r="BG14" s="576"/>
      <c r="BH14" s="576" t="s">
        <v>149</v>
      </c>
      <c r="BI14" s="576" t="s">
        <v>149</v>
      </c>
      <c r="BJ14" s="576"/>
      <c r="BK14" s="576"/>
      <c r="BL14" s="576"/>
      <c r="BM14" s="576"/>
      <c r="BN14" s="576"/>
      <c r="BO14" s="576"/>
      <c r="BP14" s="576"/>
      <c r="BQ14" s="576"/>
      <c r="BR14" s="576"/>
      <c r="BS14" s="576"/>
      <c r="BT14" s="576"/>
      <c r="BU14" s="576"/>
      <c r="BV14" s="576"/>
      <c r="BW14" s="576"/>
      <c r="BX14" s="579"/>
      <c r="BY14" s="576" t="s">
        <v>6642</v>
      </c>
      <c r="BZ14" s="576"/>
      <c r="CA14" s="576"/>
      <c r="CB14" s="576"/>
      <c r="CC14" s="576"/>
      <c r="CD14" s="576"/>
      <c r="CE14" s="576" t="s">
        <v>149</v>
      </c>
      <c r="CF14" s="576"/>
      <c r="CG14" s="576"/>
      <c r="CH14" s="576"/>
      <c r="CI14" s="576"/>
      <c r="CJ14" s="576"/>
      <c r="CK14" s="576" t="s">
        <v>149</v>
      </c>
      <c r="CL14" s="576"/>
      <c r="CM14" s="576"/>
      <c r="CN14" s="576"/>
      <c r="CO14" s="576"/>
      <c r="CP14" s="576"/>
      <c r="CQ14" s="576"/>
      <c r="CR14" s="576"/>
      <c r="CS14" s="576"/>
      <c r="CT14" s="576"/>
      <c r="CU14" s="576"/>
      <c r="CV14" s="576"/>
      <c r="CW14" s="576"/>
      <c r="CX14" s="576"/>
      <c r="CY14" s="576"/>
      <c r="CZ14" s="576"/>
      <c r="DA14" s="576"/>
      <c r="DB14" s="576" t="s">
        <v>149</v>
      </c>
      <c r="DC14" s="576"/>
      <c r="DD14" s="576"/>
      <c r="DE14" s="576"/>
      <c r="DF14" s="576"/>
      <c r="DG14" s="576"/>
      <c r="DH14" s="576"/>
      <c r="DI14" s="576"/>
      <c r="DJ14" s="576"/>
      <c r="DK14" s="576" t="s">
        <v>149</v>
      </c>
      <c r="DL14" s="576"/>
      <c r="DM14" s="576"/>
      <c r="DN14" s="576"/>
      <c r="DO14" s="576"/>
      <c r="DP14" s="576"/>
      <c r="DQ14" s="576"/>
      <c r="DR14" s="576" t="s">
        <v>149</v>
      </c>
      <c r="DS14" s="576"/>
      <c r="DT14" s="576"/>
      <c r="DU14" s="576"/>
      <c r="DV14" s="576"/>
      <c r="DW14" s="576"/>
      <c r="DX14" s="576"/>
      <c r="DY14" s="576"/>
      <c r="DZ14" s="576"/>
      <c r="EA14" s="576"/>
      <c r="EB14" s="576"/>
      <c r="EC14" s="576"/>
      <c r="ED14" s="576"/>
      <c r="EE14" s="576"/>
      <c r="EF14" s="576"/>
      <c r="EG14" s="576"/>
      <c r="EH14" s="576"/>
      <c r="EI14" s="576"/>
      <c r="EJ14" s="576"/>
      <c r="EK14" s="576"/>
      <c r="EL14" s="576"/>
      <c r="EM14" s="576"/>
      <c r="EN14" s="576"/>
      <c r="EO14" s="576"/>
      <c r="EP14" s="576"/>
      <c r="EQ14" s="576"/>
      <c r="ER14" s="576"/>
      <c r="ES14" s="576"/>
      <c r="ET14" s="576"/>
      <c r="EU14" s="576"/>
      <c r="EV14" s="576"/>
      <c r="EW14" s="576"/>
      <c r="EX14" s="576"/>
      <c r="EY14" s="576"/>
      <c r="EZ14" s="576"/>
      <c r="FA14" s="576"/>
      <c r="FB14" s="576" t="s">
        <v>149</v>
      </c>
      <c r="FC14" s="576"/>
      <c r="FD14" s="576"/>
      <c r="FE14" s="576"/>
      <c r="FF14" s="576"/>
      <c r="FG14" s="576"/>
      <c r="FH14" s="576"/>
      <c r="FI14" s="576"/>
      <c r="FJ14" s="576"/>
      <c r="FK14" s="576"/>
      <c r="FL14" s="576"/>
      <c r="FM14" s="576" t="s">
        <v>149</v>
      </c>
      <c r="FN14" s="576"/>
      <c r="FO14" s="576"/>
      <c r="FP14" s="576"/>
      <c r="FQ14" s="576" t="s">
        <v>149</v>
      </c>
      <c r="FR14" s="576"/>
      <c r="FS14" s="576"/>
      <c r="FT14" s="576"/>
      <c r="FU14" s="576" t="s">
        <v>149</v>
      </c>
      <c r="FV14" s="576"/>
      <c r="FW14" s="576"/>
      <c r="FX14" s="576"/>
      <c r="FY14" s="576" t="s">
        <v>149</v>
      </c>
      <c r="FZ14" s="576"/>
      <c r="GA14" s="576"/>
      <c r="GB14" s="576"/>
      <c r="GC14" s="576"/>
      <c r="GD14" s="576"/>
      <c r="GE14" s="576"/>
      <c r="GF14" s="576"/>
      <c r="GG14" s="576" t="s">
        <v>149</v>
      </c>
      <c r="GH14" s="576"/>
      <c r="GI14" s="576"/>
      <c r="GJ14" s="576" t="s">
        <v>149</v>
      </c>
      <c r="GK14" s="576"/>
      <c r="GL14" s="576"/>
      <c r="GM14" s="576"/>
      <c r="GN14" s="576"/>
      <c r="GO14" s="576"/>
      <c r="GP14" s="576"/>
      <c r="GQ14" s="576"/>
      <c r="GR14" s="576"/>
      <c r="GS14" s="576"/>
      <c r="GT14" s="576"/>
      <c r="GU14" s="576"/>
      <c r="GV14" s="576"/>
      <c r="GW14" s="576"/>
      <c r="GX14" s="576" t="s">
        <v>149</v>
      </c>
      <c r="GY14" s="576"/>
      <c r="GZ14" s="576"/>
      <c r="HA14" s="576"/>
      <c r="HB14" s="576"/>
      <c r="HC14" s="576"/>
      <c r="HD14" s="576"/>
      <c r="HE14" s="576"/>
      <c r="HF14" s="576"/>
      <c r="HG14" s="576"/>
      <c r="HH14" s="576"/>
      <c r="HI14" s="576" t="s">
        <v>149</v>
      </c>
      <c r="HJ14" s="576"/>
      <c r="HK14" s="576"/>
      <c r="HL14" s="576"/>
      <c r="HM14" s="576"/>
      <c r="HN14" s="576"/>
      <c r="HO14" s="576"/>
      <c r="HP14" s="576"/>
      <c r="HQ14" s="576" t="s">
        <v>149</v>
      </c>
      <c r="HR14" s="576"/>
      <c r="HS14" s="576"/>
      <c r="HT14" s="576"/>
      <c r="HU14" s="576"/>
      <c r="HV14" s="576"/>
      <c r="HW14" s="576"/>
      <c r="HX14" s="576"/>
      <c r="HY14" s="576"/>
      <c r="HZ14" s="576"/>
      <c r="IA14" s="576"/>
      <c r="IB14" s="576"/>
      <c r="IC14" s="576"/>
      <c r="ID14" s="566"/>
      <c r="IE14" s="566"/>
      <c r="IF14" s="566"/>
      <c r="IG14" s="566"/>
      <c r="IH14" s="566"/>
      <c r="II14" s="566"/>
      <c r="IJ14" s="566"/>
      <c r="IK14" s="566"/>
      <c r="IL14" s="566"/>
      <c r="IM14" s="566"/>
      <c r="IN14" s="566"/>
      <c r="IO14" s="566"/>
      <c r="IP14" s="566"/>
      <c r="IQ14" s="566"/>
      <c r="IR14" s="566"/>
      <c r="IS14" s="566"/>
      <c r="IT14" s="566"/>
      <c r="IU14" s="566"/>
      <c r="IV14" s="566"/>
      <c r="IW14" s="566"/>
      <c r="IX14" s="566"/>
      <c r="IY14" s="566"/>
      <c r="IZ14" s="566"/>
      <c r="JA14" s="566"/>
    </row>
    <row r="15" spans="1:261" ht="18" customHeight="1">
      <c r="A15" s="575" t="s">
        <v>146</v>
      </c>
      <c r="B15" s="576"/>
      <c r="C15" s="576" t="str">
        <f>IF(ISTEXT(IFERROR(VLOOKUP(A15,职业列表!I3:J15,1,FALSE),0)),"★","")</f>
        <v/>
      </c>
      <c r="D15" s="576"/>
      <c r="E15" s="576"/>
      <c r="F15" s="576" t="s">
        <v>149</v>
      </c>
      <c r="G15" s="576"/>
      <c r="H15" s="576"/>
      <c r="I15" s="576"/>
      <c r="J15" s="576"/>
      <c r="K15" s="576"/>
      <c r="L15" s="576"/>
      <c r="M15" s="576"/>
      <c r="N15" s="576"/>
      <c r="O15" s="576"/>
      <c r="P15" s="576"/>
      <c r="Q15" s="576"/>
      <c r="R15" s="576"/>
      <c r="S15" s="576"/>
      <c r="T15" s="576"/>
      <c r="U15" s="576"/>
      <c r="V15" s="576"/>
      <c r="W15" s="576" t="s">
        <v>6642</v>
      </c>
      <c r="X15" s="576"/>
      <c r="Y15" s="576"/>
      <c r="Z15" s="576"/>
      <c r="AA15" s="576"/>
      <c r="AB15" s="576"/>
      <c r="AC15" s="576"/>
      <c r="AD15" s="576"/>
      <c r="AE15" s="576"/>
      <c r="AF15" s="576"/>
      <c r="AG15" s="576"/>
      <c r="AH15" s="576"/>
      <c r="AI15" s="576"/>
      <c r="AJ15" s="576"/>
      <c r="AK15" s="576"/>
      <c r="AL15" s="576"/>
      <c r="AM15" s="576"/>
      <c r="AN15" s="576"/>
      <c r="AO15" s="576"/>
      <c r="AP15" s="576"/>
      <c r="AQ15" s="576"/>
      <c r="AR15" s="576"/>
      <c r="AS15" s="576"/>
      <c r="AT15" s="576" t="s">
        <v>149</v>
      </c>
      <c r="AU15" s="576" t="s">
        <v>149</v>
      </c>
      <c r="AV15" s="576"/>
      <c r="AW15" s="576"/>
      <c r="AX15" s="576"/>
      <c r="AY15" s="576"/>
      <c r="AZ15" s="576"/>
      <c r="BA15" s="576"/>
      <c r="BB15" s="576"/>
      <c r="BC15" s="576"/>
      <c r="BD15" s="576"/>
      <c r="BE15" s="576"/>
      <c r="BF15" s="576"/>
      <c r="BG15" s="576"/>
      <c r="BH15" s="576"/>
      <c r="BI15" s="576"/>
      <c r="BJ15" s="576"/>
      <c r="BK15" s="576"/>
      <c r="BL15" s="576"/>
      <c r="BM15" s="576"/>
      <c r="BN15" s="576"/>
      <c r="BO15" s="576"/>
      <c r="BP15" s="576"/>
      <c r="BQ15" s="576"/>
      <c r="BR15" s="576"/>
      <c r="BS15" s="576"/>
      <c r="BT15" s="576"/>
      <c r="BU15" s="576"/>
      <c r="BV15" s="576"/>
      <c r="BW15" s="576"/>
      <c r="BX15" s="576"/>
      <c r="BY15" s="576"/>
      <c r="BZ15" s="576"/>
      <c r="CA15" s="576"/>
      <c r="CB15" s="576"/>
      <c r="CC15" s="576"/>
      <c r="CD15" s="576"/>
      <c r="CE15" s="576"/>
      <c r="CF15" s="576"/>
      <c r="CG15" s="576" t="s">
        <v>149</v>
      </c>
      <c r="CH15" s="576"/>
      <c r="CI15" s="576"/>
      <c r="CJ15" s="576" t="s">
        <v>149</v>
      </c>
      <c r="CK15" s="576"/>
      <c r="CL15" s="576" t="s">
        <v>149</v>
      </c>
      <c r="CM15" s="576"/>
      <c r="CN15" s="576"/>
      <c r="CO15" s="576"/>
      <c r="CP15" s="576"/>
      <c r="CQ15" s="576"/>
      <c r="CR15" s="576"/>
      <c r="CS15" s="576"/>
      <c r="CT15" s="576"/>
      <c r="CU15" s="576"/>
      <c r="CV15" s="576"/>
      <c r="CW15" s="576"/>
      <c r="CX15" s="576"/>
      <c r="CY15" s="576"/>
      <c r="CZ15" s="576"/>
      <c r="DA15" s="576"/>
      <c r="DB15" s="576"/>
      <c r="DC15" s="576"/>
      <c r="DD15" s="576"/>
      <c r="DE15" s="576"/>
      <c r="DF15" s="576"/>
      <c r="DG15" s="576"/>
      <c r="DH15" s="576"/>
      <c r="DI15" s="576"/>
      <c r="DJ15" s="576"/>
      <c r="DK15" s="576" t="s">
        <v>149</v>
      </c>
      <c r="DL15" s="576" t="s">
        <v>149</v>
      </c>
      <c r="DM15" s="576"/>
      <c r="DN15" s="576"/>
      <c r="DO15" s="576"/>
      <c r="DP15" s="576"/>
      <c r="DQ15" s="576"/>
      <c r="DR15" s="576"/>
      <c r="DS15" s="576"/>
      <c r="DT15" s="576"/>
      <c r="DU15" s="576"/>
      <c r="DV15" s="576"/>
      <c r="DW15" s="576"/>
      <c r="DX15" s="576"/>
      <c r="DY15" s="576"/>
      <c r="DZ15" s="576" t="s">
        <v>149</v>
      </c>
      <c r="EA15" s="576"/>
      <c r="EB15" s="576" t="s">
        <v>149</v>
      </c>
      <c r="EC15" s="576"/>
      <c r="ED15" s="576"/>
      <c r="EE15" s="576"/>
      <c r="EF15" s="576"/>
      <c r="EG15" s="576"/>
      <c r="EH15" s="576"/>
      <c r="EI15" s="576"/>
      <c r="EJ15" s="576"/>
      <c r="EK15" s="576"/>
      <c r="EL15" s="576"/>
      <c r="EM15" s="576"/>
      <c r="EN15" s="576"/>
      <c r="EO15" s="576"/>
      <c r="EP15" s="576"/>
      <c r="EQ15" s="576"/>
      <c r="ER15" s="576"/>
      <c r="ES15" s="576"/>
      <c r="ET15" s="576"/>
      <c r="EU15" s="576"/>
      <c r="EV15" s="576"/>
      <c r="EW15" s="576"/>
      <c r="EX15" s="576"/>
      <c r="EY15" s="576"/>
      <c r="EZ15" s="576"/>
      <c r="FA15" s="576"/>
      <c r="FB15" s="576"/>
      <c r="FC15" s="576"/>
      <c r="FD15" s="576"/>
      <c r="FE15" s="576"/>
      <c r="FF15" s="576"/>
      <c r="FG15" s="576"/>
      <c r="FH15" s="576"/>
      <c r="FI15" s="576"/>
      <c r="FJ15" s="576"/>
      <c r="FK15" s="576" t="s">
        <v>149</v>
      </c>
      <c r="FL15" s="576" t="s">
        <v>149</v>
      </c>
      <c r="FM15" s="576" t="s">
        <v>149</v>
      </c>
      <c r="FN15" s="576"/>
      <c r="FO15" s="576" t="s">
        <v>149</v>
      </c>
      <c r="FP15" s="576" t="s">
        <v>149</v>
      </c>
      <c r="FQ15" s="576" t="s">
        <v>149</v>
      </c>
      <c r="FR15" s="576"/>
      <c r="FS15" s="576"/>
      <c r="FT15" s="576"/>
      <c r="FU15" s="576"/>
      <c r="FV15" s="576"/>
      <c r="FW15" s="576"/>
      <c r="FX15" s="576"/>
      <c r="FY15" s="576"/>
      <c r="FZ15" s="576"/>
      <c r="GA15" s="576"/>
      <c r="GB15" s="576"/>
      <c r="GC15" s="576"/>
      <c r="GD15" s="576"/>
      <c r="GE15" s="576"/>
      <c r="GF15" s="576"/>
      <c r="GG15" s="576"/>
      <c r="GH15" s="576"/>
      <c r="GI15" s="576"/>
      <c r="GJ15" s="576"/>
      <c r="GK15" s="576"/>
      <c r="GL15" s="576"/>
      <c r="GM15" s="576"/>
      <c r="GN15" s="576"/>
      <c r="GO15" s="576"/>
      <c r="GP15" s="576"/>
      <c r="GQ15" s="576"/>
      <c r="GR15" s="576"/>
      <c r="GS15" s="576"/>
      <c r="GT15" s="576"/>
      <c r="GU15" s="576" t="s">
        <v>149</v>
      </c>
      <c r="GV15" s="576" t="s">
        <v>149</v>
      </c>
      <c r="GW15" s="576"/>
      <c r="GX15" s="576"/>
      <c r="GY15" s="576"/>
      <c r="GZ15" s="576"/>
      <c r="HA15" s="576"/>
      <c r="HB15" s="576"/>
      <c r="HC15" s="576"/>
      <c r="HD15" s="576"/>
      <c r="HE15" s="576"/>
      <c r="HF15" s="576"/>
      <c r="HG15" s="576"/>
      <c r="HH15" s="576"/>
      <c r="HI15" s="576"/>
      <c r="HJ15" s="576"/>
      <c r="HK15" s="576"/>
      <c r="HL15" s="576"/>
      <c r="HM15" s="576"/>
      <c r="HN15" s="576"/>
      <c r="HO15" s="576"/>
      <c r="HP15" s="576"/>
      <c r="HQ15" s="576"/>
      <c r="HR15" s="576"/>
      <c r="HS15" s="576"/>
      <c r="HT15" s="576"/>
      <c r="HU15" s="576"/>
      <c r="HV15" s="576"/>
      <c r="HW15" s="576"/>
      <c r="HX15" s="576"/>
      <c r="HY15" s="576"/>
      <c r="HZ15" s="576"/>
      <c r="IA15" s="576"/>
      <c r="IB15" s="576"/>
      <c r="IC15" s="576"/>
      <c r="ID15" s="566"/>
      <c r="IE15" s="566"/>
      <c r="IF15" s="566"/>
      <c r="IG15" s="566"/>
      <c r="IH15" s="566"/>
      <c r="II15" s="566"/>
      <c r="IJ15" s="566"/>
      <c r="IK15" s="566"/>
      <c r="IL15" s="566"/>
      <c r="IM15" s="566"/>
      <c r="IN15" s="566"/>
      <c r="IO15" s="566"/>
      <c r="IP15" s="566"/>
      <c r="IQ15" s="566"/>
      <c r="IR15" s="566"/>
      <c r="IS15" s="566"/>
      <c r="IT15" s="566"/>
      <c r="IU15" s="566"/>
      <c r="IV15" s="566"/>
      <c r="IW15" s="566"/>
      <c r="IX15" s="566"/>
      <c r="IY15" s="566"/>
      <c r="IZ15" s="566"/>
      <c r="JA15" s="566"/>
    </row>
    <row r="16" spans="1:261" ht="18" customHeight="1">
      <c r="A16" s="575" t="s">
        <v>156</v>
      </c>
      <c r="B16" s="576"/>
      <c r="C16" s="576" t="str">
        <f>IF(ISTEXT(IFERROR(VLOOKUP(A16,职业列表!I3:J15,1,FALSE),0)),"★","")</f>
        <v/>
      </c>
      <c r="D16" s="576"/>
      <c r="E16" s="576"/>
      <c r="F16" s="576"/>
      <c r="G16" s="576"/>
      <c r="H16" s="576"/>
      <c r="I16" s="576"/>
      <c r="J16" s="576"/>
      <c r="K16" s="576"/>
      <c r="L16" s="576"/>
      <c r="M16" s="576"/>
      <c r="N16" s="576"/>
      <c r="O16" s="576"/>
      <c r="P16" s="576"/>
      <c r="Q16" s="576"/>
      <c r="R16" s="576"/>
      <c r="S16" s="576"/>
      <c r="T16" s="576"/>
      <c r="U16" s="576"/>
      <c r="V16" s="576"/>
      <c r="W16" s="576"/>
      <c r="X16" s="576"/>
      <c r="Y16" s="576"/>
      <c r="Z16" s="576"/>
      <c r="AA16" s="576" t="s">
        <v>6642</v>
      </c>
      <c r="AB16" s="576"/>
      <c r="AC16" s="576"/>
      <c r="AD16" s="576"/>
      <c r="AE16" s="576" t="s">
        <v>149</v>
      </c>
      <c r="AF16" s="576" t="s">
        <v>149</v>
      </c>
      <c r="AG16" s="576"/>
      <c r="AH16" s="576"/>
      <c r="AI16" s="576" t="s">
        <v>149</v>
      </c>
      <c r="AJ16" s="576" t="s">
        <v>6642</v>
      </c>
      <c r="AK16" s="576"/>
      <c r="AL16" s="576" t="s">
        <v>6642</v>
      </c>
      <c r="AM16" s="576"/>
      <c r="AN16" s="576"/>
      <c r="AO16" s="576"/>
      <c r="AP16" s="576"/>
      <c r="AQ16" s="576"/>
      <c r="AR16" s="576"/>
      <c r="AS16" s="576"/>
      <c r="AT16" s="576"/>
      <c r="AU16" s="576"/>
      <c r="AV16" s="576"/>
      <c r="AW16" s="576"/>
      <c r="AX16" s="576"/>
      <c r="AY16" s="576"/>
      <c r="AZ16" s="576"/>
      <c r="BA16" s="576"/>
      <c r="BB16" s="576"/>
      <c r="BC16" s="576" t="s">
        <v>149</v>
      </c>
      <c r="BD16" s="576"/>
      <c r="BE16" s="576"/>
      <c r="BF16" s="576" t="s">
        <v>149</v>
      </c>
      <c r="BG16" s="576"/>
      <c r="BH16" s="576"/>
      <c r="BI16" s="576"/>
      <c r="BJ16" s="576"/>
      <c r="BK16" s="576"/>
      <c r="BL16" s="576"/>
      <c r="BM16" s="576"/>
      <c r="BN16" s="576"/>
      <c r="BO16" s="576"/>
      <c r="BP16" s="576"/>
      <c r="BQ16" s="576"/>
      <c r="BR16" s="576"/>
      <c r="BS16" s="576" t="s">
        <v>149</v>
      </c>
      <c r="BT16" s="576"/>
      <c r="BU16" s="576"/>
      <c r="BV16" s="576"/>
      <c r="BW16" s="576" t="s">
        <v>149</v>
      </c>
      <c r="BX16" s="576" t="s">
        <v>149</v>
      </c>
      <c r="BY16" s="576"/>
      <c r="BZ16" s="576"/>
      <c r="CA16" s="576"/>
      <c r="CB16" s="576"/>
      <c r="CC16" s="576" t="s">
        <v>149</v>
      </c>
      <c r="CD16" s="576"/>
      <c r="CE16" s="576"/>
      <c r="CF16" s="576"/>
      <c r="CG16" s="576"/>
      <c r="CH16" s="576"/>
      <c r="CI16" s="576"/>
      <c r="CJ16" s="576"/>
      <c r="CK16" s="576"/>
      <c r="CL16" s="576"/>
      <c r="CM16" s="576"/>
      <c r="CN16" s="576"/>
      <c r="CO16" s="576"/>
      <c r="CP16" s="576" t="s">
        <v>149</v>
      </c>
      <c r="CQ16" s="576" t="s">
        <v>149</v>
      </c>
      <c r="CR16" s="576"/>
      <c r="CS16" s="576"/>
      <c r="CT16" s="576"/>
      <c r="CU16" s="576"/>
      <c r="CV16" s="576"/>
      <c r="CW16" s="576"/>
      <c r="CX16" s="576"/>
      <c r="CY16" s="576"/>
      <c r="CZ16" s="576"/>
      <c r="DA16" s="576" t="s">
        <v>6642</v>
      </c>
      <c r="DB16" s="576"/>
      <c r="DC16" s="576"/>
      <c r="DD16" s="576"/>
      <c r="DE16" s="576"/>
      <c r="DF16" s="576" t="s">
        <v>149</v>
      </c>
      <c r="DG16" s="576"/>
      <c r="DH16" s="576"/>
      <c r="DI16" s="576"/>
      <c r="DJ16" s="576" t="s">
        <v>6642</v>
      </c>
      <c r="DK16" s="576"/>
      <c r="DL16" s="576"/>
      <c r="DM16" s="576"/>
      <c r="DN16" s="576"/>
      <c r="DO16" s="576"/>
      <c r="DP16" s="576"/>
      <c r="DQ16" s="576"/>
      <c r="DR16" s="576"/>
      <c r="DS16" s="576"/>
      <c r="DT16" s="576"/>
      <c r="DU16" s="576"/>
      <c r="DV16" s="576"/>
      <c r="DW16" s="576"/>
      <c r="DX16" s="576"/>
      <c r="DY16" s="576"/>
      <c r="DZ16" s="576"/>
      <c r="EA16" s="576"/>
      <c r="EB16" s="576"/>
      <c r="EC16" s="576"/>
      <c r="ED16" s="576"/>
      <c r="EE16" s="576"/>
      <c r="EF16" s="576"/>
      <c r="EG16" s="576"/>
      <c r="EH16" s="576"/>
      <c r="EI16" s="576"/>
      <c r="EJ16" s="576"/>
      <c r="EK16" s="576"/>
      <c r="EL16" s="576"/>
      <c r="EM16" s="576"/>
      <c r="EN16" s="576" t="s">
        <v>149</v>
      </c>
      <c r="EO16" s="576"/>
      <c r="EP16" s="576" t="s">
        <v>149</v>
      </c>
      <c r="EQ16" s="576"/>
      <c r="ER16" s="576"/>
      <c r="ES16" s="576" t="s">
        <v>6642</v>
      </c>
      <c r="ET16" s="576"/>
      <c r="EU16" s="576" t="s">
        <v>149</v>
      </c>
      <c r="EV16" s="576"/>
      <c r="EW16" s="576"/>
      <c r="EX16" s="576"/>
      <c r="EY16" s="576"/>
      <c r="EZ16" s="576"/>
      <c r="FA16" s="576"/>
      <c r="FB16" s="576"/>
      <c r="FC16" s="576"/>
      <c r="FD16" s="576"/>
      <c r="FE16" s="576" t="s">
        <v>149</v>
      </c>
      <c r="FF16" s="576"/>
      <c r="FG16" s="576" t="s">
        <v>6642</v>
      </c>
      <c r="FH16" s="576"/>
      <c r="FI16" s="576"/>
      <c r="FJ16" s="576"/>
      <c r="FK16" s="576"/>
      <c r="FL16" s="576"/>
      <c r="FM16" s="576"/>
      <c r="FN16" s="576"/>
      <c r="FO16" s="576"/>
      <c r="FP16" s="576"/>
      <c r="FQ16" s="576"/>
      <c r="FR16" s="576"/>
      <c r="FS16" s="576"/>
      <c r="FT16" s="576"/>
      <c r="FU16" s="576"/>
      <c r="FV16" s="576"/>
      <c r="FW16" s="576"/>
      <c r="FX16" s="576"/>
      <c r="FY16" s="576"/>
      <c r="FZ16" s="576" t="s">
        <v>149</v>
      </c>
      <c r="GA16" s="576"/>
      <c r="GB16" s="576"/>
      <c r="GC16" s="576"/>
      <c r="GD16" s="576"/>
      <c r="GE16" s="576"/>
      <c r="GF16" s="576" t="s">
        <v>149</v>
      </c>
      <c r="GG16" s="576"/>
      <c r="GH16" s="576"/>
      <c r="GI16" s="576"/>
      <c r="GJ16" s="576"/>
      <c r="GK16" s="576"/>
      <c r="GL16" s="576"/>
      <c r="GM16" s="576"/>
      <c r="GN16" s="576"/>
      <c r="GO16" s="576"/>
      <c r="GP16" s="576"/>
      <c r="GQ16" s="576"/>
      <c r="GR16" s="576"/>
      <c r="GS16" s="576" t="s">
        <v>149</v>
      </c>
      <c r="GT16" s="576"/>
      <c r="GU16" s="576" t="s">
        <v>149</v>
      </c>
      <c r="GV16" s="576"/>
      <c r="GW16" s="576" t="s">
        <v>149</v>
      </c>
      <c r="GX16" s="576"/>
      <c r="GY16" s="576" t="s">
        <v>149</v>
      </c>
      <c r="GZ16" s="576"/>
      <c r="HA16" s="576"/>
      <c r="HB16" s="576"/>
      <c r="HC16" s="576" t="s">
        <v>149</v>
      </c>
      <c r="HD16" s="576"/>
      <c r="HE16" s="576"/>
      <c r="HF16" s="576"/>
      <c r="HG16" s="576"/>
      <c r="HH16" s="576"/>
      <c r="HI16" s="576"/>
      <c r="HJ16" s="576"/>
      <c r="HK16" s="576"/>
      <c r="HL16" s="576"/>
      <c r="HM16" s="576"/>
      <c r="HN16" s="576"/>
      <c r="HO16" s="576"/>
      <c r="HP16" s="576"/>
      <c r="HQ16" s="576"/>
      <c r="HR16" s="576"/>
      <c r="HS16" s="576"/>
      <c r="HT16" s="576"/>
      <c r="HU16" s="576"/>
      <c r="HV16" s="576"/>
      <c r="HW16" s="576"/>
      <c r="HX16" s="576"/>
      <c r="HY16" s="576"/>
      <c r="HZ16" s="576"/>
      <c r="IA16" s="576"/>
      <c r="IB16" s="576"/>
      <c r="IC16" s="576"/>
      <c r="ID16" s="566"/>
      <c r="IE16" s="566"/>
      <c r="IF16" s="566"/>
      <c r="IG16" s="566"/>
      <c r="IH16" s="566"/>
      <c r="II16" s="566"/>
      <c r="IJ16" s="566"/>
      <c r="IK16" s="566"/>
      <c r="IL16" s="566"/>
      <c r="IM16" s="566"/>
      <c r="IN16" s="566"/>
      <c r="IO16" s="566"/>
      <c r="IP16" s="566"/>
      <c r="IQ16" s="566"/>
      <c r="IR16" s="566"/>
      <c r="IS16" s="566"/>
      <c r="IT16" s="566"/>
      <c r="IU16" s="566"/>
      <c r="IV16" s="566"/>
      <c r="IW16" s="566"/>
      <c r="IX16" s="566"/>
      <c r="IY16" s="566"/>
      <c r="IZ16" s="566"/>
      <c r="JA16" s="566"/>
    </row>
    <row r="17" spans="1:261" ht="18" customHeight="1">
      <c r="A17" s="580" t="s">
        <v>159</v>
      </c>
      <c r="B17" s="576"/>
      <c r="C17" s="577" t="str">
        <f>IF(ISTEXT(IFERROR(VLOOKUP(A17,职业列表!I3:J15,1,FALSE),0)),"★","")</f>
        <v/>
      </c>
      <c r="D17" s="576"/>
      <c r="E17" s="576"/>
      <c r="F17" s="576"/>
      <c r="G17" s="576"/>
      <c r="H17" s="576"/>
      <c r="I17" s="576"/>
      <c r="J17" s="576"/>
      <c r="K17" s="576"/>
      <c r="L17" s="576"/>
      <c r="M17" s="576"/>
      <c r="N17" s="576"/>
      <c r="O17" s="576"/>
      <c r="P17" s="576"/>
      <c r="Q17" s="576"/>
      <c r="R17" s="576"/>
      <c r="S17" s="576"/>
      <c r="T17" s="576"/>
      <c r="U17" s="576"/>
      <c r="V17" s="576"/>
      <c r="W17" s="576"/>
      <c r="X17" s="576"/>
      <c r="Y17" s="576"/>
      <c r="Z17" s="576"/>
      <c r="AA17" s="576" t="s">
        <v>6642</v>
      </c>
      <c r="AB17" s="576"/>
      <c r="AC17" s="576"/>
      <c r="AD17" s="576"/>
      <c r="AE17" s="576" t="s">
        <v>149</v>
      </c>
      <c r="AF17" s="576" t="s">
        <v>149</v>
      </c>
      <c r="AG17" s="576"/>
      <c r="AH17" s="576"/>
      <c r="AI17" s="576"/>
      <c r="AJ17" s="576"/>
      <c r="AK17" s="576"/>
      <c r="AL17" s="576"/>
      <c r="AM17" s="576"/>
      <c r="AN17" s="576"/>
      <c r="AO17" s="576"/>
      <c r="AP17" s="576"/>
      <c r="AQ17" s="576"/>
      <c r="AR17" s="576"/>
      <c r="AS17" s="576"/>
      <c r="AT17" s="576"/>
      <c r="AU17" s="576"/>
      <c r="AV17" s="576"/>
      <c r="AW17" s="576"/>
      <c r="AX17" s="576"/>
      <c r="AY17" s="576"/>
      <c r="AZ17" s="576"/>
      <c r="BA17" s="576"/>
      <c r="BB17" s="576"/>
      <c r="BC17" s="576"/>
      <c r="BD17" s="576"/>
      <c r="BE17" s="576"/>
      <c r="BF17" s="576"/>
      <c r="BG17" s="576"/>
      <c r="BH17" s="576"/>
      <c r="BI17" s="576"/>
      <c r="BJ17" s="576"/>
      <c r="BK17" s="576"/>
      <c r="BL17" s="576"/>
      <c r="BM17" s="576"/>
      <c r="BN17" s="576"/>
      <c r="BO17" s="576"/>
      <c r="BP17" s="576"/>
      <c r="BQ17" s="576"/>
      <c r="BR17" s="576"/>
      <c r="BS17" s="576"/>
      <c r="BT17" s="576"/>
      <c r="BU17" s="576"/>
      <c r="BV17" s="576"/>
      <c r="BW17" s="576"/>
      <c r="BX17" s="576"/>
      <c r="BY17" s="576"/>
      <c r="BZ17" s="576"/>
      <c r="CA17" s="576"/>
      <c r="CB17" s="576"/>
      <c r="CC17" s="576"/>
      <c r="CD17" s="576"/>
      <c r="CE17" s="576"/>
      <c r="CF17" s="576"/>
      <c r="CG17" s="576"/>
      <c r="CH17" s="576"/>
      <c r="CI17" s="576"/>
      <c r="CJ17" s="576"/>
      <c r="CK17" s="576"/>
      <c r="CL17" s="576"/>
      <c r="CM17" s="576"/>
      <c r="CN17" s="576"/>
      <c r="CO17" s="576"/>
      <c r="CP17" s="576"/>
      <c r="CQ17" s="576"/>
      <c r="CR17" s="576"/>
      <c r="CS17" s="576"/>
      <c r="CT17" s="576"/>
      <c r="CU17" s="576"/>
      <c r="CV17" s="576"/>
      <c r="CW17" s="576"/>
      <c r="CX17" s="576"/>
      <c r="CY17" s="576"/>
      <c r="CZ17" s="576"/>
      <c r="DA17" s="576"/>
      <c r="DB17" s="576"/>
      <c r="DC17" s="576"/>
      <c r="DD17" s="576"/>
      <c r="DE17" s="576"/>
      <c r="DF17" s="576"/>
      <c r="DG17" s="576"/>
      <c r="DH17" s="576"/>
      <c r="DI17" s="576"/>
      <c r="DJ17" s="576"/>
      <c r="DK17" s="576"/>
      <c r="DL17" s="576"/>
      <c r="DM17" s="576"/>
      <c r="DN17" s="576"/>
      <c r="DO17" s="576"/>
      <c r="DP17" s="576"/>
      <c r="DQ17" s="576"/>
      <c r="DR17" s="576"/>
      <c r="DS17" s="576"/>
      <c r="DT17" s="576"/>
      <c r="DU17" s="576"/>
      <c r="DV17" s="576"/>
      <c r="DW17" s="576"/>
      <c r="DX17" s="576"/>
      <c r="DY17" s="576"/>
      <c r="DZ17" s="576"/>
      <c r="EA17" s="576"/>
      <c r="EB17" s="576"/>
      <c r="EC17" s="576"/>
      <c r="ED17" s="576"/>
      <c r="EE17" s="576"/>
      <c r="EF17" s="576"/>
      <c r="EG17" s="576"/>
      <c r="EH17" s="576"/>
      <c r="EI17" s="576"/>
      <c r="EJ17" s="576"/>
      <c r="EK17" s="576"/>
      <c r="EL17" s="576"/>
      <c r="EM17" s="576"/>
      <c r="EN17" s="576"/>
      <c r="EO17" s="576"/>
      <c r="EP17" s="576"/>
      <c r="EQ17" s="576"/>
      <c r="ER17" s="576"/>
      <c r="ES17" s="576"/>
      <c r="ET17" s="576"/>
      <c r="EU17" s="576"/>
      <c r="EV17" s="576"/>
      <c r="EW17" s="576"/>
      <c r="EX17" s="576"/>
      <c r="EY17" s="576"/>
      <c r="EZ17" s="576"/>
      <c r="FA17" s="576"/>
      <c r="FB17" s="576"/>
      <c r="FC17" s="576"/>
      <c r="FD17" s="576"/>
      <c r="FE17" s="576"/>
      <c r="FF17" s="576"/>
      <c r="FG17" s="576"/>
      <c r="FH17" s="576"/>
      <c r="FI17" s="576"/>
      <c r="FJ17" s="576"/>
      <c r="FK17" s="576"/>
      <c r="FL17" s="576"/>
      <c r="FM17" s="576"/>
      <c r="FN17" s="576"/>
      <c r="FO17" s="576"/>
      <c r="FP17" s="576"/>
      <c r="FQ17" s="576"/>
      <c r="FR17" s="576"/>
      <c r="FS17" s="576"/>
      <c r="FT17" s="576"/>
      <c r="FU17" s="576"/>
      <c r="FV17" s="576"/>
      <c r="FW17" s="576"/>
      <c r="FX17" s="576"/>
      <c r="FY17" s="576"/>
      <c r="FZ17" s="576"/>
      <c r="GA17" s="576"/>
      <c r="GB17" s="576"/>
      <c r="GC17" s="576"/>
      <c r="GD17" s="576"/>
      <c r="GE17" s="576"/>
      <c r="GF17" s="576"/>
      <c r="GG17" s="576"/>
      <c r="GH17" s="576"/>
      <c r="GI17" s="576"/>
      <c r="GJ17" s="576"/>
      <c r="GK17" s="576"/>
      <c r="GL17" s="576"/>
      <c r="GM17" s="576"/>
      <c r="GN17" s="576"/>
      <c r="GO17" s="576"/>
      <c r="GP17" s="576"/>
      <c r="GQ17" s="576"/>
      <c r="GR17" s="576"/>
      <c r="GS17" s="576"/>
      <c r="GT17" s="576"/>
      <c r="GU17" s="576"/>
      <c r="GV17" s="576"/>
      <c r="GW17" s="576"/>
      <c r="GX17" s="576"/>
      <c r="GY17" s="576" t="s">
        <v>149</v>
      </c>
      <c r="GZ17" s="576"/>
      <c r="HA17" s="576"/>
      <c r="HB17" s="576"/>
      <c r="HC17" s="576" t="s">
        <v>149</v>
      </c>
      <c r="HD17" s="576"/>
      <c r="HE17" s="576"/>
      <c r="HF17" s="576"/>
      <c r="HG17" s="576"/>
      <c r="HH17" s="576"/>
      <c r="HI17" s="576"/>
      <c r="HJ17" s="576"/>
      <c r="HK17" s="576"/>
      <c r="HL17" s="576"/>
      <c r="HM17" s="576"/>
      <c r="HN17" s="576"/>
      <c r="HO17" s="576"/>
      <c r="HP17" s="576"/>
      <c r="HQ17" s="576"/>
      <c r="HR17" s="576"/>
      <c r="HS17" s="576"/>
      <c r="HT17" s="576"/>
      <c r="HU17" s="576"/>
      <c r="HV17" s="576"/>
      <c r="HW17" s="576"/>
      <c r="HX17" s="576"/>
      <c r="HY17" s="576"/>
      <c r="HZ17" s="576"/>
      <c r="IA17" s="576"/>
      <c r="IB17" s="576"/>
      <c r="IC17" s="576"/>
      <c r="ID17" s="566"/>
      <c r="IE17" s="566"/>
      <c r="IF17" s="566"/>
      <c r="IG17" s="566"/>
      <c r="IH17" s="566"/>
      <c r="II17" s="566"/>
      <c r="IJ17" s="566"/>
      <c r="IK17" s="566"/>
      <c r="IL17" s="566"/>
      <c r="IM17" s="566"/>
      <c r="IN17" s="566"/>
      <c r="IO17" s="566"/>
      <c r="IP17" s="566"/>
      <c r="IQ17" s="566"/>
      <c r="IR17" s="566"/>
      <c r="IS17" s="566"/>
      <c r="IT17" s="566"/>
      <c r="IU17" s="566"/>
      <c r="IV17" s="566"/>
      <c r="IW17" s="566"/>
      <c r="IX17" s="566"/>
      <c r="IY17" s="566"/>
      <c r="IZ17" s="566"/>
      <c r="JA17" s="566"/>
    </row>
    <row r="18" spans="1:261" ht="18" customHeight="1">
      <c r="A18" s="575" t="s">
        <v>154</v>
      </c>
      <c r="B18" s="576"/>
      <c r="C18" s="576" t="str">
        <f>IF(ISTEXT(IFERROR(VLOOKUP(A18,职业列表!I3:J15,1,FALSE),0)),"★","")</f>
        <v/>
      </c>
      <c r="D18" s="576"/>
      <c r="E18" s="576"/>
      <c r="F18" s="576"/>
      <c r="G18" s="576"/>
      <c r="H18" s="576"/>
      <c r="I18" s="576"/>
      <c r="J18" s="576"/>
      <c r="K18" s="576"/>
      <c r="L18" s="576"/>
      <c r="M18" s="576"/>
      <c r="N18" s="576"/>
      <c r="O18" s="576"/>
      <c r="P18" s="576"/>
      <c r="Q18" s="576"/>
      <c r="R18" s="576" t="s">
        <v>149</v>
      </c>
      <c r="S18" s="576"/>
      <c r="T18" s="576"/>
      <c r="U18" s="576"/>
      <c r="V18" s="576"/>
      <c r="W18" s="576"/>
      <c r="X18" s="576"/>
      <c r="Y18" s="576"/>
      <c r="Z18" s="576"/>
      <c r="AA18" s="576"/>
      <c r="AB18" s="576"/>
      <c r="AC18" s="576"/>
      <c r="AD18" s="576"/>
      <c r="AE18" s="576"/>
      <c r="AF18" s="576"/>
      <c r="AG18" s="576"/>
      <c r="AH18" s="576" t="s">
        <v>149</v>
      </c>
      <c r="AI18" s="576" t="s">
        <v>149</v>
      </c>
      <c r="AJ18" s="576" t="s">
        <v>6642</v>
      </c>
      <c r="AK18" s="576"/>
      <c r="AL18" s="576" t="s">
        <v>6642</v>
      </c>
      <c r="AM18" s="576"/>
      <c r="AN18" s="577" t="s">
        <v>6645</v>
      </c>
      <c r="AO18" s="576"/>
      <c r="AP18" s="576"/>
      <c r="AQ18" s="576"/>
      <c r="AR18" s="576"/>
      <c r="AS18" s="576"/>
      <c r="AT18" s="576"/>
      <c r="AU18" s="576"/>
      <c r="AV18" s="576" t="s">
        <v>149</v>
      </c>
      <c r="AW18" s="576"/>
      <c r="AX18" s="576" t="s">
        <v>149</v>
      </c>
      <c r="AY18" s="576"/>
      <c r="AZ18" s="576"/>
      <c r="BA18" s="576" t="s">
        <v>149</v>
      </c>
      <c r="BB18" s="576" t="s">
        <v>149</v>
      </c>
      <c r="BC18" s="576" t="s">
        <v>149</v>
      </c>
      <c r="BD18" s="576"/>
      <c r="BE18" s="576"/>
      <c r="BF18" s="576" t="s">
        <v>149</v>
      </c>
      <c r="BG18" s="576"/>
      <c r="BH18" s="576"/>
      <c r="BI18" s="576" t="s">
        <v>149</v>
      </c>
      <c r="BJ18" s="576"/>
      <c r="BK18" s="576" t="s">
        <v>149</v>
      </c>
      <c r="BL18" s="576"/>
      <c r="BM18" s="576"/>
      <c r="BN18" s="576"/>
      <c r="BO18" s="576"/>
      <c r="BP18" s="576"/>
      <c r="BQ18" s="576"/>
      <c r="BR18" s="576"/>
      <c r="BS18" s="576" t="s">
        <v>149</v>
      </c>
      <c r="BT18" s="576"/>
      <c r="BU18" s="576"/>
      <c r="BV18" s="576"/>
      <c r="BW18" s="576"/>
      <c r="BX18" s="576" t="s">
        <v>149</v>
      </c>
      <c r="BY18" s="576" t="s">
        <v>149</v>
      </c>
      <c r="BZ18" s="576" t="s">
        <v>149</v>
      </c>
      <c r="CA18" s="576"/>
      <c r="CB18" s="576"/>
      <c r="CC18" s="576" t="s">
        <v>149</v>
      </c>
      <c r="CD18" s="576"/>
      <c r="CE18" s="576" t="s">
        <v>149</v>
      </c>
      <c r="CF18" s="576"/>
      <c r="CG18" s="576"/>
      <c r="CH18" s="576"/>
      <c r="CI18" s="576"/>
      <c r="CJ18" s="576"/>
      <c r="CK18" s="576"/>
      <c r="CL18" s="576"/>
      <c r="CM18" s="576"/>
      <c r="CN18" s="576"/>
      <c r="CO18" s="576"/>
      <c r="CP18" s="576" t="s">
        <v>149</v>
      </c>
      <c r="CQ18" s="576" t="s">
        <v>149</v>
      </c>
      <c r="CR18" s="576"/>
      <c r="CS18" s="576"/>
      <c r="CT18" s="576"/>
      <c r="CU18" s="576"/>
      <c r="CV18" s="576" t="s">
        <v>149</v>
      </c>
      <c r="CW18" s="576"/>
      <c r="CX18" s="576"/>
      <c r="CY18" s="576"/>
      <c r="CZ18" s="576"/>
      <c r="DA18" s="576" t="s">
        <v>6642</v>
      </c>
      <c r="DB18" s="576" t="s">
        <v>149</v>
      </c>
      <c r="DC18" s="576"/>
      <c r="DD18" s="576"/>
      <c r="DE18" s="576"/>
      <c r="DF18" s="576" t="s">
        <v>149</v>
      </c>
      <c r="DG18" s="577" t="s">
        <v>6645</v>
      </c>
      <c r="DH18" s="576"/>
      <c r="DI18" s="576"/>
      <c r="DJ18" s="576" t="s">
        <v>6642</v>
      </c>
      <c r="DK18" s="576"/>
      <c r="DL18" s="576"/>
      <c r="DM18" s="576"/>
      <c r="DN18" s="576"/>
      <c r="DO18" s="576"/>
      <c r="DP18" s="576"/>
      <c r="DQ18" s="576"/>
      <c r="DR18" s="576"/>
      <c r="DS18" s="576"/>
      <c r="DT18" s="576"/>
      <c r="DU18" s="576"/>
      <c r="DV18" s="576"/>
      <c r="DW18" s="576"/>
      <c r="DX18" s="576"/>
      <c r="DY18" s="576"/>
      <c r="DZ18" s="576"/>
      <c r="EA18" s="576"/>
      <c r="EB18" s="576"/>
      <c r="EC18" s="576"/>
      <c r="ED18" s="576"/>
      <c r="EE18" s="576"/>
      <c r="EF18" s="576"/>
      <c r="EG18" s="576"/>
      <c r="EH18" s="576"/>
      <c r="EI18" s="576"/>
      <c r="EJ18" s="576"/>
      <c r="EK18" s="576"/>
      <c r="EL18" s="576"/>
      <c r="EM18" s="576"/>
      <c r="EN18" s="576" t="s">
        <v>149</v>
      </c>
      <c r="EO18" s="576"/>
      <c r="EP18" s="576" t="s">
        <v>149</v>
      </c>
      <c r="EQ18" s="576"/>
      <c r="ER18" s="576"/>
      <c r="ES18" s="576" t="s">
        <v>6642</v>
      </c>
      <c r="ET18" s="576"/>
      <c r="EU18" s="576" t="s">
        <v>149</v>
      </c>
      <c r="EV18" s="576"/>
      <c r="EW18" s="576"/>
      <c r="EX18" s="576"/>
      <c r="EY18" s="576"/>
      <c r="EZ18" s="576"/>
      <c r="FA18" s="576"/>
      <c r="FB18" s="576"/>
      <c r="FC18" s="576"/>
      <c r="FD18" s="576"/>
      <c r="FE18" s="576" t="s">
        <v>149</v>
      </c>
      <c r="FF18" s="576"/>
      <c r="FG18" s="576" t="s">
        <v>6642</v>
      </c>
      <c r="FH18" s="576"/>
      <c r="FI18" s="576" t="s">
        <v>149</v>
      </c>
      <c r="FJ18" s="576"/>
      <c r="FK18" s="576"/>
      <c r="FL18" s="576"/>
      <c r="FM18" s="576"/>
      <c r="FN18" s="576"/>
      <c r="FO18" s="576"/>
      <c r="FP18" s="576"/>
      <c r="FQ18" s="576"/>
      <c r="FR18" s="576"/>
      <c r="FS18" s="576"/>
      <c r="FT18" s="576"/>
      <c r="FU18" s="576" t="s">
        <v>149</v>
      </c>
      <c r="FV18" s="576"/>
      <c r="FW18" s="576"/>
      <c r="FX18" s="576"/>
      <c r="FY18" s="576"/>
      <c r="FZ18" s="576" t="s">
        <v>149</v>
      </c>
      <c r="GA18" s="576"/>
      <c r="GB18" s="576"/>
      <c r="GC18" s="576"/>
      <c r="GD18" s="576"/>
      <c r="GE18" s="576"/>
      <c r="GF18" s="576" t="s">
        <v>149</v>
      </c>
      <c r="GG18" s="576" t="s">
        <v>149</v>
      </c>
      <c r="GH18" s="576" t="s">
        <v>6645</v>
      </c>
      <c r="GI18" s="576" t="s">
        <v>6645</v>
      </c>
      <c r="GJ18" s="576"/>
      <c r="GK18" s="576"/>
      <c r="GL18" s="576"/>
      <c r="GM18" s="576"/>
      <c r="GN18" s="576"/>
      <c r="GO18" s="576"/>
      <c r="GP18" s="576"/>
      <c r="GQ18" s="576"/>
      <c r="GR18" s="576"/>
      <c r="GS18" s="576"/>
      <c r="GT18" s="576"/>
      <c r="GU18" s="576" t="s">
        <v>149</v>
      </c>
      <c r="GV18" s="576"/>
      <c r="GW18" s="576" t="s">
        <v>149</v>
      </c>
      <c r="GX18" s="576"/>
      <c r="GY18" s="576"/>
      <c r="GZ18" s="576" t="s">
        <v>6645</v>
      </c>
      <c r="HA18" s="576"/>
      <c r="HB18" s="576"/>
      <c r="HC18" s="576"/>
      <c r="HD18" s="576"/>
      <c r="HE18" s="576"/>
      <c r="HF18" s="576"/>
      <c r="HG18" s="576"/>
      <c r="HH18" s="576"/>
      <c r="HI18" s="576" t="s">
        <v>149</v>
      </c>
      <c r="HJ18" s="576"/>
      <c r="HK18" s="576"/>
      <c r="HL18" s="577" t="s">
        <v>149</v>
      </c>
      <c r="HM18" s="576"/>
      <c r="HN18" s="576"/>
      <c r="HO18" s="576"/>
      <c r="HP18" s="576"/>
      <c r="HQ18" s="576"/>
      <c r="HR18" s="576"/>
      <c r="HS18" s="576"/>
      <c r="HT18" s="576" t="s">
        <v>149</v>
      </c>
      <c r="HU18" s="576"/>
      <c r="HV18" s="576"/>
      <c r="HW18" s="576"/>
      <c r="HX18" s="576"/>
      <c r="HY18" s="576" t="s">
        <v>149</v>
      </c>
      <c r="HZ18" s="576"/>
      <c r="IA18" s="576"/>
      <c r="IB18" s="576" t="s">
        <v>149</v>
      </c>
      <c r="IC18" s="576"/>
      <c r="ID18" s="566"/>
      <c r="IE18" s="566"/>
      <c r="IF18" s="566"/>
      <c r="IG18" s="566"/>
      <c r="IH18" s="566"/>
      <c r="II18" s="566"/>
      <c r="IJ18" s="566"/>
      <c r="IK18" s="566"/>
      <c r="IL18" s="566"/>
      <c r="IM18" s="566"/>
      <c r="IN18" s="566"/>
      <c r="IO18" s="566"/>
      <c r="IP18" s="566"/>
      <c r="IQ18" s="566"/>
      <c r="IR18" s="566"/>
      <c r="IS18" s="566"/>
      <c r="IT18" s="566"/>
      <c r="IU18" s="566"/>
      <c r="IV18" s="566"/>
      <c r="IW18" s="566"/>
      <c r="IX18" s="566"/>
      <c r="IY18" s="566"/>
      <c r="IZ18" s="566"/>
      <c r="JA18" s="566"/>
    </row>
    <row r="19" spans="1:261" ht="18" customHeight="1">
      <c r="A19" s="575" t="s">
        <v>161</v>
      </c>
      <c r="B19" s="576"/>
      <c r="C19" s="576" t="str">
        <f>IF(ISTEXT(IFERROR(VLOOKUP(A19,职业列表!I3:J15,1,FALSE),0)),"★","")</f>
        <v/>
      </c>
      <c r="D19" s="576"/>
      <c r="E19" s="576"/>
      <c r="F19" s="576"/>
      <c r="G19" s="576"/>
      <c r="H19" s="576"/>
      <c r="I19" s="576"/>
      <c r="J19" s="576"/>
      <c r="K19" s="576"/>
      <c r="L19" s="576"/>
      <c r="M19" s="576"/>
      <c r="N19" s="576"/>
      <c r="O19" s="576"/>
      <c r="P19" s="576"/>
      <c r="Q19" s="576"/>
      <c r="R19" s="576"/>
      <c r="S19" s="576"/>
      <c r="T19" s="576"/>
      <c r="U19" s="576"/>
      <c r="V19" s="576"/>
      <c r="W19" s="576"/>
      <c r="X19" s="576"/>
      <c r="Y19" s="576"/>
      <c r="Z19" s="576"/>
      <c r="AA19" s="576"/>
      <c r="AB19" s="576"/>
      <c r="AC19" s="576"/>
      <c r="AD19" s="576"/>
      <c r="AE19" s="576"/>
      <c r="AF19" s="576"/>
      <c r="AG19" s="576"/>
      <c r="AH19" s="576"/>
      <c r="AI19" s="576"/>
      <c r="AJ19" s="576" t="s">
        <v>149</v>
      </c>
      <c r="AK19" s="576"/>
      <c r="AL19" s="576"/>
      <c r="AM19" s="576"/>
      <c r="AN19" s="576"/>
      <c r="AO19" s="576"/>
      <c r="AP19" s="576"/>
      <c r="AQ19" s="576"/>
      <c r="AR19" s="576"/>
      <c r="AS19" s="576"/>
      <c r="AT19" s="576"/>
      <c r="AU19" s="576"/>
      <c r="AV19" s="576"/>
      <c r="AW19" s="576"/>
      <c r="AX19" s="576"/>
      <c r="AY19" s="576"/>
      <c r="AZ19" s="576"/>
      <c r="BA19" s="576"/>
      <c r="BB19" s="576"/>
      <c r="BC19" s="576"/>
      <c r="BD19" s="576"/>
      <c r="BE19" s="576"/>
      <c r="BF19" s="576" t="s">
        <v>149</v>
      </c>
      <c r="BG19" s="576"/>
      <c r="BH19" s="576"/>
      <c r="BI19" s="576" t="s">
        <v>149</v>
      </c>
      <c r="BJ19" s="576"/>
      <c r="BK19" s="576" t="s">
        <v>149</v>
      </c>
      <c r="BL19" s="576"/>
      <c r="BM19" s="576"/>
      <c r="BN19" s="576"/>
      <c r="BO19" s="576"/>
      <c r="BP19" s="576"/>
      <c r="BQ19" s="576"/>
      <c r="BR19" s="576"/>
      <c r="BS19" s="576"/>
      <c r="BT19" s="576"/>
      <c r="BU19" s="576"/>
      <c r="BV19" s="576"/>
      <c r="BW19" s="576"/>
      <c r="BX19" s="576" t="s">
        <v>149</v>
      </c>
      <c r="BY19" s="576"/>
      <c r="BZ19" s="576" t="s">
        <v>149</v>
      </c>
      <c r="CA19" s="576"/>
      <c r="CB19" s="576"/>
      <c r="CC19" s="576" t="s">
        <v>149</v>
      </c>
      <c r="CD19" s="576"/>
      <c r="CE19" s="576"/>
      <c r="CF19" s="576"/>
      <c r="CG19" s="576"/>
      <c r="CH19" s="576"/>
      <c r="CI19" s="576"/>
      <c r="CJ19" s="576"/>
      <c r="CK19" s="576"/>
      <c r="CL19" s="576"/>
      <c r="CM19" s="576"/>
      <c r="CN19" s="576"/>
      <c r="CO19" s="576"/>
      <c r="CP19" s="576" t="s">
        <v>149</v>
      </c>
      <c r="CQ19" s="576"/>
      <c r="CR19" s="576"/>
      <c r="CS19" s="576"/>
      <c r="CT19" s="576"/>
      <c r="CU19" s="576"/>
      <c r="CV19" s="576"/>
      <c r="CW19" s="576"/>
      <c r="CX19" s="576"/>
      <c r="CY19" s="576"/>
      <c r="CZ19" s="576"/>
      <c r="DA19" s="576"/>
      <c r="DB19" s="576"/>
      <c r="DC19" s="576"/>
      <c r="DD19" s="576"/>
      <c r="DE19" s="576"/>
      <c r="DF19" s="576"/>
      <c r="DG19" s="576"/>
      <c r="DH19" s="576"/>
      <c r="DI19" s="576"/>
      <c r="DJ19" s="576"/>
      <c r="DK19" s="576"/>
      <c r="DL19" s="576"/>
      <c r="DM19" s="576" t="s">
        <v>149</v>
      </c>
      <c r="DN19" s="576"/>
      <c r="DO19" s="576"/>
      <c r="DP19" s="576"/>
      <c r="DQ19" s="576"/>
      <c r="DR19" s="576"/>
      <c r="DS19" s="576"/>
      <c r="DT19" s="576"/>
      <c r="DU19" s="576"/>
      <c r="DV19" s="576"/>
      <c r="DW19" s="576"/>
      <c r="DX19" s="576"/>
      <c r="DY19" s="576"/>
      <c r="DZ19" s="576"/>
      <c r="EA19" s="576"/>
      <c r="EB19" s="576"/>
      <c r="EC19" s="576"/>
      <c r="ED19" s="576"/>
      <c r="EE19" s="576"/>
      <c r="EF19" s="576"/>
      <c r="EG19" s="576"/>
      <c r="EH19" s="576"/>
      <c r="EI19" s="576"/>
      <c r="EJ19" s="576"/>
      <c r="EK19" s="576"/>
      <c r="EL19" s="576"/>
      <c r="EM19" s="576"/>
      <c r="EN19" s="576"/>
      <c r="EO19" s="576"/>
      <c r="EP19" s="576"/>
      <c r="EQ19" s="576"/>
      <c r="ER19" s="576"/>
      <c r="ES19" s="576" t="s">
        <v>149</v>
      </c>
      <c r="ET19" s="576"/>
      <c r="EU19" s="576"/>
      <c r="EV19" s="576"/>
      <c r="EW19" s="576"/>
      <c r="EX19" s="576"/>
      <c r="EY19" s="576"/>
      <c r="EZ19" s="576"/>
      <c r="FA19" s="576"/>
      <c r="FB19" s="576"/>
      <c r="FC19" s="576"/>
      <c r="FD19" s="576"/>
      <c r="FE19" s="576"/>
      <c r="FF19" s="576"/>
      <c r="FG19" s="576"/>
      <c r="FH19" s="576"/>
      <c r="FI19" s="576"/>
      <c r="FJ19" s="576"/>
      <c r="FK19" s="576"/>
      <c r="FL19" s="576"/>
      <c r="FM19" s="576"/>
      <c r="FN19" s="576"/>
      <c r="FO19" s="576"/>
      <c r="FP19" s="576"/>
      <c r="FQ19" s="576"/>
      <c r="FR19" s="576"/>
      <c r="FS19" s="576"/>
      <c r="FT19" s="576"/>
      <c r="FU19" s="576" t="s">
        <v>149</v>
      </c>
      <c r="FV19" s="576"/>
      <c r="FW19" s="576"/>
      <c r="FX19" s="576"/>
      <c r="FY19" s="576"/>
      <c r="FZ19" s="576"/>
      <c r="GA19" s="576"/>
      <c r="GB19" s="576"/>
      <c r="GC19" s="576"/>
      <c r="GD19" s="576"/>
      <c r="GE19" s="576"/>
      <c r="GF19" s="576"/>
      <c r="GG19" s="576"/>
      <c r="GH19" s="576"/>
      <c r="GI19" s="576"/>
      <c r="GJ19" s="576"/>
      <c r="GK19" s="576"/>
      <c r="GL19" s="576"/>
      <c r="GM19" s="576"/>
      <c r="GN19" s="576"/>
      <c r="GO19" s="576"/>
      <c r="GP19" s="576"/>
      <c r="GQ19" s="576"/>
      <c r="GR19" s="576"/>
      <c r="GS19" s="576"/>
      <c r="GT19" s="576"/>
      <c r="GU19" s="576"/>
      <c r="GV19" s="576"/>
      <c r="GW19" s="576" t="s">
        <v>149</v>
      </c>
      <c r="GX19" s="576"/>
      <c r="GY19" s="576"/>
      <c r="GZ19" s="576"/>
      <c r="HA19" s="576"/>
      <c r="HB19" s="576"/>
      <c r="HC19" s="576"/>
      <c r="HD19" s="576"/>
      <c r="HE19" s="576"/>
      <c r="HF19" s="576"/>
      <c r="HG19" s="576"/>
      <c r="HH19" s="576"/>
      <c r="HI19" s="576"/>
      <c r="HJ19" s="576"/>
      <c r="HK19" s="576"/>
      <c r="HL19" s="576"/>
      <c r="HM19" s="576"/>
      <c r="HN19" s="576"/>
      <c r="HO19" s="576"/>
      <c r="HP19" s="576"/>
      <c r="HQ19" s="576"/>
      <c r="HR19" s="576"/>
      <c r="HS19" s="576"/>
      <c r="HT19" s="577" t="s">
        <v>149</v>
      </c>
      <c r="HU19" s="576"/>
      <c r="HV19" s="576"/>
      <c r="HW19" s="576"/>
      <c r="HX19" s="576"/>
      <c r="HY19" s="576"/>
      <c r="HZ19" s="576"/>
      <c r="IA19" s="576"/>
      <c r="IB19" s="576"/>
      <c r="IC19" s="576"/>
      <c r="ID19" s="566"/>
      <c r="IE19" s="566"/>
      <c r="IF19" s="566"/>
      <c r="IG19" s="566"/>
      <c r="IH19" s="566"/>
      <c r="II19" s="566"/>
      <c r="IJ19" s="566"/>
      <c r="IK19" s="566"/>
      <c r="IL19" s="566"/>
      <c r="IM19" s="566"/>
      <c r="IN19" s="566"/>
      <c r="IO19" s="566"/>
      <c r="IP19" s="566"/>
      <c r="IQ19" s="566"/>
      <c r="IR19" s="566"/>
      <c r="IS19" s="566"/>
      <c r="IT19" s="566"/>
      <c r="IU19" s="566"/>
      <c r="IV19" s="566"/>
      <c r="IW19" s="566"/>
      <c r="IX19" s="566"/>
      <c r="IY19" s="566"/>
      <c r="IZ19" s="566"/>
      <c r="JA19" s="566"/>
    </row>
    <row r="20" spans="1:261" ht="18" customHeight="1">
      <c r="A20" s="580" t="s">
        <v>165</v>
      </c>
      <c r="B20" s="576"/>
      <c r="C20" s="576" t="str">
        <f>IF(ISTEXT(IFERROR(VLOOKUP(A20,职业列表!I3:J15,1,FALSE),0)),"★","")</f>
        <v/>
      </c>
      <c r="D20" s="576"/>
      <c r="E20" s="576"/>
      <c r="F20" s="576"/>
      <c r="G20" s="576"/>
      <c r="H20" s="576"/>
      <c r="I20" s="576"/>
      <c r="J20" s="576"/>
      <c r="K20" s="576"/>
      <c r="L20" s="576"/>
      <c r="M20" s="576"/>
      <c r="N20" s="576"/>
      <c r="O20" s="576"/>
      <c r="P20" s="576"/>
      <c r="Q20" s="576"/>
      <c r="R20" s="576"/>
      <c r="S20" s="576" t="s">
        <v>6642</v>
      </c>
      <c r="T20" s="576"/>
      <c r="U20" s="576"/>
      <c r="V20" s="576"/>
      <c r="W20" s="576"/>
      <c r="X20" s="576"/>
      <c r="Y20" s="576"/>
      <c r="Z20" s="576"/>
      <c r="AA20" s="576"/>
      <c r="AB20" s="576"/>
      <c r="AC20" s="576"/>
      <c r="AD20" s="576"/>
      <c r="AE20" s="576" t="s">
        <v>149</v>
      </c>
      <c r="AF20" s="576" t="s">
        <v>149</v>
      </c>
      <c r="AG20" s="576"/>
      <c r="AH20" s="576"/>
      <c r="AI20" s="576"/>
      <c r="AJ20" s="576"/>
      <c r="AK20" s="576"/>
      <c r="AL20" s="576"/>
      <c r="AM20" s="576"/>
      <c r="AN20" s="576"/>
      <c r="AO20" s="576"/>
      <c r="AP20" s="576"/>
      <c r="AQ20" s="576"/>
      <c r="AR20" s="576"/>
      <c r="AS20" s="576"/>
      <c r="AT20" s="576"/>
      <c r="AU20" s="576"/>
      <c r="AV20" s="576" t="s">
        <v>6642</v>
      </c>
      <c r="AW20" s="576"/>
      <c r="AX20" s="576"/>
      <c r="AY20" s="576"/>
      <c r="AZ20" s="576"/>
      <c r="BA20" s="576"/>
      <c r="BB20" s="576"/>
      <c r="BC20" s="576"/>
      <c r="BD20" s="576"/>
      <c r="BE20" s="576"/>
      <c r="BF20" s="576"/>
      <c r="BG20" s="576"/>
      <c r="BH20" s="576"/>
      <c r="BI20" s="576"/>
      <c r="BJ20" s="576"/>
      <c r="BK20" s="576"/>
      <c r="BL20" s="576"/>
      <c r="BM20" s="576"/>
      <c r="BN20" s="576"/>
      <c r="BO20" s="576"/>
      <c r="BP20" s="576"/>
      <c r="BQ20" s="576"/>
      <c r="BR20" s="576"/>
      <c r="BS20" s="576"/>
      <c r="BT20" s="576"/>
      <c r="BU20" s="576"/>
      <c r="BV20" s="576"/>
      <c r="BW20" s="576" t="s">
        <v>6642</v>
      </c>
      <c r="BX20" s="576"/>
      <c r="BY20" s="576"/>
      <c r="BZ20" s="576"/>
      <c r="CA20" s="576"/>
      <c r="CB20" s="576"/>
      <c r="CC20" s="576"/>
      <c r="CD20" s="576"/>
      <c r="CE20" s="576"/>
      <c r="CF20" s="576"/>
      <c r="CG20" s="576"/>
      <c r="CH20" s="576"/>
      <c r="CI20" s="576"/>
      <c r="CJ20" s="576"/>
      <c r="CK20" s="576"/>
      <c r="CL20" s="576"/>
      <c r="CM20" s="576"/>
      <c r="CN20" s="576"/>
      <c r="CO20" s="576"/>
      <c r="CP20" s="576"/>
      <c r="CQ20" s="576"/>
      <c r="CR20" s="576"/>
      <c r="CS20" s="576"/>
      <c r="CT20" s="576"/>
      <c r="CU20" s="576"/>
      <c r="CV20" s="576"/>
      <c r="CW20" s="576"/>
      <c r="CX20" s="576"/>
      <c r="CY20" s="576"/>
      <c r="CZ20" s="576"/>
      <c r="DA20" s="576"/>
      <c r="DB20" s="576"/>
      <c r="DC20" s="576"/>
      <c r="DD20" s="576" t="s">
        <v>6642</v>
      </c>
      <c r="DE20" s="577" t="s">
        <v>6643</v>
      </c>
      <c r="DF20" s="576"/>
      <c r="DG20" s="576"/>
      <c r="DH20" s="576"/>
      <c r="DI20" s="576"/>
      <c r="DJ20" s="576"/>
      <c r="DK20" s="576"/>
      <c r="DL20" s="576"/>
      <c r="DM20" s="576"/>
      <c r="DN20" s="576"/>
      <c r="DO20" s="576" t="s">
        <v>6642</v>
      </c>
      <c r="DP20" s="576"/>
      <c r="DQ20" s="576"/>
      <c r="DR20" s="576"/>
      <c r="DS20" s="576"/>
      <c r="DT20" s="576"/>
      <c r="DU20" s="576"/>
      <c r="DV20" s="576"/>
      <c r="DW20" s="576"/>
      <c r="DX20" s="576"/>
      <c r="DY20" s="576"/>
      <c r="DZ20" s="576"/>
      <c r="EA20" s="576"/>
      <c r="EB20" s="576"/>
      <c r="EC20" s="576"/>
      <c r="ED20" s="576"/>
      <c r="EE20" s="576"/>
      <c r="EF20" s="576"/>
      <c r="EG20" s="576"/>
      <c r="EH20" s="576"/>
      <c r="EI20" s="576"/>
      <c r="EJ20" s="576"/>
      <c r="EK20" s="576"/>
      <c r="EL20" s="576"/>
      <c r="EM20" s="576"/>
      <c r="EN20" s="576"/>
      <c r="EO20" s="576"/>
      <c r="EP20" s="576"/>
      <c r="EQ20" s="576"/>
      <c r="ER20" s="576"/>
      <c r="ES20" s="576"/>
      <c r="ET20" s="576"/>
      <c r="EU20" s="576"/>
      <c r="EV20" s="576"/>
      <c r="EW20" s="576"/>
      <c r="EX20" s="576"/>
      <c r="EY20" s="576"/>
      <c r="EZ20" s="576"/>
      <c r="FA20" s="576"/>
      <c r="FB20" s="576"/>
      <c r="FC20" s="576"/>
      <c r="FD20" s="576"/>
      <c r="FE20" s="576"/>
      <c r="FF20" s="576"/>
      <c r="FG20" s="576"/>
      <c r="FH20" s="576"/>
      <c r="FI20" s="576"/>
      <c r="FJ20" s="576"/>
      <c r="FK20" s="576"/>
      <c r="FL20" s="576"/>
      <c r="FM20" s="576"/>
      <c r="FN20" s="576"/>
      <c r="FO20" s="577"/>
      <c r="FP20" s="576"/>
      <c r="FQ20" s="576"/>
      <c r="FR20" s="576"/>
      <c r="FS20" s="576"/>
      <c r="FT20" s="576"/>
      <c r="FU20" s="576"/>
      <c r="FV20" s="576"/>
      <c r="FW20" s="576"/>
      <c r="FX20" s="576"/>
      <c r="FY20" s="576"/>
      <c r="FZ20" s="576"/>
      <c r="GA20" s="576"/>
      <c r="GB20" s="576"/>
      <c r="GC20" s="576"/>
      <c r="GD20" s="576"/>
      <c r="GE20" s="576" t="s">
        <v>6642</v>
      </c>
      <c r="GF20" s="576"/>
      <c r="GG20" s="576"/>
      <c r="GH20" s="576"/>
      <c r="GI20" s="576"/>
      <c r="GJ20" s="576"/>
      <c r="GK20" s="576"/>
      <c r="GL20" s="576"/>
      <c r="GM20" s="576"/>
      <c r="GN20" s="576"/>
      <c r="GO20" s="576"/>
      <c r="GP20" s="576"/>
      <c r="GQ20" s="576"/>
      <c r="GR20" s="576"/>
      <c r="GS20" s="576" t="s">
        <v>149</v>
      </c>
      <c r="GT20" s="576"/>
      <c r="GU20" s="576"/>
      <c r="GV20" s="576"/>
      <c r="GW20" s="576"/>
      <c r="GX20" s="576"/>
      <c r="GY20" s="576" t="s">
        <v>149</v>
      </c>
      <c r="GZ20" s="576"/>
      <c r="HA20" s="576" t="s">
        <v>149</v>
      </c>
      <c r="HB20" s="576"/>
      <c r="HC20" s="576" t="s">
        <v>149</v>
      </c>
      <c r="HD20" s="576" t="s">
        <v>751</v>
      </c>
      <c r="HE20" s="576"/>
      <c r="HF20" s="576"/>
      <c r="HG20" s="576"/>
      <c r="HH20" s="576"/>
      <c r="HI20" s="576"/>
      <c r="HJ20" s="576"/>
      <c r="HK20" s="576"/>
      <c r="HL20" s="576"/>
      <c r="HM20" s="576"/>
      <c r="HN20" s="576"/>
      <c r="HO20" s="576"/>
      <c r="HP20" s="576"/>
      <c r="HQ20" s="576"/>
      <c r="HR20" s="576"/>
      <c r="HS20" s="576"/>
      <c r="HT20" s="576"/>
      <c r="HU20" s="576"/>
      <c r="HV20" s="576"/>
      <c r="HW20" s="576"/>
      <c r="HX20" s="576"/>
      <c r="HY20" s="576"/>
      <c r="HZ20" s="576"/>
      <c r="IA20" s="576"/>
      <c r="IB20" s="576"/>
      <c r="IC20" s="576"/>
      <c r="ID20" s="566"/>
      <c r="IE20" s="566"/>
      <c r="IF20" s="566"/>
      <c r="IG20" s="566"/>
      <c r="IH20" s="566"/>
      <c r="II20" s="566"/>
      <c r="IJ20" s="566"/>
      <c r="IK20" s="566"/>
      <c r="IL20" s="566"/>
      <c r="IM20" s="566"/>
      <c r="IN20" s="566"/>
      <c r="IO20" s="566"/>
      <c r="IP20" s="566"/>
      <c r="IQ20" s="566"/>
      <c r="IR20" s="566"/>
      <c r="IS20" s="566"/>
      <c r="IT20" s="566"/>
      <c r="IU20" s="566"/>
      <c r="IV20" s="566"/>
      <c r="IW20" s="566"/>
      <c r="IX20" s="566"/>
      <c r="IY20" s="566"/>
      <c r="IZ20" s="566"/>
      <c r="JA20" s="566"/>
    </row>
    <row r="21" spans="1:261" ht="18" customHeight="1">
      <c r="A21" s="580" t="s">
        <v>152</v>
      </c>
      <c r="B21" s="576"/>
      <c r="C21" s="576" t="str">
        <f>IF(ISTEXT(IFERROR(VLOOKUP(A21,职业列表!I3:J15,1,FALSE),0)),"★","")</f>
        <v/>
      </c>
      <c r="D21" s="576"/>
      <c r="E21" s="576"/>
      <c r="F21" s="576"/>
      <c r="G21" s="576"/>
      <c r="H21" s="576"/>
      <c r="I21" s="576"/>
      <c r="J21" s="576"/>
      <c r="K21" s="576"/>
      <c r="L21" s="576"/>
      <c r="M21" s="576"/>
      <c r="N21" s="576"/>
      <c r="O21" s="576"/>
      <c r="P21" s="576"/>
      <c r="Q21" s="576"/>
      <c r="R21" s="576"/>
      <c r="S21" s="576"/>
      <c r="T21" s="576"/>
      <c r="U21" s="576"/>
      <c r="V21" s="576"/>
      <c r="W21" s="576"/>
      <c r="X21" s="576"/>
      <c r="Y21" s="576"/>
      <c r="Z21" s="576"/>
      <c r="AA21" s="576"/>
      <c r="AB21" s="576"/>
      <c r="AC21" s="576"/>
      <c r="AD21" s="576"/>
      <c r="AE21" s="576"/>
      <c r="AF21" s="576"/>
      <c r="AG21" s="576"/>
      <c r="AH21" s="576"/>
      <c r="AI21" s="576"/>
      <c r="AJ21" s="576"/>
      <c r="AK21" s="576"/>
      <c r="AL21" s="576"/>
      <c r="AM21" s="576"/>
      <c r="AN21" s="576"/>
      <c r="AO21" s="576"/>
      <c r="AP21" s="576"/>
      <c r="AQ21" s="576"/>
      <c r="AR21" s="576"/>
      <c r="AS21" s="576"/>
      <c r="AT21" s="576"/>
      <c r="AU21" s="576"/>
      <c r="AV21" s="576"/>
      <c r="AW21" s="576"/>
      <c r="AX21" s="576"/>
      <c r="AY21" s="576"/>
      <c r="AZ21" s="576"/>
      <c r="BA21" s="576"/>
      <c r="BB21" s="576"/>
      <c r="BC21" s="576"/>
      <c r="BD21" s="576"/>
      <c r="BE21" s="576"/>
      <c r="BF21" s="576"/>
      <c r="BG21" s="576"/>
      <c r="BH21" s="576"/>
      <c r="BI21" s="576"/>
      <c r="BJ21" s="576"/>
      <c r="BK21" s="576"/>
      <c r="BL21" s="576"/>
      <c r="BM21" s="576"/>
      <c r="BN21" s="576"/>
      <c r="BO21" s="576"/>
      <c r="BP21" s="576"/>
      <c r="BQ21" s="576"/>
      <c r="BR21" s="576"/>
      <c r="BS21" s="576"/>
      <c r="BT21" s="576"/>
      <c r="BU21" s="576"/>
      <c r="BV21" s="576"/>
      <c r="BW21" s="576"/>
      <c r="BX21" s="576"/>
      <c r="BY21" s="576"/>
      <c r="BZ21" s="576"/>
      <c r="CA21" s="576"/>
      <c r="CB21" s="576"/>
      <c r="CC21" s="576"/>
      <c r="CD21" s="576"/>
      <c r="CE21" s="576"/>
      <c r="CF21" s="576"/>
      <c r="CG21" s="576"/>
      <c r="CH21" s="576"/>
      <c r="CI21" s="576"/>
      <c r="CJ21" s="576"/>
      <c r="CK21" s="576"/>
      <c r="CL21" s="576"/>
      <c r="CM21" s="576"/>
      <c r="CN21" s="576"/>
      <c r="CO21" s="576"/>
      <c r="CP21" s="576"/>
      <c r="CQ21" s="576"/>
      <c r="CR21" s="576"/>
      <c r="CS21" s="576"/>
      <c r="CT21" s="576"/>
      <c r="CU21" s="576"/>
      <c r="CV21" s="576"/>
      <c r="CW21" s="576"/>
      <c r="CX21" s="576"/>
      <c r="CY21" s="576"/>
      <c r="CZ21" s="576"/>
      <c r="DA21" s="576"/>
      <c r="DB21" s="576"/>
      <c r="DC21" s="576"/>
      <c r="DD21" s="576"/>
      <c r="DE21" s="576"/>
      <c r="DF21" s="576"/>
      <c r="DG21" s="576"/>
      <c r="DH21" s="576"/>
      <c r="DI21" s="576"/>
      <c r="DJ21" s="576"/>
      <c r="DK21" s="576"/>
      <c r="DL21" s="576"/>
      <c r="DM21" s="576"/>
      <c r="DN21" s="576"/>
      <c r="DO21" s="576"/>
      <c r="DP21" s="576"/>
      <c r="DQ21" s="576"/>
      <c r="DR21" s="576"/>
      <c r="DS21" s="576"/>
      <c r="DT21" s="576"/>
      <c r="DU21" s="576"/>
      <c r="DV21" s="576"/>
      <c r="DW21" s="576"/>
      <c r="DX21" s="576"/>
      <c r="DY21" s="576"/>
      <c r="DZ21" s="576"/>
      <c r="EA21" s="576"/>
      <c r="EB21" s="576"/>
      <c r="EC21" s="576"/>
      <c r="ED21" s="576"/>
      <c r="EE21" s="576"/>
      <c r="EF21" s="576"/>
      <c r="EG21" s="576"/>
      <c r="EH21" s="576"/>
      <c r="EI21" s="576"/>
      <c r="EJ21" s="576"/>
      <c r="EK21" s="576"/>
      <c r="EL21" s="576"/>
      <c r="EM21" s="576"/>
      <c r="EN21" s="576"/>
      <c r="EO21" s="576"/>
      <c r="EP21" s="576"/>
      <c r="EQ21" s="576"/>
      <c r="ER21" s="576"/>
      <c r="ES21" s="576"/>
      <c r="ET21" s="576"/>
      <c r="EU21" s="576"/>
      <c r="EV21" s="576"/>
      <c r="EW21" s="576"/>
      <c r="EX21" s="576"/>
      <c r="EY21" s="576"/>
      <c r="EZ21" s="576"/>
      <c r="FA21" s="576"/>
      <c r="FB21" s="576"/>
      <c r="FC21" s="576"/>
      <c r="FD21" s="576"/>
      <c r="FE21" s="576"/>
      <c r="FF21" s="576"/>
      <c r="FG21" s="576"/>
      <c r="FH21" s="576"/>
      <c r="FI21" s="576"/>
      <c r="FJ21" s="576"/>
      <c r="FK21" s="576"/>
      <c r="FL21" s="576"/>
      <c r="FM21" s="576"/>
      <c r="FN21" s="576"/>
      <c r="FO21" s="576"/>
      <c r="FP21" s="576"/>
      <c r="FQ21" s="576"/>
      <c r="FR21" s="576"/>
      <c r="FS21" s="576"/>
      <c r="FT21" s="576"/>
      <c r="FU21" s="576"/>
      <c r="FV21" s="576"/>
      <c r="FW21" s="576"/>
      <c r="FX21" s="576"/>
      <c r="FY21" s="576"/>
      <c r="FZ21" s="576"/>
      <c r="GA21" s="576"/>
      <c r="GB21" s="576"/>
      <c r="GC21" s="576"/>
      <c r="GD21" s="576"/>
      <c r="GE21" s="576"/>
      <c r="GF21" s="576"/>
      <c r="GG21" s="576"/>
      <c r="GH21" s="576"/>
      <c r="GI21" s="576"/>
      <c r="GJ21" s="576"/>
      <c r="GK21" s="576"/>
      <c r="GL21" s="576"/>
      <c r="GM21" s="576"/>
      <c r="GN21" s="576"/>
      <c r="GO21" s="576"/>
      <c r="GP21" s="576"/>
      <c r="GQ21" s="576"/>
      <c r="GR21" s="576"/>
      <c r="GS21" s="576"/>
      <c r="GT21" s="576"/>
      <c r="GU21" s="576"/>
      <c r="GV21" s="576"/>
      <c r="GW21" s="576"/>
      <c r="GX21" s="576"/>
      <c r="GY21" s="576"/>
      <c r="GZ21" s="576"/>
      <c r="HA21" s="576"/>
      <c r="HB21" s="576"/>
      <c r="HC21" s="576"/>
      <c r="HD21" s="576"/>
      <c r="HE21" s="576"/>
      <c r="HF21" s="576"/>
      <c r="HG21" s="576"/>
      <c r="HH21" s="576"/>
      <c r="HI21" s="576"/>
      <c r="HJ21" s="576"/>
      <c r="HK21" s="576"/>
      <c r="HL21" s="576"/>
      <c r="HM21" s="576"/>
      <c r="HN21" s="576"/>
      <c r="HO21" s="576"/>
      <c r="HP21" s="576"/>
      <c r="HQ21" s="576"/>
      <c r="HR21" s="576"/>
      <c r="HS21" s="576"/>
      <c r="HT21" s="576"/>
      <c r="HU21" s="576"/>
      <c r="HV21" s="576"/>
      <c r="HW21" s="576"/>
      <c r="HX21" s="576"/>
      <c r="HY21" s="576"/>
      <c r="HZ21" s="576"/>
      <c r="IA21" s="576"/>
      <c r="IB21" s="576"/>
      <c r="IC21" s="576"/>
      <c r="ID21" s="566"/>
      <c r="IE21" s="566"/>
      <c r="IF21" s="566"/>
      <c r="IG21" s="566"/>
      <c r="IH21" s="566"/>
      <c r="II21" s="566"/>
      <c r="IJ21" s="566"/>
      <c r="IK21" s="566"/>
      <c r="IL21" s="566"/>
      <c r="IM21" s="566"/>
      <c r="IN21" s="566"/>
      <c r="IO21" s="566"/>
      <c r="IP21" s="566"/>
      <c r="IQ21" s="566"/>
      <c r="IR21" s="566"/>
      <c r="IS21" s="566"/>
      <c r="IT21" s="566"/>
      <c r="IU21" s="566"/>
      <c r="IV21" s="566"/>
      <c r="IW21" s="566"/>
      <c r="IX21" s="566"/>
      <c r="IY21" s="566"/>
      <c r="IZ21" s="566"/>
      <c r="JA21" s="566"/>
    </row>
    <row r="22" spans="1:261" ht="18" customHeight="1">
      <c r="A22" s="575" t="s">
        <v>166</v>
      </c>
      <c r="B22" s="576"/>
      <c r="C22" s="576" t="str">
        <f>IF(ISTEXT(IFERROR(VLOOKUP(A22,职业列表!I3:J15,1,FALSE),0)),"★","")</f>
        <v/>
      </c>
      <c r="D22" s="576"/>
      <c r="E22" s="576"/>
      <c r="F22" s="576"/>
      <c r="G22" s="576"/>
      <c r="H22" s="576"/>
      <c r="I22" s="576"/>
      <c r="J22" s="576" t="s">
        <v>149</v>
      </c>
      <c r="K22" s="576"/>
      <c r="L22" s="576"/>
      <c r="M22" s="576"/>
      <c r="N22" s="576"/>
      <c r="O22" s="576"/>
      <c r="P22" s="576"/>
      <c r="Q22" s="576"/>
      <c r="R22" s="576"/>
      <c r="S22" s="576"/>
      <c r="T22" s="576"/>
      <c r="U22" s="576"/>
      <c r="V22" s="576" t="s">
        <v>149</v>
      </c>
      <c r="W22" s="576"/>
      <c r="X22" s="576"/>
      <c r="Y22" s="576"/>
      <c r="Z22" s="576"/>
      <c r="AA22" s="576"/>
      <c r="AB22" s="576"/>
      <c r="AC22" s="576"/>
      <c r="AD22" s="576"/>
      <c r="AE22" s="576"/>
      <c r="AF22" s="576"/>
      <c r="AG22" s="576"/>
      <c r="AH22" s="576"/>
      <c r="AI22" s="576"/>
      <c r="AJ22" s="576"/>
      <c r="AK22" s="576"/>
      <c r="AL22" s="576" t="s">
        <v>149</v>
      </c>
      <c r="AM22" s="576"/>
      <c r="AN22" s="576"/>
      <c r="AO22" s="576"/>
      <c r="AP22" s="576"/>
      <c r="AQ22" s="576"/>
      <c r="AR22" s="576"/>
      <c r="AS22" s="576" t="s">
        <v>149</v>
      </c>
      <c r="AT22" s="576"/>
      <c r="AU22" s="576"/>
      <c r="AV22" s="576"/>
      <c r="AW22" s="576"/>
      <c r="AX22" s="576"/>
      <c r="AY22" s="576"/>
      <c r="AZ22" s="576" t="s">
        <v>149</v>
      </c>
      <c r="BA22" s="576"/>
      <c r="BB22" s="576"/>
      <c r="BC22" s="576"/>
      <c r="BD22" s="576"/>
      <c r="BE22" s="576"/>
      <c r="BF22" s="576"/>
      <c r="BG22" s="576"/>
      <c r="BH22" s="576" t="s">
        <v>6642</v>
      </c>
      <c r="BI22" s="576"/>
      <c r="BJ22" s="576"/>
      <c r="BK22" s="576" t="s">
        <v>149</v>
      </c>
      <c r="BL22" s="576"/>
      <c r="BM22" s="576"/>
      <c r="BN22" s="576"/>
      <c r="BO22" s="576"/>
      <c r="BP22" s="576"/>
      <c r="BQ22" s="576"/>
      <c r="BR22" s="576" t="s">
        <v>149</v>
      </c>
      <c r="BS22" s="576"/>
      <c r="BT22" s="576"/>
      <c r="BU22" s="576"/>
      <c r="BV22" s="576"/>
      <c r="BW22" s="576"/>
      <c r="BX22" s="576"/>
      <c r="BY22" s="576" t="s">
        <v>149</v>
      </c>
      <c r="BZ22" s="576" t="s">
        <v>149</v>
      </c>
      <c r="CA22" s="576"/>
      <c r="CB22" s="576"/>
      <c r="CC22" s="576" t="s">
        <v>149</v>
      </c>
      <c r="CD22" s="576"/>
      <c r="CE22" s="576"/>
      <c r="CF22" s="576" t="s">
        <v>149</v>
      </c>
      <c r="CG22" s="576"/>
      <c r="CH22" s="576"/>
      <c r="CI22" s="576"/>
      <c r="CJ22" s="576"/>
      <c r="CK22" s="576"/>
      <c r="CL22" s="576"/>
      <c r="CM22" s="576"/>
      <c r="CN22" s="576"/>
      <c r="CO22" s="576" t="s">
        <v>149</v>
      </c>
      <c r="CP22" s="576"/>
      <c r="CQ22" s="576"/>
      <c r="CR22" s="576"/>
      <c r="CS22" s="576"/>
      <c r="CT22" s="576"/>
      <c r="CU22" s="576"/>
      <c r="CV22" s="576" t="s">
        <v>149</v>
      </c>
      <c r="CW22" s="576"/>
      <c r="CX22" s="576"/>
      <c r="CY22" s="576"/>
      <c r="CZ22" s="576"/>
      <c r="DA22" s="576"/>
      <c r="DB22" s="576"/>
      <c r="DC22" s="576"/>
      <c r="DD22" s="576"/>
      <c r="DE22" s="576"/>
      <c r="DF22" s="576"/>
      <c r="DG22" s="576" t="s">
        <v>6642</v>
      </c>
      <c r="DH22" s="576"/>
      <c r="DI22" s="576"/>
      <c r="DJ22" s="576" t="s">
        <v>149</v>
      </c>
      <c r="DK22" s="576" t="s">
        <v>149</v>
      </c>
      <c r="DL22" s="576"/>
      <c r="DM22" s="576"/>
      <c r="DN22" s="576"/>
      <c r="DO22" s="576"/>
      <c r="DP22" s="576"/>
      <c r="DQ22" s="576"/>
      <c r="DR22" s="576"/>
      <c r="DS22" s="576"/>
      <c r="DT22" s="576" t="s">
        <v>149</v>
      </c>
      <c r="DU22" s="576" t="s">
        <v>149</v>
      </c>
      <c r="DV22" s="576"/>
      <c r="DW22" s="576" t="s">
        <v>149</v>
      </c>
      <c r="DX22" s="576"/>
      <c r="DY22" s="576"/>
      <c r="DZ22" s="576"/>
      <c r="EA22" s="576"/>
      <c r="EB22" s="576"/>
      <c r="EC22" s="576"/>
      <c r="ED22" s="576"/>
      <c r="EE22" s="576"/>
      <c r="EF22" s="576"/>
      <c r="EG22" s="576"/>
      <c r="EH22" s="576"/>
      <c r="EI22" s="576"/>
      <c r="EJ22" s="576"/>
      <c r="EK22" s="576"/>
      <c r="EL22" s="576"/>
      <c r="EM22" s="576"/>
      <c r="EN22" s="576"/>
      <c r="EO22" s="576" t="s">
        <v>6642</v>
      </c>
      <c r="EP22" s="576" t="s">
        <v>149</v>
      </c>
      <c r="EQ22" s="576"/>
      <c r="ER22" s="576"/>
      <c r="ES22" s="576" t="s">
        <v>149</v>
      </c>
      <c r="ET22" s="576"/>
      <c r="EU22" s="576"/>
      <c r="EV22" s="576"/>
      <c r="EW22" s="576"/>
      <c r="EX22" s="576"/>
      <c r="EY22" s="576"/>
      <c r="EZ22" s="576"/>
      <c r="FA22" s="576"/>
      <c r="FB22" s="576"/>
      <c r="FC22" s="576"/>
      <c r="FD22" s="576"/>
      <c r="FE22" s="576"/>
      <c r="FF22" s="576"/>
      <c r="FG22" s="576" t="s">
        <v>149</v>
      </c>
      <c r="FH22" s="576"/>
      <c r="FI22" s="576"/>
      <c r="FJ22" s="576"/>
      <c r="FK22" s="576"/>
      <c r="FL22" s="576"/>
      <c r="FM22" s="576"/>
      <c r="FN22" s="576" t="s">
        <v>149</v>
      </c>
      <c r="FO22" s="576"/>
      <c r="FP22" s="576"/>
      <c r="FQ22" s="576"/>
      <c r="FR22" s="576"/>
      <c r="FS22" s="576"/>
      <c r="FT22" s="576"/>
      <c r="FU22" s="576"/>
      <c r="FV22" s="576"/>
      <c r="FW22" s="576"/>
      <c r="FX22" s="576"/>
      <c r="FY22" s="576"/>
      <c r="FZ22" s="576" t="s">
        <v>149</v>
      </c>
      <c r="GA22" s="576"/>
      <c r="GB22" s="576"/>
      <c r="GC22" s="576" t="s">
        <v>149</v>
      </c>
      <c r="GD22" s="576"/>
      <c r="GE22" s="576"/>
      <c r="GF22" s="576"/>
      <c r="GG22" s="576"/>
      <c r="GH22" s="576" t="s">
        <v>6642</v>
      </c>
      <c r="GI22" s="576" t="s">
        <v>6642</v>
      </c>
      <c r="GJ22" s="576" t="s">
        <v>6642</v>
      </c>
      <c r="GK22" s="576"/>
      <c r="GL22" s="576"/>
      <c r="GM22" s="576"/>
      <c r="GN22" s="576"/>
      <c r="GO22" s="576" t="s">
        <v>149</v>
      </c>
      <c r="GP22" s="576"/>
      <c r="GQ22" s="576"/>
      <c r="GR22" s="576"/>
      <c r="GS22" s="576"/>
      <c r="GT22" s="576"/>
      <c r="GU22" s="576"/>
      <c r="GV22" s="576"/>
      <c r="GW22" s="576" t="s">
        <v>149</v>
      </c>
      <c r="GX22" s="576"/>
      <c r="GY22" s="576"/>
      <c r="GZ22" s="576" t="s">
        <v>6642</v>
      </c>
      <c r="HA22" s="576"/>
      <c r="HB22" s="576"/>
      <c r="HC22" s="576"/>
      <c r="HD22" s="576"/>
      <c r="HE22" s="576"/>
      <c r="HF22" s="576"/>
      <c r="HG22" s="576"/>
      <c r="HH22" s="576"/>
      <c r="HI22" s="576"/>
      <c r="HJ22" s="576"/>
      <c r="HK22" s="576"/>
      <c r="HL22" s="576"/>
      <c r="HM22" s="576"/>
      <c r="HN22" s="576"/>
      <c r="HO22" s="576"/>
      <c r="HP22" s="576" t="s">
        <v>6642</v>
      </c>
      <c r="HQ22" s="576" t="s">
        <v>149</v>
      </c>
      <c r="HR22" s="576"/>
      <c r="HS22" s="576"/>
      <c r="HT22" s="576" t="s">
        <v>6645</v>
      </c>
      <c r="HU22" s="576"/>
      <c r="HV22" s="576"/>
      <c r="HW22" s="576"/>
      <c r="HX22" s="576"/>
      <c r="HY22" s="576"/>
      <c r="HZ22" s="576"/>
      <c r="IA22" s="576"/>
      <c r="IB22" s="576"/>
      <c r="IC22" s="576"/>
      <c r="ID22" s="566"/>
      <c r="IE22" s="566"/>
      <c r="IF22" s="566"/>
      <c r="IG22" s="566"/>
      <c r="IH22" s="566"/>
      <c r="II22" s="566"/>
      <c r="IJ22" s="566"/>
      <c r="IK22" s="566"/>
      <c r="IL22" s="566"/>
      <c r="IM22" s="566"/>
      <c r="IN22" s="566"/>
      <c r="IO22" s="566"/>
      <c r="IP22" s="566"/>
      <c r="IQ22" s="566"/>
      <c r="IR22" s="566"/>
      <c r="IS22" s="566"/>
      <c r="IT22" s="566"/>
      <c r="IU22" s="566"/>
      <c r="IV22" s="566"/>
      <c r="IW22" s="566"/>
      <c r="IX22" s="566"/>
      <c r="IY22" s="566"/>
      <c r="IZ22" s="566"/>
      <c r="JA22" s="566"/>
    </row>
    <row r="23" spans="1:261" ht="18" customHeight="1">
      <c r="A23" s="575" t="s">
        <v>164</v>
      </c>
      <c r="B23" s="576"/>
      <c r="C23" s="577" t="str">
        <f>IF(ISTEXT(IFERROR(VLOOKUP(A23,职业列表!I3:J15,1,FALSE),0)),"★","")</f>
        <v/>
      </c>
      <c r="D23" s="576"/>
      <c r="E23" s="576"/>
      <c r="F23" s="576"/>
      <c r="G23" s="576"/>
      <c r="H23" s="576"/>
      <c r="I23" s="576"/>
      <c r="J23" s="576" t="s">
        <v>149</v>
      </c>
      <c r="K23" s="576"/>
      <c r="L23" s="576"/>
      <c r="M23" s="576"/>
      <c r="N23" s="576"/>
      <c r="O23" s="576" t="s">
        <v>149</v>
      </c>
      <c r="P23" s="576"/>
      <c r="Q23" s="576"/>
      <c r="R23" s="576"/>
      <c r="S23" s="576"/>
      <c r="T23" s="576"/>
      <c r="U23" s="576"/>
      <c r="V23" s="576" t="s">
        <v>149</v>
      </c>
      <c r="W23" s="576"/>
      <c r="X23" s="576"/>
      <c r="Y23" s="576"/>
      <c r="Z23" s="576"/>
      <c r="AA23" s="576"/>
      <c r="AB23" s="576" t="s">
        <v>149</v>
      </c>
      <c r="AC23" s="576"/>
      <c r="AD23" s="576"/>
      <c r="AE23" s="576"/>
      <c r="AF23" s="576"/>
      <c r="AG23" s="576" t="s">
        <v>149</v>
      </c>
      <c r="AH23" s="576"/>
      <c r="AI23" s="576"/>
      <c r="AJ23" s="576"/>
      <c r="AK23" s="576"/>
      <c r="AL23" s="576"/>
      <c r="AM23" s="576"/>
      <c r="AN23" s="576"/>
      <c r="AO23" s="576"/>
      <c r="AP23" s="576"/>
      <c r="AQ23" s="576"/>
      <c r="AR23" s="576"/>
      <c r="AS23" s="576" t="s">
        <v>149</v>
      </c>
      <c r="AT23" s="576"/>
      <c r="AU23" s="576"/>
      <c r="AV23" s="576"/>
      <c r="AW23" s="576"/>
      <c r="AX23" s="576"/>
      <c r="AY23" s="576"/>
      <c r="AZ23" s="576" t="s">
        <v>149</v>
      </c>
      <c r="BA23" s="576"/>
      <c r="BB23" s="576"/>
      <c r="BC23" s="576"/>
      <c r="BD23" s="576"/>
      <c r="BE23" s="576"/>
      <c r="BF23" s="576"/>
      <c r="BG23" s="576"/>
      <c r="BH23" s="576" t="s">
        <v>149</v>
      </c>
      <c r="BI23" s="579"/>
      <c r="BJ23" s="576"/>
      <c r="BK23" s="576" t="s">
        <v>149</v>
      </c>
      <c r="BL23" s="576"/>
      <c r="BM23" s="576"/>
      <c r="BN23" s="576"/>
      <c r="BO23" s="576"/>
      <c r="BP23" s="576"/>
      <c r="BQ23" s="576"/>
      <c r="BR23" s="576" t="s">
        <v>149</v>
      </c>
      <c r="BS23" s="576"/>
      <c r="BT23" s="576"/>
      <c r="BU23" s="576"/>
      <c r="BV23" s="576"/>
      <c r="BW23" s="576"/>
      <c r="BX23" s="576"/>
      <c r="BY23" s="576" t="s">
        <v>149</v>
      </c>
      <c r="BZ23" s="576" t="s">
        <v>149</v>
      </c>
      <c r="CA23" s="576"/>
      <c r="CB23" s="576"/>
      <c r="CC23" s="576"/>
      <c r="CD23" s="576"/>
      <c r="CE23" s="576"/>
      <c r="CF23" s="576" t="s">
        <v>149</v>
      </c>
      <c r="CG23" s="576"/>
      <c r="CH23" s="576"/>
      <c r="CI23" s="576"/>
      <c r="CJ23" s="576"/>
      <c r="CK23" s="576"/>
      <c r="CL23" s="576"/>
      <c r="CM23" s="576"/>
      <c r="CN23" s="576"/>
      <c r="CO23" s="576"/>
      <c r="CP23" s="576"/>
      <c r="CQ23" s="576"/>
      <c r="CR23" s="576"/>
      <c r="CS23" s="576"/>
      <c r="CT23" s="576"/>
      <c r="CU23" s="576"/>
      <c r="CV23" s="576"/>
      <c r="CW23" s="576"/>
      <c r="CX23" s="576"/>
      <c r="CY23" s="576"/>
      <c r="CZ23" s="576"/>
      <c r="DA23" s="576"/>
      <c r="DB23" s="576"/>
      <c r="DC23" s="576"/>
      <c r="DD23" s="576"/>
      <c r="DE23" s="576"/>
      <c r="DF23" s="576"/>
      <c r="DG23" s="576"/>
      <c r="DH23" s="576"/>
      <c r="DI23" s="576"/>
      <c r="DJ23" s="576" t="s">
        <v>149</v>
      </c>
      <c r="DK23" s="576"/>
      <c r="DL23" s="576"/>
      <c r="DM23" s="576"/>
      <c r="DN23" s="576"/>
      <c r="DO23" s="576"/>
      <c r="DP23" s="576"/>
      <c r="DQ23" s="576"/>
      <c r="DR23" s="576"/>
      <c r="DS23" s="576"/>
      <c r="DT23" s="576" t="s">
        <v>149</v>
      </c>
      <c r="DU23" s="576" t="s">
        <v>149</v>
      </c>
      <c r="DV23" s="576" t="s">
        <v>149</v>
      </c>
      <c r="DW23" s="576" t="s">
        <v>149</v>
      </c>
      <c r="DX23" s="576"/>
      <c r="DY23" s="576"/>
      <c r="DZ23" s="576"/>
      <c r="EA23" s="576"/>
      <c r="EB23" s="576"/>
      <c r="EC23" s="576"/>
      <c r="ED23" s="576"/>
      <c r="EE23" s="576"/>
      <c r="EF23" s="576"/>
      <c r="EG23" s="576"/>
      <c r="EH23" s="576"/>
      <c r="EI23" s="576"/>
      <c r="EJ23" s="576"/>
      <c r="EK23" s="576"/>
      <c r="EL23" s="576"/>
      <c r="EM23" s="576"/>
      <c r="EN23" s="576"/>
      <c r="EO23" s="576" t="s">
        <v>6642</v>
      </c>
      <c r="EP23" s="576"/>
      <c r="EQ23" s="576"/>
      <c r="ER23" s="576"/>
      <c r="ES23" s="576" t="s">
        <v>149</v>
      </c>
      <c r="ET23" s="576"/>
      <c r="EU23" s="576"/>
      <c r="EV23" s="576"/>
      <c r="EW23" s="576"/>
      <c r="EX23" s="576"/>
      <c r="EY23" s="576"/>
      <c r="EZ23" s="576"/>
      <c r="FA23" s="576"/>
      <c r="FB23" s="576"/>
      <c r="FC23" s="576"/>
      <c r="FD23" s="576"/>
      <c r="FE23" s="576"/>
      <c r="FF23" s="576"/>
      <c r="FG23" s="576" t="s">
        <v>149</v>
      </c>
      <c r="FH23" s="576"/>
      <c r="FI23" s="576"/>
      <c r="FJ23" s="576"/>
      <c r="FK23" s="576"/>
      <c r="FL23" s="576"/>
      <c r="FM23" s="576"/>
      <c r="FN23" s="576" t="s">
        <v>149</v>
      </c>
      <c r="FO23" s="576"/>
      <c r="FP23" s="576"/>
      <c r="FQ23" s="576"/>
      <c r="FR23" s="576"/>
      <c r="FS23" s="576"/>
      <c r="FT23" s="576" t="s">
        <v>149</v>
      </c>
      <c r="FU23" s="576"/>
      <c r="FV23" s="576"/>
      <c r="FW23" s="576"/>
      <c r="FX23" s="576"/>
      <c r="FY23" s="576" t="s">
        <v>149</v>
      </c>
      <c r="FZ23" s="576" t="s">
        <v>149</v>
      </c>
      <c r="GA23" s="576"/>
      <c r="GB23" s="576"/>
      <c r="GC23" s="576" t="s">
        <v>149</v>
      </c>
      <c r="GD23" s="576"/>
      <c r="GE23" s="576"/>
      <c r="GF23" s="576"/>
      <c r="GG23" s="576"/>
      <c r="GH23" s="576"/>
      <c r="GI23" s="576"/>
      <c r="GJ23" s="576" t="s">
        <v>149</v>
      </c>
      <c r="GK23" s="576"/>
      <c r="GL23" s="576"/>
      <c r="GM23" s="576"/>
      <c r="GN23" s="576"/>
      <c r="GO23" s="576" t="s">
        <v>149</v>
      </c>
      <c r="GP23" s="576"/>
      <c r="GQ23" s="576"/>
      <c r="GR23" s="576"/>
      <c r="GS23" s="576"/>
      <c r="GT23" s="576"/>
      <c r="GU23" s="576"/>
      <c r="GV23" s="576"/>
      <c r="GW23" s="576"/>
      <c r="GX23" s="576"/>
      <c r="GY23" s="576"/>
      <c r="GZ23" s="576"/>
      <c r="HA23" s="576"/>
      <c r="HB23" s="576"/>
      <c r="HC23" s="576"/>
      <c r="HD23" s="576"/>
      <c r="HE23" s="576"/>
      <c r="HF23" s="576"/>
      <c r="HG23" s="576"/>
      <c r="HH23" s="576"/>
      <c r="HI23" s="576" t="s">
        <v>149</v>
      </c>
      <c r="HJ23" s="576"/>
      <c r="HK23" s="576"/>
      <c r="HL23" s="576"/>
      <c r="HM23" s="576"/>
      <c r="HN23" s="576"/>
      <c r="HO23" s="576"/>
      <c r="HP23" s="576"/>
      <c r="HQ23" s="576"/>
      <c r="HR23" s="576"/>
      <c r="HS23" s="576"/>
      <c r="HT23" s="576"/>
      <c r="HU23" s="576"/>
      <c r="HV23" s="576"/>
      <c r="HW23" s="576"/>
      <c r="HX23" s="576"/>
      <c r="HY23" s="576"/>
      <c r="HZ23" s="576"/>
      <c r="IA23" s="576"/>
      <c r="IB23" s="576"/>
      <c r="IC23" s="576"/>
      <c r="ID23" s="566"/>
      <c r="IE23" s="566"/>
      <c r="IF23" s="566"/>
      <c r="IG23" s="566"/>
      <c r="IH23" s="566"/>
      <c r="II23" s="566"/>
      <c r="IJ23" s="566"/>
      <c r="IK23" s="566"/>
      <c r="IL23" s="566"/>
      <c r="IM23" s="566"/>
      <c r="IN23" s="566"/>
      <c r="IO23" s="566"/>
      <c r="IP23" s="566"/>
      <c r="IQ23" s="566"/>
      <c r="IR23" s="566"/>
      <c r="IS23" s="566"/>
      <c r="IT23" s="566"/>
      <c r="IU23" s="566"/>
      <c r="IV23" s="566"/>
      <c r="IW23" s="566"/>
      <c r="IX23" s="566"/>
      <c r="IY23" s="566"/>
      <c r="IZ23" s="566"/>
      <c r="JA23" s="566"/>
    </row>
    <row r="24" spans="1:261" s="555" customFormat="1" ht="18" customHeight="1">
      <c r="A24" s="581" t="s">
        <v>153</v>
      </c>
      <c r="B24" s="582"/>
      <c r="C24" s="576" t="str">
        <f>IF(ISTEXT(IFERROR(VLOOKUP(A24,职业列表!I3:J15,1,FALSE),0)),"★","")</f>
        <v/>
      </c>
      <c r="D24" s="582"/>
      <c r="E24" s="582" t="s">
        <v>149</v>
      </c>
      <c r="F24" s="582" t="s">
        <v>149</v>
      </c>
      <c r="G24" s="582"/>
      <c r="H24" s="582" t="s">
        <v>149</v>
      </c>
      <c r="I24" s="582"/>
      <c r="J24" s="582"/>
      <c r="K24" s="582" t="s">
        <v>149</v>
      </c>
      <c r="L24" s="582" t="s">
        <v>149</v>
      </c>
      <c r="M24" s="582" t="s">
        <v>149</v>
      </c>
      <c r="N24" s="582" t="s">
        <v>149</v>
      </c>
      <c r="O24" s="582" t="s">
        <v>149</v>
      </c>
      <c r="P24" s="582"/>
      <c r="Q24" s="582"/>
      <c r="R24" s="582"/>
      <c r="S24" s="582" t="s">
        <v>149</v>
      </c>
      <c r="T24" s="582" t="s">
        <v>149</v>
      </c>
      <c r="U24" s="582" t="s">
        <v>149</v>
      </c>
      <c r="V24" s="582"/>
      <c r="W24" s="582" t="s">
        <v>149</v>
      </c>
      <c r="X24" s="582" t="s">
        <v>149</v>
      </c>
      <c r="Y24" s="582"/>
      <c r="Z24" s="582"/>
      <c r="AA24" s="582" t="s">
        <v>149</v>
      </c>
      <c r="AB24" s="582" t="s">
        <v>149</v>
      </c>
      <c r="AC24" s="582" t="s">
        <v>149</v>
      </c>
      <c r="AD24" s="582" t="s">
        <v>149</v>
      </c>
      <c r="AE24" s="582"/>
      <c r="AF24" s="582"/>
      <c r="AG24" s="582"/>
      <c r="AH24" s="582"/>
      <c r="AI24" s="582" t="s">
        <v>149</v>
      </c>
      <c r="AJ24" s="582"/>
      <c r="AK24" s="582" t="s">
        <v>149</v>
      </c>
      <c r="AL24" s="582"/>
      <c r="AM24" s="582" t="s">
        <v>149</v>
      </c>
      <c r="AN24" s="582" t="s">
        <v>149</v>
      </c>
      <c r="AO24" s="582"/>
      <c r="AP24" s="582"/>
      <c r="AQ24" s="582"/>
      <c r="AR24" s="582" t="s">
        <v>149</v>
      </c>
      <c r="AS24" s="582"/>
      <c r="AT24" s="582" t="s">
        <v>149</v>
      </c>
      <c r="AU24" s="582" t="s">
        <v>149</v>
      </c>
      <c r="AV24" s="582" t="s">
        <v>149</v>
      </c>
      <c r="AW24" s="582"/>
      <c r="AX24" s="582"/>
      <c r="AY24" s="582" t="s">
        <v>149</v>
      </c>
      <c r="AZ24" s="582"/>
      <c r="BA24" s="582"/>
      <c r="BB24" s="582" t="s">
        <v>149</v>
      </c>
      <c r="BC24" s="582"/>
      <c r="BD24" s="582" t="s">
        <v>149</v>
      </c>
      <c r="BE24" s="582" t="s">
        <v>149</v>
      </c>
      <c r="BF24" s="582"/>
      <c r="BG24" s="582" t="s">
        <v>149</v>
      </c>
      <c r="BH24" s="582"/>
      <c r="BI24" s="582"/>
      <c r="BJ24" s="582"/>
      <c r="BK24" s="582"/>
      <c r="BL24" s="582" t="s">
        <v>149</v>
      </c>
      <c r="BM24" s="582"/>
      <c r="BN24" s="582" t="s">
        <v>149</v>
      </c>
      <c r="BO24" s="582" t="s">
        <v>149</v>
      </c>
      <c r="BP24" s="582" t="s">
        <v>149</v>
      </c>
      <c r="BQ24" s="582"/>
      <c r="BR24" s="582"/>
      <c r="BS24" s="582" t="s">
        <v>149</v>
      </c>
      <c r="BT24" s="582" t="s">
        <v>149</v>
      </c>
      <c r="BU24" s="582" t="s">
        <v>149</v>
      </c>
      <c r="BV24" s="582" t="s">
        <v>149</v>
      </c>
      <c r="BW24" s="582"/>
      <c r="BX24" s="582"/>
      <c r="BY24" s="582"/>
      <c r="BZ24" s="582"/>
      <c r="CA24" s="582" t="s">
        <v>149</v>
      </c>
      <c r="CB24" s="582"/>
      <c r="CC24" s="582"/>
      <c r="CD24" s="582" t="s">
        <v>149</v>
      </c>
      <c r="CE24" s="582"/>
      <c r="CF24" s="582"/>
      <c r="CG24" s="582"/>
      <c r="CH24" s="582" t="s">
        <v>149</v>
      </c>
      <c r="CI24" s="582" t="s">
        <v>149</v>
      </c>
      <c r="CJ24" s="582"/>
      <c r="CK24" s="582"/>
      <c r="CL24" s="582" t="s">
        <v>149</v>
      </c>
      <c r="CM24" s="582" t="s">
        <v>149</v>
      </c>
      <c r="CN24" s="582" t="s">
        <v>149</v>
      </c>
      <c r="CO24" s="582" t="s">
        <v>149</v>
      </c>
      <c r="CP24" s="582"/>
      <c r="CQ24" s="582"/>
      <c r="CR24" s="582" t="s">
        <v>149</v>
      </c>
      <c r="CS24" s="582" t="s">
        <v>149</v>
      </c>
      <c r="CT24" s="582" t="s">
        <v>149</v>
      </c>
      <c r="CU24" s="582" t="s">
        <v>149</v>
      </c>
      <c r="CV24" s="582"/>
      <c r="CW24" s="582" t="s">
        <v>149</v>
      </c>
      <c r="CX24" s="582" t="s">
        <v>149</v>
      </c>
      <c r="CY24" s="582" t="s">
        <v>149</v>
      </c>
      <c r="CZ24" s="582"/>
      <c r="DA24" s="582"/>
      <c r="DB24" s="582"/>
      <c r="DC24" s="582" t="s">
        <v>149</v>
      </c>
      <c r="DD24" s="582"/>
      <c r="DE24" s="582" t="s">
        <v>149</v>
      </c>
      <c r="DF24" s="582" t="s">
        <v>149</v>
      </c>
      <c r="DG24" s="582"/>
      <c r="DH24" s="582" t="s">
        <v>149</v>
      </c>
      <c r="DI24" s="582"/>
      <c r="DJ24" s="582"/>
      <c r="DK24" s="582"/>
      <c r="DL24" s="582" t="s">
        <v>149</v>
      </c>
      <c r="DM24" s="582" t="s">
        <v>149</v>
      </c>
      <c r="DN24" s="582" t="s">
        <v>149</v>
      </c>
      <c r="DO24" s="582"/>
      <c r="DP24" s="582" t="s">
        <v>149</v>
      </c>
      <c r="DQ24" s="582" t="s">
        <v>149</v>
      </c>
      <c r="DR24" s="582"/>
      <c r="DS24" s="582" t="s">
        <v>149</v>
      </c>
      <c r="DT24" s="582"/>
      <c r="DU24" s="582"/>
      <c r="DV24" s="582" t="s">
        <v>149</v>
      </c>
      <c r="DW24" s="582"/>
      <c r="DX24" s="582" t="s">
        <v>149</v>
      </c>
      <c r="DY24" s="582" t="s">
        <v>149</v>
      </c>
      <c r="DZ24" s="582" t="s">
        <v>149</v>
      </c>
      <c r="EA24" s="582" t="s">
        <v>149</v>
      </c>
      <c r="EB24" s="582" t="s">
        <v>149</v>
      </c>
      <c r="EC24" s="582" t="s">
        <v>149</v>
      </c>
      <c r="ED24" s="582" t="s">
        <v>149</v>
      </c>
      <c r="EE24" s="582" t="s">
        <v>149</v>
      </c>
      <c r="EF24" s="582" t="s">
        <v>149</v>
      </c>
      <c r="EG24" s="582" t="s">
        <v>149</v>
      </c>
      <c r="EH24" s="582" t="s">
        <v>149</v>
      </c>
      <c r="EI24" s="582"/>
      <c r="EJ24" s="582" t="s">
        <v>149</v>
      </c>
      <c r="EK24" s="582" t="s">
        <v>149</v>
      </c>
      <c r="EL24" s="582" t="s">
        <v>149</v>
      </c>
      <c r="EM24" s="582" t="s">
        <v>149</v>
      </c>
      <c r="EN24" s="582" t="s">
        <v>149</v>
      </c>
      <c r="EO24" s="582"/>
      <c r="EP24" s="582"/>
      <c r="EQ24" s="582"/>
      <c r="ER24" s="582" t="s">
        <v>149</v>
      </c>
      <c r="ES24" s="582"/>
      <c r="ET24" s="582" t="s">
        <v>149</v>
      </c>
      <c r="EU24" s="582" t="s">
        <v>149</v>
      </c>
      <c r="EV24" s="582" t="s">
        <v>149</v>
      </c>
      <c r="EW24" s="582" t="s">
        <v>149</v>
      </c>
      <c r="EX24" s="582" t="s">
        <v>149</v>
      </c>
      <c r="EY24" s="582" t="s">
        <v>149</v>
      </c>
      <c r="EZ24" s="582" t="s">
        <v>149</v>
      </c>
      <c r="FA24" s="582" t="s">
        <v>149</v>
      </c>
      <c r="FB24" s="582"/>
      <c r="FC24" s="582" t="s">
        <v>149</v>
      </c>
      <c r="FD24" s="582" t="s">
        <v>149</v>
      </c>
      <c r="FE24" s="582"/>
      <c r="FF24" s="582" t="s">
        <v>149</v>
      </c>
      <c r="FG24" s="582"/>
      <c r="FH24" s="582" t="s">
        <v>6642</v>
      </c>
      <c r="FI24" s="582"/>
      <c r="FJ24" s="582" t="s">
        <v>149</v>
      </c>
      <c r="FK24" s="582" t="s">
        <v>149</v>
      </c>
      <c r="FL24" s="582"/>
      <c r="FM24" s="582" t="s">
        <v>149</v>
      </c>
      <c r="FN24" s="582"/>
      <c r="FO24" s="582" t="s">
        <v>149</v>
      </c>
      <c r="FP24" s="582"/>
      <c r="FQ24" s="582"/>
      <c r="FR24" s="582" t="s">
        <v>149</v>
      </c>
      <c r="FS24" s="582" t="s">
        <v>149</v>
      </c>
      <c r="FT24" s="582" t="s">
        <v>149</v>
      </c>
      <c r="FU24" s="582"/>
      <c r="FV24" s="582" t="s">
        <v>149</v>
      </c>
      <c r="FW24" s="582"/>
      <c r="FX24" s="582"/>
      <c r="FY24" s="582" t="s">
        <v>149</v>
      </c>
      <c r="FZ24" s="582"/>
      <c r="GA24" s="582"/>
      <c r="GB24" s="582"/>
      <c r="GC24" s="582"/>
      <c r="GD24" s="582" t="s">
        <v>149</v>
      </c>
      <c r="GE24" s="582" t="s">
        <v>149</v>
      </c>
      <c r="GF24" s="582"/>
      <c r="GG24" s="582"/>
      <c r="GH24" s="582"/>
      <c r="GI24" s="582"/>
      <c r="GJ24" s="582"/>
      <c r="GK24" s="582" t="s">
        <v>149</v>
      </c>
      <c r="GL24" s="582" t="s">
        <v>149</v>
      </c>
      <c r="GM24" s="582" t="s">
        <v>149</v>
      </c>
      <c r="GN24" s="582" t="s">
        <v>149</v>
      </c>
      <c r="GO24" s="582"/>
      <c r="GP24" s="582" t="s">
        <v>149</v>
      </c>
      <c r="GQ24" s="582" t="s">
        <v>149</v>
      </c>
      <c r="GR24" s="582" t="s">
        <v>149</v>
      </c>
      <c r="GS24" s="582" t="s">
        <v>149</v>
      </c>
      <c r="GT24" s="582"/>
      <c r="GU24" s="582"/>
      <c r="GV24" s="582" t="s">
        <v>149</v>
      </c>
      <c r="GW24" s="582"/>
      <c r="GX24" s="582"/>
      <c r="GY24" s="582"/>
      <c r="GZ24" s="582"/>
      <c r="HA24" s="582"/>
      <c r="HB24" s="582" t="s">
        <v>149</v>
      </c>
      <c r="HC24" s="582"/>
      <c r="HD24" s="582" t="s">
        <v>149</v>
      </c>
      <c r="HE24" s="582" t="s">
        <v>149</v>
      </c>
      <c r="HF24" s="582"/>
      <c r="HG24" s="582"/>
      <c r="HH24" s="582" t="s">
        <v>149</v>
      </c>
      <c r="HI24" s="583" t="s">
        <v>149</v>
      </c>
      <c r="HJ24" s="584" t="s">
        <v>149</v>
      </c>
      <c r="HK24" s="582" t="s">
        <v>149</v>
      </c>
      <c r="HL24" s="582"/>
      <c r="HM24" s="582"/>
      <c r="HN24" s="582"/>
      <c r="HO24" s="582" t="s">
        <v>149</v>
      </c>
      <c r="HP24" s="584" t="s">
        <v>149</v>
      </c>
      <c r="HQ24" s="582"/>
      <c r="HR24" s="582"/>
      <c r="HS24" s="584" t="s">
        <v>149</v>
      </c>
      <c r="HT24" s="582"/>
      <c r="HU24" s="584" t="s">
        <v>149</v>
      </c>
      <c r="HV24" s="582" t="s">
        <v>149</v>
      </c>
      <c r="HW24" s="582" t="s">
        <v>149</v>
      </c>
      <c r="HX24" s="582" t="s">
        <v>149</v>
      </c>
      <c r="HY24" s="582"/>
      <c r="HZ24" s="582"/>
      <c r="IA24" s="582" t="s">
        <v>149</v>
      </c>
      <c r="IB24" s="582"/>
      <c r="IC24" s="582" t="s">
        <v>149</v>
      </c>
      <c r="ID24" s="585"/>
      <c r="IE24" s="585"/>
      <c r="IF24" s="585"/>
      <c r="IG24" s="585"/>
      <c r="IH24" s="585"/>
      <c r="II24" s="585"/>
      <c r="IJ24" s="585"/>
      <c r="IK24" s="585"/>
      <c r="IL24" s="585"/>
      <c r="IM24" s="585"/>
      <c r="IN24" s="585"/>
      <c r="IO24" s="585"/>
      <c r="IP24" s="585"/>
      <c r="IQ24" s="585"/>
      <c r="IR24" s="585"/>
      <c r="IS24" s="585"/>
      <c r="IT24" s="585"/>
      <c r="IU24" s="585"/>
      <c r="IV24" s="585"/>
      <c r="IW24" s="585"/>
      <c r="IX24" s="585"/>
      <c r="IY24" s="585"/>
      <c r="IZ24" s="585"/>
      <c r="JA24" s="585"/>
    </row>
    <row r="25" spans="1:261" s="556" customFormat="1" ht="18" customHeight="1">
      <c r="A25" s="586" t="s">
        <v>155</v>
      </c>
      <c r="B25" s="587"/>
      <c r="C25" s="576" t="str">
        <f>IF(ISTEXT(IFERROR(VLOOKUP(A25,职业列表!I3:J15,1,FALSE),0)),"★","")</f>
        <v/>
      </c>
      <c r="D25" s="587" t="s">
        <v>6644</v>
      </c>
      <c r="E25" s="587" t="s">
        <v>6644</v>
      </c>
      <c r="F25" s="587" t="s">
        <v>6644</v>
      </c>
      <c r="G25" s="587"/>
      <c r="H25" s="587"/>
      <c r="I25" s="587"/>
      <c r="J25" s="587"/>
      <c r="K25" s="588" t="s">
        <v>6644</v>
      </c>
      <c r="L25" s="587" t="s">
        <v>6644</v>
      </c>
      <c r="M25" s="587" t="s">
        <v>6644</v>
      </c>
      <c r="N25" s="587"/>
      <c r="O25" s="587"/>
      <c r="P25" s="587" t="s">
        <v>6644</v>
      </c>
      <c r="Q25" s="587" t="s">
        <v>6644</v>
      </c>
      <c r="R25" s="587"/>
      <c r="S25" s="587"/>
      <c r="T25" s="587" t="s">
        <v>6644</v>
      </c>
      <c r="U25" s="588" t="s">
        <v>6644</v>
      </c>
      <c r="V25" s="587" t="s">
        <v>6644</v>
      </c>
      <c r="W25" s="587"/>
      <c r="X25" s="587" t="s">
        <v>6644</v>
      </c>
      <c r="Y25" s="587"/>
      <c r="Z25" s="587" t="s">
        <v>6644</v>
      </c>
      <c r="AA25" s="587" t="s">
        <v>6644</v>
      </c>
      <c r="AB25" s="587"/>
      <c r="AC25" s="587"/>
      <c r="AD25" s="587" t="s">
        <v>6644</v>
      </c>
      <c r="AE25" s="587"/>
      <c r="AF25" s="587" t="s">
        <v>6644</v>
      </c>
      <c r="AG25" s="587"/>
      <c r="AH25" s="587"/>
      <c r="AI25" s="587"/>
      <c r="AJ25" s="587"/>
      <c r="AK25" s="587" t="s">
        <v>6644</v>
      </c>
      <c r="AL25" s="587"/>
      <c r="AM25" s="587" t="s">
        <v>6644</v>
      </c>
      <c r="AN25" s="587" t="s">
        <v>6644</v>
      </c>
      <c r="AO25" s="587" t="s">
        <v>6644</v>
      </c>
      <c r="AP25" s="587" t="s">
        <v>6644</v>
      </c>
      <c r="AQ25" s="587"/>
      <c r="AR25" s="587" t="s">
        <v>6644</v>
      </c>
      <c r="AS25" s="587" t="s">
        <v>6644</v>
      </c>
      <c r="AT25" s="587" t="s">
        <v>6644</v>
      </c>
      <c r="AU25" s="587" t="s">
        <v>6644</v>
      </c>
      <c r="AV25" s="589"/>
      <c r="AW25" s="587" t="s">
        <v>6644</v>
      </c>
      <c r="AX25" s="587"/>
      <c r="AY25" s="587"/>
      <c r="AZ25" s="587" t="s">
        <v>6644</v>
      </c>
      <c r="BA25" s="587" t="s">
        <v>6644</v>
      </c>
      <c r="BB25" s="587" t="s">
        <v>6644</v>
      </c>
      <c r="BC25" s="587"/>
      <c r="BD25" s="587" t="s">
        <v>6644</v>
      </c>
      <c r="BE25" s="587" t="s">
        <v>149</v>
      </c>
      <c r="BF25" s="587"/>
      <c r="BG25" s="587" t="s">
        <v>6644</v>
      </c>
      <c r="BH25" s="587"/>
      <c r="BI25" s="587" t="s">
        <v>6644</v>
      </c>
      <c r="BJ25" s="587"/>
      <c r="BK25" s="587"/>
      <c r="BL25" s="587" t="s">
        <v>6644</v>
      </c>
      <c r="BM25" s="587"/>
      <c r="BN25" s="587" t="s">
        <v>6644</v>
      </c>
      <c r="BO25" s="587" t="s">
        <v>6644</v>
      </c>
      <c r="BP25" s="587" t="s">
        <v>6644</v>
      </c>
      <c r="BQ25" s="587" t="s">
        <v>6644</v>
      </c>
      <c r="BR25" s="587"/>
      <c r="BS25" s="587" t="s">
        <v>6644</v>
      </c>
      <c r="BT25" s="587" t="s">
        <v>6644</v>
      </c>
      <c r="BU25" s="587" t="s">
        <v>6644</v>
      </c>
      <c r="BV25" s="587"/>
      <c r="BW25" s="587"/>
      <c r="BX25" s="587"/>
      <c r="BY25" s="587"/>
      <c r="BZ25" s="589"/>
      <c r="CA25" s="587" t="s">
        <v>6644</v>
      </c>
      <c r="CB25" s="587"/>
      <c r="CC25" s="587"/>
      <c r="CD25" s="587" t="s">
        <v>6644</v>
      </c>
      <c r="CE25" s="587" t="s">
        <v>6644</v>
      </c>
      <c r="CF25" s="587"/>
      <c r="CG25" s="587"/>
      <c r="CH25" s="587" t="s">
        <v>6644</v>
      </c>
      <c r="CI25" s="587" t="s">
        <v>6644</v>
      </c>
      <c r="CJ25" s="587" t="s">
        <v>6644</v>
      </c>
      <c r="CK25" s="587"/>
      <c r="CL25" s="587"/>
      <c r="CM25" s="587" t="s">
        <v>6644</v>
      </c>
      <c r="CN25" s="587" t="s">
        <v>6644</v>
      </c>
      <c r="CO25" s="587" t="s">
        <v>6644</v>
      </c>
      <c r="CP25" s="587"/>
      <c r="CQ25" s="587"/>
      <c r="CR25" s="587" t="s">
        <v>6644</v>
      </c>
      <c r="CS25" s="587" t="s">
        <v>6644</v>
      </c>
      <c r="CT25" s="587" t="s">
        <v>6644</v>
      </c>
      <c r="CU25" s="587"/>
      <c r="CV25" s="587"/>
      <c r="CW25" s="587" t="s">
        <v>6644</v>
      </c>
      <c r="CX25" s="587"/>
      <c r="CY25" s="587"/>
      <c r="CZ25" s="587" t="s">
        <v>6644</v>
      </c>
      <c r="DA25" s="587"/>
      <c r="DB25" s="587" t="s">
        <v>6644</v>
      </c>
      <c r="DC25" s="587" t="s">
        <v>6644</v>
      </c>
      <c r="DD25" s="587" t="s">
        <v>6644</v>
      </c>
      <c r="DE25" s="587" t="s">
        <v>6644</v>
      </c>
      <c r="DF25" s="587" t="s">
        <v>6644</v>
      </c>
      <c r="DG25" s="587"/>
      <c r="DH25" s="587" t="s">
        <v>6644</v>
      </c>
      <c r="DI25" s="587"/>
      <c r="DJ25" s="587"/>
      <c r="DK25" s="587"/>
      <c r="DL25" s="587" t="s">
        <v>6644</v>
      </c>
      <c r="DM25" s="587" t="s">
        <v>6644</v>
      </c>
      <c r="DN25" s="587" t="s">
        <v>6644</v>
      </c>
      <c r="DO25" s="587" t="s">
        <v>6644</v>
      </c>
      <c r="DP25" s="587" t="s">
        <v>6644</v>
      </c>
      <c r="DQ25" s="587" t="s">
        <v>6644</v>
      </c>
      <c r="DR25" s="587"/>
      <c r="DS25" s="587" t="s">
        <v>149</v>
      </c>
      <c r="DT25" s="587" t="s">
        <v>6644</v>
      </c>
      <c r="DU25" s="587" t="s">
        <v>6644</v>
      </c>
      <c r="DV25" s="587" t="s">
        <v>6644</v>
      </c>
      <c r="DW25" s="587" t="s">
        <v>6644</v>
      </c>
      <c r="DX25" s="587" t="s">
        <v>6644</v>
      </c>
      <c r="DY25" s="587" t="s">
        <v>6644</v>
      </c>
      <c r="DZ25" s="587" t="s">
        <v>6644</v>
      </c>
      <c r="EA25" s="587" t="s">
        <v>6644</v>
      </c>
      <c r="EB25" s="587" t="s">
        <v>6644</v>
      </c>
      <c r="EC25" s="587" t="s">
        <v>6644</v>
      </c>
      <c r="ED25" s="587" t="s">
        <v>6644</v>
      </c>
      <c r="EE25" s="587" t="s">
        <v>6644</v>
      </c>
      <c r="EF25" s="587" t="s">
        <v>6644</v>
      </c>
      <c r="EG25" s="587" t="s">
        <v>6644</v>
      </c>
      <c r="EH25" s="587" t="s">
        <v>6644</v>
      </c>
      <c r="EI25" s="587"/>
      <c r="EJ25" s="587" t="s">
        <v>6644</v>
      </c>
      <c r="EK25" s="587"/>
      <c r="EL25" s="587"/>
      <c r="EM25" s="587"/>
      <c r="EN25" s="587" t="s">
        <v>6644</v>
      </c>
      <c r="EO25" s="587" t="s">
        <v>6644</v>
      </c>
      <c r="EP25" s="587" t="s">
        <v>6644</v>
      </c>
      <c r="EQ25" s="587"/>
      <c r="ER25" s="587" t="s">
        <v>6644</v>
      </c>
      <c r="ES25" s="587"/>
      <c r="ET25" s="587" t="s">
        <v>6644</v>
      </c>
      <c r="EU25" s="587"/>
      <c r="EV25" s="587" t="s">
        <v>149</v>
      </c>
      <c r="EW25" s="587" t="s">
        <v>6644</v>
      </c>
      <c r="EX25" s="587" t="s">
        <v>6644</v>
      </c>
      <c r="EY25" s="587" t="s">
        <v>6644</v>
      </c>
      <c r="EZ25" s="587" t="s">
        <v>6644</v>
      </c>
      <c r="FA25" s="587" t="s">
        <v>6644</v>
      </c>
      <c r="FB25" s="587"/>
      <c r="FC25" s="587" t="s">
        <v>6644</v>
      </c>
      <c r="FD25" s="587" t="s">
        <v>6644</v>
      </c>
      <c r="FE25" s="587"/>
      <c r="FF25" s="587" t="s">
        <v>6644</v>
      </c>
      <c r="FG25" s="587" t="s">
        <v>6644</v>
      </c>
      <c r="FH25" s="587"/>
      <c r="FI25" s="587"/>
      <c r="FJ25" s="587" t="s">
        <v>6644</v>
      </c>
      <c r="FK25" s="587" t="s">
        <v>6644</v>
      </c>
      <c r="FL25" s="587" t="s">
        <v>6644</v>
      </c>
      <c r="FM25" s="587"/>
      <c r="FN25" s="587"/>
      <c r="FO25" s="587"/>
      <c r="FP25" s="587"/>
      <c r="FQ25" s="587"/>
      <c r="FR25" s="587" t="s">
        <v>6644</v>
      </c>
      <c r="FS25" s="587"/>
      <c r="FT25" s="587"/>
      <c r="FU25" s="587"/>
      <c r="FV25" s="587" t="s">
        <v>6644</v>
      </c>
      <c r="FW25" s="587" t="s">
        <v>6644</v>
      </c>
      <c r="FX25" s="587"/>
      <c r="FY25" s="587"/>
      <c r="FZ25" s="587"/>
      <c r="GA25" s="587" t="s">
        <v>6644</v>
      </c>
      <c r="GB25" s="587"/>
      <c r="GC25" s="587"/>
      <c r="GD25" s="587" t="s">
        <v>6644</v>
      </c>
      <c r="GE25" s="587"/>
      <c r="GF25" s="587"/>
      <c r="GG25" s="587" t="s">
        <v>6644</v>
      </c>
      <c r="GH25" s="587"/>
      <c r="GI25" s="587"/>
      <c r="GJ25" s="587"/>
      <c r="GK25" s="587" t="s">
        <v>6644</v>
      </c>
      <c r="GL25" s="587" t="s">
        <v>6644</v>
      </c>
      <c r="GM25" s="587" t="s">
        <v>6644</v>
      </c>
      <c r="GN25" s="587" t="s">
        <v>6644</v>
      </c>
      <c r="GO25" s="587"/>
      <c r="GP25" s="587" t="s">
        <v>149</v>
      </c>
      <c r="GQ25" s="587" t="s">
        <v>149</v>
      </c>
      <c r="GR25" s="587" t="s">
        <v>149</v>
      </c>
      <c r="GS25" s="587" t="s">
        <v>6644</v>
      </c>
      <c r="GT25" s="587" t="s">
        <v>6644</v>
      </c>
      <c r="GU25" s="587" t="s">
        <v>6644</v>
      </c>
      <c r="GV25" s="587" t="s">
        <v>6644</v>
      </c>
      <c r="GW25" s="587"/>
      <c r="GX25" s="587"/>
      <c r="GY25" s="587" t="s">
        <v>6644</v>
      </c>
      <c r="GZ25" s="587"/>
      <c r="HA25" s="587"/>
      <c r="HB25" s="587" t="s">
        <v>6644</v>
      </c>
      <c r="HC25" s="587" t="s">
        <v>6644</v>
      </c>
      <c r="HD25" s="588" t="s">
        <v>6644</v>
      </c>
      <c r="HE25" s="587" t="s">
        <v>6644</v>
      </c>
      <c r="HF25" s="587" t="s">
        <v>6644</v>
      </c>
      <c r="HG25" s="587"/>
      <c r="HH25" s="587" t="s">
        <v>6644</v>
      </c>
      <c r="HI25" s="587"/>
      <c r="HJ25" s="587" t="s">
        <v>6644</v>
      </c>
      <c r="HK25" s="587"/>
      <c r="HL25" s="588" t="s">
        <v>6644</v>
      </c>
      <c r="HM25" s="587" t="s">
        <v>6644</v>
      </c>
      <c r="HN25" s="587"/>
      <c r="HO25" s="587" t="s">
        <v>6644</v>
      </c>
      <c r="HP25" s="588" t="s">
        <v>6644</v>
      </c>
      <c r="HQ25" s="587"/>
      <c r="HR25" s="587" t="s">
        <v>6644</v>
      </c>
      <c r="HS25" s="588" t="s">
        <v>6644</v>
      </c>
      <c r="HT25" s="588" t="s">
        <v>6644</v>
      </c>
      <c r="HU25" s="587" t="s">
        <v>6644</v>
      </c>
      <c r="HV25" s="587"/>
      <c r="HW25" s="588" t="s">
        <v>6644</v>
      </c>
      <c r="HX25" s="587" t="s">
        <v>6644</v>
      </c>
      <c r="HY25" s="587" t="s">
        <v>6644</v>
      </c>
      <c r="HZ25" s="587"/>
      <c r="IA25" s="588" t="s">
        <v>6644</v>
      </c>
      <c r="IB25" s="587"/>
      <c r="IC25" s="587" t="s">
        <v>6644</v>
      </c>
      <c r="ID25" s="590"/>
      <c r="IE25" s="590"/>
      <c r="IF25" s="590"/>
      <c r="IG25" s="590"/>
      <c r="IH25" s="590"/>
      <c r="II25" s="590"/>
      <c r="IJ25" s="590"/>
      <c r="IK25" s="590"/>
      <c r="IL25" s="590"/>
      <c r="IM25" s="590"/>
      <c r="IN25" s="590"/>
      <c r="IO25" s="590"/>
      <c r="IP25" s="590"/>
      <c r="IQ25" s="590"/>
      <c r="IR25" s="590"/>
      <c r="IS25" s="590"/>
      <c r="IT25" s="590"/>
      <c r="IU25" s="590"/>
      <c r="IV25" s="590"/>
      <c r="IW25" s="590"/>
      <c r="IX25" s="590"/>
      <c r="IY25" s="590"/>
      <c r="IZ25" s="590"/>
      <c r="JA25" s="590"/>
    </row>
    <row r="26" spans="1:261" s="556" customFormat="1" ht="18" customHeight="1">
      <c r="A26" s="586" t="s">
        <v>157</v>
      </c>
      <c r="B26" s="587"/>
      <c r="C26" s="576" t="str">
        <f>IF(ISTEXT(IFERROR(VLOOKUP(A26,职业列表!I3:J15,1,FALSE),0)),"★","")</f>
        <v/>
      </c>
      <c r="D26" s="587" t="s">
        <v>6644</v>
      </c>
      <c r="E26" s="587" t="s">
        <v>6644</v>
      </c>
      <c r="F26" s="587" t="s">
        <v>6644</v>
      </c>
      <c r="G26" s="587"/>
      <c r="H26" s="587"/>
      <c r="I26" s="587"/>
      <c r="J26" s="587"/>
      <c r="K26" s="587" t="s">
        <v>6644</v>
      </c>
      <c r="L26" s="587" t="s">
        <v>6644</v>
      </c>
      <c r="M26" s="587" t="s">
        <v>6644</v>
      </c>
      <c r="N26" s="587"/>
      <c r="O26" s="587"/>
      <c r="P26" s="587" t="s">
        <v>6644</v>
      </c>
      <c r="Q26" s="587" t="s">
        <v>6644</v>
      </c>
      <c r="R26" s="587"/>
      <c r="S26" s="587"/>
      <c r="T26" s="587" t="s">
        <v>6644</v>
      </c>
      <c r="U26" s="587" t="s">
        <v>6644</v>
      </c>
      <c r="V26" s="587" t="s">
        <v>6644</v>
      </c>
      <c r="W26" s="587"/>
      <c r="X26" s="587" t="s">
        <v>6644</v>
      </c>
      <c r="Y26" s="587"/>
      <c r="Z26" s="587" t="s">
        <v>6644</v>
      </c>
      <c r="AA26" s="587" t="s">
        <v>6644</v>
      </c>
      <c r="AB26" s="587"/>
      <c r="AC26" s="587"/>
      <c r="AD26" s="587" t="s">
        <v>6644</v>
      </c>
      <c r="AE26" s="587"/>
      <c r="AF26" s="587" t="s">
        <v>6644</v>
      </c>
      <c r="AG26" s="587"/>
      <c r="AH26" s="587"/>
      <c r="AI26" s="587"/>
      <c r="AJ26" s="587"/>
      <c r="AK26" s="587" t="s">
        <v>6644</v>
      </c>
      <c r="AL26" s="587"/>
      <c r="AM26" s="587" t="s">
        <v>6644</v>
      </c>
      <c r="AN26" s="587" t="s">
        <v>6644</v>
      </c>
      <c r="AO26" s="587" t="s">
        <v>6644</v>
      </c>
      <c r="AP26" s="587" t="s">
        <v>6644</v>
      </c>
      <c r="AQ26" s="587"/>
      <c r="AR26" s="587" t="s">
        <v>6644</v>
      </c>
      <c r="AS26" s="587" t="s">
        <v>6644</v>
      </c>
      <c r="AT26" s="587" t="s">
        <v>6644</v>
      </c>
      <c r="AU26" s="587" t="s">
        <v>6644</v>
      </c>
      <c r="AV26" s="589"/>
      <c r="AW26" s="587" t="s">
        <v>6644</v>
      </c>
      <c r="AX26" s="587"/>
      <c r="AY26" s="587"/>
      <c r="AZ26" s="587" t="s">
        <v>6644</v>
      </c>
      <c r="BA26" s="587" t="s">
        <v>6644</v>
      </c>
      <c r="BB26" s="587" t="s">
        <v>6644</v>
      </c>
      <c r="BC26" s="587" t="s">
        <v>149</v>
      </c>
      <c r="BD26" s="587" t="s">
        <v>6644</v>
      </c>
      <c r="BE26" s="587" t="s">
        <v>149</v>
      </c>
      <c r="BF26" s="587"/>
      <c r="BG26" s="587" t="s">
        <v>6644</v>
      </c>
      <c r="BH26" s="587"/>
      <c r="BI26" s="587" t="s">
        <v>6644</v>
      </c>
      <c r="BJ26" s="587"/>
      <c r="BK26" s="587"/>
      <c r="BL26" s="587" t="s">
        <v>6644</v>
      </c>
      <c r="BM26" s="587"/>
      <c r="BN26" s="587" t="s">
        <v>6644</v>
      </c>
      <c r="BO26" s="587" t="s">
        <v>6644</v>
      </c>
      <c r="BP26" s="587" t="s">
        <v>6644</v>
      </c>
      <c r="BQ26" s="587" t="s">
        <v>6644</v>
      </c>
      <c r="BR26" s="587"/>
      <c r="BS26" s="587" t="s">
        <v>6644</v>
      </c>
      <c r="BT26" s="587" t="s">
        <v>6644</v>
      </c>
      <c r="BU26" s="587" t="s">
        <v>6644</v>
      </c>
      <c r="BV26" s="587"/>
      <c r="BW26" s="587"/>
      <c r="BX26" s="587"/>
      <c r="BY26" s="587"/>
      <c r="BZ26" s="589"/>
      <c r="CA26" s="587" t="s">
        <v>6644</v>
      </c>
      <c r="CB26" s="587"/>
      <c r="CC26" s="587"/>
      <c r="CD26" s="587" t="s">
        <v>6644</v>
      </c>
      <c r="CE26" s="587" t="s">
        <v>6644</v>
      </c>
      <c r="CF26" s="587"/>
      <c r="CG26" s="587"/>
      <c r="CH26" s="587" t="s">
        <v>6644</v>
      </c>
      <c r="CI26" s="587" t="s">
        <v>6644</v>
      </c>
      <c r="CJ26" s="587" t="s">
        <v>6644</v>
      </c>
      <c r="CK26" s="587"/>
      <c r="CL26" s="587"/>
      <c r="CM26" s="587" t="s">
        <v>6644</v>
      </c>
      <c r="CN26" s="587" t="s">
        <v>6644</v>
      </c>
      <c r="CO26" s="587" t="s">
        <v>6644</v>
      </c>
      <c r="CP26" s="587"/>
      <c r="CQ26" s="587"/>
      <c r="CR26" s="587" t="s">
        <v>6644</v>
      </c>
      <c r="CS26" s="587" t="s">
        <v>6644</v>
      </c>
      <c r="CT26" s="587" t="s">
        <v>6644</v>
      </c>
      <c r="CU26" s="587"/>
      <c r="CV26" s="587"/>
      <c r="CW26" s="587" t="s">
        <v>6644</v>
      </c>
      <c r="CX26" s="587"/>
      <c r="CY26" s="587"/>
      <c r="CZ26" s="587" t="s">
        <v>6644</v>
      </c>
      <c r="DA26" s="587"/>
      <c r="DB26" s="587" t="s">
        <v>6644</v>
      </c>
      <c r="DC26" s="587" t="s">
        <v>6644</v>
      </c>
      <c r="DD26" s="587" t="s">
        <v>6644</v>
      </c>
      <c r="DE26" s="587" t="s">
        <v>6644</v>
      </c>
      <c r="DF26" s="587" t="s">
        <v>6644</v>
      </c>
      <c r="DG26" s="587"/>
      <c r="DH26" s="587" t="s">
        <v>6644</v>
      </c>
      <c r="DI26" s="587"/>
      <c r="DJ26" s="587"/>
      <c r="DK26" s="587"/>
      <c r="DL26" s="587" t="s">
        <v>6644</v>
      </c>
      <c r="DM26" s="587" t="s">
        <v>6644</v>
      </c>
      <c r="DN26" s="587" t="s">
        <v>6644</v>
      </c>
      <c r="DO26" s="587" t="s">
        <v>6644</v>
      </c>
      <c r="DP26" s="587" t="s">
        <v>6644</v>
      </c>
      <c r="DQ26" s="587" t="s">
        <v>6644</v>
      </c>
      <c r="DR26" s="587"/>
      <c r="DS26" s="587" t="s">
        <v>149</v>
      </c>
      <c r="DT26" s="587" t="s">
        <v>6644</v>
      </c>
      <c r="DU26" s="587" t="s">
        <v>6644</v>
      </c>
      <c r="DV26" s="587" t="s">
        <v>6644</v>
      </c>
      <c r="DW26" s="587" t="s">
        <v>6644</v>
      </c>
      <c r="DX26" s="587" t="s">
        <v>6644</v>
      </c>
      <c r="DY26" s="587" t="s">
        <v>6644</v>
      </c>
      <c r="DZ26" s="587" t="s">
        <v>6644</v>
      </c>
      <c r="EA26" s="587" t="s">
        <v>6644</v>
      </c>
      <c r="EB26" s="587" t="s">
        <v>6644</v>
      </c>
      <c r="EC26" s="587" t="s">
        <v>6644</v>
      </c>
      <c r="ED26" s="587" t="s">
        <v>6644</v>
      </c>
      <c r="EE26" s="587" t="s">
        <v>6644</v>
      </c>
      <c r="EF26" s="587" t="s">
        <v>6644</v>
      </c>
      <c r="EG26" s="587" t="s">
        <v>6644</v>
      </c>
      <c r="EH26" s="587" t="s">
        <v>6644</v>
      </c>
      <c r="EI26" s="587"/>
      <c r="EJ26" s="587" t="s">
        <v>6644</v>
      </c>
      <c r="EK26" s="587"/>
      <c r="EL26" s="587"/>
      <c r="EM26" s="587"/>
      <c r="EN26" s="587" t="s">
        <v>6644</v>
      </c>
      <c r="EO26" s="587" t="s">
        <v>6644</v>
      </c>
      <c r="EP26" s="587" t="s">
        <v>6644</v>
      </c>
      <c r="EQ26" s="587"/>
      <c r="ER26" s="587" t="s">
        <v>6644</v>
      </c>
      <c r="ES26" s="587"/>
      <c r="ET26" s="587" t="s">
        <v>6644</v>
      </c>
      <c r="EU26" s="587"/>
      <c r="EV26" s="587" t="s">
        <v>149</v>
      </c>
      <c r="EW26" s="587" t="s">
        <v>6644</v>
      </c>
      <c r="EX26" s="587" t="s">
        <v>6644</v>
      </c>
      <c r="EY26" s="587" t="s">
        <v>6644</v>
      </c>
      <c r="EZ26" s="587" t="s">
        <v>6644</v>
      </c>
      <c r="FA26" s="587" t="s">
        <v>6644</v>
      </c>
      <c r="FB26" s="587"/>
      <c r="FC26" s="587" t="s">
        <v>6644</v>
      </c>
      <c r="FD26" s="587" t="s">
        <v>6644</v>
      </c>
      <c r="FE26" s="587"/>
      <c r="FF26" s="587" t="s">
        <v>6644</v>
      </c>
      <c r="FG26" s="587" t="s">
        <v>6644</v>
      </c>
      <c r="FH26" s="587"/>
      <c r="FI26" s="587" t="s">
        <v>149</v>
      </c>
      <c r="FJ26" s="587" t="s">
        <v>6644</v>
      </c>
      <c r="FK26" s="587" t="s">
        <v>6644</v>
      </c>
      <c r="FL26" s="587" t="s">
        <v>6644</v>
      </c>
      <c r="FM26" s="587"/>
      <c r="FN26" s="587"/>
      <c r="FO26" s="587" t="s">
        <v>6642</v>
      </c>
      <c r="FP26" s="587"/>
      <c r="FQ26" s="587"/>
      <c r="FR26" s="587" t="s">
        <v>6644</v>
      </c>
      <c r="FS26" s="587" t="s">
        <v>149</v>
      </c>
      <c r="FT26" s="587"/>
      <c r="FU26" s="587"/>
      <c r="FV26" s="587" t="s">
        <v>6644</v>
      </c>
      <c r="FW26" s="587" t="s">
        <v>6644</v>
      </c>
      <c r="FX26" s="587"/>
      <c r="FY26" s="587"/>
      <c r="FZ26" s="587"/>
      <c r="GA26" s="587" t="s">
        <v>6644</v>
      </c>
      <c r="GB26" s="587"/>
      <c r="GC26" s="587"/>
      <c r="GD26" s="587" t="s">
        <v>6644</v>
      </c>
      <c r="GE26" s="587"/>
      <c r="GF26" s="587"/>
      <c r="GG26" s="587" t="s">
        <v>6644</v>
      </c>
      <c r="GH26" s="587"/>
      <c r="GI26" s="587"/>
      <c r="GJ26" s="587"/>
      <c r="GK26" s="587" t="s">
        <v>6644</v>
      </c>
      <c r="GL26" s="587" t="s">
        <v>6644</v>
      </c>
      <c r="GM26" s="587" t="s">
        <v>6644</v>
      </c>
      <c r="GN26" s="587" t="s">
        <v>6644</v>
      </c>
      <c r="GO26" s="587"/>
      <c r="GP26" s="587" t="s">
        <v>149</v>
      </c>
      <c r="GQ26" s="587" t="s">
        <v>149</v>
      </c>
      <c r="GR26" s="587" t="s">
        <v>149</v>
      </c>
      <c r="GS26" s="587" t="s">
        <v>6644</v>
      </c>
      <c r="GT26" s="587" t="s">
        <v>6644</v>
      </c>
      <c r="GU26" s="587" t="s">
        <v>6644</v>
      </c>
      <c r="GV26" s="587" t="s">
        <v>6644</v>
      </c>
      <c r="GW26" s="587"/>
      <c r="GX26" s="587"/>
      <c r="GY26" s="587" t="s">
        <v>6644</v>
      </c>
      <c r="GZ26" s="587"/>
      <c r="HA26" s="587"/>
      <c r="HB26" s="587" t="s">
        <v>6644</v>
      </c>
      <c r="HC26" s="587" t="s">
        <v>6644</v>
      </c>
      <c r="HD26" s="587" t="s">
        <v>6644</v>
      </c>
      <c r="HE26" s="587" t="s">
        <v>6644</v>
      </c>
      <c r="HF26" s="587" t="s">
        <v>6644</v>
      </c>
      <c r="HG26" s="587"/>
      <c r="HH26" s="587" t="s">
        <v>6644</v>
      </c>
      <c r="HI26" s="587"/>
      <c r="HJ26" s="587" t="s">
        <v>6644</v>
      </c>
      <c r="HK26" s="587"/>
      <c r="HL26" s="587" t="s">
        <v>6644</v>
      </c>
      <c r="HM26" s="588" t="s">
        <v>6644</v>
      </c>
      <c r="HN26" s="587"/>
      <c r="HO26" s="588" t="s">
        <v>6644</v>
      </c>
      <c r="HP26" s="587" t="s">
        <v>6644</v>
      </c>
      <c r="HQ26" s="587"/>
      <c r="HR26" s="588" t="s">
        <v>6644</v>
      </c>
      <c r="HS26" s="587" t="s">
        <v>6644</v>
      </c>
      <c r="HT26" s="587" t="s">
        <v>6644</v>
      </c>
      <c r="HU26" s="587" t="s">
        <v>6644</v>
      </c>
      <c r="HV26" s="587"/>
      <c r="HW26" s="588" t="s">
        <v>6644</v>
      </c>
      <c r="HX26" s="588" t="s">
        <v>6644</v>
      </c>
      <c r="HY26" s="588" t="s">
        <v>6644</v>
      </c>
      <c r="HZ26" s="587"/>
      <c r="IA26" s="587" t="s">
        <v>6644</v>
      </c>
      <c r="IB26" s="587"/>
      <c r="IC26" s="587" t="s">
        <v>6644</v>
      </c>
      <c r="ID26" s="590"/>
      <c r="IE26" s="590"/>
      <c r="IF26" s="590"/>
      <c r="IG26" s="590"/>
      <c r="IH26" s="590"/>
      <c r="II26" s="590"/>
      <c r="IJ26" s="590"/>
      <c r="IK26" s="590"/>
      <c r="IL26" s="590"/>
      <c r="IM26" s="590"/>
      <c r="IN26" s="590"/>
      <c r="IO26" s="590"/>
      <c r="IP26" s="590"/>
      <c r="IQ26" s="590"/>
      <c r="IR26" s="590"/>
      <c r="IS26" s="590"/>
      <c r="IT26" s="590"/>
      <c r="IU26" s="590"/>
      <c r="IV26" s="590"/>
      <c r="IW26" s="590"/>
      <c r="IX26" s="590"/>
      <c r="IY26" s="590"/>
      <c r="IZ26" s="590"/>
      <c r="JA26" s="590"/>
    </row>
    <row r="27" spans="1:261" s="556" customFormat="1" ht="18" customHeight="1">
      <c r="A27" s="586" t="s">
        <v>160</v>
      </c>
      <c r="B27" s="587"/>
      <c r="C27" s="577" t="str">
        <f>IF(ISTEXT(IFERROR(VLOOKUP(A27,职业列表!I3:J15,1,FALSE),0)),"★","")</f>
        <v/>
      </c>
      <c r="D27" s="587" t="s">
        <v>6644</v>
      </c>
      <c r="E27" s="587" t="s">
        <v>6644</v>
      </c>
      <c r="F27" s="587" t="s">
        <v>6644</v>
      </c>
      <c r="G27" s="587"/>
      <c r="H27" s="587"/>
      <c r="I27" s="587"/>
      <c r="J27" s="587"/>
      <c r="K27" s="588" t="s">
        <v>6644</v>
      </c>
      <c r="L27" s="587" t="s">
        <v>6644</v>
      </c>
      <c r="M27" s="587" t="s">
        <v>6644</v>
      </c>
      <c r="N27" s="587"/>
      <c r="O27" s="587"/>
      <c r="P27" s="587" t="s">
        <v>6644</v>
      </c>
      <c r="Q27" s="587" t="s">
        <v>6644</v>
      </c>
      <c r="R27" s="587"/>
      <c r="S27" s="587"/>
      <c r="T27" s="587" t="s">
        <v>6644</v>
      </c>
      <c r="U27" s="587" t="s">
        <v>6644</v>
      </c>
      <c r="V27" s="587" t="s">
        <v>6644</v>
      </c>
      <c r="W27" s="587"/>
      <c r="X27" s="587" t="s">
        <v>6644</v>
      </c>
      <c r="Y27" s="587"/>
      <c r="Z27" s="587" t="s">
        <v>6644</v>
      </c>
      <c r="AA27" s="587" t="s">
        <v>6644</v>
      </c>
      <c r="AB27" s="587" t="s">
        <v>149</v>
      </c>
      <c r="AC27" s="587"/>
      <c r="AD27" s="587" t="s">
        <v>6644</v>
      </c>
      <c r="AE27" s="587"/>
      <c r="AF27" s="587" t="s">
        <v>6644</v>
      </c>
      <c r="AG27" s="587"/>
      <c r="AH27" s="587"/>
      <c r="AI27" s="587"/>
      <c r="AJ27" s="587" t="s">
        <v>149</v>
      </c>
      <c r="AK27" s="587" t="s">
        <v>6644</v>
      </c>
      <c r="AL27" s="587"/>
      <c r="AM27" s="587" t="s">
        <v>6644</v>
      </c>
      <c r="AN27" s="587" t="s">
        <v>6644</v>
      </c>
      <c r="AO27" s="587" t="s">
        <v>6644</v>
      </c>
      <c r="AP27" s="587" t="s">
        <v>6644</v>
      </c>
      <c r="AQ27" s="587"/>
      <c r="AR27" s="587" t="s">
        <v>6644</v>
      </c>
      <c r="AS27" s="587" t="s">
        <v>6644</v>
      </c>
      <c r="AT27" s="587" t="s">
        <v>6644</v>
      </c>
      <c r="AU27" s="587" t="s">
        <v>6644</v>
      </c>
      <c r="AV27" s="589"/>
      <c r="AW27" s="587" t="s">
        <v>6644</v>
      </c>
      <c r="AX27" s="587"/>
      <c r="AY27" s="587"/>
      <c r="AZ27" s="587" t="s">
        <v>6644</v>
      </c>
      <c r="BA27" s="587" t="s">
        <v>6644</v>
      </c>
      <c r="BB27" s="587" t="s">
        <v>6644</v>
      </c>
      <c r="BC27" s="587"/>
      <c r="BD27" s="587" t="s">
        <v>6644</v>
      </c>
      <c r="BE27" s="587" t="s">
        <v>149</v>
      </c>
      <c r="BF27" s="587"/>
      <c r="BG27" s="587" t="s">
        <v>6644</v>
      </c>
      <c r="BH27" s="587"/>
      <c r="BI27" s="587" t="s">
        <v>6644</v>
      </c>
      <c r="BJ27" s="587"/>
      <c r="BK27" s="587"/>
      <c r="BL27" s="587" t="s">
        <v>6644</v>
      </c>
      <c r="BM27" s="587"/>
      <c r="BN27" s="587" t="s">
        <v>6644</v>
      </c>
      <c r="BO27" s="587" t="s">
        <v>6644</v>
      </c>
      <c r="BP27" s="587" t="s">
        <v>6644</v>
      </c>
      <c r="BQ27" s="587" t="s">
        <v>6644</v>
      </c>
      <c r="BR27" s="587"/>
      <c r="BS27" s="587" t="s">
        <v>6644</v>
      </c>
      <c r="BT27" s="587" t="s">
        <v>6644</v>
      </c>
      <c r="BU27" s="587" t="s">
        <v>6644</v>
      </c>
      <c r="BV27" s="587" t="s">
        <v>149</v>
      </c>
      <c r="BW27" s="587"/>
      <c r="BX27" s="587"/>
      <c r="BY27" s="587"/>
      <c r="BZ27" s="589"/>
      <c r="CA27" s="587" t="s">
        <v>6644</v>
      </c>
      <c r="CB27" s="587"/>
      <c r="CC27" s="587"/>
      <c r="CD27" s="587" t="s">
        <v>6644</v>
      </c>
      <c r="CE27" s="587" t="s">
        <v>6644</v>
      </c>
      <c r="CF27" s="587"/>
      <c r="CG27" s="587"/>
      <c r="CH27" s="587" t="s">
        <v>6644</v>
      </c>
      <c r="CI27" s="587" t="s">
        <v>6644</v>
      </c>
      <c r="CJ27" s="587" t="s">
        <v>6644</v>
      </c>
      <c r="CK27" s="587"/>
      <c r="CL27" s="587"/>
      <c r="CM27" s="587" t="s">
        <v>6644</v>
      </c>
      <c r="CN27" s="587" t="s">
        <v>6644</v>
      </c>
      <c r="CO27" s="587" t="s">
        <v>6644</v>
      </c>
      <c r="CP27" s="587"/>
      <c r="CQ27" s="587"/>
      <c r="CR27" s="587" t="s">
        <v>6644</v>
      </c>
      <c r="CS27" s="587" t="s">
        <v>6644</v>
      </c>
      <c r="CT27" s="587" t="s">
        <v>6644</v>
      </c>
      <c r="CU27" s="587"/>
      <c r="CV27" s="587"/>
      <c r="CW27" s="587" t="s">
        <v>6644</v>
      </c>
      <c r="CX27" s="587"/>
      <c r="CY27" s="587"/>
      <c r="CZ27" s="587" t="s">
        <v>6644</v>
      </c>
      <c r="DA27" s="587"/>
      <c r="DB27" s="587" t="s">
        <v>6644</v>
      </c>
      <c r="DC27" s="587" t="s">
        <v>6644</v>
      </c>
      <c r="DD27" s="587" t="s">
        <v>6644</v>
      </c>
      <c r="DE27" s="587" t="s">
        <v>6644</v>
      </c>
      <c r="DF27" s="587" t="s">
        <v>6644</v>
      </c>
      <c r="DG27" s="587"/>
      <c r="DH27" s="587" t="s">
        <v>6644</v>
      </c>
      <c r="DI27" s="587"/>
      <c r="DJ27" s="587"/>
      <c r="DK27" s="587"/>
      <c r="DL27" s="587" t="s">
        <v>6644</v>
      </c>
      <c r="DM27" s="587" t="s">
        <v>6644</v>
      </c>
      <c r="DN27" s="587" t="s">
        <v>6644</v>
      </c>
      <c r="DO27" s="587" t="s">
        <v>6644</v>
      </c>
      <c r="DP27" s="587" t="s">
        <v>6644</v>
      </c>
      <c r="DQ27" s="587" t="s">
        <v>6644</v>
      </c>
      <c r="DR27" s="587"/>
      <c r="DS27" s="587" t="s">
        <v>149</v>
      </c>
      <c r="DT27" s="587" t="s">
        <v>6644</v>
      </c>
      <c r="DU27" s="587" t="s">
        <v>6644</v>
      </c>
      <c r="DV27" s="587" t="s">
        <v>6644</v>
      </c>
      <c r="DW27" s="587" t="s">
        <v>6644</v>
      </c>
      <c r="DX27" s="587" t="s">
        <v>6644</v>
      </c>
      <c r="DY27" s="587" t="s">
        <v>6644</v>
      </c>
      <c r="DZ27" s="587" t="s">
        <v>6644</v>
      </c>
      <c r="EA27" s="587" t="s">
        <v>6644</v>
      </c>
      <c r="EB27" s="587" t="s">
        <v>6644</v>
      </c>
      <c r="EC27" s="587" t="s">
        <v>6644</v>
      </c>
      <c r="ED27" s="587" t="s">
        <v>6644</v>
      </c>
      <c r="EE27" s="587" t="s">
        <v>6644</v>
      </c>
      <c r="EF27" s="587" t="s">
        <v>6644</v>
      </c>
      <c r="EG27" s="587" t="s">
        <v>6644</v>
      </c>
      <c r="EH27" s="587" t="s">
        <v>6644</v>
      </c>
      <c r="EI27" s="587"/>
      <c r="EJ27" s="587" t="s">
        <v>6644</v>
      </c>
      <c r="EK27" s="587"/>
      <c r="EL27" s="587"/>
      <c r="EM27" s="587"/>
      <c r="EN27" s="587" t="s">
        <v>6644</v>
      </c>
      <c r="EO27" s="587" t="s">
        <v>6644</v>
      </c>
      <c r="EP27" s="587" t="s">
        <v>6644</v>
      </c>
      <c r="EQ27" s="587"/>
      <c r="ER27" s="587" t="s">
        <v>6644</v>
      </c>
      <c r="ES27" s="587"/>
      <c r="ET27" s="587" t="s">
        <v>6644</v>
      </c>
      <c r="EU27" s="587"/>
      <c r="EV27" s="587"/>
      <c r="EW27" s="587" t="s">
        <v>6644</v>
      </c>
      <c r="EX27" s="587" t="s">
        <v>6644</v>
      </c>
      <c r="EY27" s="587" t="s">
        <v>6644</v>
      </c>
      <c r="EZ27" s="587" t="s">
        <v>6644</v>
      </c>
      <c r="FA27" s="587" t="s">
        <v>6644</v>
      </c>
      <c r="FB27" s="587"/>
      <c r="FC27" s="587" t="s">
        <v>6644</v>
      </c>
      <c r="FD27" s="587" t="s">
        <v>6644</v>
      </c>
      <c r="FE27" s="587"/>
      <c r="FF27" s="587" t="s">
        <v>6644</v>
      </c>
      <c r="FG27" s="587" t="s">
        <v>6644</v>
      </c>
      <c r="FH27" s="587"/>
      <c r="FI27" s="587" t="s">
        <v>149</v>
      </c>
      <c r="FJ27" s="587" t="s">
        <v>6644</v>
      </c>
      <c r="FK27" s="587" t="s">
        <v>6644</v>
      </c>
      <c r="FL27" s="587" t="s">
        <v>6644</v>
      </c>
      <c r="FM27" s="587"/>
      <c r="FN27" s="587"/>
      <c r="FO27" s="587"/>
      <c r="FP27" s="587"/>
      <c r="FQ27" s="587"/>
      <c r="FR27" s="587" t="s">
        <v>6644</v>
      </c>
      <c r="FS27" s="587"/>
      <c r="FT27" s="587" t="s">
        <v>149</v>
      </c>
      <c r="FU27" s="587"/>
      <c r="FV27" s="587" t="s">
        <v>6644</v>
      </c>
      <c r="FW27" s="587" t="s">
        <v>6644</v>
      </c>
      <c r="FX27" s="587"/>
      <c r="FY27" s="587"/>
      <c r="FZ27" s="587"/>
      <c r="GA27" s="587" t="s">
        <v>6644</v>
      </c>
      <c r="GB27" s="587"/>
      <c r="GC27" s="587"/>
      <c r="GD27" s="587" t="s">
        <v>6644</v>
      </c>
      <c r="GE27" s="587"/>
      <c r="GF27" s="587"/>
      <c r="GG27" s="587" t="s">
        <v>6644</v>
      </c>
      <c r="GH27" s="587"/>
      <c r="GI27" s="587"/>
      <c r="GJ27" s="587"/>
      <c r="GK27" s="587" t="s">
        <v>6644</v>
      </c>
      <c r="GL27" s="587" t="s">
        <v>6644</v>
      </c>
      <c r="GM27" s="587" t="s">
        <v>6644</v>
      </c>
      <c r="GN27" s="587" t="s">
        <v>6644</v>
      </c>
      <c r="GO27" s="587"/>
      <c r="GP27" s="587"/>
      <c r="GQ27" s="587"/>
      <c r="GR27" s="587"/>
      <c r="GS27" s="587" t="s">
        <v>6644</v>
      </c>
      <c r="GT27" s="587" t="s">
        <v>6644</v>
      </c>
      <c r="GU27" s="587" t="s">
        <v>6644</v>
      </c>
      <c r="GV27" s="587" t="s">
        <v>6644</v>
      </c>
      <c r="GW27" s="587"/>
      <c r="GX27" s="587"/>
      <c r="GY27" s="587" t="s">
        <v>6644</v>
      </c>
      <c r="GZ27" s="587"/>
      <c r="HA27" s="587"/>
      <c r="HB27" s="587" t="s">
        <v>6644</v>
      </c>
      <c r="HC27" s="587" t="s">
        <v>6644</v>
      </c>
      <c r="HD27" s="587" t="s">
        <v>6644</v>
      </c>
      <c r="HE27" s="588" t="s">
        <v>6644</v>
      </c>
      <c r="HF27" s="588" t="s">
        <v>6644</v>
      </c>
      <c r="HG27" s="587"/>
      <c r="HH27" s="588" t="s">
        <v>6644</v>
      </c>
      <c r="HI27" s="587"/>
      <c r="HJ27" s="588" t="s">
        <v>6644</v>
      </c>
      <c r="HK27" s="587"/>
      <c r="HL27" s="587" t="s">
        <v>6644</v>
      </c>
      <c r="HM27" s="587" t="s">
        <v>6644</v>
      </c>
      <c r="HN27" s="587"/>
      <c r="HO27" s="587" t="s">
        <v>6644</v>
      </c>
      <c r="HP27" s="587" t="s">
        <v>6644</v>
      </c>
      <c r="HQ27" s="587"/>
      <c r="HR27" s="587" t="s">
        <v>6644</v>
      </c>
      <c r="HS27" s="587" t="s">
        <v>6644</v>
      </c>
      <c r="HT27" s="587" t="s">
        <v>6644</v>
      </c>
      <c r="HU27" s="587" t="s">
        <v>6644</v>
      </c>
      <c r="HV27" s="587"/>
      <c r="HW27" s="588" t="s">
        <v>6644</v>
      </c>
      <c r="HX27" s="587" t="s">
        <v>6644</v>
      </c>
      <c r="HY27" s="587" t="s">
        <v>6644</v>
      </c>
      <c r="HZ27" s="587"/>
      <c r="IA27" s="587" t="s">
        <v>6644</v>
      </c>
      <c r="IB27" s="587"/>
      <c r="IC27" s="587" t="s">
        <v>6644</v>
      </c>
      <c r="ID27" s="590"/>
      <c r="IE27" s="590"/>
      <c r="IF27" s="590"/>
      <c r="IG27" s="590"/>
      <c r="IH27" s="590"/>
      <c r="II27" s="590"/>
      <c r="IJ27" s="590"/>
      <c r="IK27" s="590"/>
      <c r="IL27" s="590"/>
      <c r="IM27" s="590"/>
      <c r="IN27" s="590"/>
      <c r="IO27" s="590"/>
      <c r="IP27" s="590"/>
      <c r="IQ27" s="590"/>
      <c r="IR27" s="590"/>
      <c r="IS27" s="590"/>
      <c r="IT27" s="590"/>
      <c r="IU27" s="590"/>
      <c r="IV27" s="590"/>
      <c r="IW27" s="590"/>
      <c r="IX27" s="590"/>
      <c r="IY27" s="590"/>
      <c r="IZ27" s="590"/>
      <c r="JA27" s="590"/>
    </row>
    <row r="28" spans="1:261" s="556" customFormat="1" ht="18" customHeight="1">
      <c r="A28" s="586" t="s">
        <v>162</v>
      </c>
      <c r="B28" s="587"/>
      <c r="C28" s="576" t="str">
        <f>IF(ISTEXT(IFERROR(VLOOKUP(A28,职业列表!I3:J15,1,FALSE),0)),"★","")</f>
        <v/>
      </c>
      <c r="D28" s="587" t="s">
        <v>6644</v>
      </c>
      <c r="E28" s="587" t="s">
        <v>6644</v>
      </c>
      <c r="F28" s="587" t="s">
        <v>6644</v>
      </c>
      <c r="G28" s="587"/>
      <c r="H28" s="587"/>
      <c r="I28" s="587" t="s">
        <v>149</v>
      </c>
      <c r="J28" s="587"/>
      <c r="K28" s="587" t="s">
        <v>6644</v>
      </c>
      <c r="L28" s="587" t="s">
        <v>6644</v>
      </c>
      <c r="M28" s="587" t="s">
        <v>6644</v>
      </c>
      <c r="N28" s="587"/>
      <c r="O28" s="587"/>
      <c r="P28" s="587" t="s">
        <v>6644</v>
      </c>
      <c r="Q28" s="587" t="s">
        <v>6644</v>
      </c>
      <c r="R28" s="587"/>
      <c r="S28" s="587" t="s">
        <v>149</v>
      </c>
      <c r="T28" s="587" t="s">
        <v>6644</v>
      </c>
      <c r="U28" s="587" t="s">
        <v>6644</v>
      </c>
      <c r="V28" s="587" t="s">
        <v>6644</v>
      </c>
      <c r="W28" s="587"/>
      <c r="X28" s="587" t="s">
        <v>6644</v>
      </c>
      <c r="Y28" s="587"/>
      <c r="Z28" s="587" t="s">
        <v>6644</v>
      </c>
      <c r="AA28" s="587" t="s">
        <v>6644</v>
      </c>
      <c r="AB28" s="587"/>
      <c r="AC28" s="587"/>
      <c r="AD28" s="587" t="s">
        <v>6644</v>
      </c>
      <c r="AE28" s="587"/>
      <c r="AF28" s="588" t="s">
        <v>6644</v>
      </c>
      <c r="AG28" s="587"/>
      <c r="AH28" s="587"/>
      <c r="AI28" s="587"/>
      <c r="AJ28" s="587"/>
      <c r="AK28" s="587" t="s">
        <v>6644</v>
      </c>
      <c r="AL28" s="587"/>
      <c r="AM28" s="587" t="s">
        <v>6644</v>
      </c>
      <c r="AN28" s="587" t="s">
        <v>6644</v>
      </c>
      <c r="AO28" s="587" t="s">
        <v>6644</v>
      </c>
      <c r="AP28" s="587" t="s">
        <v>6644</v>
      </c>
      <c r="AQ28" s="587"/>
      <c r="AR28" s="587" t="s">
        <v>6644</v>
      </c>
      <c r="AS28" s="587" t="s">
        <v>6644</v>
      </c>
      <c r="AT28" s="587" t="s">
        <v>6644</v>
      </c>
      <c r="AU28" s="587" t="s">
        <v>6644</v>
      </c>
      <c r="AV28" s="589"/>
      <c r="AW28" s="587" t="s">
        <v>6644</v>
      </c>
      <c r="AX28" s="587"/>
      <c r="AY28" s="587"/>
      <c r="AZ28" s="587" t="s">
        <v>6644</v>
      </c>
      <c r="BA28" s="587" t="s">
        <v>6644</v>
      </c>
      <c r="BB28" s="587" t="s">
        <v>6644</v>
      </c>
      <c r="BC28" s="587"/>
      <c r="BD28" s="587" t="s">
        <v>6644</v>
      </c>
      <c r="BE28" s="587" t="s">
        <v>149</v>
      </c>
      <c r="BF28" s="587"/>
      <c r="BG28" s="587" t="s">
        <v>6644</v>
      </c>
      <c r="BH28" s="587"/>
      <c r="BI28" s="587" t="s">
        <v>6644</v>
      </c>
      <c r="BJ28" s="587" t="s">
        <v>149</v>
      </c>
      <c r="BK28" s="587"/>
      <c r="BL28" s="587" t="s">
        <v>6644</v>
      </c>
      <c r="BM28" s="587" t="s">
        <v>149</v>
      </c>
      <c r="BN28" s="587" t="s">
        <v>6644</v>
      </c>
      <c r="BO28" s="587" t="s">
        <v>6644</v>
      </c>
      <c r="BP28" s="587" t="s">
        <v>6644</v>
      </c>
      <c r="BQ28" s="587" t="s">
        <v>6644</v>
      </c>
      <c r="BR28" s="587"/>
      <c r="BS28" s="587" t="s">
        <v>6644</v>
      </c>
      <c r="BT28" s="587" t="s">
        <v>6644</v>
      </c>
      <c r="BU28" s="587" t="s">
        <v>6644</v>
      </c>
      <c r="BV28" s="587" t="s">
        <v>149</v>
      </c>
      <c r="BW28" s="587"/>
      <c r="BX28" s="587"/>
      <c r="BY28" s="587"/>
      <c r="BZ28" s="589"/>
      <c r="CA28" s="587" t="s">
        <v>6644</v>
      </c>
      <c r="CB28" s="587"/>
      <c r="CC28" s="587"/>
      <c r="CD28" s="587" t="s">
        <v>6644</v>
      </c>
      <c r="CE28" s="587" t="s">
        <v>6644</v>
      </c>
      <c r="CF28" s="587"/>
      <c r="CG28" s="587"/>
      <c r="CH28" s="587" t="s">
        <v>6644</v>
      </c>
      <c r="CI28" s="587" t="s">
        <v>6644</v>
      </c>
      <c r="CJ28" s="587" t="s">
        <v>6644</v>
      </c>
      <c r="CK28" s="587"/>
      <c r="CL28" s="587"/>
      <c r="CM28" s="587" t="s">
        <v>6644</v>
      </c>
      <c r="CN28" s="587" t="s">
        <v>6644</v>
      </c>
      <c r="CO28" s="587" t="s">
        <v>6644</v>
      </c>
      <c r="CP28" s="587"/>
      <c r="CQ28" s="587"/>
      <c r="CR28" s="587" t="s">
        <v>6644</v>
      </c>
      <c r="CS28" s="587" t="s">
        <v>6644</v>
      </c>
      <c r="CT28" s="587" t="s">
        <v>6644</v>
      </c>
      <c r="CU28" s="587"/>
      <c r="CV28" s="587"/>
      <c r="CW28" s="587" t="s">
        <v>6644</v>
      </c>
      <c r="CX28" s="587" t="s">
        <v>149</v>
      </c>
      <c r="CY28" s="587" t="s">
        <v>149</v>
      </c>
      <c r="CZ28" s="587" t="s">
        <v>6644</v>
      </c>
      <c r="DA28" s="587"/>
      <c r="DB28" s="587" t="s">
        <v>6644</v>
      </c>
      <c r="DC28" s="587" t="s">
        <v>6644</v>
      </c>
      <c r="DD28" s="587" t="s">
        <v>6644</v>
      </c>
      <c r="DE28" s="587" t="s">
        <v>6644</v>
      </c>
      <c r="DF28" s="587" t="s">
        <v>6644</v>
      </c>
      <c r="DG28" s="587"/>
      <c r="DH28" s="587" t="s">
        <v>6644</v>
      </c>
      <c r="DI28" s="587"/>
      <c r="DJ28" s="587"/>
      <c r="DK28" s="587"/>
      <c r="DL28" s="587" t="s">
        <v>6644</v>
      </c>
      <c r="DM28" s="587" t="s">
        <v>6644</v>
      </c>
      <c r="DN28" s="587" t="s">
        <v>6644</v>
      </c>
      <c r="DO28" s="587" t="s">
        <v>6644</v>
      </c>
      <c r="DP28" s="587" t="s">
        <v>6644</v>
      </c>
      <c r="DQ28" s="587" t="s">
        <v>6644</v>
      </c>
      <c r="DR28" s="587"/>
      <c r="DS28" s="587" t="s">
        <v>149</v>
      </c>
      <c r="DT28" s="587" t="s">
        <v>6644</v>
      </c>
      <c r="DU28" s="587" t="s">
        <v>6644</v>
      </c>
      <c r="DV28" s="587" t="s">
        <v>6644</v>
      </c>
      <c r="DW28" s="587" t="s">
        <v>6644</v>
      </c>
      <c r="DX28" s="587" t="s">
        <v>6644</v>
      </c>
      <c r="DY28" s="587" t="s">
        <v>6644</v>
      </c>
      <c r="DZ28" s="587" t="s">
        <v>6644</v>
      </c>
      <c r="EA28" s="587" t="s">
        <v>6644</v>
      </c>
      <c r="EB28" s="587" t="s">
        <v>6644</v>
      </c>
      <c r="EC28" s="587" t="s">
        <v>6644</v>
      </c>
      <c r="ED28" s="587" t="s">
        <v>6644</v>
      </c>
      <c r="EE28" s="587" t="s">
        <v>6644</v>
      </c>
      <c r="EF28" s="587" t="s">
        <v>6644</v>
      </c>
      <c r="EG28" s="587" t="s">
        <v>6644</v>
      </c>
      <c r="EH28" s="587" t="s">
        <v>6644</v>
      </c>
      <c r="EI28" s="587" t="s">
        <v>149</v>
      </c>
      <c r="EJ28" s="587" t="s">
        <v>6644</v>
      </c>
      <c r="EK28" s="587"/>
      <c r="EL28" s="587"/>
      <c r="EM28" s="587"/>
      <c r="EN28" s="587" t="s">
        <v>6644</v>
      </c>
      <c r="EO28" s="587" t="s">
        <v>6644</v>
      </c>
      <c r="EP28" s="587" t="s">
        <v>6644</v>
      </c>
      <c r="EQ28" s="587"/>
      <c r="ER28" s="587" t="s">
        <v>6644</v>
      </c>
      <c r="ES28" s="587"/>
      <c r="ET28" s="587" t="s">
        <v>6644</v>
      </c>
      <c r="EU28" s="587"/>
      <c r="EV28" s="587" t="s">
        <v>149</v>
      </c>
      <c r="EW28" s="587" t="s">
        <v>6644</v>
      </c>
      <c r="EX28" s="587" t="s">
        <v>6644</v>
      </c>
      <c r="EY28" s="587" t="s">
        <v>6644</v>
      </c>
      <c r="EZ28" s="587" t="s">
        <v>6644</v>
      </c>
      <c r="FA28" s="587" t="s">
        <v>6644</v>
      </c>
      <c r="FB28" s="587"/>
      <c r="FC28" s="587" t="s">
        <v>6644</v>
      </c>
      <c r="FD28" s="587" t="s">
        <v>6644</v>
      </c>
      <c r="FE28" s="587"/>
      <c r="FF28" s="587" t="s">
        <v>6644</v>
      </c>
      <c r="FG28" s="587" t="s">
        <v>6644</v>
      </c>
      <c r="FH28" s="587" t="s">
        <v>6642</v>
      </c>
      <c r="FI28" s="587"/>
      <c r="FJ28" s="587" t="s">
        <v>6644</v>
      </c>
      <c r="FK28" s="587" t="s">
        <v>6644</v>
      </c>
      <c r="FL28" s="587" t="s">
        <v>6644</v>
      </c>
      <c r="FM28" s="587"/>
      <c r="FN28" s="587"/>
      <c r="FO28" s="587" t="s">
        <v>6642</v>
      </c>
      <c r="FP28" s="587"/>
      <c r="FQ28" s="587"/>
      <c r="FR28" s="587" t="s">
        <v>6644</v>
      </c>
      <c r="FS28" s="587"/>
      <c r="FT28" s="587"/>
      <c r="FU28" s="587"/>
      <c r="FV28" s="587" t="s">
        <v>6644</v>
      </c>
      <c r="FW28" s="587" t="s">
        <v>6644</v>
      </c>
      <c r="FX28" s="587" t="s">
        <v>149</v>
      </c>
      <c r="FY28" s="587"/>
      <c r="FZ28" s="587"/>
      <c r="GA28" s="587" t="s">
        <v>6644</v>
      </c>
      <c r="GB28" s="587"/>
      <c r="GC28" s="587"/>
      <c r="GD28" s="587" t="s">
        <v>6644</v>
      </c>
      <c r="GE28" s="587"/>
      <c r="GF28" s="587"/>
      <c r="GG28" s="587" t="s">
        <v>6644</v>
      </c>
      <c r="GH28" s="587"/>
      <c r="GI28" s="587"/>
      <c r="GJ28" s="587"/>
      <c r="GK28" s="587" t="s">
        <v>6644</v>
      </c>
      <c r="GL28" s="587" t="s">
        <v>6644</v>
      </c>
      <c r="GM28" s="587" t="s">
        <v>6644</v>
      </c>
      <c r="GN28" s="587" t="s">
        <v>6644</v>
      </c>
      <c r="GO28" s="587"/>
      <c r="GP28" s="587" t="s">
        <v>149</v>
      </c>
      <c r="GQ28" s="587" t="s">
        <v>149</v>
      </c>
      <c r="GR28" s="587" t="s">
        <v>149</v>
      </c>
      <c r="GS28" s="587" t="s">
        <v>6644</v>
      </c>
      <c r="GT28" s="587" t="s">
        <v>6644</v>
      </c>
      <c r="GU28" s="587" t="s">
        <v>6644</v>
      </c>
      <c r="GV28" s="587" t="s">
        <v>6644</v>
      </c>
      <c r="GW28" s="587"/>
      <c r="GX28" s="587"/>
      <c r="GY28" s="587" t="s">
        <v>6644</v>
      </c>
      <c r="GZ28" s="587"/>
      <c r="HA28" s="587"/>
      <c r="HB28" s="587" t="s">
        <v>6644</v>
      </c>
      <c r="HC28" s="587" t="s">
        <v>6644</v>
      </c>
      <c r="HD28" s="587" t="s">
        <v>6644</v>
      </c>
      <c r="HE28" s="587" t="s">
        <v>6644</v>
      </c>
      <c r="HF28" s="587" t="s">
        <v>6644</v>
      </c>
      <c r="HG28" s="587"/>
      <c r="HH28" s="587" t="s">
        <v>6644</v>
      </c>
      <c r="HI28" s="587"/>
      <c r="HJ28" s="587" t="s">
        <v>6644</v>
      </c>
      <c r="HK28" s="587"/>
      <c r="HL28" s="587" t="s">
        <v>6644</v>
      </c>
      <c r="HM28" s="587" t="s">
        <v>6644</v>
      </c>
      <c r="HN28" s="587"/>
      <c r="HO28" s="588" t="s">
        <v>6644</v>
      </c>
      <c r="HP28" s="587" t="s">
        <v>6644</v>
      </c>
      <c r="HQ28" s="587"/>
      <c r="HR28" s="587" t="s">
        <v>6644</v>
      </c>
      <c r="HS28" s="587" t="s">
        <v>6644</v>
      </c>
      <c r="HT28" s="587" t="s">
        <v>6644</v>
      </c>
      <c r="HU28" s="587" t="s">
        <v>6644</v>
      </c>
      <c r="HV28" s="587"/>
      <c r="HW28" s="588" t="s">
        <v>6644</v>
      </c>
      <c r="HX28" s="587" t="s">
        <v>6644</v>
      </c>
      <c r="HY28" s="587" t="s">
        <v>6644</v>
      </c>
      <c r="HZ28" s="587" t="s">
        <v>6645</v>
      </c>
      <c r="IA28" s="587" t="s">
        <v>6644</v>
      </c>
      <c r="IB28" s="587"/>
      <c r="IC28" s="587" t="s">
        <v>6644</v>
      </c>
      <c r="ID28" s="590"/>
      <c r="IE28" s="590"/>
      <c r="IF28" s="590"/>
      <c r="IG28" s="590"/>
      <c r="IH28" s="590"/>
      <c r="II28" s="590"/>
      <c r="IJ28" s="590"/>
      <c r="IK28" s="590"/>
      <c r="IL28" s="590"/>
      <c r="IM28" s="590"/>
      <c r="IN28" s="590"/>
      <c r="IO28" s="590"/>
      <c r="IP28" s="590"/>
      <c r="IQ28" s="590"/>
      <c r="IR28" s="590"/>
      <c r="IS28" s="590"/>
      <c r="IT28" s="590"/>
      <c r="IU28" s="590"/>
      <c r="IV28" s="590"/>
      <c r="IW28" s="590"/>
      <c r="IX28" s="590"/>
      <c r="IY28" s="590"/>
      <c r="IZ28" s="590"/>
      <c r="JA28" s="590"/>
    </row>
    <row r="29" spans="1:261" ht="18" customHeight="1">
      <c r="A29" s="575" t="s">
        <v>187</v>
      </c>
      <c r="B29" s="576"/>
      <c r="C29" s="576" t="str">
        <f>IF(ISTEXT(IFERROR(VLOOKUP(A29,职业列表!I3:J15,1,FALSE),0)),"★","")</f>
        <v/>
      </c>
      <c r="D29" s="576"/>
      <c r="E29" s="576"/>
      <c r="F29" s="576"/>
      <c r="G29" s="576"/>
      <c r="H29" s="576"/>
      <c r="I29" s="576"/>
      <c r="J29" s="576"/>
      <c r="K29" s="576"/>
      <c r="L29" s="576" t="s">
        <v>149</v>
      </c>
      <c r="M29" s="576"/>
      <c r="N29" s="576"/>
      <c r="O29" s="576"/>
      <c r="P29" s="576"/>
      <c r="Q29" s="576" t="s">
        <v>149</v>
      </c>
      <c r="R29" s="576"/>
      <c r="S29" s="576"/>
      <c r="T29" s="576"/>
      <c r="U29" s="576"/>
      <c r="V29" s="576"/>
      <c r="W29" s="576"/>
      <c r="X29" s="576"/>
      <c r="Y29" s="576"/>
      <c r="Z29" s="576" t="s">
        <v>149</v>
      </c>
      <c r="AA29" s="576" t="s">
        <v>149</v>
      </c>
      <c r="AB29" s="576"/>
      <c r="AC29" s="576"/>
      <c r="AD29" s="576"/>
      <c r="AE29" s="576"/>
      <c r="AF29" s="576"/>
      <c r="AG29" s="576"/>
      <c r="AH29" s="576"/>
      <c r="AI29" s="576"/>
      <c r="AJ29" s="576" t="s">
        <v>149</v>
      </c>
      <c r="AK29" s="576" t="s">
        <v>149</v>
      </c>
      <c r="AL29" s="576"/>
      <c r="AM29" s="576"/>
      <c r="AN29" s="576"/>
      <c r="AO29" s="576" t="s">
        <v>149</v>
      </c>
      <c r="AP29" s="576"/>
      <c r="AQ29" s="576"/>
      <c r="AR29" s="576" t="s">
        <v>6642</v>
      </c>
      <c r="AS29" s="576"/>
      <c r="AT29" s="576"/>
      <c r="AU29" s="576" t="s">
        <v>149</v>
      </c>
      <c r="AV29" s="576"/>
      <c r="AW29" s="576"/>
      <c r="AX29" s="576"/>
      <c r="AY29" s="576"/>
      <c r="AZ29" s="576"/>
      <c r="BA29" s="576" t="s">
        <v>149</v>
      </c>
      <c r="BB29" s="576" t="s">
        <v>149</v>
      </c>
      <c r="BC29" s="576" t="s">
        <v>149</v>
      </c>
      <c r="BD29" s="576"/>
      <c r="BE29" s="576"/>
      <c r="BF29" s="576"/>
      <c r="BG29" s="576"/>
      <c r="BH29" s="576"/>
      <c r="BI29" s="576" t="s">
        <v>149</v>
      </c>
      <c r="BJ29" s="576" t="s">
        <v>149</v>
      </c>
      <c r="BK29" s="576" t="s">
        <v>149</v>
      </c>
      <c r="BL29" s="576"/>
      <c r="BM29" s="576"/>
      <c r="BN29" s="576"/>
      <c r="BO29" s="576"/>
      <c r="BP29" s="576" t="s">
        <v>149</v>
      </c>
      <c r="BQ29" s="576"/>
      <c r="BR29" s="576"/>
      <c r="BS29" s="576"/>
      <c r="BT29" s="576"/>
      <c r="BU29" s="576"/>
      <c r="BV29" s="576"/>
      <c r="BW29" s="576"/>
      <c r="BX29" s="576" t="s">
        <v>149</v>
      </c>
      <c r="BY29" s="576"/>
      <c r="BZ29" s="576"/>
      <c r="CA29" s="576"/>
      <c r="CB29" s="576"/>
      <c r="CC29" s="576" t="s">
        <v>149</v>
      </c>
      <c r="CD29" s="576"/>
      <c r="CE29" s="576"/>
      <c r="CF29" s="576"/>
      <c r="CG29" s="576"/>
      <c r="CH29" s="576"/>
      <c r="CI29" s="576"/>
      <c r="CJ29" s="576"/>
      <c r="CK29" s="576"/>
      <c r="CL29" s="576"/>
      <c r="CM29" s="576"/>
      <c r="CN29" s="576"/>
      <c r="CO29" s="576"/>
      <c r="CP29" s="576"/>
      <c r="CQ29" s="576"/>
      <c r="CR29" s="576"/>
      <c r="CS29" s="577" t="s">
        <v>6642</v>
      </c>
      <c r="CT29" s="576"/>
      <c r="CU29" s="576"/>
      <c r="CV29" s="576"/>
      <c r="CW29" s="576"/>
      <c r="CX29" s="576"/>
      <c r="CY29" s="576"/>
      <c r="CZ29" s="576"/>
      <c r="DA29" s="576"/>
      <c r="DB29" s="576"/>
      <c r="DC29" s="576" t="s">
        <v>149</v>
      </c>
      <c r="DD29" s="576"/>
      <c r="DE29" s="576"/>
      <c r="DF29" s="576"/>
      <c r="DG29" s="576"/>
      <c r="DH29" s="576"/>
      <c r="DI29" s="576"/>
      <c r="DJ29" s="576" t="s">
        <v>6645</v>
      </c>
      <c r="DK29" s="576"/>
      <c r="DL29" s="576" t="s">
        <v>149</v>
      </c>
      <c r="DM29" s="576"/>
      <c r="DN29" s="576"/>
      <c r="DO29" s="576"/>
      <c r="DP29" s="576"/>
      <c r="DQ29" s="576"/>
      <c r="DR29" s="576"/>
      <c r="DS29" s="576"/>
      <c r="DT29" s="576"/>
      <c r="DU29" s="576"/>
      <c r="DV29" s="576"/>
      <c r="DW29" s="576"/>
      <c r="DX29" s="576"/>
      <c r="DY29" s="576"/>
      <c r="DZ29" s="576"/>
      <c r="EA29" s="576"/>
      <c r="EB29" s="576"/>
      <c r="EC29" s="576"/>
      <c r="ED29" s="576"/>
      <c r="EE29" s="576"/>
      <c r="EF29" s="576"/>
      <c r="EG29" s="576"/>
      <c r="EH29" s="576"/>
      <c r="EI29" s="576"/>
      <c r="EJ29" s="576"/>
      <c r="EK29" s="576"/>
      <c r="EL29" s="576"/>
      <c r="EM29" s="576"/>
      <c r="EN29" s="576" t="s">
        <v>149</v>
      </c>
      <c r="EO29" s="576"/>
      <c r="EP29" s="576" t="s">
        <v>149</v>
      </c>
      <c r="EQ29" s="576"/>
      <c r="ER29" s="576"/>
      <c r="ES29" s="576"/>
      <c r="ET29" s="576"/>
      <c r="EU29" s="576" t="s">
        <v>149</v>
      </c>
      <c r="EV29" s="576"/>
      <c r="EW29" s="576" t="s">
        <v>149</v>
      </c>
      <c r="EX29" s="576" t="s">
        <v>149</v>
      </c>
      <c r="EY29" s="576"/>
      <c r="EZ29" s="576"/>
      <c r="FA29" s="576"/>
      <c r="FB29" s="576"/>
      <c r="FC29" s="576"/>
      <c r="FD29" s="576"/>
      <c r="FE29" s="576"/>
      <c r="FF29" s="576"/>
      <c r="FG29" s="576" t="s">
        <v>149</v>
      </c>
      <c r="FH29" s="576" t="s">
        <v>149</v>
      </c>
      <c r="FI29" s="576" t="s">
        <v>149</v>
      </c>
      <c r="FJ29" s="576"/>
      <c r="FK29" s="576"/>
      <c r="FL29" s="576"/>
      <c r="FM29" s="576"/>
      <c r="FN29" s="576"/>
      <c r="FO29" s="576"/>
      <c r="FP29" s="576"/>
      <c r="FQ29" s="576"/>
      <c r="FR29" s="576"/>
      <c r="FS29" s="576"/>
      <c r="FT29" s="576"/>
      <c r="FU29" s="576"/>
      <c r="FV29" s="576"/>
      <c r="FW29" s="576"/>
      <c r="FX29" s="576"/>
      <c r="FY29" s="576"/>
      <c r="FZ29" s="576"/>
      <c r="GA29" s="576"/>
      <c r="GB29" s="576"/>
      <c r="GC29" s="576"/>
      <c r="GD29" s="576"/>
      <c r="GE29" s="576"/>
      <c r="GF29" s="576"/>
      <c r="GG29" s="576"/>
      <c r="GH29" s="576"/>
      <c r="GI29" s="576"/>
      <c r="GJ29" s="576"/>
      <c r="GK29" s="576"/>
      <c r="GL29" s="576"/>
      <c r="GM29" s="576"/>
      <c r="GN29" s="576"/>
      <c r="GO29" s="576"/>
      <c r="GP29" s="576"/>
      <c r="GQ29" s="576"/>
      <c r="GR29" s="576"/>
      <c r="GS29" s="576"/>
      <c r="GT29" s="576" t="s">
        <v>149</v>
      </c>
      <c r="GU29" s="576"/>
      <c r="GV29" s="576"/>
      <c r="GW29" s="576" t="s">
        <v>149</v>
      </c>
      <c r="GX29" s="576"/>
      <c r="GY29" s="576"/>
      <c r="GZ29" s="576"/>
      <c r="HA29" s="576"/>
      <c r="HB29" s="576" t="s">
        <v>6642</v>
      </c>
      <c r="HC29" s="576"/>
      <c r="HD29" s="576"/>
      <c r="HE29" s="576"/>
      <c r="HF29" s="576"/>
      <c r="HG29" s="576"/>
      <c r="HH29" s="576"/>
      <c r="HI29" s="577" t="s">
        <v>149</v>
      </c>
      <c r="HJ29" s="576"/>
      <c r="HK29" s="576"/>
      <c r="HL29" s="576"/>
      <c r="HM29" s="576"/>
      <c r="HN29" s="576"/>
      <c r="HO29" s="576"/>
      <c r="HP29" s="576"/>
      <c r="HQ29" s="576"/>
      <c r="HR29" s="576"/>
      <c r="HS29" s="576"/>
      <c r="HT29" s="577" t="s">
        <v>6645</v>
      </c>
      <c r="HU29" s="576"/>
      <c r="HV29" s="576"/>
      <c r="HW29" s="576"/>
      <c r="HX29" s="576"/>
      <c r="HY29" s="576"/>
      <c r="HZ29" s="576" t="s">
        <v>6645</v>
      </c>
      <c r="IA29" s="576"/>
      <c r="IB29" s="576"/>
      <c r="IC29" s="576"/>
      <c r="ID29" s="566"/>
      <c r="IE29" s="566"/>
      <c r="IF29" s="566"/>
      <c r="IG29" s="566"/>
      <c r="IH29" s="566"/>
      <c r="II29" s="566"/>
      <c r="IJ29" s="566"/>
      <c r="IK29" s="566"/>
      <c r="IL29" s="566"/>
      <c r="IM29" s="566"/>
      <c r="IN29" s="566"/>
      <c r="IO29" s="566"/>
      <c r="IP29" s="566"/>
      <c r="IQ29" s="566"/>
      <c r="IR29" s="566"/>
      <c r="IS29" s="566"/>
      <c r="IT29" s="566"/>
      <c r="IU29" s="566"/>
      <c r="IV29" s="566"/>
      <c r="IW29" s="566"/>
      <c r="IX29" s="566"/>
      <c r="IY29" s="566"/>
      <c r="IZ29" s="566"/>
      <c r="JA29" s="566"/>
    </row>
    <row r="30" spans="1:261" ht="18" customHeight="1">
      <c r="A30" s="591" t="s">
        <v>180</v>
      </c>
      <c r="B30" s="576"/>
      <c r="C30" s="576" t="str">
        <f>IF(ISTEXT(IFERROR(VLOOKUP(A31,职业列表!I3:J15,1,FALSE),0)),"★","")</f>
        <v/>
      </c>
      <c r="D30" s="576"/>
      <c r="E30" s="576"/>
      <c r="F30" s="576"/>
      <c r="G30" s="576"/>
      <c r="H30" s="576"/>
      <c r="I30" s="576"/>
      <c r="J30" s="576"/>
      <c r="K30" s="576"/>
      <c r="L30" s="576"/>
      <c r="M30" s="576"/>
      <c r="N30" s="576"/>
      <c r="O30" s="576"/>
      <c r="P30" s="576"/>
      <c r="Q30" s="576"/>
      <c r="R30" s="576"/>
      <c r="S30" s="576"/>
      <c r="T30" s="576"/>
      <c r="U30" s="576"/>
      <c r="V30" s="576"/>
      <c r="W30" s="576"/>
      <c r="X30" s="576"/>
      <c r="Y30" s="576"/>
      <c r="Z30" s="576"/>
      <c r="AA30" s="576"/>
      <c r="AB30" s="576"/>
      <c r="AC30" s="576"/>
      <c r="AD30" s="576"/>
      <c r="AE30" s="576"/>
      <c r="AF30" s="576"/>
      <c r="AG30" s="576"/>
      <c r="AH30" s="576"/>
      <c r="AI30" s="576"/>
      <c r="AJ30" s="576"/>
      <c r="AK30" s="576"/>
      <c r="AL30" s="576"/>
      <c r="AM30" s="576"/>
      <c r="AN30" s="576"/>
      <c r="AO30" s="576"/>
      <c r="AP30" s="576"/>
      <c r="AQ30" s="576"/>
      <c r="AR30" s="576" t="s">
        <v>6642</v>
      </c>
      <c r="AS30" s="576"/>
      <c r="AT30" s="576"/>
      <c r="AU30" s="576"/>
      <c r="AV30" s="576"/>
      <c r="AW30" s="576"/>
      <c r="AX30" s="576" t="s">
        <v>5272</v>
      </c>
      <c r="AY30" s="576"/>
      <c r="AZ30" s="576"/>
      <c r="BA30" s="576"/>
      <c r="BB30" s="576"/>
      <c r="BC30" s="576"/>
      <c r="BD30" s="576"/>
      <c r="BE30" s="576"/>
      <c r="BF30" s="576"/>
      <c r="BG30" s="576"/>
      <c r="BH30" s="576"/>
      <c r="BI30" s="576"/>
      <c r="BJ30" s="576"/>
      <c r="BK30" s="576"/>
      <c r="BL30" s="576"/>
      <c r="BM30" s="576"/>
      <c r="BN30" s="576"/>
      <c r="BO30" s="576"/>
      <c r="BP30" s="576"/>
      <c r="BQ30" s="576"/>
      <c r="BR30" s="576"/>
      <c r="BS30" s="576"/>
      <c r="BT30" s="576"/>
      <c r="BU30" s="576"/>
      <c r="BV30" s="576"/>
      <c r="BW30" s="576"/>
      <c r="BX30" s="576"/>
      <c r="BY30" s="576"/>
      <c r="BZ30" s="576"/>
      <c r="CA30" s="576"/>
      <c r="CB30" s="576"/>
      <c r="CC30" s="576"/>
      <c r="CD30" s="576"/>
      <c r="CE30" s="576"/>
      <c r="CF30" s="576"/>
      <c r="CG30" s="576"/>
      <c r="CH30" s="576"/>
      <c r="CI30" s="576"/>
      <c r="CJ30" s="576"/>
      <c r="CK30" s="576"/>
      <c r="CL30" s="576"/>
      <c r="CM30" s="576"/>
      <c r="CN30" s="576"/>
      <c r="CO30" s="576"/>
      <c r="CP30" s="577" t="s">
        <v>375</v>
      </c>
      <c r="CQ30" s="577" t="s">
        <v>375</v>
      </c>
      <c r="CR30" s="576"/>
      <c r="CS30" s="576"/>
      <c r="CT30" s="576"/>
      <c r="CU30" s="576"/>
      <c r="CV30" s="576"/>
      <c r="CW30" s="576"/>
      <c r="CX30" s="576"/>
      <c r="CY30" s="576"/>
      <c r="CZ30" s="576"/>
      <c r="DA30" s="576" t="s">
        <v>5272</v>
      </c>
      <c r="DB30" s="576" t="s">
        <v>5272</v>
      </c>
      <c r="DC30" s="576"/>
      <c r="DD30" s="576"/>
      <c r="DE30" s="576"/>
      <c r="DF30" s="576"/>
      <c r="DG30" s="576"/>
      <c r="DH30" s="576"/>
      <c r="DI30" s="576"/>
      <c r="DJ30" s="576" t="s">
        <v>6645</v>
      </c>
      <c r="DK30" s="576"/>
      <c r="DL30" s="576"/>
      <c r="DM30" s="576"/>
      <c r="DN30" s="576"/>
      <c r="DO30" s="576"/>
      <c r="DP30" s="576"/>
      <c r="DQ30" s="576"/>
      <c r="DR30" s="576"/>
      <c r="DS30" s="576"/>
      <c r="DT30" s="576"/>
      <c r="DU30" s="576"/>
      <c r="DV30" s="576"/>
      <c r="DW30" s="576"/>
      <c r="DX30" s="576"/>
      <c r="DY30" s="576"/>
      <c r="DZ30" s="576"/>
      <c r="EA30" s="576"/>
      <c r="EB30" s="576"/>
      <c r="EC30" s="576"/>
      <c r="ED30" s="576"/>
      <c r="EE30" s="576"/>
      <c r="EF30" s="576"/>
      <c r="EG30" s="576"/>
      <c r="EH30" s="576"/>
      <c r="EI30" s="576"/>
      <c r="EJ30" s="576"/>
      <c r="EK30" s="576"/>
      <c r="EL30" s="576"/>
      <c r="EM30" s="576"/>
      <c r="EN30" s="576"/>
      <c r="EO30" s="576"/>
      <c r="EP30" s="576"/>
      <c r="EQ30" s="576"/>
      <c r="ER30" s="576"/>
      <c r="ES30" s="576"/>
      <c r="ET30" s="576"/>
      <c r="EU30" s="576" t="s">
        <v>5272</v>
      </c>
      <c r="EV30" s="576"/>
      <c r="EW30" s="576"/>
      <c r="EX30" s="576"/>
      <c r="EY30" s="576"/>
      <c r="EZ30" s="576"/>
      <c r="FA30" s="576"/>
      <c r="FB30" s="576"/>
      <c r="FC30" s="576"/>
      <c r="FD30" s="576"/>
      <c r="FE30" s="576"/>
      <c r="FF30" s="576"/>
      <c r="FG30" s="576" t="s">
        <v>149</v>
      </c>
      <c r="FH30" s="576"/>
      <c r="FI30" s="576"/>
      <c r="FJ30" s="576"/>
      <c r="FK30" s="576"/>
      <c r="FL30" s="576"/>
      <c r="FM30" s="576"/>
      <c r="FN30" s="576"/>
      <c r="FO30" s="576"/>
      <c r="FP30" s="576"/>
      <c r="FQ30" s="576"/>
      <c r="FR30" s="576"/>
      <c r="FS30" s="576"/>
      <c r="FT30" s="576"/>
      <c r="FU30" s="576" t="s">
        <v>5272</v>
      </c>
      <c r="FV30" s="576"/>
      <c r="FW30" s="576"/>
      <c r="FX30" s="576"/>
      <c r="FY30" s="576"/>
      <c r="FZ30" s="576"/>
      <c r="GA30" s="576"/>
      <c r="GB30" s="576"/>
      <c r="GC30" s="576"/>
      <c r="GD30" s="576"/>
      <c r="GE30" s="576"/>
      <c r="GF30" s="576" t="s">
        <v>5272</v>
      </c>
      <c r="GG30" s="576" t="s">
        <v>5272</v>
      </c>
      <c r="GH30" s="576"/>
      <c r="GI30" s="576"/>
      <c r="GJ30" s="576"/>
      <c r="GK30" s="576"/>
      <c r="GL30" s="576"/>
      <c r="GM30" s="576"/>
      <c r="GN30" s="576"/>
      <c r="GO30" s="576"/>
      <c r="GP30" s="576"/>
      <c r="GQ30" s="576"/>
      <c r="GR30" s="576"/>
      <c r="GS30" s="576"/>
      <c r="GT30" s="576"/>
      <c r="GU30" s="576"/>
      <c r="GV30" s="576"/>
      <c r="GW30" s="576"/>
      <c r="GX30" s="576"/>
      <c r="GY30" s="576"/>
      <c r="GZ30" s="576"/>
      <c r="HA30" s="576"/>
      <c r="HB30" s="576"/>
      <c r="HC30" s="576"/>
      <c r="HD30" s="576"/>
      <c r="HE30" s="576"/>
      <c r="HF30" s="576"/>
      <c r="HG30" s="576"/>
      <c r="HH30" s="576"/>
      <c r="HI30" s="576"/>
      <c r="HJ30" s="576"/>
      <c r="HK30" s="576"/>
      <c r="HL30" s="576"/>
      <c r="HM30" s="576"/>
      <c r="HN30" s="576"/>
      <c r="HO30" s="576"/>
      <c r="HP30" s="576"/>
      <c r="HQ30" s="577" t="s">
        <v>6646</v>
      </c>
      <c r="HR30" s="576"/>
      <c r="HS30" s="576"/>
      <c r="HT30" s="577" t="s">
        <v>6645</v>
      </c>
      <c r="HU30" s="576"/>
      <c r="HV30" s="576"/>
      <c r="HW30" s="576"/>
      <c r="HX30" s="576"/>
      <c r="HY30" s="576"/>
      <c r="HZ30" s="576"/>
      <c r="IA30" s="576"/>
      <c r="IB30" s="576"/>
      <c r="IC30" s="576"/>
      <c r="ID30" s="566"/>
      <c r="IE30" s="566"/>
      <c r="IF30" s="566"/>
      <c r="IG30" s="566"/>
      <c r="IH30" s="566"/>
      <c r="II30" s="566"/>
      <c r="IJ30" s="566"/>
      <c r="IK30" s="566"/>
      <c r="IL30" s="566"/>
      <c r="IM30" s="566"/>
      <c r="IN30" s="566"/>
      <c r="IO30" s="566"/>
      <c r="IP30" s="566"/>
      <c r="IQ30" s="566"/>
      <c r="IR30" s="566"/>
      <c r="IS30" s="566"/>
      <c r="IT30" s="566"/>
      <c r="IU30" s="566"/>
      <c r="IV30" s="566"/>
      <c r="IW30" s="566"/>
      <c r="IX30" s="566"/>
      <c r="IY30" s="566"/>
      <c r="IZ30" s="566"/>
      <c r="JA30" s="566"/>
    </row>
    <row r="31" spans="1:261" ht="18" customHeight="1">
      <c r="A31" s="591" t="s">
        <v>182</v>
      </c>
    </row>
    <row r="32" spans="1:261" ht="18" customHeight="1">
      <c r="A32" s="592" t="s">
        <v>189</v>
      </c>
      <c r="B32" s="576"/>
      <c r="C32" s="577" t="str">
        <f>IF(ISTEXT(IFERROR(VLOOKUP(A32,职业列表!I3:J15,1,FALSE),0)),"★","")</f>
        <v/>
      </c>
      <c r="D32" s="576"/>
      <c r="E32" s="576"/>
      <c r="F32" s="576"/>
      <c r="G32" s="576"/>
      <c r="H32" s="576"/>
      <c r="I32" s="576"/>
      <c r="J32" s="576"/>
      <c r="K32" s="576"/>
      <c r="L32" s="576"/>
      <c r="M32" s="576"/>
      <c r="N32" s="576"/>
      <c r="O32" s="576"/>
      <c r="P32" s="576"/>
      <c r="Q32" s="576"/>
      <c r="R32" s="576"/>
      <c r="S32" s="576"/>
      <c r="T32" s="576"/>
      <c r="U32" s="576"/>
      <c r="V32" s="576" t="s">
        <v>149</v>
      </c>
      <c r="W32" s="576"/>
      <c r="X32" s="576"/>
      <c r="Y32" s="576"/>
      <c r="Z32" s="576"/>
      <c r="AA32" s="576"/>
      <c r="AB32" s="576"/>
      <c r="AC32" s="576"/>
      <c r="AD32" s="576"/>
      <c r="AE32" s="576"/>
      <c r="AF32" s="576"/>
      <c r="AG32" s="576" t="s">
        <v>149</v>
      </c>
      <c r="AH32" s="576"/>
      <c r="AI32" s="576"/>
      <c r="AJ32" s="576"/>
      <c r="AK32" s="576"/>
      <c r="AL32" s="576"/>
      <c r="AM32" s="576"/>
      <c r="AN32" s="576"/>
      <c r="AO32" s="576"/>
      <c r="AP32" s="576"/>
      <c r="AQ32" s="576"/>
      <c r="AR32" s="576"/>
      <c r="AS32" s="576"/>
      <c r="AT32" s="576"/>
      <c r="AU32" s="576"/>
      <c r="AV32" s="579"/>
      <c r="AW32" s="576" t="s">
        <v>149</v>
      </c>
      <c r="AX32" s="576"/>
      <c r="AY32" s="576"/>
      <c r="AZ32" s="576"/>
      <c r="BA32" s="576"/>
      <c r="BB32" s="576"/>
      <c r="BC32" s="576"/>
      <c r="BD32" s="576"/>
      <c r="BE32" s="576"/>
      <c r="BF32" s="576"/>
      <c r="BG32" s="576"/>
      <c r="BH32" s="576"/>
      <c r="BI32" s="576"/>
      <c r="BJ32" s="576"/>
      <c r="BK32" s="576"/>
      <c r="BL32" s="576"/>
      <c r="BM32" s="576"/>
      <c r="BN32" s="576"/>
      <c r="BO32" s="576"/>
      <c r="BP32" s="576"/>
      <c r="BQ32" s="576" t="s">
        <v>149</v>
      </c>
      <c r="BR32" s="576"/>
      <c r="BS32" s="576"/>
      <c r="BT32" s="576"/>
      <c r="BU32" s="576"/>
      <c r="BV32" s="576"/>
      <c r="BW32" s="576"/>
      <c r="BX32" s="576"/>
      <c r="BY32" s="576"/>
      <c r="BZ32" s="576"/>
      <c r="CA32" s="576"/>
      <c r="CB32" s="576"/>
      <c r="CC32" s="576"/>
      <c r="CD32" s="576"/>
      <c r="CE32" s="576"/>
      <c r="CF32" s="576"/>
      <c r="CG32" s="576"/>
      <c r="CH32" s="576"/>
      <c r="CI32" s="576"/>
      <c r="CJ32" s="576"/>
      <c r="CK32" s="576"/>
      <c r="CL32" s="576"/>
      <c r="CM32" s="576"/>
      <c r="CN32" s="576"/>
      <c r="CO32" s="576"/>
      <c r="CP32" s="576"/>
      <c r="CQ32" s="576"/>
      <c r="CR32" s="576"/>
      <c r="CS32" s="576" t="s">
        <v>6642</v>
      </c>
      <c r="CT32" s="576"/>
      <c r="CU32" s="576"/>
      <c r="CV32" s="576"/>
      <c r="CW32" s="576"/>
      <c r="CX32" s="576"/>
      <c r="CY32" s="576"/>
      <c r="CZ32" s="576"/>
      <c r="DA32" s="576"/>
      <c r="DB32" s="576"/>
      <c r="DC32" s="576"/>
      <c r="DD32" s="576"/>
      <c r="DE32" s="576"/>
      <c r="DF32" s="576"/>
      <c r="DG32" s="576"/>
      <c r="DH32" s="576"/>
      <c r="DI32" s="576"/>
      <c r="DJ32" s="576" t="s">
        <v>6645</v>
      </c>
      <c r="DK32" s="576"/>
      <c r="DL32" s="576"/>
      <c r="DM32" s="576"/>
      <c r="DN32" s="576"/>
      <c r="DO32" s="576"/>
      <c r="DP32" s="576"/>
      <c r="DQ32" s="576"/>
      <c r="DR32" s="576"/>
      <c r="DS32" s="576"/>
      <c r="DT32" s="576"/>
      <c r="DU32" s="576" t="s">
        <v>149</v>
      </c>
      <c r="DV32" s="576"/>
      <c r="DW32" s="576"/>
      <c r="DX32" s="576"/>
      <c r="DY32" s="576"/>
      <c r="DZ32" s="576"/>
      <c r="EA32" s="576"/>
      <c r="EB32" s="576"/>
      <c r="EC32" s="576"/>
      <c r="ED32" s="576"/>
      <c r="EE32" s="576"/>
      <c r="EF32" s="576"/>
      <c r="EG32" s="576"/>
      <c r="EH32" s="576"/>
      <c r="EI32" s="576"/>
      <c r="EJ32" s="576"/>
      <c r="EK32" s="576"/>
      <c r="EL32" s="576"/>
      <c r="EM32" s="576"/>
      <c r="EN32" s="576"/>
      <c r="EO32" s="576"/>
      <c r="EP32" s="576"/>
      <c r="EQ32" s="576"/>
      <c r="ER32" s="576"/>
      <c r="ES32" s="576"/>
      <c r="ET32" s="576"/>
      <c r="EU32" s="576"/>
      <c r="EV32" s="576"/>
      <c r="EW32" s="576"/>
      <c r="EX32" s="576"/>
      <c r="EY32" s="576"/>
      <c r="EZ32" s="576"/>
      <c r="FA32" s="576"/>
      <c r="FB32" s="576"/>
      <c r="FC32" s="576"/>
      <c r="FD32" s="576"/>
      <c r="FE32" s="576"/>
      <c r="FF32" s="576"/>
      <c r="FG32" s="576"/>
      <c r="FH32" s="576" t="s">
        <v>149</v>
      </c>
      <c r="FI32" s="576"/>
      <c r="FJ32" s="576"/>
      <c r="FK32" s="576"/>
      <c r="FL32" s="576"/>
      <c r="FM32" s="576"/>
      <c r="FN32" s="576"/>
      <c r="FO32" s="576"/>
      <c r="FP32" s="576"/>
      <c r="FQ32" s="576"/>
      <c r="FR32" s="576"/>
      <c r="FS32" s="576"/>
      <c r="FT32" s="576"/>
      <c r="FU32" s="576"/>
      <c r="FV32" s="576"/>
      <c r="FW32" s="576" t="s">
        <v>149</v>
      </c>
      <c r="FX32" s="576"/>
      <c r="FY32" s="576"/>
      <c r="FZ32" s="576"/>
      <c r="GA32" s="576"/>
      <c r="GB32" s="576"/>
      <c r="GC32" s="576"/>
      <c r="GD32" s="576"/>
      <c r="GE32" s="576"/>
      <c r="GF32" s="576"/>
      <c r="GG32" s="576"/>
      <c r="GH32" s="576"/>
      <c r="GI32" s="576"/>
      <c r="GJ32" s="576"/>
      <c r="GK32" s="576"/>
      <c r="GL32" s="576"/>
      <c r="GM32" s="576"/>
      <c r="GN32" s="576"/>
      <c r="GO32" s="576"/>
      <c r="GP32" s="576"/>
      <c r="GQ32" s="576"/>
      <c r="GR32" s="576"/>
      <c r="GS32" s="576"/>
      <c r="GT32" s="576"/>
      <c r="GU32" s="576"/>
      <c r="GV32" s="576"/>
      <c r="GW32" s="576"/>
      <c r="GX32" s="576"/>
      <c r="GY32" s="576"/>
      <c r="GZ32" s="576"/>
      <c r="HA32" s="576"/>
      <c r="HB32" s="576" t="s">
        <v>6642</v>
      </c>
      <c r="HC32" s="576"/>
      <c r="HD32" s="576" t="s">
        <v>149</v>
      </c>
      <c r="HE32" s="576"/>
      <c r="HF32" s="576" t="s">
        <v>149</v>
      </c>
      <c r="HG32" s="576"/>
      <c r="HH32" s="576"/>
      <c r="HI32" s="576"/>
      <c r="HJ32" s="576"/>
      <c r="HK32" s="576"/>
      <c r="HL32" s="576"/>
      <c r="HM32" s="576"/>
      <c r="HN32" s="576"/>
      <c r="HO32" s="576"/>
      <c r="HP32" s="576" t="s">
        <v>149</v>
      </c>
      <c r="HQ32" s="576" t="s">
        <v>149</v>
      </c>
      <c r="HR32" s="576"/>
      <c r="HS32" s="576"/>
      <c r="HT32" s="576"/>
      <c r="HU32" s="576"/>
      <c r="HV32" s="576"/>
      <c r="HW32" s="576"/>
      <c r="HX32" s="576"/>
      <c r="HY32" s="576"/>
      <c r="HZ32" s="576"/>
      <c r="IA32" s="576"/>
      <c r="IB32" s="576"/>
      <c r="IC32" s="576"/>
      <c r="ID32" s="566"/>
      <c r="IE32" s="566"/>
      <c r="IF32" s="566"/>
      <c r="IG32" s="566"/>
      <c r="IH32" s="566"/>
      <c r="II32" s="566"/>
      <c r="IJ32" s="566"/>
      <c r="IK32" s="566"/>
      <c r="IL32" s="566"/>
      <c r="IM32" s="566"/>
      <c r="IN32" s="566"/>
      <c r="IO32" s="566"/>
      <c r="IP32" s="566"/>
      <c r="IQ32" s="566"/>
      <c r="IR32" s="566"/>
      <c r="IS32" s="566"/>
      <c r="IT32" s="566"/>
      <c r="IU32" s="566"/>
      <c r="IV32" s="566"/>
      <c r="IW32" s="566"/>
      <c r="IX32" s="566"/>
      <c r="IY32" s="566"/>
      <c r="IZ32" s="566"/>
      <c r="JA32" s="566"/>
    </row>
    <row r="33" spans="1:261" ht="18" customHeight="1">
      <c r="A33" s="575" t="s">
        <v>129</v>
      </c>
      <c r="B33" s="576"/>
      <c r="C33" s="576" t="str">
        <f>IF(ISTEXT(IFERROR(VLOOKUP(A33,职业列表!I3:J15,1,FALSE),0)),"★","")</f>
        <v/>
      </c>
      <c r="D33" s="576"/>
      <c r="E33" s="576"/>
      <c r="F33" s="576"/>
      <c r="G33" s="576"/>
      <c r="H33" s="576"/>
      <c r="I33" s="576"/>
      <c r="J33" s="576"/>
      <c r="K33" s="576"/>
      <c r="L33" s="576"/>
      <c r="M33" s="576"/>
      <c r="N33" s="576"/>
      <c r="O33" s="576"/>
      <c r="P33" s="576"/>
      <c r="Q33" s="576"/>
      <c r="R33" s="576"/>
      <c r="S33" s="576"/>
      <c r="T33" s="576"/>
      <c r="U33" s="576"/>
      <c r="V33" s="576"/>
      <c r="W33" s="576"/>
      <c r="X33" s="576"/>
      <c r="Y33" s="576"/>
      <c r="Z33" s="576"/>
      <c r="AA33" s="576"/>
      <c r="AB33" s="576"/>
      <c r="AC33" s="576"/>
      <c r="AD33" s="576"/>
      <c r="AE33" s="576"/>
      <c r="AF33" s="576"/>
      <c r="AG33" s="576"/>
      <c r="AH33" s="576"/>
      <c r="AI33" s="576" t="s">
        <v>149</v>
      </c>
      <c r="AJ33" s="576" t="s">
        <v>149</v>
      </c>
      <c r="AK33" s="576"/>
      <c r="AL33" s="576" t="s">
        <v>149</v>
      </c>
      <c r="AM33" s="576"/>
      <c r="AN33" s="576" t="s">
        <v>6645</v>
      </c>
      <c r="AO33" s="576"/>
      <c r="AP33" s="576"/>
      <c r="AQ33" s="576"/>
      <c r="AR33" s="576"/>
      <c r="AS33" s="576"/>
      <c r="AT33" s="576"/>
      <c r="AU33" s="576"/>
      <c r="AV33" s="576"/>
      <c r="AW33" s="576"/>
      <c r="AX33" s="576"/>
      <c r="AY33" s="576"/>
      <c r="AZ33" s="576"/>
      <c r="BA33" s="576"/>
      <c r="BB33" s="576"/>
      <c r="BC33" s="576"/>
      <c r="BD33" s="576"/>
      <c r="BE33" s="576"/>
      <c r="BF33" s="576"/>
      <c r="BG33" s="576"/>
      <c r="BH33" s="576"/>
      <c r="BI33" s="576"/>
      <c r="BJ33" s="576"/>
      <c r="BK33" s="576"/>
      <c r="BL33" s="576"/>
      <c r="BM33" s="576"/>
      <c r="BN33" s="576"/>
      <c r="BO33" s="576"/>
      <c r="BP33" s="576"/>
      <c r="BQ33" s="576"/>
      <c r="BR33" s="576" t="s">
        <v>6642</v>
      </c>
      <c r="BS33" s="576"/>
      <c r="BT33" s="576"/>
      <c r="BU33" s="576"/>
      <c r="BV33" s="576"/>
      <c r="BW33" s="576"/>
      <c r="BX33" s="576"/>
      <c r="BY33" s="576"/>
      <c r="BZ33" s="576"/>
      <c r="CA33" s="576"/>
      <c r="CB33" s="576"/>
      <c r="CC33" s="576"/>
      <c r="CD33" s="576"/>
      <c r="CE33" s="576"/>
      <c r="CF33" s="576"/>
      <c r="CG33" s="576"/>
      <c r="CH33" s="576"/>
      <c r="CI33" s="576"/>
      <c r="CJ33" s="576"/>
      <c r="CK33" s="576"/>
      <c r="CL33" s="576"/>
      <c r="CM33" s="576"/>
      <c r="CN33" s="576"/>
      <c r="CO33" s="576"/>
      <c r="CP33" s="576"/>
      <c r="CQ33" s="576"/>
      <c r="CR33" s="576"/>
      <c r="CS33" s="576"/>
      <c r="CT33" s="576"/>
      <c r="CU33" s="576"/>
      <c r="CV33" s="576"/>
      <c r="CW33" s="576"/>
      <c r="CX33" s="576"/>
      <c r="CY33" s="576"/>
      <c r="CZ33" s="576"/>
      <c r="DA33" s="576"/>
      <c r="DB33" s="576"/>
      <c r="DC33" s="576"/>
      <c r="DD33" s="576"/>
      <c r="DE33" s="576"/>
      <c r="DF33" s="576"/>
      <c r="DG33" s="576"/>
      <c r="DH33" s="576"/>
      <c r="DI33" s="576"/>
      <c r="DJ33" s="576"/>
      <c r="DK33" s="576"/>
      <c r="DL33" s="576"/>
      <c r="DM33" s="576"/>
      <c r="DN33" s="576"/>
      <c r="DO33" s="576"/>
      <c r="DP33" s="576"/>
      <c r="DQ33" s="576"/>
      <c r="DR33" s="576"/>
      <c r="DS33" s="576"/>
      <c r="DT33" s="576"/>
      <c r="DU33" s="576"/>
      <c r="DV33" s="576"/>
      <c r="DW33" s="576"/>
      <c r="DX33" s="576"/>
      <c r="DY33" s="576"/>
      <c r="DZ33" s="576"/>
      <c r="EA33" s="576"/>
      <c r="EB33" s="576"/>
      <c r="EC33" s="576"/>
      <c r="ED33" s="576"/>
      <c r="EE33" s="576"/>
      <c r="EF33" s="576"/>
      <c r="EG33" s="576"/>
      <c r="EH33" s="576"/>
      <c r="EI33" s="576"/>
      <c r="EJ33" s="576"/>
      <c r="EK33" s="576"/>
      <c r="EL33" s="576"/>
      <c r="EM33" s="576"/>
      <c r="EN33" s="576"/>
      <c r="EO33" s="576"/>
      <c r="EP33" s="576"/>
      <c r="EQ33" s="576"/>
      <c r="ER33" s="576"/>
      <c r="ES33" s="576"/>
      <c r="ET33" s="576"/>
      <c r="EU33" s="576"/>
      <c r="EV33" s="576"/>
      <c r="EW33" s="576"/>
      <c r="EX33" s="576"/>
      <c r="EY33" s="576"/>
      <c r="EZ33" s="576"/>
      <c r="FA33" s="576"/>
      <c r="FB33" s="576"/>
      <c r="FC33" s="576"/>
      <c r="FD33" s="576"/>
      <c r="FE33" s="576"/>
      <c r="FF33" s="576"/>
      <c r="FG33" s="576"/>
      <c r="FH33" s="576"/>
      <c r="FI33" s="576"/>
      <c r="FJ33" s="576"/>
      <c r="FK33" s="576"/>
      <c r="FL33" s="576"/>
      <c r="FM33" s="576"/>
      <c r="FN33" s="576"/>
      <c r="FO33" s="576"/>
      <c r="FP33" s="576"/>
      <c r="FQ33" s="576"/>
      <c r="FR33" s="576"/>
      <c r="FS33" s="576"/>
      <c r="FT33" s="576"/>
      <c r="FU33" s="576"/>
      <c r="FV33" s="576"/>
      <c r="FW33" s="576"/>
      <c r="FX33" s="576"/>
      <c r="FY33" s="576"/>
      <c r="FZ33" s="576" t="s">
        <v>149</v>
      </c>
      <c r="GA33" s="576"/>
      <c r="GB33" s="576"/>
      <c r="GC33" s="576"/>
      <c r="GD33" s="576"/>
      <c r="GE33" s="576"/>
      <c r="GF33" s="576"/>
      <c r="GG33" s="576"/>
      <c r="GH33" s="576"/>
      <c r="GI33" s="576"/>
      <c r="GJ33" s="576"/>
      <c r="GK33" s="576"/>
      <c r="GL33" s="576"/>
      <c r="GM33" s="576"/>
      <c r="GN33" s="576"/>
      <c r="GO33" s="576"/>
      <c r="GP33" s="576"/>
      <c r="GQ33" s="576"/>
      <c r="GR33" s="576"/>
      <c r="GS33" s="576"/>
      <c r="GT33" s="576"/>
      <c r="GU33" s="576"/>
      <c r="GV33" s="576"/>
      <c r="GW33" s="576"/>
      <c r="GX33" s="576"/>
      <c r="GY33" s="576"/>
      <c r="GZ33" s="576"/>
      <c r="HA33" s="576"/>
      <c r="HB33" s="576"/>
      <c r="HC33" s="576"/>
      <c r="HD33" s="576" t="s">
        <v>6642</v>
      </c>
      <c r="HE33" s="576"/>
      <c r="HF33" s="576"/>
      <c r="HG33" s="576"/>
      <c r="HH33" s="576"/>
      <c r="HI33" s="576"/>
      <c r="HJ33" s="576"/>
      <c r="HK33" s="576"/>
      <c r="HL33" s="576"/>
      <c r="HM33" s="576" t="s">
        <v>149</v>
      </c>
      <c r="HN33" s="576"/>
      <c r="HO33" s="576"/>
      <c r="HP33" s="576"/>
      <c r="HQ33" s="576"/>
      <c r="HR33" s="577" t="s">
        <v>149</v>
      </c>
      <c r="HS33" s="576"/>
      <c r="HT33" s="576"/>
      <c r="HU33" s="576"/>
      <c r="HV33" s="576"/>
      <c r="HW33" s="576"/>
      <c r="HX33" s="576"/>
      <c r="HY33" s="576"/>
      <c r="HZ33" s="576"/>
      <c r="IA33" s="576"/>
      <c r="IB33" s="576"/>
      <c r="IC33" s="576" t="s">
        <v>149</v>
      </c>
      <c r="ID33" s="566"/>
      <c r="IE33" s="566"/>
      <c r="IF33" s="566"/>
      <c r="IG33" s="566"/>
      <c r="IH33" s="566"/>
      <c r="II33" s="566"/>
      <c r="IJ33" s="566"/>
      <c r="IK33" s="566"/>
      <c r="IL33" s="566"/>
      <c r="IM33" s="566"/>
      <c r="IN33" s="566"/>
      <c r="IO33" s="566"/>
      <c r="IP33" s="566"/>
      <c r="IQ33" s="566"/>
      <c r="IR33" s="566"/>
      <c r="IS33" s="566"/>
      <c r="IT33" s="566"/>
      <c r="IU33" s="566"/>
      <c r="IV33" s="566"/>
      <c r="IW33" s="566"/>
      <c r="IX33" s="566"/>
      <c r="IY33" s="566"/>
      <c r="IZ33" s="566"/>
      <c r="JA33" s="566"/>
    </row>
    <row r="34" spans="1:261" ht="18" customHeight="1">
      <c r="A34" s="575" t="s">
        <v>132</v>
      </c>
      <c r="B34" s="576"/>
      <c r="C34" s="576" t="str">
        <f>IF(ISTEXT(IFERROR(VLOOKUP(A34,职业列表!I3:J15,1,FALSE),0)),"★","")</f>
        <v/>
      </c>
      <c r="D34" s="576"/>
      <c r="E34" s="576"/>
      <c r="F34" s="576"/>
      <c r="G34" s="576"/>
      <c r="H34" s="576"/>
      <c r="I34" s="576"/>
      <c r="J34" s="576"/>
      <c r="K34" s="576" t="s">
        <v>149</v>
      </c>
      <c r="L34" s="576" t="s">
        <v>149</v>
      </c>
      <c r="M34" s="576"/>
      <c r="N34" s="576"/>
      <c r="O34" s="576"/>
      <c r="P34" s="576"/>
      <c r="Q34" s="576"/>
      <c r="R34" s="576"/>
      <c r="S34" s="576"/>
      <c r="T34" s="576"/>
      <c r="U34" s="576"/>
      <c r="V34" s="576"/>
      <c r="W34" s="576"/>
      <c r="X34" s="576"/>
      <c r="Y34" s="576"/>
      <c r="Z34" s="576"/>
      <c r="AA34" s="576"/>
      <c r="AB34" s="576"/>
      <c r="AC34" s="576"/>
      <c r="AD34" s="576"/>
      <c r="AE34" s="576"/>
      <c r="AF34" s="576"/>
      <c r="AG34" s="576"/>
      <c r="AH34" s="576"/>
      <c r="AI34" s="576" t="s">
        <v>149</v>
      </c>
      <c r="AJ34" s="576"/>
      <c r="AK34" s="576"/>
      <c r="AL34" s="576"/>
      <c r="AM34" s="576"/>
      <c r="AN34" s="576" t="s">
        <v>6642</v>
      </c>
      <c r="AO34" s="576"/>
      <c r="AP34" s="576"/>
      <c r="AQ34" s="576"/>
      <c r="AR34" s="576"/>
      <c r="AS34" s="576"/>
      <c r="AT34" s="576"/>
      <c r="AU34" s="576"/>
      <c r="AV34" s="576"/>
      <c r="AW34" s="576"/>
      <c r="AX34" s="576"/>
      <c r="AY34" s="576"/>
      <c r="AZ34" s="576"/>
      <c r="BA34" s="576"/>
      <c r="BB34" s="576"/>
      <c r="BC34" s="576"/>
      <c r="BD34" s="576"/>
      <c r="BE34" s="576"/>
      <c r="BF34" s="576"/>
      <c r="BG34" s="576" t="s">
        <v>149</v>
      </c>
      <c r="BH34" s="576"/>
      <c r="BI34" s="576"/>
      <c r="BJ34" s="576"/>
      <c r="BK34" s="576"/>
      <c r="BL34" s="576"/>
      <c r="BM34" s="576"/>
      <c r="BN34" s="576"/>
      <c r="BO34" s="576"/>
      <c r="BP34" s="576"/>
      <c r="BQ34" s="576"/>
      <c r="BR34" s="576"/>
      <c r="BS34" s="576"/>
      <c r="BT34" s="576"/>
      <c r="BU34" s="576"/>
      <c r="BV34" s="576"/>
      <c r="BW34" s="576"/>
      <c r="BX34" s="576"/>
      <c r="BY34" s="576"/>
      <c r="BZ34" s="576"/>
      <c r="CA34" s="576"/>
      <c r="CB34" s="576"/>
      <c r="CC34" s="576"/>
      <c r="CD34" s="576"/>
      <c r="CE34" s="576"/>
      <c r="CF34" s="576"/>
      <c r="CG34" s="576"/>
      <c r="CH34" s="576"/>
      <c r="CI34" s="576"/>
      <c r="CJ34" s="576"/>
      <c r="CK34" s="576"/>
      <c r="CL34" s="576"/>
      <c r="CM34" s="576"/>
      <c r="CN34" s="576"/>
      <c r="CO34" s="576"/>
      <c r="CP34" s="576"/>
      <c r="CQ34" s="576"/>
      <c r="CR34" s="576" t="s">
        <v>6642</v>
      </c>
      <c r="CS34" s="576"/>
      <c r="CT34" s="576" t="s">
        <v>149</v>
      </c>
      <c r="CU34" s="576"/>
      <c r="CV34" s="576"/>
      <c r="CW34" s="576"/>
      <c r="CX34" s="576"/>
      <c r="CY34" s="576"/>
      <c r="CZ34" s="576"/>
      <c r="DA34" s="576"/>
      <c r="DB34" s="576"/>
      <c r="DC34" s="576"/>
      <c r="DD34" s="576"/>
      <c r="DE34" s="576"/>
      <c r="DF34" s="576"/>
      <c r="DG34" s="576"/>
      <c r="DH34" s="576" t="s">
        <v>6642</v>
      </c>
      <c r="DI34" s="576"/>
      <c r="DJ34" s="576"/>
      <c r="DK34" s="576"/>
      <c r="DL34" s="576"/>
      <c r="DM34" s="576"/>
      <c r="DN34" s="576"/>
      <c r="DO34" s="576"/>
      <c r="DP34" s="576"/>
      <c r="DQ34" s="576"/>
      <c r="DR34" s="576"/>
      <c r="DS34" s="576"/>
      <c r="DT34" s="576"/>
      <c r="DU34" s="576"/>
      <c r="DV34" s="576"/>
      <c r="DW34" s="576"/>
      <c r="DX34" s="576" t="s">
        <v>149</v>
      </c>
      <c r="DY34" s="576"/>
      <c r="DZ34" s="576"/>
      <c r="EA34" s="576"/>
      <c r="EB34" s="576"/>
      <c r="EC34" s="576" t="s">
        <v>149</v>
      </c>
      <c r="ED34" s="576"/>
      <c r="EE34" s="576"/>
      <c r="EF34" s="576"/>
      <c r="EG34" s="576"/>
      <c r="EH34" s="576" t="s">
        <v>149</v>
      </c>
      <c r="EI34" s="576"/>
      <c r="EJ34" s="576"/>
      <c r="EK34" s="576"/>
      <c r="EL34" s="576"/>
      <c r="EM34" s="576"/>
      <c r="EN34" s="576"/>
      <c r="EO34" s="576"/>
      <c r="EP34" s="576"/>
      <c r="EQ34" s="576"/>
      <c r="ER34" s="576"/>
      <c r="ES34" s="576"/>
      <c r="ET34" s="576"/>
      <c r="EU34" s="576"/>
      <c r="EV34" s="576"/>
      <c r="EW34" s="576"/>
      <c r="EX34" s="576"/>
      <c r="EY34" s="576"/>
      <c r="EZ34" s="576" t="s">
        <v>149</v>
      </c>
      <c r="FA34" s="576"/>
      <c r="FB34" s="576"/>
      <c r="FC34" s="576"/>
      <c r="FD34" s="576"/>
      <c r="FE34" s="576"/>
      <c r="FF34" s="576"/>
      <c r="FG34" s="576"/>
      <c r="FH34" s="576"/>
      <c r="FI34" s="576"/>
      <c r="FJ34" s="576"/>
      <c r="FK34" s="576"/>
      <c r="FL34" s="576"/>
      <c r="FM34" s="576"/>
      <c r="FN34" s="576"/>
      <c r="FO34" s="576"/>
      <c r="FP34" s="576"/>
      <c r="FQ34" s="576"/>
      <c r="FR34" s="576"/>
      <c r="FS34" s="576" t="s">
        <v>149</v>
      </c>
      <c r="FT34" s="576"/>
      <c r="FU34" s="576"/>
      <c r="FV34" s="576"/>
      <c r="FW34" s="576"/>
      <c r="FX34" s="576"/>
      <c r="FY34" s="576"/>
      <c r="FZ34" s="576"/>
      <c r="GA34" s="576"/>
      <c r="GB34" s="576"/>
      <c r="GC34" s="576"/>
      <c r="GD34" s="576" t="s">
        <v>149</v>
      </c>
      <c r="GE34" s="576" t="s">
        <v>149</v>
      </c>
      <c r="GF34" s="576"/>
      <c r="GG34" s="576"/>
      <c r="GH34" s="576"/>
      <c r="GI34" s="576"/>
      <c r="GJ34" s="576"/>
      <c r="GK34" s="576" t="s">
        <v>149</v>
      </c>
      <c r="GL34" s="576" t="s">
        <v>149</v>
      </c>
      <c r="GM34" s="576" t="s">
        <v>149</v>
      </c>
      <c r="GN34" s="576" t="s">
        <v>149</v>
      </c>
      <c r="GO34" s="576"/>
      <c r="GP34" s="576"/>
      <c r="GQ34" s="576"/>
      <c r="GR34" s="576"/>
      <c r="GS34" s="576" t="s">
        <v>149</v>
      </c>
      <c r="GT34" s="576"/>
      <c r="GU34" s="576"/>
      <c r="GV34" s="576"/>
      <c r="GW34" s="576"/>
      <c r="GX34" s="576"/>
      <c r="GY34" s="576"/>
      <c r="GZ34" s="576"/>
      <c r="HA34" s="576"/>
      <c r="HB34" s="576"/>
      <c r="HC34" s="576"/>
      <c r="HD34" s="576" t="s">
        <v>6642</v>
      </c>
      <c r="HE34" s="577"/>
      <c r="HF34" s="576"/>
      <c r="HG34" s="576"/>
      <c r="HH34" s="576"/>
      <c r="HI34" s="576"/>
      <c r="HJ34" s="576"/>
      <c r="HK34" s="576"/>
      <c r="HL34" s="576"/>
      <c r="HM34" s="576" t="s">
        <v>149</v>
      </c>
      <c r="HN34" s="576"/>
      <c r="HO34" s="576" t="s">
        <v>149</v>
      </c>
      <c r="HP34" s="576"/>
      <c r="HQ34" s="576"/>
      <c r="HR34" s="576"/>
      <c r="HS34" s="576"/>
      <c r="HT34" s="576"/>
      <c r="HU34" s="576"/>
      <c r="HV34" s="576"/>
      <c r="HW34" s="576"/>
      <c r="HX34" s="576"/>
      <c r="HY34" s="576"/>
      <c r="HZ34" s="576"/>
      <c r="IA34" s="576"/>
      <c r="IB34" s="576"/>
      <c r="IC34" s="576" t="s">
        <v>149</v>
      </c>
      <c r="ID34" s="566"/>
      <c r="IE34" s="566"/>
      <c r="IF34" s="566"/>
      <c r="IG34" s="566"/>
      <c r="IH34" s="566"/>
      <c r="II34" s="566"/>
      <c r="IJ34" s="566"/>
      <c r="IK34" s="566"/>
      <c r="IL34" s="566"/>
      <c r="IM34" s="566"/>
      <c r="IN34" s="566"/>
      <c r="IO34" s="566"/>
      <c r="IP34" s="566"/>
      <c r="IQ34" s="566"/>
      <c r="IR34" s="566"/>
      <c r="IS34" s="566"/>
      <c r="IT34" s="566"/>
      <c r="IU34" s="566"/>
      <c r="IV34" s="566"/>
      <c r="IW34" s="566"/>
      <c r="IX34" s="566"/>
      <c r="IY34" s="566"/>
      <c r="IZ34" s="566"/>
      <c r="JA34" s="566"/>
    </row>
    <row r="35" spans="1:261" ht="18" customHeight="1">
      <c r="A35" s="592" t="s">
        <v>136</v>
      </c>
      <c r="B35" s="576"/>
      <c r="C35" s="576" t="str">
        <f>IF(ISTEXT(IFERROR(VLOOKUP(A35,职业列表!I3:J15,1,FALSE),0)),"★","")</f>
        <v/>
      </c>
      <c r="D35" s="576"/>
      <c r="E35" s="576"/>
      <c r="F35" s="576"/>
      <c r="G35" s="576" t="s">
        <v>149</v>
      </c>
      <c r="H35" s="576"/>
      <c r="I35" s="576"/>
      <c r="J35" s="576"/>
      <c r="K35" s="576"/>
      <c r="L35" s="576"/>
      <c r="M35" s="576" t="s">
        <v>149</v>
      </c>
      <c r="N35" s="576"/>
      <c r="O35" s="576" t="s">
        <v>149</v>
      </c>
      <c r="P35" s="576"/>
      <c r="Q35" s="576"/>
      <c r="R35" s="576"/>
      <c r="S35" s="576"/>
      <c r="T35" s="576"/>
      <c r="U35" s="576" t="s">
        <v>149</v>
      </c>
      <c r="V35" s="576"/>
      <c r="W35" s="576"/>
      <c r="X35" s="576"/>
      <c r="Y35" s="576" t="s">
        <v>149</v>
      </c>
      <c r="Z35" s="576"/>
      <c r="AA35" s="576" t="s">
        <v>149</v>
      </c>
      <c r="AB35" s="576"/>
      <c r="AC35" s="576"/>
      <c r="AD35" s="576"/>
      <c r="AE35" s="576"/>
      <c r="AF35" s="576"/>
      <c r="AG35" s="576"/>
      <c r="AH35" s="576"/>
      <c r="AI35" s="576" t="s">
        <v>149</v>
      </c>
      <c r="AJ35" s="576"/>
      <c r="AK35" s="576" t="s">
        <v>149</v>
      </c>
      <c r="AL35" s="576" t="s">
        <v>149</v>
      </c>
      <c r="AM35" s="576"/>
      <c r="AN35" s="576" t="s">
        <v>149</v>
      </c>
      <c r="AO35" s="576" t="s">
        <v>149</v>
      </c>
      <c r="AP35" s="576"/>
      <c r="AQ35" s="576"/>
      <c r="AR35" s="576"/>
      <c r="AS35" s="576" t="s">
        <v>149</v>
      </c>
      <c r="AT35" s="576"/>
      <c r="AU35" s="576" t="s">
        <v>149</v>
      </c>
      <c r="AV35" s="576"/>
      <c r="AW35" s="576"/>
      <c r="AX35" s="576"/>
      <c r="AY35" s="576"/>
      <c r="AZ35" s="576" t="s">
        <v>149</v>
      </c>
      <c r="BA35" s="576"/>
      <c r="BB35" s="576"/>
      <c r="BC35" s="576"/>
      <c r="BD35" s="576"/>
      <c r="BE35" s="576"/>
      <c r="BF35" s="576"/>
      <c r="BG35" s="576"/>
      <c r="BH35" s="576"/>
      <c r="BI35" s="576"/>
      <c r="BJ35" s="576" t="s">
        <v>149</v>
      </c>
      <c r="BK35" s="576"/>
      <c r="BL35" s="576"/>
      <c r="BM35" s="576"/>
      <c r="BN35" s="576"/>
      <c r="BO35" s="576"/>
      <c r="BP35" s="576"/>
      <c r="BQ35" s="576"/>
      <c r="BR35" s="576" t="s">
        <v>149</v>
      </c>
      <c r="BS35" s="576" t="s">
        <v>149</v>
      </c>
      <c r="BT35" s="579"/>
      <c r="BU35" s="576" t="s">
        <v>149</v>
      </c>
      <c r="BV35" s="576"/>
      <c r="BW35" s="576"/>
      <c r="BX35" s="576"/>
      <c r="BY35" s="576"/>
      <c r="BZ35" s="576" t="s">
        <v>149</v>
      </c>
      <c r="CA35" s="576"/>
      <c r="CB35" s="576"/>
      <c r="CC35" s="576"/>
      <c r="CD35" s="576"/>
      <c r="CE35" s="576"/>
      <c r="CF35" s="576"/>
      <c r="CG35" s="576"/>
      <c r="CH35" s="576"/>
      <c r="CI35" s="576"/>
      <c r="CJ35" s="576"/>
      <c r="CK35" s="576"/>
      <c r="CL35" s="576"/>
      <c r="CM35" s="576"/>
      <c r="CN35" s="576" t="s">
        <v>149</v>
      </c>
      <c r="CO35" s="576"/>
      <c r="CP35" s="576"/>
      <c r="CQ35" s="576"/>
      <c r="CR35" s="576"/>
      <c r="CS35" s="576"/>
      <c r="CT35" s="576"/>
      <c r="CU35" s="576"/>
      <c r="CV35" s="576"/>
      <c r="CW35" s="576" t="s">
        <v>149</v>
      </c>
      <c r="CX35" s="576"/>
      <c r="CY35" s="576"/>
      <c r="CZ35" s="576"/>
      <c r="DA35" s="576"/>
      <c r="DB35" s="576"/>
      <c r="DC35" s="576" t="s">
        <v>6642</v>
      </c>
      <c r="DD35" s="576"/>
      <c r="DE35" s="576"/>
      <c r="DF35" s="576"/>
      <c r="DG35" s="576" t="s">
        <v>149</v>
      </c>
      <c r="DH35" s="576" t="s">
        <v>149</v>
      </c>
      <c r="DI35" s="576"/>
      <c r="DJ35" s="576"/>
      <c r="DK35" s="576"/>
      <c r="DL35" s="576"/>
      <c r="DM35" s="576"/>
      <c r="DN35" s="576"/>
      <c r="DO35" s="576"/>
      <c r="DP35" s="576"/>
      <c r="DQ35" s="576" t="s">
        <v>149</v>
      </c>
      <c r="DR35" s="576"/>
      <c r="DS35" s="576"/>
      <c r="DT35" s="576"/>
      <c r="DU35" s="576"/>
      <c r="DV35" s="576"/>
      <c r="DW35" s="576"/>
      <c r="DX35" s="576"/>
      <c r="DY35" s="576"/>
      <c r="DZ35" s="576"/>
      <c r="EA35" s="576"/>
      <c r="EB35" s="576"/>
      <c r="EC35" s="576" t="s">
        <v>149</v>
      </c>
      <c r="ED35" s="576"/>
      <c r="EE35" s="576"/>
      <c r="EF35" s="576"/>
      <c r="EG35" s="576"/>
      <c r="EH35" s="576" t="s">
        <v>149</v>
      </c>
      <c r="EI35" s="576"/>
      <c r="EJ35" s="576"/>
      <c r="EK35" s="576"/>
      <c r="EL35" s="576"/>
      <c r="EM35" s="576"/>
      <c r="EN35" s="576"/>
      <c r="EO35" s="576"/>
      <c r="EP35" s="576"/>
      <c r="EQ35" s="576"/>
      <c r="ER35" s="576"/>
      <c r="ES35" s="576"/>
      <c r="ET35" s="576"/>
      <c r="EU35" s="576"/>
      <c r="EV35" s="576"/>
      <c r="EW35" s="576" t="s">
        <v>6642</v>
      </c>
      <c r="EX35" s="576"/>
      <c r="EY35" s="576"/>
      <c r="EZ35" s="576"/>
      <c r="FA35" s="576"/>
      <c r="FB35" s="576"/>
      <c r="FC35" s="576"/>
      <c r="FD35" s="576"/>
      <c r="FE35" s="576"/>
      <c r="FF35" s="576"/>
      <c r="FG35" s="576"/>
      <c r="FH35" s="576"/>
      <c r="FI35" s="576"/>
      <c r="FJ35" s="576"/>
      <c r="FK35" s="576"/>
      <c r="FL35" s="576"/>
      <c r="FM35" s="576" t="s">
        <v>149</v>
      </c>
      <c r="FN35" s="576" t="s">
        <v>149</v>
      </c>
      <c r="FO35" s="576"/>
      <c r="FP35" s="576"/>
      <c r="FQ35" s="576"/>
      <c r="FR35" s="576"/>
      <c r="FS35" s="576" t="s">
        <v>149</v>
      </c>
      <c r="FT35" s="576"/>
      <c r="FU35" s="576"/>
      <c r="FV35" s="576"/>
      <c r="FW35" s="576"/>
      <c r="FX35" s="576"/>
      <c r="FY35" s="576"/>
      <c r="FZ35" s="576"/>
      <c r="GA35" s="576"/>
      <c r="GB35" s="576"/>
      <c r="GC35" s="576"/>
      <c r="GD35" s="576"/>
      <c r="GE35" s="576"/>
      <c r="GF35" s="576"/>
      <c r="GG35" s="576"/>
      <c r="GH35" s="576" t="s">
        <v>149</v>
      </c>
      <c r="GI35" s="576" t="s">
        <v>149</v>
      </c>
      <c r="GJ35" s="576"/>
      <c r="GK35" s="576" t="s">
        <v>149</v>
      </c>
      <c r="GL35" s="576"/>
      <c r="GM35" s="576"/>
      <c r="GN35" s="576"/>
      <c r="GO35" s="576"/>
      <c r="GP35" s="576"/>
      <c r="GQ35" s="576"/>
      <c r="GR35" s="576"/>
      <c r="GS35" s="576"/>
      <c r="GT35" s="576" t="s">
        <v>149</v>
      </c>
      <c r="GU35" s="576"/>
      <c r="GV35" s="576"/>
      <c r="GW35" s="576"/>
      <c r="GX35" s="576"/>
      <c r="GY35" s="576"/>
      <c r="GZ35" s="576" t="s">
        <v>149</v>
      </c>
      <c r="HA35" s="576" t="s">
        <v>149</v>
      </c>
      <c r="HB35" s="576"/>
      <c r="HC35" s="576"/>
      <c r="HD35" s="576" t="s">
        <v>149</v>
      </c>
      <c r="HE35" s="576"/>
      <c r="HF35" s="576"/>
      <c r="HG35" s="576"/>
      <c r="HH35" s="576"/>
      <c r="HI35" s="576"/>
      <c r="HJ35" s="576"/>
      <c r="HK35" s="576"/>
      <c r="HL35" s="576"/>
      <c r="HM35" s="576" t="s">
        <v>149</v>
      </c>
      <c r="HN35" s="576"/>
      <c r="HO35" s="576"/>
      <c r="HP35" s="576" t="s">
        <v>149</v>
      </c>
      <c r="HQ35" s="576" t="s">
        <v>149</v>
      </c>
      <c r="HR35" s="576"/>
      <c r="HS35" s="576"/>
      <c r="HT35" s="576"/>
      <c r="HU35" s="576"/>
      <c r="HV35" s="576"/>
      <c r="HW35" s="576" t="s">
        <v>149</v>
      </c>
      <c r="HX35" s="576"/>
      <c r="HY35" s="576"/>
      <c r="HZ35" s="576" t="s">
        <v>149</v>
      </c>
      <c r="IA35" s="576"/>
      <c r="IB35" s="576" t="s">
        <v>149</v>
      </c>
      <c r="IC35" s="576" t="s">
        <v>149</v>
      </c>
      <c r="ID35" s="566"/>
      <c r="IE35" s="566"/>
      <c r="IF35" s="566"/>
      <c r="IG35" s="566"/>
      <c r="IH35" s="566"/>
      <c r="II35" s="566"/>
      <c r="IJ35" s="566"/>
      <c r="IK35" s="566"/>
      <c r="IL35" s="566"/>
      <c r="IM35" s="566"/>
      <c r="IN35" s="566"/>
      <c r="IO35" s="566"/>
      <c r="IP35" s="566"/>
      <c r="IQ35" s="566"/>
      <c r="IR35" s="566"/>
      <c r="IS35" s="566"/>
      <c r="IT35" s="566"/>
      <c r="IU35" s="566"/>
      <c r="IV35" s="566"/>
      <c r="IW35" s="566"/>
      <c r="IX35" s="566"/>
      <c r="IY35" s="566"/>
      <c r="IZ35" s="566"/>
      <c r="JA35" s="566"/>
    </row>
    <row r="36" spans="1:261" ht="18" customHeight="1">
      <c r="A36" s="592" t="s">
        <v>134</v>
      </c>
      <c r="B36" s="576"/>
      <c r="C36" s="576" t="str">
        <f>IF(ISTEXT(IFERROR(VLOOKUP(A36,职业列表!I3:J15,1,FALSE),0)),"★","")</f>
        <v/>
      </c>
      <c r="D36" s="576"/>
      <c r="E36" s="576"/>
      <c r="F36" s="576"/>
      <c r="G36" s="576"/>
      <c r="H36" s="576"/>
      <c r="I36" s="576"/>
      <c r="J36" s="576"/>
      <c r="K36" s="576"/>
      <c r="L36" s="576"/>
      <c r="M36" s="576"/>
      <c r="N36" s="576"/>
      <c r="O36" s="576"/>
      <c r="P36" s="576"/>
      <c r="Q36" s="576"/>
      <c r="R36" s="576"/>
      <c r="S36" s="576"/>
      <c r="T36" s="576"/>
      <c r="U36" s="576"/>
      <c r="V36" s="576"/>
      <c r="W36" s="576"/>
      <c r="X36" s="576"/>
      <c r="Y36" s="576"/>
      <c r="Z36" s="576"/>
      <c r="AA36" s="576"/>
      <c r="AB36" s="576"/>
      <c r="AC36" s="576"/>
      <c r="AD36" s="576"/>
      <c r="AE36" s="576"/>
      <c r="AF36" s="576"/>
      <c r="AG36" s="576"/>
      <c r="AH36" s="576"/>
      <c r="AI36" s="576"/>
      <c r="AJ36" s="576"/>
      <c r="AK36" s="576"/>
      <c r="AL36" s="576" t="s">
        <v>149</v>
      </c>
      <c r="AM36" s="576" t="s">
        <v>149</v>
      </c>
      <c r="AN36" s="576"/>
      <c r="AO36" s="576"/>
      <c r="AP36" s="576"/>
      <c r="AQ36" s="576" t="s">
        <v>149</v>
      </c>
      <c r="AR36" s="576" t="s">
        <v>149</v>
      </c>
      <c r="AS36" s="576" t="s">
        <v>149</v>
      </c>
      <c r="AT36" s="576"/>
      <c r="AU36" s="576"/>
      <c r="AV36" s="576"/>
      <c r="AW36" s="576"/>
      <c r="AX36" s="576"/>
      <c r="AY36" s="576"/>
      <c r="AZ36" s="576"/>
      <c r="BA36" s="576"/>
      <c r="BB36" s="576"/>
      <c r="BC36" s="576"/>
      <c r="BD36" s="576"/>
      <c r="BE36" s="576"/>
      <c r="BF36" s="576"/>
      <c r="BG36" s="576"/>
      <c r="BH36" s="576"/>
      <c r="BI36" s="576"/>
      <c r="BJ36" s="576"/>
      <c r="BK36" s="576"/>
      <c r="BL36" s="576"/>
      <c r="BM36" s="576"/>
      <c r="BN36" s="576" t="s">
        <v>149</v>
      </c>
      <c r="BO36" s="576"/>
      <c r="BP36" s="576"/>
      <c r="BQ36" s="576"/>
      <c r="BR36" s="577" t="s">
        <v>6642</v>
      </c>
      <c r="BS36" s="576"/>
      <c r="BT36" s="576"/>
      <c r="BU36" s="576"/>
      <c r="BV36" s="576"/>
      <c r="BW36" s="576"/>
      <c r="BX36" s="576"/>
      <c r="BY36" s="576"/>
      <c r="BZ36" s="576"/>
      <c r="CA36" s="576"/>
      <c r="CB36" s="576"/>
      <c r="CC36" s="576"/>
      <c r="CD36" s="576"/>
      <c r="CE36" s="576"/>
      <c r="CF36" s="576"/>
      <c r="CG36" s="576"/>
      <c r="CH36" s="576"/>
      <c r="CI36" s="576"/>
      <c r="CJ36" s="576"/>
      <c r="CK36" s="576"/>
      <c r="CL36" s="576"/>
      <c r="CM36" s="576"/>
      <c r="CN36" s="576"/>
      <c r="CO36" s="576"/>
      <c r="CP36" s="576"/>
      <c r="CQ36" s="576"/>
      <c r="CR36" s="576"/>
      <c r="CS36" s="576"/>
      <c r="CT36" s="576"/>
      <c r="CU36" s="576"/>
      <c r="CV36" s="576"/>
      <c r="CW36" s="576" t="s">
        <v>149</v>
      </c>
      <c r="CX36" s="576"/>
      <c r="CY36" s="576"/>
      <c r="CZ36" s="576"/>
      <c r="DA36" s="576"/>
      <c r="DB36" s="576"/>
      <c r="DC36" s="576" t="s">
        <v>6642</v>
      </c>
      <c r="DD36" s="576"/>
      <c r="DE36" s="576"/>
      <c r="DF36" s="576"/>
      <c r="DG36" s="576"/>
      <c r="DH36" s="576" t="s">
        <v>149</v>
      </c>
      <c r="DI36" s="576"/>
      <c r="DJ36" s="576"/>
      <c r="DK36" s="576"/>
      <c r="DL36" s="576"/>
      <c r="DM36" s="576"/>
      <c r="DN36" s="576"/>
      <c r="DO36" s="576"/>
      <c r="DP36" s="576"/>
      <c r="DQ36" s="576"/>
      <c r="DR36" s="576"/>
      <c r="DS36" s="576"/>
      <c r="DT36" s="576"/>
      <c r="DU36" s="576"/>
      <c r="DV36" s="576"/>
      <c r="DW36" s="576"/>
      <c r="DX36" s="576"/>
      <c r="DY36" s="576"/>
      <c r="DZ36" s="576"/>
      <c r="EA36" s="576"/>
      <c r="EB36" s="576"/>
      <c r="EC36" s="576"/>
      <c r="ED36" s="576"/>
      <c r="EE36" s="576"/>
      <c r="EF36" s="576" t="s">
        <v>149</v>
      </c>
      <c r="EG36" s="576"/>
      <c r="EH36" s="576" t="s">
        <v>149</v>
      </c>
      <c r="EI36" s="576"/>
      <c r="EJ36" s="576"/>
      <c r="EK36" s="576"/>
      <c r="EL36" s="576"/>
      <c r="EM36" s="576"/>
      <c r="EN36" s="576"/>
      <c r="EO36" s="576"/>
      <c r="EP36" s="576"/>
      <c r="EQ36" s="576"/>
      <c r="ER36" s="576"/>
      <c r="ES36" s="576"/>
      <c r="ET36" s="576"/>
      <c r="EU36" s="576"/>
      <c r="EV36" s="576"/>
      <c r="EW36" s="576" t="s">
        <v>6642</v>
      </c>
      <c r="EX36" s="576"/>
      <c r="EY36" s="576"/>
      <c r="EZ36" s="576"/>
      <c r="FA36" s="576"/>
      <c r="FB36" s="576"/>
      <c r="FC36" s="576"/>
      <c r="FD36" s="576"/>
      <c r="FE36" s="576"/>
      <c r="FF36" s="576"/>
      <c r="FG36" s="576"/>
      <c r="FH36" s="576"/>
      <c r="FI36" s="576"/>
      <c r="FJ36" s="576"/>
      <c r="FK36" s="576"/>
      <c r="FL36" s="576"/>
      <c r="FM36" s="576"/>
      <c r="FN36" s="576"/>
      <c r="FO36" s="577"/>
      <c r="FP36" s="576"/>
      <c r="FQ36" s="576"/>
      <c r="FR36" s="576"/>
      <c r="FS36" s="576" t="s">
        <v>149</v>
      </c>
      <c r="FT36" s="576"/>
      <c r="FU36" s="576"/>
      <c r="FV36" s="576"/>
      <c r="FW36" s="576"/>
      <c r="FX36" s="576"/>
      <c r="FY36" s="576"/>
      <c r="FZ36" s="576"/>
      <c r="GA36" s="576"/>
      <c r="GB36" s="576"/>
      <c r="GC36" s="576"/>
      <c r="GD36" s="576"/>
      <c r="GE36" s="576"/>
      <c r="GF36" s="576"/>
      <c r="GG36" s="576"/>
      <c r="GH36" s="576"/>
      <c r="GI36" s="576"/>
      <c r="GJ36" s="576"/>
      <c r="GK36" s="576"/>
      <c r="GL36" s="576"/>
      <c r="GM36" s="576"/>
      <c r="GN36" s="576"/>
      <c r="GO36" s="576"/>
      <c r="GP36" s="576"/>
      <c r="GQ36" s="576"/>
      <c r="GR36" s="576"/>
      <c r="GS36" s="576"/>
      <c r="GT36" s="576"/>
      <c r="GU36" s="576"/>
      <c r="GV36" s="576"/>
      <c r="GW36" s="576"/>
      <c r="GX36" s="576"/>
      <c r="GY36" s="576"/>
      <c r="GZ36" s="576"/>
      <c r="HA36" s="576"/>
      <c r="HB36" s="576"/>
      <c r="HC36" s="576"/>
      <c r="HD36" s="576"/>
      <c r="HE36" s="576"/>
      <c r="HF36" s="576"/>
      <c r="HG36" s="576"/>
      <c r="HH36" s="576"/>
      <c r="HI36" s="576"/>
      <c r="HJ36" s="576"/>
      <c r="HK36" s="576"/>
      <c r="HL36" s="576"/>
      <c r="HM36" s="576"/>
      <c r="HN36" s="576"/>
      <c r="HO36" s="576"/>
      <c r="HP36" s="576"/>
      <c r="HQ36" s="576"/>
      <c r="HR36" s="576"/>
      <c r="HS36" s="576"/>
      <c r="HT36" s="576"/>
      <c r="HU36" s="576"/>
      <c r="HV36" s="576"/>
      <c r="HW36" s="576"/>
      <c r="HX36" s="576"/>
      <c r="HY36" s="576"/>
      <c r="HZ36" s="576"/>
      <c r="IA36" s="576"/>
      <c r="IB36" s="576"/>
      <c r="IC36" s="576"/>
      <c r="ID36" s="566"/>
      <c r="IE36" s="566"/>
      <c r="IF36" s="566"/>
      <c r="IG36" s="566"/>
      <c r="IH36" s="566"/>
      <c r="II36" s="566"/>
      <c r="IJ36" s="566"/>
      <c r="IK36" s="566"/>
      <c r="IL36" s="566"/>
      <c r="IM36" s="566"/>
      <c r="IN36" s="566"/>
      <c r="IO36" s="566"/>
      <c r="IP36" s="566"/>
      <c r="IQ36" s="566"/>
      <c r="IR36" s="566"/>
      <c r="IS36" s="566"/>
      <c r="IT36" s="566"/>
      <c r="IU36" s="566"/>
      <c r="IV36" s="566"/>
      <c r="IW36" s="566"/>
      <c r="IX36" s="566"/>
      <c r="IY36" s="566"/>
      <c r="IZ36" s="566"/>
      <c r="JA36" s="566"/>
    </row>
    <row r="37" spans="1:261" s="557" customFormat="1" ht="18" customHeight="1">
      <c r="A37" s="593" t="s">
        <v>138</v>
      </c>
      <c r="B37" s="594"/>
      <c r="C37" s="576" t="str">
        <f>IF(ISTEXT(IFERROR(VLOOKUP(A37,职业列表!I3:J15,1,FALSE),0)),"★","")</f>
        <v/>
      </c>
      <c r="D37" s="594" t="s">
        <v>149</v>
      </c>
      <c r="E37" s="594" t="s">
        <v>149</v>
      </c>
      <c r="F37" s="594" t="s">
        <v>149</v>
      </c>
      <c r="G37" s="594"/>
      <c r="H37" s="594"/>
      <c r="I37" s="594" t="s">
        <v>149</v>
      </c>
      <c r="J37" s="594"/>
      <c r="K37" s="594"/>
      <c r="L37" s="594"/>
      <c r="M37" s="594" t="s">
        <v>149</v>
      </c>
      <c r="N37" s="594"/>
      <c r="O37" s="594"/>
      <c r="P37" s="594" t="s">
        <v>149</v>
      </c>
      <c r="Q37" s="594" t="s">
        <v>149</v>
      </c>
      <c r="R37" s="594" t="s">
        <v>149</v>
      </c>
      <c r="S37" s="594" t="s">
        <v>6642</v>
      </c>
      <c r="T37" s="594"/>
      <c r="U37" s="594"/>
      <c r="V37" s="594"/>
      <c r="W37" s="594" t="s">
        <v>149</v>
      </c>
      <c r="X37" s="594"/>
      <c r="Y37" s="594"/>
      <c r="Z37" s="594" t="s">
        <v>149</v>
      </c>
      <c r="AA37" s="594"/>
      <c r="AB37" s="594"/>
      <c r="AC37" s="594"/>
      <c r="AD37" s="594" t="s">
        <v>149</v>
      </c>
      <c r="AE37" s="594" t="s">
        <v>149</v>
      </c>
      <c r="AF37" s="594" t="s">
        <v>149</v>
      </c>
      <c r="AG37" s="594"/>
      <c r="AH37" s="594"/>
      <c r="AI37" s="594"/>
      <c r="AJ37" s="594"/>
      <c r="AK37" s="594"/>
      <c r="AL37" s="594"/>
      <c r="AM37" s="594"/>
      <c r="AN37" s="594"/>
      <c r="AO37" s="594"/>
      <c r="AP37" s="594" t="s">
        <v>149</v>
      </c>
      <c r="AQ37" s="594" t="s">
        <v>149</v>
      </c>
      <c r="AR37" s="594"/>
      <c r="AS37" s="594"/>
      <c r="AT37" s="594"/>
      <c r="AU37" s="594"/>
      <c r="AV37" s="594" t="s">
        <v>6642</v>
      </c>
      <c r="AW37" s="594"/>
      <c r="AX37" s="594"/>
      <c r="AY37" s="594"/>
      <c r="AZ37" s="594"/>
      <c r="BA37" s="594"/>
      <c r="BB37" s="594"/>
      <c r="BC37" s="594"/>
      <c r="BD37" s="594"/>
      <c r="BE37" s="594"/>
      <c r="BF37" s="594" t="s">
        <v>149</v>
      </c>
      <c r="BG37" s="594"/>
      <c r="BH37" s="594"/>
      <c r="BI37" s="594"/>
      <c r="BJ37" s="594"/>
      <c r="BK37" s="594"/>
      <c r="BL37" s="594"/>
      <c r="BM37" s="594" t="s">
        <v>149</v>
      </c>
      <c r="BN37" s="594"/>
      <c r="BO37" s="594"/>
      <c r="BP37" s="594"/>
      <c r="BQ37" s="594"/>
      <c r="BR37" s="594"/>
      <c r="BS37" s="594"/>
      <c r="BT37" s="594" t="s">
        <v>149</v>
      </c>
      <c r="BU37" s="594"/>
      <c r="BV37" s="594" t="s">
        <v>149</v>
      </c>
      <c r="BW37" s="594" t="s">
        <v>6642</v>
      </c>
      <c r="BX37" s="594"/>
      <c r="BY37" s="594"/>
      <c r="BZ37" s="594"/>
      <c r="CA37" s="594" t="s">
        <v>149</v>
      </c>
      <c r="CB37" s="594" t="s">
        <v>149</v>
      </c>
      <c r="CC37" s="594"/>
      <c r="CD37" s="594"/>
      <c r="CE37" s="594"/>
      <c r="CF37" s="594"/>
      <c r="CG37" s="594" t="s">
        <v>149</v>
      </c>
      <c r="CH37" s="594"/>
      <c r="CI37" s="594"/>
      <c r="CJ37" s="594" t="s">
        <v>149</v>
      </c>
      <c r="CK37" s="594"/>
      <c r="CL37" s="594" t="s">
        <v>149</v>
      </c>
      <c r="CM37" s="594" t="s">
        <v>149</v>
      </c>
      <c r="CN37" s="594"/>
      <c r="CO37" s="594"/>
      <c r="CP37" s="594"/>
      <c r="CQ37" s="594"/>
      <c r="CR37" s="594"/>
      <c r="CS37" s="594"/>
      <c r="CT37" s="594" t="s">
        <v>149</v>
      </c>
      <c r="CU37" s="594" t="s">
        <v>149</v>
      </c>
      <c r="CV37" s="594"/>
      <c r="CW37" s="594"/>
      <c r="CX37" s="594"/>
      <c r="CY37" s="594" t="s">
        <v>149</v>
      </c>
      <c r="CZ37" s="594" t="s">
        <v>149</v>
      </c>
      <c r="DA37" s="594"/>
      <c r="DB37" s="594"/>
      <c r="DC37" s="594"/>
      <c r="DD37" s="594" t="s">
        <v>6642</v>
      </c>
      <c r="DE37" s="594" t="s">
        <v>6643</v>
      </c>
      <c r="DF37" s="594"/>
      <c r="DG37" s="594"/>
      <c r="DH37" s="594"/>
      <c r="DI37" s="594" t="s">
        <v>149</v>
      </c>
      <c r="DJ37" s="594"/>
      <c r="DK37" s="594"/>
      <c r="DL37" s="594"/>
      <c r="DM37" s="594"/>
      <c r="DN37" s="594"/>
      <c r="DO37" s="594" t="s">
        <v>6642</v>
      </c>
      <c r="DP37" s="594"/>
      <c r="DQ37" s="594"/>
      <c r="DR37" s="594"/>
      <c r="DS37" s="594"/>
      <c r="DT37" s="594"/>
      <c r="DU37" s="594"/>
      <c r="DV37" s="594"/>
      <c r="DW37" s="594"/>
      <c r="DX37" s="594"/>
      <c r="DY37" s="594" t="s">
        <v>149</v>
      </c>
      <c r="DZ37" s="594" t="s">
        <v>149</v>
      </c>
      <c r="EA37" s="594" t="s">
        <v>149</v>
      </c>
      <c r="EB37" s="594" t="s">
        <v>149</v>
      </c>
      <c r="EC37" s="594" t="s">
        <v>149</v>
      </c>
      <c r="ED37" s="594"/>
      <c r="EE37" s="594" t="s">
        <v>149</v>
      </c>
      <c r="EF37" s="594"/>
      <c r="EG37" s="594"/>
      <c r="EH37" s="594"/>
      <c r="EI37" s="594" t="s">
        <v>149</v>
      </c>
      <c r="EJ37" s="594" t="s">
        <v>149</v>
      </c>
      <c r="EK37" s="594"/>
      <c r="EL37" s="594"/>
      <c r="EM37" s="594"/>
      <c r="EN37" s="594"/>
      <c r="EO37" s="594" t="s">
        <v>149</v>
      </c>
      <c r="EP37" s="594"/>
      <c r="EQ37" s="594"/>
      <c r="ER37" s="594"/>
      <c r="ES37" s="594"/>
      <c r="ET37" s="594"/>
      <c r="EU37" s="594"/>
      <c r="EV37" s="594"/>
      <c r="EW37" s="594"/>
      <c r="EX37" s="594"/>
      <c r="EY37" s="594"/>
      <c r="EZ37" s="594"/>
      <c r="FA37" s="594"/>
      <c r="FB37" s="594" t="s">
        <v>149</v>
      </c>
      <c r="FC37" s="594"/>
      <c r="FD37" s="594"/>
      <c r="FE37" s="594" t="s">
        <v>149</v>
      </c>
      <c r="FF37" s="594"/>
      <c r="FG37" s="594"/>
      <c r="FH37" s="594"/>
      <c r="FI37" s="594"/>
      <c r="FJ37" s="594" t="s">
        <v>6642</v>
      </c>
      <c r="FK37" s="594" t="s">
        <v>149</v>
      </c>
      <c r="FL37" s="594" t="s">
        <v>149</v>
      </c>
      <c r="FM37" s="594"/>
      <c r="FN37" s="594" t="s">
        <v>149</v>
      </c>
      <c r="FO37" s="594"/>
      <c r="FP37" s="594" t="s">
        <v>6642</v>
      </c>
      <c r="FQ37" s="594" t="s">
        <v>149</v>
      </c>
      <c r="FR37" s="594"/>
      <c r="FS37" s="594"/>
      <c r="FT37" s="594"/>
      <c r="FU37" s="594"/>
      <c r="FV37" s="594"/>
      <c r="FW37" s="594" t="s">
        <v>149</v>
      </c>
      <c r="FX37" s="594" t="s">
        <v>149</v>
      </c>
      <c r="FY37" s="594"/>
      <c r="FZ37" s="594"/>
      <c r="GA37" s="594"/>
      <c r="GB37" s="594"/>
      <c r="GC37" s="594"/>
      <c r="GD37" s="594"/>
      <c r="GE37" s="594" t="s">
        <v>6642</v>
      </c>
      <c r="GF37" s="594"/>
      <c r="GG37" s="594"/>
      <c r="GH37" s="594"/>
      <c r="GI37" s="594"/>
      <c r="GJ37" s="594"/>
      <c r="GK37" s="594" t="s">
        <v>6642</v>
      </c>
      <c r="GL37" s="594"/>
      <c r="GM37" s="594"/>
      <c r="GN37" s="594"/>
      <c r="GO37" s="594"/>
      <c r="GP37" s="594"/>
      <c r="GQ37" s="594"/>
      <c r="GR37" s="594"/>
      <c r="GS37" s="594"/>
      <c r="GT37" s="594"/>
      <c r="GU37" s="594"/>
      <c r="GV37" s="594" t="s">
        <v>149</v>
      </c>
      <c r="GW37" s="594"/>
      <c r="GX37" s="594"/>
      <c r="GY37" s="594" t="s">
        <v>149</v>
      </c>
      <c r="GZ37" s="594"/>
      <c r="HA37" s="594" t="s">
        <v>149</v>
      </c>
      <c r="HB37" s="594"/>
      <c r="HC37" s="594"/>
      <c r="HD37" s="594"/>
      <c r="HE37" s="594" t="s">
        <v>149</v>
      </c>
      <c r="HF37" s="594"/>
      <c r="HG37" s="595" t="s">
        <v>149</v>
      </c>
      <c r="HH37" s="594" t="s">
        <v>149</v>
      </c>
      <c r="HI37" s="594"/>
      <c r="HJ37" s="594" t="s">
        <v>149</v>
      </c>
      <c r="HK37" s="594" t="s">
        <v>149</v>
      </c>
      <c r="HL37" s="594"/>
      <c r="HM37" s="594"/>
      <c r="HN37" s="594"/>
      <c r="HO37" s="594"/>
      <c r="HP37" s="594"/>
      <c r="HQ37" s="594"/>
      <c r="HR37" s="594" t="s">
        <v>149</v>
      </c>
      <c r="HS37" s="594" t="s">
        <v>149</v>
      </c>
      <c r="HT37" s="594"/>
      <c r="HU37" s="594" t="s">
        <v>149</v>
      </c>
      <c r="HV37" s="594" t="s">
        <v>149</v>
      </c>
      <c r="HW37" s="594"/>
      <c r="HX37" s="595" t="s">
        <v>149</v>
      </c>
      <c r="HY37" s="595" t="s">
        <v>149</v>
      </c>
      <c r="HZ37" s="594"/>
      <c r="IA37" s="594"/>
      <c r="IB37" s="594"/>
      <c r="IC37" s="594" t="s">
        <v>149</v>
      </c>
      <c r="ID37" s="596"/>
      <c r="IE37" s="596"/>
      <c r="IF37" s="596"/>
      <c r="IG37" s="596"/>
      <c r="IH37" s="596"/>
      <c r="II37" s="596"/>
      <c r="IJ37" s="596"/>
      <c r="IK37" s="596"/>
      <c r="IL37" s="596"/>
      <c r="IM37" s="596"/>
      <c r="IN37" s="596"/>
      <c r="IO37" s="596"/>
      <c r="IP37" s="596"/>
      <c r="IQ37" s="596"/>
      <c r="IR37" s="596"/>
      <c r="IS37" s="596"/>
      <c r="IT37" s="596"/>
      <c r="IU37" s="596"/>
      <c r="IV37" s="596"/>
      <c r="IW37" s="596"/>
      <c r="IX37" s="596"/>
      <c r="IY37" s="596"/>
      <c r="IZ37" s="596"/>
      <c r="JA37" s="596"/>
    </row>
    <row r="38" spans="1:261" s="557" customFormat="1" ht="18" customHeight="1">
      <c r="A38" s="593" t="s">
        <v>141</v>
      </c>
      <c r="B38" s="594"/>
      <c r="C38" s="576" t="str">
        <f>IF(ISTEXT(IFERROR(VLOOKUP(A38,职业列表!I3:J15,1,FALSE),0)),"★","")</f>
        <v/>
      </c>
      <c r="D38" s="594" t="s">
        <v>149</v>
      </c>
      <c r="E38" s="594"/>
      <c r="F38" s="594"/>
      <c r="G38" s="594"/>
      <c r="H38" s="594"/>
      <c r="I38" s="594" t="s">
        <v>149</v>
      </c>
      <c r="J38" s="594"/>
      <c r="K38" s="594"/>
      <c r="L38" s="594"/>
      <c r="M38" s="594"/>
      <c r="N38" s="594" t="s">
        <v>149</v>
      </c>
      <c r="O38" s="594" t="s">
        <v>149</v>
      </c>
      <c r="P38" s="594"/>
      <c r="Q38" s="594"/>
      <c r="R38" s="594"/>
      <c r="S38" s="594"/>
      <c r="T38" s="594"/>
      <c r="U38" s="594" t="s">
        <v>149</v>
      </c>
      <c r="V38" s="594"/>
      <c r="W38" s="594"/>
      <c r="X38" s="594" t="s">
        <v>149</v>
      </c>
      <c r="Y38" s="594" t="s">
        <v>6642</v>
      </c>
      <c r="Z38" s="594"/>
      <c r="AA38" s="594"/>
      <c r="AB38" s="594"/>
      <c r="AC38" s="594" t="s">
        <v>149</v>
      </c>
      <c r="AD38" s="594" t="s">
        <v>149</v>
      </c>
      <c r="AE38" s="594"/>
      <c r="AF38" s="594"/>
      <c r="AG38" s="594"/>
      <c r="AH38" s="594"/>
      <c r="AI38" s="594"/>
      <c r="AJ38" s="594"/>
      <c r="AK38" s="594"/>
      <c r="AL38" s="594" t="s">
        <v>149</v>
      </c>
      <c r="AM38" s="594" t="s">
        <v>149</v>
      </c>
      <c r="AN38" s="594"/>
      <c r="AO38" s="594" t="s">
        <v>149</v>
      </c>
      <c r="AP38" s="594"/>
      <c r="AQ38" s="594"/>
      <c r="AR38" s="594" t="s">
        <v>149</v>
      </c>
      <c r="AS38" s="594"/>
      <c r="AT38" s="594"/>
      <c r="AU38" s="594"/>
      <c r="AV38" s="594"/>
      <c r="AW38" s="594"/>
      <c r="AX38" s="594"/>
      <c r="AY38" s="594"/>
      <c r="AZ38" s="594" t="s">
        <v>149</v>
      </c>
      <c r="BA38" s="594" t="s">
        <v>149</v>
      </c>
      <c r="BB38" s="594" t="s">
        <v>149</v>
      </c>
      <c r="BC38" s="594"/>
      <c r="BD38" s="594"/>
      <c r="BE38" s="594" t="s">
        <v>149</v>
      </c>
      <c r="BF38" s="594"/>
      <c r="BG38" s="594" t="s">
        <v>149</v>
      </c>
      <c r="BH38" s="594"/>
      <c r="BI38" s="594"/>
      <c r="BJ38" s="594"/>
      <c r="BK38" s="594"/>
      <c r="BL38" s="594" t="s">
        <v>149</v>
      </c>
      <c r="BM38" s="594"/>
      <c r="BN38" s="594" t="s">
        <v>149</v>
      </c>
      <c r="BO38" s="594" t="s">
        <v>149</v>
      </c>
      <c r="BP38" s="594"/>
      <c r="BQ38" s="594"/>
      <c r="BR38" s="594" t="s">
        <v>149</v>
      </c>
      <c r="BS38" s="594" t="s">
        <v>149</v>
      </c>
      <c r="BT38" s="597"/>
      <c r="BU38" s="594" t="s">
        <v>149</v>
      </c>
      <c r="BV38" s="594" t="s">
        <v>149</v>
      </c>
      <c r="BW38" s="594"/>
      <c r="BX38" s="594"/>
      <c r="BY38" s="594"/>
      <c r="BZ38" s="594"/>
      <c r="CA38" s="594"/>
      <c r="CB38" s="594"/>
      <c r="CC38" s="594"/>
      <c r="CD38" s="594"/>
      <c r="CE38" s="594"/>
      <c r="CF38" s="594" t="s">
        <v>149</v>
      </c>
      <c r="CG38" s="594"/>
      <c r="CH38" s="594" t="s">
        <v>149</v>
      </c>
      <c r="CI38" s="594" t="s">
        <v>149</v>
      </c>
      <c r="CJ38" s="594"/>
      <c r="CK38" s="594" t="s">
        <v>149</v>
      </c>
      <c r="CL38" s="594"/>
      <c r="CM38" s="594"/>
      <c r="CN38" s="594"/>
      <c r="CO38" s="594"/>
      <c r="CP38" s="594"/>
      <c r="CQ38" s="594" t="s">
        <v>149</v>
      </c>
      <c r="CR38" s="594" t="s">
        <v>149</v>
      </c>
      <c r="CS38" s="594"/>
      <c r="CT38" s="594"/>
      <c r="CU38" s="594"/>
      <c r="CV38" s="594"/>
      <c r="CW38" s="594"/>
      <c r="CX38" s="594" t="s">
        <v>149</v>
      </c>
      <c r="CY38" s="594" t="s">
        <v>149</v>
      </c>
      <c r="CZ38" s="594"/>
      <c r="DA38" s="594"/>
      <c r="DB38" s="594"/>
      <c r="DC38" s="594" t="s">
        <v>149</v>
      </c>
      <c r="DD38" s="594"/>
      <c r="DE38" s="594"/>
      <c r="DF38" s="594" t="s">
        <v>149</v>
      </c>
      <c r="DG38" s="594"/>
      <c r="DH38" s="594" t="s">
        <v>149</v>
      </c>
      <c r="DI38" s="594" t="s">
        <v>149</v>
      </c>
      <c r="DJ38" s="594"/>
      <c r="DK38" s="594" t="s">
        <v>149</v>
      </c>
      <c r="DL38" s="594"/>
      <c r="DM38" s="594" t="s">
        <v>149</v>
      </c>
      <c r="DN38" s="594" t="s">
        <v>149</v>
      </c>
      <c r="DO38" s="594" t="s">
        <v>149</v>
      </c>
      <c r="DP38" s="594"/>
      <c r="DQ38" s="594"/>
      <c r="DR38" s="594"/>
      <c r="DS38" s="594" t="s">
        <v>149</v>
      </c>
      <c r="DT38" s="594"/>
      <c r="DU38" s="594"/>
      <c r="DV38" s="594"/>
      <c r="DW38" s="594"/>
      <c r="DX38" s="594"/>
      <c r="DY38" s="594"/>
      <c r="DZ38" s="594"/>
      <c r="EA38" s="594" t="s">
        <v>149</v>
      </c>
      <c r="EB38" s="594"/>
      <c r="EC38" s="594"/>
      <c r="ED38" s="594"/>
      <c r="EE38" s="594" t="s">
        <v>149</v>
      </c>
      <c r="EF38" s="594"/>
      <c r="EG38" s="594"/>
      <c r="EH38" s="594" t="s">
        <v>149</v>
      </c>
      <c r="EI38" s="594" t="s">
        <v>149</v>
      </c>
      <c r="EJ38" s="594"/>
      <c r="EK38" s="594"/>
      <c r="EL38" s="594"/>
      <c r="EM38" s="594"/>
      <c r="EN38" s="594"/>
      <c r="EO38" s="594"/>
      <c r="EP38" s="594"/>
      <c r="EQ38" s="594"/>
      <c r="ER38" s="594"/>
      <c r="ES38" s="594"/>
      <c r="ET38" s="594" t="s">
        <v>149</v>
      </c>
      <c r="EU38" s="594"/>
      <c r="EV38" s="594"/>
      <c r="EW38" s="594" t="s">
        <v>149</v>
      </c>
      <c r="EX38" s="594" t="s">
        <v>149</v>
      </c>
      <c r="EY38" s="594"/>
      <c r="EZ38" s="594"/>
      <c r="FA38" s="594"/>
      <c r="FB38" s="594"/>
      <c r="FC38" s="594" t="s">
        <v>149</v>
      </c>
      <c r="FD38" s="594"/>
      <c r="FE38" s="594"/>
      <c r="FF38" s="594"/>
      <c r="FG38" s="594"/>
      <c r="FH38" s="594"/>
      <c r="FI38" s="594"/>
      <c r="FJ38" s="594" t="s">
        <v>149</v>
      </c>
      <c r="FK38" s="594"/>
      <c r="FL38" s="594"/>
      <c r="FM38" s="594"/>
      <c r="FN38" s="594"/>
      <c r="FO38" s="594" t="s">
        <v>149</v>
      </c>
      <c r="FP38" s="594"/>
      <c r="FQ38" s="594"/>
      <c r="FR38" s="594" t="s">
        <v>149</v>
      </c>
      <c r="FS38" s="594" t="s">
        <v>149</v>
      </c>
      <c r="FT38" s="594"/>
      <c r="FU38" s="594"/>
      <c r="FV38" s="594"/>
      <c r="FW38" s="594" t="s">
        <v>149</v>
      </c>
      <c r="FX38" s="594"/>
      <c r="FY38" s="594" t="s">
        <v>149</v>
      </c>
      <c r="FZ38" s="594"/>
      <c r="GA38" s="594"/>
      <c r="GB38" s="594"/>
      <c r="GC38" s="594" t="s">
        <v>149</v>
      </c>
      <c r="GD38" s="594" t="s">
        <v>149</v>
      </c>
      <c r="GE38" s="594"/>
      <c r="GF38" s="594"/>
      <c r="GG38" s="594"/>
      <c r="GH38" s="594"/>
      <c r="GI38" s="594"/>
      <c r="GJ38" s="594"/>
      <c r="GK38" s="594"/>
      <c r="GL38" s="594" t="s">
        <v>149</v>
      </c>
      <c r="GM38" s="594" t="s">
        <v>149</v>
      </c>
      <c r="GN38" s="594" t="s">
        <v>149</v>
      </c>
      <c r="GO38" s="594"/>
      <c r="GP38" s="594"/>
      <c r="GQ38" s="594"/>
      <c r="GR38" s="594"/>
      <c r="GS38" s="594" t="s">
        <v>149</v>
      </c>
      <c r="GT38" s="594" t="s">
        <v>149</v>
      </c>
      <c r="GU38" s="594"/>
      <c r="GV38" s="594"/>
      <c r="GW38" s="594"/>
      <c r="GX38" s="594"/>
      <c r="GY38" s="594"/>
      <c r="GZ38" s="594"/>
      <c r="HA38" s="594" t="s">
        <v>149</v>
      </c>
      <c r="HB38" s="594"/>
      <c r="HC38" s="594" t="s">
        <v>149</v>
      </c>
      <c r="HD38" s="594"/>
      <c r="HE38" s="594"/>
      <c r="HF38" s="594"/>
      <c r="HG38" s="594"/>
      <c r="HH38" s="594"/>
      <c r="HI38" s="595" t="s">
        <v>149</v>
      </c>
      <c r="HJ38" s="594"/>
      <c r="HK38" s="594" t="s">
        <v>149</v>
      </c>
      <c r="HL38" s="594"/>
      <c r="HM38" s="594"/>
      <c r="HN38" s="594"/>
      <c r="HO38" s="594" t="s">
        <v>149</v>
      </c>
      <c r="HP38" s="594"/>
      <c r="HQ38" s="594"/>
      <c r="HR38" s="594" t="s">
        <v>149</v>
      </c>
      <c r="HS38" s="595" t="s">
        <v>149</v>
      </c>
      <c r="HT38" s="594"/>
      <c r="HU38" s="594" t="s">
        <v>149</v>
      </c>
      <c r="HV38" s="594"/>
      <c r="HW38" s="594" t="s">
        <v>149</v>
      </c>
      <c r="HX38" s="594"/>
      <c r="HY38" s="594"/>
      <c r="HZ38" s="594" t="s">
        <v>149</v>
      </c>
      <c r="IA38" s="595" t="s">
        <v>149</v>
      </c>
      <c r="IB38" s="595" t="s">
        <v>149</v>
      </c>
      <c r="IC38" s="594" t="s">
        <v>149</v>
      </c>
      <c r="ID38" s="596"/>
      <c r="IE38" s="596"/>
      <c r="IF38" s="596"/>
      <c r="IG38" s="596"/>
      <c r="IH38" s="596"/>
      <c r="II38" s="596"/>
      <c r="IJ38" s="596"/>
      <c r="IK38" s="596"/>
      <c r="IL38" s="596"/>
      <c r="IM38" s="596"/>
      <c r="IN38" s="596"/>
      <c r="IO38" s="596"/>
      <c r="IP38" s="596"/>
      <c r="IQ38" s="596"/>
      <c r="IR38" s="596"/>
      <c r="IS38" s="596"/>
      <c r="IT38" s="596"/>
      <c r="IU38" s="596"/>
      <c r="IV38" s="596"/>
      <c r="IW38" s="596"/>
      <c r="IX38" s="596"/>
      <c r="IY38" s="596"/>
      <c r="IZ38" s="596"/>
      <c r="JA38" s="596"/>
    </row>
    <row r="39" spans="1:261" s="557" customFormat="1" ht="18" customHeight="1">
      <c r="A39" s="598" t="s">
        <v>144</v>
      </c>
      <c r="B39" s="594"/>
      <c r="C39" s="576" t="str">
        <f>IF(ISTEXT(IFERROR(VLOOKUP(A39,职业列表!I3:J15,1,FALSE),0)),"★","")</f>
        <v/>
      </c>
      <c r="D39" s="594" t="s">
        <v>149</v>
      </c>
      <c r="E39" s="594"/>
      <c r="F39" s="594"/>
      <c r="G39" s="594" t="s">
        <v>149</v>
      </c>
      <c r="H39" s="594" t="s">
        <v>149</v>
      </c>
      <c r="I39" s="594" t="s">
        <v>149</v>
      </c>
      <c r="J39" s="594" t="s">
        <v>149</v>
      </c>
      <c r="K39" s="594"/>
      <c r="L39" s="594"/>
      <c r="M39" s="594"/>
      <c r="N39" s="594"/>
      <c r="O39" s="594"/>
      <c r="P39" s="594" t="s">
        <v>149</v>
      </c>
      <c r="Q39" s="594"/>
      <c r="R39" s="594" t="s">
        <v>149</v>
      </c>
      <c r="S39" s="594"/>
      <c r="T39" s="594" t="s">
        <v>149</v>
      </c>
      <c r="U39" s="594"/>
      <c r="V39" s="594"/>
      <c r="W39" s="594"/>
      <c r="X39" s="594" t="s">
        <v>149</v>
      </c>
      <c r="Y39" s="594" t="s">
        <v>6642</v>
      </c>
      <c r="Z39" s="594"/>
      <c r="AA39" s="594"/>
      <c r="AB39" s="594" t="s">
        <v>149</v>
      </c>
      <c r="AC39" s="594" t="s">
        <v>149</v>
      </c>
      <c r="AD39" s="594"/>
      <c r="AE39" s="594" t="s">
        <v>149</v>
      </c>
      <c r="AF39" s="594" t="s">
        <v>149</v>
      </c>
      <c r="AG39" s="594"/>
      <c r="AH39" s="595" t="s">
        <v>149</v>
      </c>
      <c r="AI39" s="594"/>
      <c r="AJ39" s="594"/>
      <c r="AK39" s="594" t="s">
        <v>149</v>
      </c>
      <c r="AL39" s="594" t="s">
        <v>149</v>
      </c>
      <c r="AM39" s="594"/>
      <c r="AN39" s="594" t="s">
        <v>149</v>
      </c>
      <c r="AO39" s="594"/>
      <c r="AP39" s="594" t="s">
        <v>149</v>
      </c>
      <c r="AQ39" s="594" t="s">
        <v>149</v>
      </c>
      <c r="AR39" s="594" t="s">
        <v>149</v>
      </c>
      <c r="AS39" s="594"/>
      <c r="AT39" s="594" t="s">
        <v>149</v>
      </c>
      <c r="AU39" s="594"/>
      <c r="AV39" s="594" t="s">
        <v>149</v>
      </c>
      <c r="AW39" s="594"/>
      <c r="AX39" s="594" t="s">
        <v>149</v>
      </c>
      <c r="AY39" s="594"/>
      <c r="AZ39" s="594"/>
      <c r="BA39" s="594" t="s">
        <v>149</v>
      </c>
      <c r="BB39" s="594"/>
      <c r="BC39" s="594" t="s">
        <v>149</v>
      </c>
      <c r="BD39" s="594" t="s">
        <v>149</v>
      </c>
      <c r="BE39" s="594"/>
      <c r="BF39" s="594"/>
      <c r="BG39" s="594"/>
      <c r="BH39" s="594"/>
      <c r="BI39" s="594"/>
      <c r="BJ39" s="594" t="s">
        <v>149</v>
      </c>
      <c r="BK39" s="594"/>
      <c r="BL39" s="594"/>
      <c r="BM39" s="594" t="s">
        <v>149</v>
      </c>
      <c r="BN39" s="594" t="s">
        <v>149</v>
      </c>
      <c r="BO39" s="594" t="s">
        <v>149</v>
      </c>
      <c r="BP39" s="594"/>
      <c r="BQ39" s="594"/>
      <c r="BR39" s="594"/>
      <c r="BS39" s="594"/>
      <c r="BT39" s="597"/>
      <c r="BU39" s="594" t="s">
        <v>149</v>
      </c>
      <c r="BV39" s="594"/>
      <c r="BW39" s="594" t="s">
        <v>149</v>
      </c>
      <c r="BX39" s="594"/>
      <c r="BY39" s="594"/>
      <c r="BZ39" s="594" t="s">
        <v>149</v>
      </c>
      <c r="CA39" s="594"/>
      <c r="CB39" s="594"/>
      <c r="CC39" s="594"/>
      <c r="CD39" s="594"/>
      <c r="CE39" s="594"/>
      <c r="CF39" s="594"/>
      <c r="CG39" s="594" t="s">
        <v>149</v>
      </c>
      <c r="CH39" s="594"/>
      <c r="CI39" s="594" t="s">
        <v>149</v>
      </c>
      <c r="CJ39" s="594"/>
      <c r="CK39" s="594" t="s">
        <v>149</v>
      </c>
      <c r="CL39" s="594"/>
      <c r="CM39" s="594"/>
      <c r="CN39" s="594" t="s">
        <v>149</v>
      </c>
      <c r="CO39" s="594"/>
      <c r="CP39" s="594"/>
      <c r="CQ39" s="594" t="s">
        <v>149</v>
      </c>
      <c r="CR39" s="594" t="s">
        <v>149</v>
      </c>
      <c r="CS39" s="594" t="s">
        <v>149</v>
      </c>
      <c r="CT39" s="594" t="s">
        <v>149</v>
      </c>
      <c r="CU39" s="594"/>
      <c r="CV39" s="594" t="s">
        <v>149</v>
      </c>
      <c r="CW39" s="594"/>
      <c r="CX39" s="594"/>
      <c r="CY39" s="594"/>
      <c r="CZ39" s="594" t="s">
        <v>149</v>
      </c>
      <c r="DA39" s="594"/>
      <c r="DB39" s="594" t="s">
        <v>149</v>
      </c>
      <c r="DC39" s="594"/>
      <c r="DD39" s="594" t="s">
        <v>149</v>
      </c>
      <c r="DE39" s="594"/>
      <c r="DF39" s="594" t="s">
        <v>149</v>
      </c>
      <c r="DG39" s="594"/>
      <c r="DH39" s="594"/>
      <c r="DI39" s="594"/>
      <c r="DJ39" s="594"/>
      <c r="DK39" s="594" t="s">
        <v>149</v>
      </c>
      <c r="DL39" s="594"/>
      <c r="DM39" s="594"/>
      <c r="DN39" s="594"/>
      <c r="DO39" s="594"/>
      <c r="DP39" s="594"/>
      <c r="DQ39" s="594"/>
      <c r="DR39" s="594"/>
      <c r="DS39" s="594"/>
      <c r="DT39" s="594"/>
      <c r="DU39" s="594"/>
      <c r="DV39" s="594" t="s">
        <v>149</v>
      </c>
      <c r="DW39" s="594"/>
      <c r="DX39" s="594"/>
      <c r="DY39" s="594"/>
      <c r="DZ39" s="594"/>
      <c r="EA39" s="594"/>
      <c r="EB39" s="594"/>
      <c r="EC39" s="594"/>
      <c r="ED39" s="594"/>
      <c r="EE39" s="594"/>
      <c r="EF39" s="594" t="s">
        <v>149</v>
      </c>
      <c r="EG39" s="594" t="s">
        <v>149</v>
      </c>
      <c r="EH39" s="594" t="s">
        <v>149</v>
      </c>
      <c r="EI39" s="594" t="s">
        <v>149</v>
      </c>
      <c r="EJ39" s="594"/>
      <c r="EK39" s="594"/>
      <c r="EL39" s="594"/>
      <c r="EM39" s="594"/>
      <c r="EN39" s="594"/>
      <c r="EO39" s="594"/>
      <c r="EP39" s="594"/>
      <c r="EQ39" s="594" t="s">
        <v>149</v>
      </c>
      <c r="ER39" s="594"/>
      <c r="ES39" s="594"/>
      <c r="ET39" s="594"/>
      <c r="EU39" s="594" t="s">
        <v>149</v>
      </c>
      <c r="EV39" s="594"/>
      <c r="EW39" s="594"/>
      <c r="EX39" s="594"/>
      <c r="EY39" s="594"/>
      <c r="EZ39" s="594"/>
      <c r="FA39" s="594"/>
      <c r="FB39" s="594" t="s">
        <v>149</v>
      </c>
      <c r="FC39" s="594"/>
      <c r="FD39" s="594" t="s">
        <v>149</v>
      </c>
      <c r="FE39" s="594"/>
      <c r="FF39" s="594" t="s">
        <v>149</v>
      </c>
      <c r="FG39" s="594" t="s">
        <v>149</v>
      </c>
      <c r="FH39" s="594"/>
      <c r="FI39" s="594"/>
      <c r="FJ39" s="594"/>
      <c r="FK39" s="594"/>
      <c r="FL39" s="594"/>
      <c r="FM39" s="594"/>
      <c r="FN39" s="594"/>
      <c r="FO39" s="594"/>
      <c r="FP39" s="594"/>
      <c r="FQ39" s="594"/>
      <c r="FR39" s="594"/>
      <c r="FS39" s="594" t="s">
        <v>149</v>
      </c>
      <c r="FT39" s="594" t="s">
        <v>149</v>
      </c>
      <c r="FU39" s="594" t="s">
        <v>149</v>
      </c>
      <c r="FV39" s="594"/>
      <c r="FW39" s="594"/>
      <c r="FX39" s="594"/>
      <c r="FY39" s="594"/>
      <c r="FZ39" s="594"/>
      <c r="GA39" s="594"/>
      <c r="GB39" s="594" t="s">
        <v>149</v>
      </c>
      <c r="GC39" s="594"/>
      <c r="GD39" s="594"/>
      <c r="GE39" s="594" t="s">
        <v>149</v>
      </c>
      <c r="GF39" s="594"/>
      <c r="GG39" s="594" t="s">
        <v>149</v>
      </c>
      <c r="GH39" s="594"/>
      <c r="GI39" s="594"/>
      <c r="GJ39" s="594"/>
      <c r="GK39" s="594"/>
      <c r="GL39" s="594"/>
      <c r="GM39" s="594"/>
      <c r="GN39" s="594"/>
      <c r="GO39" s="594" t="s">
        <v>149</v>
      </c>
      <c r="GP39" s="594"/>
      <c r="GQ39" s="594"/>
      <c r="GR39" s="594"/>
      <c r="GS39" s="594"/>
      <c r="GT39" s="594"/>
      <c r="GU39" s="594"/>
      <c r="GV39" s="594"/>
      <c r="GW39" s="594"/>
      <c r="GX39" s="594" t="s">
        <v>149</v>
      </c>
      <c r="GY39" s="594" t="s">
        <v>149</v>
      </c>
      <c r="GZ39" s="594"/>
      <c r="HA39" s="594"/>
      <c r="HB39" s="594" t="s">
        <v>149</v>
      </c>
      <c r="HC39" s="594"/>
      <c r="HD39" s="594"/>
      <c r="HE39" s="594" t="s">
        <v>149</v>
      </c>
      <c r="HF39" s="594"/>
      <c r="HG39" s="594" t="s">
        <v>149</v>
      </c>
      <c r="HH39" s="594"/>
      <c r="HI39" s="594"/>
      <c r="HJ39" s="594"/>
      <c r="HK39" s="594" t="s">
        <v>149</v>
      </c>
      <c r="HL39" s="594" t="s">
        <v>149</v>
      </c>
      <c r="HM39" s="594"/>
      <c r="HN39" s="594"/>
      <c r="HO39" s="594"/>
      <c r="HP39" s="594" t="s">
        <v>149</v>
      </c>
      <c r="HQ39" s="594" t="s">
        <v>149</v>
      </c>
      <c r="HR39" s="594" t="s">
        <v>149</v>
      </c>
      <c r="HS39" s="594" t="s">
        <v>149</v>
      </c>
      <c r="HT39" s="594"/>
      <c r="HU39" s="594"/>
      <c r="HV39" s="594"/>
      <c r="HW39" s="594" t="s">
        <v>149</v>
      </c>
      <c r="HX39" s="594"/>
      <c r="HY39" s="594" t="s">
        <v>149</v>
      </c>
      <c r="HZ39" s="594"/>
      <c r="IA39" s="594" t="s">
        <v>149</v>
      </c>
      <c r="IB39" s="594" t="s">
        <v>149</v>
      </c>
      <c r="IC39" s="594" t="s">
        <v>149</v>
      </c>
      <c r="ID39" s="596"/>
      <c r="IE39" s="596"/>
      <c r="IF39" s="596"/>
      <c r="IG39" s="596"/>
      <c r="IH39" s="596"/>
      <c r="II39" s="596"/>
      <c r="IJ39" s="596"/>
      <c r="IK39" s="596"/>
      <c r="IL39" s="596"/>
      <c r="IM39" s="596"/>
      <c r="IN39" s="596"/>
      <c r="IO39" s="596"/>
      <c r="IP39" s="596"/>
      <c r="IQ39" s="596"/>
      <c r="IR39" s="596"/>
      <c r="IS39" s="596"/>
      <c r="IT39" s="596"/>
      <c r="IU39" s="596"/>
      <c r="IV39" s="596"/>
      <c r="IW39" s="596"/>
      <c r="IX39" s="596"/>
      <c r="IY39" s="596"/>
      <c r="IZ39" s="596"/>
      <c r="JA39" s="596"/>
    </row>
    <row r="40" spans="1:261" ht="18" customHeight="1">
      <c r="A40" s="592" t="s">
        <v>147</v>
      </c>
      <c r="B40" s="576"/>
      <c r="C40" s="576" t="str">
        <f>IF(ISTEXT(IFERROR(VLOOKUP(A40,职业列表!I3:J15,1,FALSE),0)),"★","")</f>
        <v/>
      </c>
      <c r="D40" s="576"/>
      <c r="E40" s="576"/>
      <c r="F40" s="576"/>
      <c r="G40" s="576" t="s">
        <v>149</v>
      </c>
      <c r="H40" s="576"/>
      <c r="I40" s="576"/>
      <c r="J40" s="576"/>
      <c r="K40" s="576"/>
      <c r="L40" s="576"/>
      <c r="M40" s="576" t="s">
        <v>149</v>
      </c>
      <c r="N40" s="576"/>
      <c r="O40" s="577" t="s">
        <v>149</v>
      </c>
      <c r="P40" s="576"/>
      <c r="Q40" s="576"/>
      <c r="R40" s="576"/>
      <c r="S40" s="576"/>
      <c r="T40" s="576"/>
      <c r="U40" s="576"/>
      <c r="V40" s="576"/>
      <c r="W40" s="576"/>
      <c r="X40" s="576"/>
      <c r="Y40" s="577" t="s">
        <v>149</v>
      </c>
      <c r="Z40" s="576"/>
      <c r="AA40" s="576" t="s">
        <v>149</v>
      </c>
      <c r="AB40" s="576"/>
      <c r="AC40" s="576"/>
      <c r="AD40" s="576"/>
      <c r="AE40" s="576"/>
      <c r="AF40" s="576"/>
      <c r="AG40" s="576" t="s">
        <v>149</v>
      </c>
      <c r="AH40" s="576"/>
      <c r="AI40" s="576"/>
      <c r="AJ40" s="576"/>
      <c r="AK40" s="576"/>
      <c r="AL40" s="576"/>
      <c r="AM40" s="576"/>
      <c r="AN40" s="576"/>
      <c r="AO40" s="576"/>
      <c r="AP40" s="576"/>
      <c r="AQ40" s="576"/>
      <c r="AR40" s="576"/>
      <c r="AS40" s="576"/>
      <c r="AT40" s="576"/>
      <c r="AU40" s="576"/>
      <c r="AV40" s="576"/>
      <c r="AW40" s="576"/>
      <c r="AX40" s="576"/>
      <c r="AY40" s="576"/>
      <c r="AZ40" s="576"/>
      <c r="BA40" s="576"/>
      <c r="BB40" s="576"/>
      <c r="BC40" s="576"/>
      <c r="BD40" s="576"/>
      <c r="BE40" s="576"/>
      <c r="BF40" s="576"/>
      <c r="BG40" s="576"/>
      <c r="BH40" s="576"/>
      <c r="BI40" s="576" t="s">
        <v>149</v>
      </c>
      <c r="BJ40" s="576"/>
      <c r="BK40" s="576"/>
      <c r="BL40" s="576"/>
      <c r="BM40" s="576"/>
      <c r="BN40" s="576"/>
      <c r="BO40" s="576"/>
      <c r="BP40" s="576"/>
      <c r="BQ40" s="576"/>
      <c r="BR40" s="576"/>
      <c r="BS40" s="576"/>
      <c r="BT40" s="576"/>
      <c r="BU40" s="576"/>
      <c r="BV40" s="576"/>
      <c r="BW40" s="576"/>
      <c r="BX40" s="576"/>
      <c r="BY40" s="576"/>
      <c r="BZ40" s="576"/>
      <c r="CA40" s="576"/>
      <c r="CB40" s="576"/>
      <c r="CC40" s="576"/>
      <c r="CD40" s="576"/>
      <c r="CE40" s="576"/>
      <c r="CF40" s="576" t="s">
        <v>149</v>
      </c>
      <c r="CG40" s="576"/>
      <c r="CH40" s="576"/>
      <c r="CI40" s="576"/>
      <c r="CJ40" s="576"/>
      <c r="CK40" s="576" t="s">
        <v>149</v>
      </c>
      <c r="CL40" s="576"/>
      <c r="CM40" s="576"/>
      <c r="CN40" s="576"/>
      <c r="CO40" s="576"/>
      <c r="CP40" s="576"/>
      <c r="CQ40" s="576"/>
      <c r="CR40" s="576"/>
      <c r="CS40" s="576"/>
      <c r="CT40" s="576"/>
      <c r="CU40" s="576"/>
      <c r="CV40" s="576"/>
      <c r="CW40" s="576"/>
      <c r="CX40" s="576"/>
      <c r="CY40" s="576"/>
      <c r="CZ40" s="576"/>
      <c r="DA40" s="576"/>
      <c r="DB40" s="576"/>
      <c r="DC40" s="576"/>
      <c r="DD40" s="576"/>
      <c r="DE40" s="576"/>
      <c r="DF40" s="576"/>
      <c r="DG40" s="576"/>
      <c r="DH40" s="576"/>
      <c r="DI40" s="576"/>
      <c r="DJ40" s="576"/>
      <c r="DK40" s="576"/>
      <c r="DL40" s="576"/>
      <c r="DM40" s="576"/>
      <c r="DN40" s="576"/>
      <c r="DO40" s="576"/>
      <c r="DP40" s="576"/>
      <c r="DQ40" s="576"/>
      <c r="DR40" s="576"/>
      <c r="DS40" s="576"/>
      <c r="DT40" s="576"/>
      <c r="DU40" s="576"/>
      <c r="DV40" s="576"/>
      <c r="DW40" s="576"/>
      <c r="DX40" s="576"/>
      <c r="DY40" s="576"/>
      <c r="DZ40" s="576"/>
      <c r="EA40" s="576"/>
      <c r="EB40" s="576"/>
      <c r="EC40" s="576"/>
      <c r="ED40" s="576"/>
      <c r="EE40" s="576"/>
      <c r="EF40" s="576"/>
      <c r="EG40" s="576"/>
      <c r="EH40" s="576"/>
      <c r="EI40" s="576"/>
      <c r="EJ40" s="576"/>
      <c r="EK40" s="576"/>
      <c r="EL40" s="576"/>
      <c r="EM40" s="576"/>
      <c r="EN40" s="576"/>
      <c r="EO40" s="576"/>
      <c r="EP40" s="576"/>
      <c r="EQ40" s="576"/>
      <c r="ER40" s="576"/>
      <c r="ES40" s="576"/>
      <c r="ET40" s="576"/>
      <c r="EU40" s="576"/>
      <c r="EV40" s="576"/>
      <c r="EW40" s="576"/>
      <c r="EX40" s="576"/>
      <c r="EY40" s="576"/>
      <c r="EZ40" s="576"/>
      <c r="FA40" s="576"/>
      <c r="FB40" s="576"/>
      <c r="FC40" s="576"/>
      <c r="FD40" s="576"/>
      <c r="FE40" s="576"/>
      <c r="FF40" s="576"/>
      <c r="FG40" s="576"/>
      <c r="FH40" s="576" t="s">
        <v>149</v>
      </c>
      <c r="FI40" s="576"/>
      <c r="FJ40" s="576"/>
      <c r="FK40" s="576"/>
      <c r="FL40" s="576"/>
      <c r="FM40" s="576"/>
      <c r="FN40" s="576"/>
      <c r="FO40" s="576"/>
      <c r="FP40" s="576"/>
      <c r="FQ40" s="576"/>
      <c r="FR40" s="576"/>
      <c r="FS40" s="576"/>
      <c r="FT40" s="576"/>
      <c r="FU40" s="576"/>
      <c r="FV40" s="576"/>
      <c r="FW40" s="576"/>
      <c r="FX40" s="576"/>
      <c r="FY40" s="576" t="s">
        <v>149</v>
      </c>
      <c r="FZ40" s="576"/>
      <c r="GA40" s="576"/>
      <c r="GB40" s="576"/>
      <c r="GC40" s="576" t="s">
        <v>149</v>
      </c>
      <c r="GD40" s="576"/>
      <c r="GE40" s="576"/>
      <c r="GF40" s="576"/>
      <c r="GG40" s="576"/>
      <c r="GH40" s="576"/>
      <c r="GI40" s="576"/>
      <c r="GJ40" s="576"/>
      <c r="GK40" s="576"/>
      <c r="GL40" s="576"/>
      <c r="GM40" s="576"/>
      <c r="GN40" s="576"/>
      <c r="GO40" s="576"/>
      <c r="GP40" s="576"/>
      <c r="GQ40" s="576"/>
      <c r="GR40" s="576"/>
      <c r="GS40" s="576"/>
      <c r="GT40" s="576"/>
      <c r="GU40" s="576"/>
      <c r="GV40" s="576"/>
      <c r="GW40" s="576"/>
      <c r="GX40" s="576"/>
      <c r="GY40" s="576"/>
      <c r="GZ40" s="576"/>
      <c r="HA40" s="576"/>
      <c r="HB40" s="576"/>
      <c r="HC40" s="576"/>
      <c r="HD40" s="576"/>
      <c r="HE40" s="576"/>
      <c r="HF40" s="576"/>
      <c r="HG40" s="577"/>
      <c r="HH40" s="576"/>
      <c r="HI40" s="576"/>
      <c r="HJ40" s="576"/>
      <c r="HK40" s="576" t="s">
        <v>149</v>
      </c>
      <c r="HL40" s="576"/>
      <c r="HM40" s="576"/>
      <c r="HN40" s="576"/>
      <c r="HO40" s="576"/>
      <c r="HP40" s="576"/>
      <c r="HQ40" s="576" t="s">
        <v>149</v>
      </c>
      <c r="HR40" s="576"/>
      <c r="HS40" s="576"/>
      <c r="HT40" s="576"/>
      <c r="HU40" s="576"/>
      <c r="HV40" s="576"/>
      <c r="HW40" s="576"/>
      <c r="HX40" s="576"/>
      <c r="HY40" s="576"/>
      <c r="HZ40" s="576"/>
      <c r="IA40" s="576"/>
      <c r="IB40" s="576"/>
      <c r="IC40" s="576"/>
      <c r="ID40" s="566"/>
      <c r="IE40" s="566"/>
      <c r="IF40" s="566"/>
      <c r="IG40" s="566"/>
      <c r="IH40" s="566"/>
      <c r="II40" s="566"/>
      <c r="IJ40" s="566"/>
      <c r="IK40" s="566"/>
      <c r="IL40" s="566"/>
      <c r="IM40" s="566"/>
      <c r="IN40" s="566"/>
      <c r="IO40" s="566"/>
      <c r="IP40" s="566"/>
      <c r="IQ40" s="566"/>
      <c r="IR40" s="566"/>
      <c r="IS40" s="566"/>
      <c r="IT40" s="566"/>
      <c r="IU40" s="566"/>
      <c r="IV40" s="566"/>
      <c r="IW40" s="566"/>
      <c r="IX40" s="566"/>
      <c r="IY40" s="566"/>
      <c r="IZ40" s="566"/>
      <c r="JA40" s="566"/>
    </row>
    <row r="41" spans="1:261" ht="18" customHeight="1">
      <c r="A41" s="575" t="s">
        <v>151</v>
      </c>
      <c r="B41" s="576"/>
      <c r="C41" s="576" t="str">
        <f>IF(ISTEXT(IFERROR(VLOOKUP(A41,职业列表!I3:J15,1,FALSE),0)),"★","")</f>
        <v/>
      </c>
      <c r="D41" s="576"/>
      <c r="E41" s="576"/>
      <c r="F41" s="576"/>
      <c r="G41" s="576" t="s">
        <v>149</v>
      </c>
      <c r="H41" s="576"/>
      <c r="I41" s="576"/>
      <c r="J41" s="576"/>
      <c r="K41" s="576"/>
      <c r="L41" s="576"/>
      <c r="M41" s="576"/>
      <c r="N41" s="576"/>
      <c r="O41" s="576"/>
      <c r="P41" s="576"/>
      <c r="Q41" s="576" t="s">
        <v>149</v>
      </c>
      <c r="R41" s="576" t="s">
        <v>6642</v>
      </c>
      <c r="S41" s="576"/>
      <c r="T41" s="576"/>
      <c r="U41" s="576"/>
      <c r="V41" s="576"/>
      <c r="W41" s="576"/>
      <c r="X41" s="576"/>
      <c r="Y41" s="576" t="s">
        <v>149</v>
      </c>
      <c r="Z41" s="576"/>
      <c r="AA41" s="576"/>
      <c r="AB41" s="576"/>
      <c r="AC41" s="576"/>
      <c r="AD41" s="576"/>
      <c r="AE41" s="576"/>
      <c r="AF41" s="576"/>
      <c r="AG41" s="576"/>
      <c r="AH41" s="576"/>
      <c r="AI41" s="576"/>
      <c r="AJ41" s="576"/>
      <c r="AK41" s="576"/>
      <c r="AL41" s="576"/>
      <c r="AM41" s="576"/>
      <c r="AN41" s="576"/>
      <c r="AO41" s="576"/>
      <c r="AP41" s="576"/>
      <c r="AQ41" s="576"/>
      <c r="AR41" s="576" t="s">
        <v>149</v>
      </c>
      <c r="AS41" s="576"/>
      <c r="AT41" s="576"/>
      <c r="AU41" s="576"/>
      <c r="AV41" s="576"/>
      <c r="AW41" s="576"/>
      <c r="AX41" s="576"/>
      <c r="AY41" s="576"/>
      <c r="AZ41" s="576" t="s">
        <v>149</v>
      </c>
      <c r="BA41" s="576" t="s">
        <v>149</v>
      </c>
      <c r="BB41" s="576" t="s">
        <v>149</v>
      </c>
      <c r="BC41" s="576" t="s">
        <v>149</v>
      </c>
      <c r="BD41" s="576"/>
      <c r="BE41" s="576"/>
      <c r="BF41" s="576"/>
      <c r="BG41" s="576"/>
      <c r="BH41" s="576" t="s">
        <v>149</v>
      </c>
      <c r="BI41" s="579"/>
      <c r="BJ41" s="576"/>
      <c r="BK41" s="576"/>
      <c r="BL41" s="576"/>
      <c r="BM41" s="576"/>
      <c r="BN41" s="576"/>
      <c r="BO41" s="576"/>
      <c r="BP41" s="576"/>
      <c r="BQ41" s="576" t="s">
        <v>149</v>
      </c>
      <c r="BR41" s="576" t="s">
        <v>149</v>
      </c>
      <c r="BS41" s="576"/>
      <c r="BT41" s="576"/>
      <c r="BU41" s="576"/>
      <c r="BV41" s="576"/>
      <c r="BW41" s="576"/>
      <c r="BX41" s="576"/>
      <c r="BY41" s="576"/>
      <c r="BZ41" s="576"/>
      <c r="CA41" s="576"/>
      <c r="CB41" s="576"/>
      <c r="CC41" s="576"/>
      <c r="CD41" s="576" t="s">
        <v>149</v>
      </c>
      <c r="CE41" s="576"/>
      <c r="CF41" s="576" t="s">
        <v>149</v>
      </c>
      <c r="CG41" s="576"/>
      <c r="CH41" s="576"/>
      <c r="CI41" s="576"/>
      <c r="CJ41" s="576"/>
      <c r="CK41" s="576" t="s">
        <v>149</v>
      </c>
      <c r="CL41" s="576"/>
      <c r="CM41" s="576"/>
      <c r="CN41" s="576"/>
      <c r="CO41" s="576"/>
      <c r="CP41" s="576" t="s">
        <v>149</v>
      </c>
      <c r="CQ41" s="576" t="s">
        <v>149</v>
      </c>
      <c r="CR41" s="576"/>
      <c r="CS41" s="576"/>
      <c r="CT41" s="576"/>
      <c r="CU41" s="576"/>
      <c r="CV41" s="576" t="s">
        <v>149</v>
      </c>
      <c r="CW41" s="576"/>
      <c r="CX41" s="576"/>
      <c r="CY41" s="576"/>
      <c r="CZ41" s="576"/>
      <c r="DA41" s="576" t="s">
        <v>149</v>
      </c>
      <c r="DB41" s="576" t="s">
        <v>149</v>
      </c>
      <c r="DC41" s="576"/>
      <c r="DD41" s="576"/>
      <c r="DE41" s="576"/>
      <c r="DF41" s="576"/>
      <c r="DG41" s="576"/>
      <c r="DH41" s="576"/>
      <c r="DI41" s="576"/>
      <c r="DJ41" s="576"/>
      <c r="DK41" s="576"/>
      <c r="DL41" s="576"/>
      <c r="DM41" s="576"/>
      <c r="DN41" s="576"/>
      <c r="DO41" s="576"/>
      <c r="DP41" s="576"/>
      <c r="DQ41" s="576"/>
      <c r="DR41" s="576"/>
      <c r="DS41" s="576"/>
      <c r="DT41" s="576"/>
      <c r="DU41" s="576"/>
      <c r="DV41" s="576"/>
      <c r="DW41" s="576"/>
      <c r="DX41" s="576"/>
      <c r="DY41" s="576"/>
      <c r="DZ41" s="576"/>
      <c r="EA41" s="576"/>
      <c r="EB41" s="576"/>
      <c r="EC41" s="576"/>
      <c r="ED41" s="576"/>
      <c r="EE41" s="576"/>
      <c r="EF41" s="576"/>
      <c r="EG41" s="576"/>
      <c r="EH41" s="576"/>
      <c r="EI41" s="576"/>
      <c r="EJ41" s="576"/>
      <c r="EK41" s="576"/>
      <c r="EL41" s="576"/>
      <c r="EM41" s="576"/>
      <c r="EN41" s="576" t="s">
        <v>149</v>
      </c>
      <c r="EO41" s="576"/>
      <c r="EP41" s="576"/>
      <c r="EQ41" s="576"/>
      <c r="ER41" s="576"/>
      <c r="ES41" s="576"/>
      <c r="ET41" s="576"/>
      <c r="EU41" s="576"/>
      <c r="EV41" s="576"/>
      <c r="EW41" s="576"/>
      <c r="EX41" s="576" t="s">
        <v>149</v>
      </c>
      <c r="EY41" s="576"/>
      <c r="EZ41" s="576"/>
      <c r="FA41" s="576"/>
      <c r="FB41" s="576" t="s">
        <v>149</v>
      </c>
      <c r="FC41" s="576"/>
      <c r="FD41" s="576"/>
      <c r="FE41" s="576"/>
      <c r="FF41" s="576"/>
      <c r="FG41" s="576"/>
      <c r="FH41" s="576"/>
      <c r="FI41" s="576"/>
      <c r="FJ41" s="576"/>
      <c r="FK41" s="576"/>
      <c r="FL41" s="576"/>
      <c r="FM41" s="576"/>
      <c r="FN41" s="576"/>
      <c r="FO41" s="576"/>
      <c r="FP41" s="576"/>
      <c r="FQ41" s="576"/>
      <c r="FR41" s="576"/>
      <c r="FS41" s="576"/>
      <c r="FT41" s="576"/>
      <c r="FU41" s="576" t="s">
        <v>149</v>
      </c>
      <c r="FV41" s="576"/>
      <c r="FW41" s="576"/>
      <c r="FX41" s="576"/>
      <c r="FY41" s="576"/>
      <c r="FZ41" s="576"/>
      <c r="GA41" s="576"/>
      <c r="GB41" s="576"/>
      <c r="GC41" s="576" t="s">
        <v>149</v>
      </c>
      <c r="GD41" s="576"/>
      <c r="GE41" s="576"/>
      <c r="GF41" s="576" t="s">
        <v>149</v>
      </c>
      <c r="GG41" s="576" t="s">
        <v>149</v>
      </c>
      <c r="GH41" s="576"/>
      <c r="GI41" s="576"/>
      <c r="GJ41" s="576" t="s">
        <v>149</v>
      </c>
      <c r="GK41" s="576"/>
      <c r="GL41" s="576"/>
      <c r="GM41" s="576"/>
      <c r="GN41" s="576"/>
      <c r="GO41" s="576"/>
      <c r="GP41" s="576"/>
      <c r="GQ41" s="576"/>
      <c r="GR41" s="576"/>
      <c r="GS41" s="576"/>
      <c r="GT41" s="576"/>
      <c r="GU41" s="576"/>
      <c r="GV41" s="576"/>
      <c r="GW41" s="576"/>
      <c r="GX41" s="576"/>
      <c r="GY41" s="576"/>
      <c r="GZ41" s="576"/>
      <c r="HA41" s="576"/>
      <c r="HB41" s="576"/>
      <c r="HC41" s="576"/>
      <c r="HD41" s="576"/>
      <c r="HE41" s="576"/>
      <c r="HF41" s="576"/>
      <c r="HG41" s="576"/>
      <c r="HH41" s="576"/>
      <c r="HI41" s="576" t="s">
        <v>149</v>
      </c>
      <c r="HJ41" s="576"/>
      <c r="HK41" s="576"/>
      <c r="HL41" s="576"/>
      <c r="HM41" s="576"/>
      <c r="HN41" s="576"/>
      <c r="HO41" s="576"/>
      <c r="HP41" s="577" t="s">
        <v>149</v>
      </c>
      <c r="HQ41" s="576" t="s">
        <v>149</v>
      </c>
      <c r="HR41" s="576"/>
      <c r="HS41" s="576"/>
      <c r="HT41" s="576"/>
      <c r="HU41" s="576"/>
      <c r="HV41" s="576"/>
      <c r="HW41" s="576"/>
      <c r="HX41" s="576"/>
      <c r="HY41" s="576"/>
      <c r="HZ41" s="576"/>
      <c r="IA41" s="576"/>
      <c r="IB41" s="576"/>
      <c r="IC41" s="577" t="s">
        <v>149</v>
      </c>
      <c r="ID41" s="566"/>
      <c r="IE41" s="566"/>
      <c r="IF41" s="566"/>
      <c r="IG41" s="566"/>
      <c r="IH41" s="566"/>
      <c r="II41" s="566"/>
      <c r="IJ41" s="566"/>
      <c r="IK41" s="566"/>
      <c r="IL41" s="566"/>
      <c r="IM41" s="566"/>
      <c r="IN41" s="566"/>
      <c r="IO41" s="566"/>
      <c r="IP41" s="566"/>
      <c r="IQ41" s="566"/>
      <c r="IR41" s="566"/>
      <c r="IS41" s="566"/>
      <c r="IT41" s="566"/>
      <c r="IU41" s="566"/>
      <c r="IV41" s="566"/>
      <c r="IW41" s="566"/>
      <c r="IX41" s="566"/>
      <c r="IY41" s="566"/>
      <c r="IZ41" s="566"/>
      <c r="JA41" s="566"/>
    </row>
    <row r="42" spans="1:261" ht="18" customHeight="1">
      <c r="A42" s="592" t="s">
        <v>172</v>
      </c>
      <c r="B42" s="576"/>
      <c r="C42" s="576" t="str">
        <f>IF(ISTEXT(IFERROR(VLOOKUP(A42,职业列表!I3:J15,1,FALSE),0)),"★","")</f>
        <v/>
      </c>
      <c r="D42" s="576"/>
      <c r="E42" s="576"/>
      <c r="F42" s="576"/>
      <c r="G42" s="576"/>
      <c r="H42" s="576"/>
      <c r="I42" s="576"/>
      <c r="J42" s="576" t="s">
        <v>149</v>
      </c>
      <c r="K42" s="576"/>
      <c r="L42" s="576"/>
      <c r="M42" s="576"/>
      <c r="N42" s="576"/>
      <c r="O42" s="576"/>
      <c r="P42" s="576"/>
      <c r="Q42" s="576"/>
      <c r="R42" s="576"/>
      <c r="S42" s="576"/>
      <c r="T42" s="576"/>
      <c r="U42" s="576"/>
      <c r="V42" s="576" t="s">
        <v>149</v>
      </c>
      <c r="W42" s="576"/>
      <c r="X42" s="576"/>
      <c r="Y42" s="576"/>
      <c r="Z42" s="576"/>
      <c r="AA42" s="576"/>
      <c r="AB42" s="576"/>
      <c r="AC42" s="576"/>
      <c r="AD42" s="576"/>
      <c r="AE42" s="576"/>
      <c r="AF42" s="576"/>
      <c r="AG42" s="576"/>
      <c r="AH42" s="576"/>
      <c r="AI42" s="576"/>
      <c r="AJ42" s="576"/>
      <c r="AK42" s="576"/>
      <c r="AL42" s="576"/>
      <c r="AM42" s="576"/>
      <c r="AN42" s="576"/>
      <c r="AO42" s="576"/>
      <c r="AP42" s="576"/>
      <c r="AQ42" s="576"/>
      <c r="AR42" s="576"/>
      <c r="AS42" s="576"/>
      <c r="AT42" s="576"/>
      <c r="AU42" s="576"/>
      <c r="AV42" s="576"/>
      <c r="AW42" s="576"/>
      <c r="AX42" s="576" t="s">
        <v>149</v>
      </c>
      <c r="AY42" s="576"/>
      <c r="AZ42" s="576"/>
      <c r="BA42" s="576"/>
      <c r="BB42" s="576"/>
      <c r="BC42" s="576"/>
      <c r="BD42" s="576"/>
      <c r="BE42" s="576"/>
      <c r="BF42" s="576"/>
      <c r="BG42" s="576"/>
      <c r="BH42" s="576" t="s">
        <v>6642</v>
      </c>
      <c r="BI42" s="576"/>
      <c r="BJ42" s="576"/>
      <c r="BK42" s="576"/>
      <c r="BL42" s="576"/>
      <c r="BM42" s="576"/>
      <c r="BN42" s="576"/>
      <c r="BO42" s="576"/>
      <c r="BP42" s="576"/>
      <c r="BQ42" s="576"/>
      <c r="BR42" s="576"/>
      <c r="BS42" s="576"/>
      <c r="BT42" s="576"/>
      <c r="BU42" s="576"/>
      <c r="BV42" s="576"/>
      <c r="BW42" s="576"/>
      <c r="BX42" s="576"/>
      <c r="BY42" s="576"/>
      <c r="BZ42" s="576"/>
      <c r="CA42" s="576"/>
      <c r="CB42" s="576"/>
      <c r="CC42" s="576"/>
      <c r="CD42" s="576"/>
      <c r="CE42" s="576"/>
      <c r="CF42" s="576"/>
      <c r="CG42" s="576"/>
      <c r="CH42" s="576"/>
      <c r="CI42" s="576"/>
      <c r="CJ42" s="576"/>
      <c r="CK42" s="576"/>
      <c r="CL42" s="576"/>
      <c r="CM42" s="576"/>
      <c r="CN42" s="576"/>
      <c r="CO42" s="576"/>
      <c r="CP42" s="576"/>
      <c r="CQ42" s="576"/>
      <c r="CR42" s="576"/>
      <c r="CS42" s="576"/>
      <c r="CT42" s="576"/>
      <c r="CU42" s="576"/>
      <c r="CV42" s="576"/>
      <c r="CW42" s="576"/>
      <c r="CX42" s="576"/>
      <c r="CY42" s="576"/>
      <c r="CZ42" s="576"/>
      <c r="DA42" s="576" t="s">
        <v>149</v>
      </c>
      <c r="DB42" s="576" t="s">
        <v>149</v>
      </c>
      <c r="DC42" s="576"/>
      <c r="DD42" s="576"/>
      <c r="DE42" s="576"/>
      <c r="DF42" s="576"/>
      <c r="DG42" s="576" t="s">
        <v>6642</v>
      </c>
      <c r="DH42" s="576"/>
      <c r="DI42" s="576"/>
      <c r="DJ42" s="577" t="s">
        <v>149</v>
      </c>
      <c r="DK42" s="576" t="s">
        <v>149</v>
      </c>
      <c r="DL42" s="576"/>
      <c r="DM42" s="576"/>
      <c r="DN42" s="576"/>
      <c r="DO42" s="576"/>
      <c r="DP42" s="576"/>
      <c r="DQ42" s="576"/>
      <c r="DR42" s="576"/>
      <c r="DS42" s="576"/>
      <c r="DT42" s="576" t="s">
        <v>149</v>
      </c>
      <c r="DU42" s="576" t="s">
        <v>149</v>
      </c>
      <c r="DV42" s="576"/>
      <c r="DW42" s="576"/>
      <c r="DX42" s="576"/>
      <c r="DY42" s="576"/>
      <c r="DZ42" s="576"/>
      <c r="EA42" s="576"/>
      <c r="EB42" s="576"/>
      <c r="EC42" s="576"/>
      <c r="ED42" s="576"/>
      <c r="EE42" s="576"/>
      <c r="EF42" s="576"/>
      <c r="EG42" s="576"/>
      <c r="EH42" s="576"/>
      <c r="EI42" s="576"/>
      <c r="EJ42" s="576"/>
      <c r="EK42" s="576"/>
      <c r="EL42" s="576"/>
      <c r="EM42" s="576"/>
      <c r="EN42" s="576"/>
      <c r="EO42" s="576"/>
      <c r="EP42" s="576"/>
      <c r="EQ42" s="576"/>
      <c r="ER42" s="576"/>
      <c r="ES42" s="576"/>
      <c r="ET42" s="576"/>
      <c r="EU42" s="576"/>
      <c r="EV42" s="576"/>
      <c r="EW42" s="576"/>
      <c r="EX42" s="576"/>
      <c r="EY42" s="576"/>
      <c r="EZ42" s="576"/>
      <c r="FA42" s="576"/>
      <c r="FB42" s="576"/>
      <c r="FC42" s="576"/>
      <c r="FD42" s="576"/>
      <c r="FE42" s="576"/>
      <c r="FF42" s="576"/>
      <c r="FG42" s="576"/>
      <c r="FH42" s="576"/>
      <c r="FI42" s="576"/>
      <c r="FJ42" s="576"/>
      <c r="FK42" s="576"/>
      <c r="FL42" s="576"/>
      <c r="FM42" s="576"/>
      <c r="FN42" s="576"/>
      <c r="FO42" s="576"/>
      <c r="FP42" s="576"/>
      <c r="FQ42" s="576"/>
      <c r="FR42" s="576"/>
      <c r="FS42" s="576"/>
      <c r="FT42" s="576"/>
      <c r="FU42" s="576" t="s">
        <v>149</v>
      </c>
      <c r="FV42" s="576"/>
      <c r="FW42" s="576"/>
      <c r="FX42" s="576"/>
      <c r="FY42" s="576"/>
      <c r="FZ42" s="576"/>
      <c r="GA42" s="576"/>
      <c r="GB42" s="576"/>
      <c r="GC42" s="576"/>
      <c r="GD42" s="576"/>
      <c r="GE42" s="576"/>
      <c r="GF42" s="576" t="s">
        <v>149</v>
      </c>
      <c r="GG42" s="576" t="s">
        <v>149</v>
      </c>
      <c r="GH42" s="576" t="s">
        <v>6642</v>
      </c>
      <c r="GI42" s="576" t="s">
        <v>6642</v>
      </c>
      <c r="GJ42" s="576" t="s">
        <v>6642</v>
      </c>
      <c r="GK42" s="576"/>
      <c r="GL42" s="576"/>
      <c r="GM42" s="576"/>
      <c r="GN42" s="576"/>
      <c r="GO42" s="576" t="s">
        <v>149</v>
      </c>
      <c r="GP42" s="576"/>
      <c r="GQ42" s="576"/>
      <c r="GR42" s="576"/>
      <c r="GS42" s="576"/>
      <c r="GT42" s="576"/>
      <c r="GU42" s="576"/>
      <c r="GV42" s="576"/>
      <c r="GW42" s="576"/>
      <c r="GX42" s="576"/>
      <c r="GY42" s="576"/>
      <c r="GZ42" s="576" t="s">
        <v>6642</v>
      </c>
      <c r="HA42" s="576"/>
      <c r="HB42" s="576"/>
      <c r="HC42" s="576"/>
      <c r="HD42" s="576"/>
      <c r="HE42" s="576"/>
      <c r="HF42" s="576"/>
      <c r="HG42" s="576"/>
      <c r="HH42" s="576"/>
      <c r="HI42" s="576"/>
      <c r="HJ42" s="576"/>
      <c r="HK42" s="576"/>
      <c r="HL42" s="576"/>
      <c r="HM42" s="576"/>
      <c r="HN42" s="576"/>
      <c r="HO42" s="576"/>
      <c r="HP42" s="576" t="s">
        <v>6642</v>
      </c>
      <c r="HQ42" s="576" t="s">
        <v>149</v>
      </c>
      <c r="HR42" s="576"/>
      <c r="HS42" s="576"/>
      <c r="HT42" s="576"/>
      <c r="HU42" s="576"/>
      <c r="HV42" s="576"/>
      <c r="HW42" s="576"/>
      <c r="HX42" s="576"/>
      <c r="HY42" s="576"/>
      <c r="HZ42" s="576"/>
      <c r="IA42" s="576"/>
      <c r="IB42" s="576"/>
      <c r="IC42" s="576"/>
      <c r="ID42" s="566"/>
      <c r="IE42" s="566"/>
      <c r="IF42" s="566"/>
      <c r="IG42" s="566"/>
      <c r="IH42" s="566"/>
      <c r="II42" s="566"/>
      <c r="IJ42" s="566"/>
      <c r="IK42" s="566"/>
      <c r="IL42" s="566"/>
      <c r="IM42" s="566"/>
      <c r="IN42" s="566"/>
      <c r="IO42" s="566"/>
      <c r="IP42" s="566"/>
      <c r="IQ42" s="566"/>
      <c r="IR42" s="566"/>
      <c r="IS42" s="566"/>
      <c r="IT42" s="566"/>
      <c r="IU42" s="566"/>
      <c r="IV42" s="566"/>
      <c r="IW42" s="566"/>
      <c r="IX42" s="566"/>
      <c r="IY42" s="566"/>
      <c r="IZ42" s="566"/>
      <c r="JA42" s="566"/>
    </row>
    <row r="43" spans="1:261" ht="18" customHeight="1">
      <c r="A43" s="591" t="s">
        <v>168</v>
      </c>
      <c r="Y43" s="599" t="s">
        <v>6643</v>
      </c>
      <c r="AG43" s="599" t="s">
        <v>149</v>
      </c>
      <c r="BH43" s="576" t="s">
        <v>149</v>
      </c>
      <c r="CF43" s="577" t="s">
        <v>6647</v>
      </c>
      <c r="CK43" s="577" t="s">
        <v>149</v>
      </c>
      <c r="DA43" s="576" t="s">
        <v>6648</v>
      </c>
      <c r="DG43" s="576" t="s">
        <v>149</v>
      </c>
      <c r="DH43" s="576"/>
      <c r="DI43" s="576"/>
      <c r="DJ43" s="576"/>
      <c r="DK43" s="599" t="s">
        <v>149</v>
      </c>
      <c r="DL43" s="576"/>
      <c r="DM43" s="576"/>
      <c r="DN43" s="576"/>
      <c r="DO43" s="576"/>
      <c r="DP43" s="576"/>
      <c r="DQ43" s="576"/>
      <c r="DR43" s="576"/>
      <c r="DS43" s="576"/>
      <c r="DT43" s="576"/>
      <c r="DU43" s="576"/>
      <c r="DV43" s="576"/>
      <c r="DW43" s="576"/>
      <c r="DX43" s="576"/>
      <c r="DY43" s="576"/>
      <c r="DZ43" s="576"/>
      <c r="EA43" s="576"/>
      <c r="EB43" s="576"/>
      <c r="EC43" s="576"/>
      <c r="ED43" s="576"/>
      <c r="EE43" s="576"/>
      <c r="EF43" s="576"/>
      <c r="EG43" s="576"/>
      <c r="EH43" s="576"/>
      <c r="EI43" s="576"/>
      <c r="EJ43" s="576"/>
      <c r="EK43" s="576"/>
      <c r="EL43" s="576"/>
      <c r="EM43" s="576"/>
      <c r="EN43" s="576"/>
      <c r="EO43" s="576"/>
      <c r="EP43" s="576"/>
      <c r="EQ43" s="576"/>
      <c r="ER43" s="576"/>
      <c r="ES43" s="576" t="s">
        <v>6649</v>
      </c>
      <c r="ET43" s="576"/>
      <c r="EU43" s="576"/>
      <c r="EV43" s="576"/>
      <c r="EW43" s="576"/>
      <c r="EX43" s="576"/>
      <c r="EY43" s="576"/>
      <c r="EZ43" s="576"/>
      <c r="FA43" s="576"/>
      <c r="FB43" s="576" t="s">
        <v>149</v>
      </c>
      <c r="FC43" s="576"/>
      <c r="FD43" s="576"/>
      <c r="FE43" s="576"/>
      <c r="FF43" s="576"/>
      <c r="FG43" s="576"/>
      <c r="FH43" s="576"/>
      <c r="FI43" s="576"/>
      <c r="FJ43" s="576"/>
      <c r="FK43" s="576"/>
      <c r="FL43" s="576"/>
      <c r="FM43" s="576"/>
      <c r="FN43" s="576"/>
      <c r="FO43" s="576"/>
      <c r="FP43" s="576"/>
      <c r="FQ43" s="576"/>
      <c r="FR43" s="576"/>
      <c r="FS43" s="576"/>
      <c r="FT43" s="576"/>
      <c r="FU43" s="576"/>
      <c r="FV43" s="576"/>
      <c r="FW43" s="576"/>
      <c r="FX43" s="576"/>
      <c r="FY43" s="576"/>
      <c r="FZ43" s="576"/>
      <c r="GA43" s="576"/>
      <c r="GB43" s="576"/>
      <c r="GC43" s="576" t="s">
        <v>6647</v>
      </c>
      <c r="GD43" s="576"/>
      <c r="GE43" s="576"/>
      <c r="GF43" s="576" t="s">
        <v>6650</v>
      </c>
      <c r="GG43" s="576"/>
      <c r="GH43" s="576" t="s">
        <v>149</v>
      </c>
      <c r="GI43" s="576" t="s">
        <v>149</v>
      </c>
      <c r="GJ43" s="576" t="s">
        <v>149</v>
      </c>
      <c r="GK43" s="576"/>
      <c r="GL43" s="576"/>
      <c r="GM43" s="576"/>
      <c r="GN43" s="576"/>
      <c r="GO43" s="576"/>
      <c r="GP43" s="576"/>
      <c r="GQ43" s="576"/>
      <c r="GR43" s="576"/>
      <c r="GS43" s="576"/>
      <c r="GT43" s="576"/>
      <c r="GU43" s="576"/>
      <c r="GV43" s="576"/>
      <c r="GW43" s="576"/>
      <c r="GX43" s="576"/>
      <c r="GY43" s="576"/>
      <c r="GZ43" s="576" t="s">
        <v>149</v>
      </c>
      <c r="HA43" s="576"/>
      <c r="HB43" s="576"/>
      <c r="HC43" s="576"/>
      <c r="HD43" s="576"/>
      <c r="HE43" s="576"/>
      <c r="HF43" s="576"/>
      <c r="HG43" s="576"/>
      <c r="HH43" s="576"/>
      <c r="HI43" s="576"/>
      <c r="HJ43" s="576"/>
      <c r="HK43" s="576"/>
      <c r="HL43" s="576"/>
      <c r="HM43" s="576"/>
      <c r="HN43" s="576"/>
      <c r="HO43" s="576"/>
      <c r="HP43" s="576"/>
      <c r="HQ43" s="579"/>
      <c r="HR43" s="576"/>
      <c r="HS43" s="576"/>
      <c r="HT43" s="576"/>
      <c r="HU43" s="576"/>
      <c r="HV43" s="576"/>
      <c r="HW43" s="576"/>
      <c r="HX43" s="576"/>
      <c r="HY43" s="599"/>
      <c r="HZ43" s="576"/>
      <c r="IA43" s="576"/>
      <c r="IB43" s="576"/>
      <c r="IC43" s="576"/>
    </row>
    <row r="44" spans="1:261" ht="18" customHeight="1">
      <c r="A44" s="591" t="s">
        <v>170</v>
      </c>
      <c r="B44" s="576"/>
      <c r="C44" s="576" t="str">
        <f>IF(ISTEXT(IFERROR(VLOOKUP(A44,职业列表!I3:J15,1,FALSE),0)),"★","")</f>
        <v/>
      </c>
      <c r="D44" s="576"/>
      <c r="E44" s="576"/>
      <c r="F44" s="576"/>
      <c r="G44" s="576"/>
      <c r="H44" s="576"/>
      <c r="I44" s="576"/>
      <c r="J44" s="576"/>
      <c r="K44" s="576"/>
      <c r="L44" s="576"/>
      <c r="M44" s="576"/>
      <c r="N44" s="576"/>
      <c r="O44" s="576"/>
      <c r="P44" s="576"/>
      <c r="Q44" s="576"/>
      <c r="R44" s="576"/>
      <c r="S44" s="576"/>
      <c r="T44" s="576"/>
      <c r="U44" s="576"/>
      <c r="V44" s="576"/>
      <c r="W44" s="576"/>
      <c r="X44" s="576"/>
      <c r="Y44" s="599"/>
      <c r="Z44" s="576"/>
      <c r="AA44" s="576"/>
      <c r="AB44" s="576"/>
      <c r="AC44" s="576"/>
      <c r="AD44" s="576"/>
      <c r="AE44" s="576"/>
      <c r="AF44" s="576"/>
      <c r="AG44" s="599"/>
      <c r="AH44" s="576"/>
      <c r="AI44" s="576"/>
      <c r="AJ44" s="576"/>
      <c r="AK44" s="576"/>
      <c r="AL44" s="576"/>
      <c r="AM44" s="576"/>
      <c r="AN44" s="576"/>
      <c r="AO44" s="576"/>
      <c r="AP44" s="576"/>
      <c r="AQ44" s="576"/>
      <c r="AR44" s="576"/>
      <c r="AS44" s="576"/>
      <c r="AT44" s="576"/>
      <c r="AU44" s="576"/>
      <c r="AV44" s="576"/>
      <c r="AW44" s="576"/>
      <c r="AX44" s="576"/>
      <c r="AY44" s="576"/>
      <c r="AZ44" s="576"/>
      <c r="BA44" s="576"/>
      <c r="BB44" s="576"/>
      <c r="BC44" s="576"/>
      <c r="BD44" s="576"/>
      <c r="BE44" s="576"/>
      <c r="BF44" s="576"/>
      <c r="BG44" s="576"/>
      <c r="BH44" s="576"/>
      <c r="BI44" s="579"/>
      <c r="BJ44" s="576"/>
      <c r="BK44" s="576"/>
      <c r="BL44" s="576"/>
      <c r="BM44" s="576"/>
      <c r="BN44" s="576"/>
      <c r="BO44" s="576"/>
      <c r="BP44" s="576"/>
      <c r="BQ44" s="576"/>
      <c r="BR44" s="576"/>
      <c r="BS44" s="576"/>
      <c r="BT44" s="576"/>
      <c r="BU44" s="576"/>
      <c r="BV44" s="576"/>
      <c r="BW44" s="576"/>
      <c r="BX44" s="576"/>
      <c r="BY44" s="576"/>
      <c r="BZ44" s="576"/>
      <c r="CA44" s="576"/>
      <c r="CB44" s="576"/>
      <c r="CC44" s="576"/>
      <c r="CD44" s="576"/>
      <c r="CE44" s="576"/>
      <c r="CF44" s="577"/>
      <c r="CG44" s="576"/>
      <c r="CH44" s="576"/>
      <c r="CI44" s="576"/>
      <c r="CJ44" s="576"/>
      <c r="CK44" s="577"/>
      <c r="CL44" s="576"/>
      <c r="CM44" s="576"/>
      <c r="CN44" s="576"/>
      <c r="CO44" s="576"/>
      <c r="CP44" s="576"/>
      <c r="CQ44" s="576"/>
      <c r="CR44" s="576"/>
      <c r="CS44" s="576"/>
      <c r="CT44" s="576"/>
      <c r="CU44" s="576"/>
      <c r="CV44" s="576"/>
      <c r="CW44" s="576"/>
      <c r="CX44" s="576"/>
      <c r="CY44" s="576"/>
      <c r="CZ44" s="576"/>
      <c r="DB44" s="576"/>
      <c r="DC44" s="576"/>
      <c r="DD44" s="576"/>
      <c r="DE44" s="576"/>
      <c r="DF44" s="576"/>
      <c r="ID44" s="566"/>
      <c r="IE44" s="566"/>
      <c r="IF44" s="566"/>
      <c r="IG44" s="566"/>
      <c r="IH44" s="566"/>
      <c r="II44" s="566"/>
      <c r="IJ44" s="566"/>
      <c r="IK44" s="566"/>
      <c r="IL44" s="566"/>
      <c r="IM44" s="566"/>
      <c r="IN44" s="566"/>
      <c r="IO44" s="566"/>
      <c r="IP44" s="566"/>
      <c r="IQ44" s="566"/>
      <c r="IR44" s="566"/>
      <c r="IS44" s="566"/>
      <c r="IT44" s="566"/>
      <c r="IU44" s="566"/>
      <c r="IV44" s="566"/>
      <c r="IW44" s="566"/>
      <c r="IX44" s="566"/>
      <c r="IY44" s="566"/>
      <c r="IZ44" s="566"/>
      <c r="JA44" s="566"/>
    </row>
    <row r="45" spans="1:261" s="558" customFormat="1" ht="18" customHeight="1">
      <c r="A45" s="600" t="s">
        <v>6651</v>
      </c>
      <c r="B45" s="601"/>
      <c r="C45" s="576" t="str">
        <f>IF(ISTEXT(IFERROR(VLOOKUP(A45,职业列表!I3:J15,1,FALSE),0)),"★","")</f>
        <v/>
      </c>
      <c r="D45" s="601"/>
      <c r="E45" s="602" t="s">
        <v>2753</v>
      </c>
      <c r="F45" s="602" t="s">
        <v>2731</v>
      </c>
      <c r="G45" s="602" t="s">
        <v>2731</v>
      </c>
      <c r="H45" s="601"/>
      <c r="I45" s="601"/>
      <c r="J45" s="601"/>
      <c r="K45" s="602" t="s">
        <v>2642</v>
      </c>
      <c r="L45" s="601" t="s">
        <v>2642</v>
      </c>
      <c r="M45" s="601"/>
      <c r="N45" s="601"/>
      <c r="O45" s="601"/>
      <c r="P45" s="601" t="s">
        <v>149</v>
      </c>
      <c r="Q45" s="601"/>
      <c r="R45" s="601"/>
      <c r="S45" s="601" t="s">
        <v>6652</v>
      </c>
      <c r="T45" s="601" t="s">
        <v>149</v>
      </c>
      <c r="U45" s="601"/>
      <c r="V45" s="601"/>
      <c r="W45" s="601" t="s">
        <v>6653</v>
      </c>
      <c r="X45" s="601"/>
      <c r="Y45" s="601"/>
      <c r="Z45" s="601"/>
      <c r="AA45" s="601"/>
      <c r="AB45" s="601"/>
      <c r="AC45" s="601" t="s">
        <v>149</v>
      </c>
      <c r="AD45" s="601"/>
      <c r="AE45" s="601"/>
      <c r="AF45" s="601"/>
      <c r="AG45" s="601"/>
      <c r="AH45" s="601" t="s">
        <v>149</v>
      </c>
      <c r="AI45" s="601"/>
      <c r="AJ45" s="601"/>
      <c r="AK45" s="601"/>
      <c r="AL45" s="601"/>
      <c r="AM45" s="601" t="s">
        <v>2642</v>
      </c>
      <c r="AN45" s="601" t="s">
        <v>6654</v>
      </c>
      <c r="AO45" s="601" t="s">
        <v>149</v>
      </c>
      <c r="AP45" s="601" t="s">
        <v>2742</v>
      </c>
      <c r="AQ45" s="601" t="s">
        <v>2742</v>
      </c>
      <c r="AR45" s="601"/>
      <c r="AS45" s="601"/>
      <c r="AT45" s="601"/>
      <c r="AU45" s="601"/>
      <c r="AV45" s="601" t="s">
        <v>2731</v>
      </c>
      <c r="AW45" s="601" t="s">
        <v>149</v>
      </c>
      <c r="AX45" s="601"/>
      <c r="AY45" s="601"/>
      <c r="AZ45" s="601"/>
      <c r="BA45" s="601"/>
      <c r="BB45" s="601"/>
      <c r="BC45" s="601"/>
      <c r="BD45" s="601"/>
      <c r="BE45" s="601"/>
      <c r="BF45" s="601" t="s">
        <v>6652</v>
      </c>
      <c r="BG45" s="601" t="s">
        <v>6655</v>
      </c>
      <c r="BH45" s="601"/>
      <c r="BI45" s="601" t="s">
        <v>3131</v>
      </c>
      <c r="BJ45" s="601"/>
      <c r="BK45" s="601"/>
      <c r="BL45" s="601"/>
      <c r="BM45" s="601"/>
      <c r="BN45" s="601" t="s">
        <v>2642</v>
      </c>
      <c r="BO45" s="601"/>
      <c r="BP45" s="601"/>
      <c r="BQ45" s="601" t="s">
        <v>149</v>
      </c>
      <c r="BR45" s="601" t="s">
        <v>149</v>
      </c>
      <c r="BS45" s="601"/>
      <c r="BT45" s="603" t="s">
        <v>6656</v>
      </c>
      <c r="BU45" s="601" t="s">
        <v>2642</v>
      </c>
      <c r="BV45" s="601"/>
      <c r="BW45" s="601"/>
      <c r="BX45" s="601"/>
      <c r="BY45" s="601"/>
      <c r="BZ45" s="601"/>
      <c r="CA45" s="601"/>
      <c r="CB45" s="601"/>
      <c r="CC45" s="601" t="s">
        <v>149</v>
      </c>
      <c r="CD45" s="601"/>
      <c r="CE45" s="601" t="s">
        <v>149</v>
      </c>
      <c r="CF45" s="601"/>
      <c r="CG45" s="601"/>
      <c r="CH45" s="601" t="s">
        <v>6657</v>
      </c>
      <c r="CI45" s="601"/>
      <c r="CJ45" s="601"/>
      <c r="CK45" s="601"/>
      <c r="CL45" s="601" t="s">
        <v>2731</v>
      </c>
      <c r="CM45" s="601"/>
      <c r="CN45" s="601" t="s">
        <v>2731</v>
      </c>
      <c r="CO45" s="601" t="s">
        <v>2731</v>
      </c>
      <c r="CP45" s="601"/>
      <c r="CQ45" s="601"/>
      <c r="CR45" s="603" t="s">
        <v>6654</v>
      </c>
      <c r="CS45" s="601"/>
      <c r="CT45" s="601" t="s">
        <v>2731</v>
      </c>
      <c r="CU45" s="601"/>
      <c r="CV45" s="601"/>
      <c r="CW45" s="601" t="s">
        <v>149</v>
      </c>
      <c r="CX45" s="601"/>
      <c r="CY45" s="601"/>
      <c r="CZ45" s="601"/>
      <c r="DA45" s="601"/>
      <c r="DB45" s="601"/>
      <c r="DC45" s="601"/>
      <c r="DD45" s="601"/>
      <c r="DE45" s="601"/>
      <c r="DF45" s="601"/>
      <c r="DG45" s="601"/>
      <c r="DH45" s="601" t="s">
        <v>6654</v>
      </c>
      <c r="DI45" s="601"/>
      <c r="DJ45" s="601"/>
      <c r="DK45" s="601"/>
      <c r="DL45" s="601"/>
      <c r="DM45" s="601"/>
      <c r="DN45" s="601" t="s">
        <v>149</v>
      </c>
      <c r="DO45" s="601"/>
      <c r="DP45" s="601"/>
      <c r="DQ45" s="601"/>
      <c r="DR45" s="601" t="s">
        <v>6658</v>
      </c>
      <c r="DS45" s="601"/>
      <c r="DT45" s="601"/>
      <c r="DU45" s="601"/>
      <c r="DV45" s="601"/>
      <c r="DW45" s="601"/>
      <c r="DX45" s="601"/>
      <c r="DY45" s="601"/>
      <c r="DZ45" s="601"/>
      <c r="EA45" s="601"/>
      <c r="EB45" s="601"/>
      <c r="EC45" s="601"/>
      <c r="ED45" s="601"/>
      <c r="EE45" s="601" t="s">
        <v>6653</v>
      </c>
      <c r="EF45" s="601"/>
      <c r="EG45" s="601"/>
      <c r="EH45" s="601"/>
      <c r="EI45" s="601"/>
      <c r="EJ45" s="601"/>
      <c r="EK45" s="601"/>
      <c r="EL45" s="601"/>
      <c r="EM45" s="601"/>
      <c r="EN45" s="601"/>
      <c r="EO45" s="601"/>
      <c r="EP45" s="601" t="s">
        <v>149</v>
      </c>
      <c r="EQ45" s="601" t="s">
        <v>2731</v>
      </c>
      <c r="ER45" s="601"/>
      <c r="ES45" s="601"/>
      <c r="ET45" s="601" t="s">
        <v>6657</v>
      </c>
      <c r="EU45" s="601"/>
      <c r="EV45" s="601" t="s">
        <v>2642</v>
      </c>
      <c r="EW45" s="601"/>
      <c r="EX45" s="601"/>
      <c r="EY45" s="601"/>
      <c r="EZ45" s="601" t="s">
        <v>149</v>
      </c>
      <c r="FA45" s="601"/>
      <c r="FB45" s="601" t="s">
        <v>2731</v>
      </c>
      <c r="FC45" s="601"/>
      <c r="FD45" s="601"/>
      <c r="FE45" s="601" t="s">
        <v>2731</v>
      </c>
      <c r="FF45" s="601"/>
      <c r="FG45" s="601"/>
      <c r="FH45" s="601"/>
      <c r="FI45" s="601"/>
      <c r="FJ45" s="601" t="s">
        <v>2767</v>
      </c>
      <c r="FK45" s="601" t="s">
        <v>2767</v>
      </c>
      <c r="FL45" s="601" t="s">
        <v>149</v>
      </c>
      <c r="FM45" s="601"/>
      <c r="FN45" s="601"/>
      <c r="FO45" s="601" t="s">
        <v>2642</v>
      </c>
      <c r="FP45" s="601" t="s">
        <v>2767</v>
      </c>
      <c r="FQ45" s="601"/>
      <c r="FR45" s="601"/>
      <c r="FS45" s="601"/>
      <c r="FT45" s="601"/>
      <c r="FU45" s="601"/>
      <c r="FV45" s="601" t="s">
        <v>149</v>
      </c>
      <c r="FW45" s="601" t="s">
        <v>149</v>
      </c>
      <c r="FX45" s="601" t="s">
        <v>3206</v>
      </c>
      <c r="FY45" s="601"/>
      <c r="FZ45" s="601"/>
      <c r="GA45" s="601"/>
      <c r="GB45" s="601" t="s">
        <v>2731</v>
      </c>
      <c r="GC45" s="601"/>
      <c r="GD45" s="601" t="s">
        <v>6655</v>
      </c>
      <c r="GE45" s="601" t="s">
        <v>2731</v>
      </c>
      <c r="GF45" s="601"/>
      <c r="GG45" s="601"/>
      <c r="GH45" s="601"/>
      <c r="GI45" s="601"/>
      <c r="GJ45" s="601"/>
      <c r="GK45" s="601"/>
      <c r="GL45" s="601" t="s">
        <v>2642</v>
      </c>
      <c r="GM45" s="601" t="s">
        <v>2985</v>
      </c>
      <c r="GN45" s="601" t="s">
        <v>2642</v>
      </c>
      <c r="GO45" s="601"/>
      <c r="GP45" s="601" t="s">
        <v>2642</v>
      </c>
      <c r="GQ45" s="601" t="s">
        <v>2642</v>
      </c>
      <c r="GR45" s="601" t="s">
        <v>2642</v>
      </c>
      <c r="GS45" s="601" t="s">
        <v>2642</v>
      </c>
      <c r="GT45" s="601"/>
      <c r="GU45" s="601" t="s">
        <v>2731</v>
      </c>
      <c r="GV45" s="601" t="s">
        <v>2642</v>
      </c>
      <c r="GW45" s="601" t="s">
        <v>3206</v>
      </c>
      <c r="GX45" s="601" t="s">
        <v>2816</v>
      </c>
      <c r="GY45" s="601"/>
      <c r="GZ45" s="601"/>
      <c r="HA45" s="601"/>
      <c r="HB45" s="601"/>
      <c r="HC45" s="601" t="s">
        <v>6659</v>
      </c>
      <c r="HD45" s="603" t="s">
        <v>149</v>
      </c>
      <c r="HE45" s="603" t="s">
        <v>149</v>
      </c>
      <c r="HF45" s="601"/>
      <c r="HG45" s="603" t="s">
        <v>149</v>
      </c>
      <c r="HH45" s="603" t="s">
        <v>2753</v>
      </c>
      <c r="HI45" s="601"/>
      <c r="HJ45" s="601"/>
      <c r="HK45" s="601"/>
      <c r="HL45" s="601" t="s">
        <v>149</v>
      </c>
      <c r="HM45" s="601"/>
      <c r="HN45" s="601"/>
      <c r="HO45" s="601" t="s">
        <v>149</v>
      </c>
      <c r="HP45" s="601"/>
      <c r="HQ45" s="601"/>
      <c r="HR45" s="603" t="s">
        <v>2731</v>
      </c>
      <c r="HS45" s="603" t="s">
        <v>2731</v>
      </c>
      <c r="HT45" s="601" t="s">
        <v>6645</v>
      </c>
      <c r="HU45" s="601"/>
      <c r="HV45" s="601"/>
      <c r="HW45" s="601"/>
      <c r="HX45" s="601"/>
      <c r="HY45" s="603" t="s">
        <v>149</v>
      </c>
      <c r="HZ45" s="603" t="s">
        <v>149</v>
      </c>
      <c r="IA45" s="603" t="s">
        <v>149</v>
      </c>
      <c r="IB45" s="601"/>
      <c r="IC45" s="601"/>
      <c r="ID45" s="604"/>
      <c r="IE45" s="604"/>
      <c r="IF45" s="604"/>
      <c r="IG45" s="604"/>
      <c r="IH45" s="604"/>
      <c r="II45" s="604"/>
      <c r="IJ45" s="604"/>
      <c r="IK45" s="604"/>
      <c r="IL45" s="604"/>
      <c r="IM45" s="604"/>
      <c r="IN45" s="604"/>
      <c r="IO45" s="604"/>
      <c r="IP45" s="604"/>
      <c r="IQ45" s="604"/>
      <c r="IR45" s="604"/>
      <c r="IS45" s="604"/>
      <c r="IT45" s="604"/>
      <c r="IU45" s="604"/>
      <c r="IV45" s="604"/>
      <c r="IW45" s="604"/>
      <c r="IX45" s="604"/>
      <c r="IY45" s="604"/>
      <c r="IZ45" s="604"/>
      <c r="JA45" s="604"/>
    </row>
    <row r="46" spans="1:261" ht="18" customHeight="1">
      <c r="A46" s="605" t="s">
        <v>181</v>
      </c>
      <c r="B46" s="576"/>
      <c r="C46" s="576" t="str">
        <f>IF(ISTEXT(IFERROR(VLOOKUP(A46,职业列表!I3:J15,1,FALSE),0)),"★","")</f>
        <v/>
      </c>
      <c r="D46" s="579"/>
      <c r="E46" s="579"/>
      <c r="F46" s="606" t="s">
        <v>2753</v>
      </c>
      <c r="G46" s="606" t="s">
        <v>2753</v>
      </c>
      <c r="H46" s="579"/>
      <c r="I46" s="579"/>
      <c r="J46" s="579"/>
      <c r="K46" s="579"/>
      <c r="L46" s="579"/>
      <c r="M46" s="579"/>
      <c r="N46" s="579"/>
      <c r="O46" s="579"/>
      <c r="P46" s="579"/>
      <c r="Q46" s="579"/>
      <c r="R46" s="579"/>
      <c r="S46" s="576"/>
      <c r="T46" s="579"/>
      <c r="U46" s="579"/>
      <c r="V46" s="579"/>
      <c r="W46" s="579"/>
      <c r="X46" s="579"/>
      <c r="Y46" s="579"/>
      <c r="Z46" s="579"/>
      <c r="AA46" s="579"/>
      <c r="AB46" s="579"/>
      <c r="AC46" s="579"/>
      <c r="AD46" s="579"/>
      <c r="AE46" s="579"/>
      <c r="AF46" s="579"/>
      <c r="AG46" s="579"/>
      <c r="AH46" s="576" t="s">
        <v>149</v>
      </c>
      <c r="AI46" s="579"/>
      <c r="AJ46" s="579"/>
      <c r="AK46" s="579"/>
      <c r="AL46" s="579"/>
      <c r="AM46" s="579"/>
      <c r="AN46" s="579"/>
      <c r="AO46" s="579"/>
      <c r="AP46" s="579"/>
      <c r="AQ46" s="579"/>
      <c r="AR46" s="579"/>
      <c r="AS46" s="579"/>
      <c r="AT46" s="579"/>
      <c r="AU46" s="579"/>
      <c r="AV46" s="576" t="s">
        <v>149</v>
      </c>
      <c r="AW46" s="579"/>
      <c r="AX46" s="579"/>
      <c r="AY46" s="579"/>
      <c r="AZ46" s="579"/>
      <c r="BA46" s="579"/>
      <c r="BB46" s="579"/>
      <c r="BC46" s="579"/>
      <c r="BD46" s="579"/>
      <c r="BE46" s="579"/>
      <c r="BF46" s="576"/>
      <c r="BG46" s="579" t="s">
        <v>6660</v>
      </c>
      <c r="BH46" s="579"/>
      <c r="BI46" s="579"/>
      <c r="BJ46" s="579"/>
      <c r="BK46" s="579"/>
      <c r="BL46" s="579"/>
      <c r="BM46" s="579"/>
      <c r="BN46" s="579"/>
      <c r="BO46" s="579"/>
      <c r="BP46" s="579"/>
      <c r="BQ46" s="579"/>
      <c r="BR46" s="579"/>
      <c r="BS46" s="579"/>
      <c r="BT46" s="579" t="s">
        <v>6661</v>
      </c>
      <c r="BU46" s="579"/>
      <c r="BV46" s="579"/>
      <c r="BW46" s="579"/>
      <c r="BX46" s="579"/>
      <c r="BY46" s="579"/>
      <c r="BZ46" s="579"/>
      <c r="CA46" s="579"/>
      <c r="CB46" s="579"/>
      <c r="CC46" s="576" t="s">
        <v>149</v>
      </c>
      <c r="CD46" s="579"/>
      <c r="CE46" s="579"/>
      <c r="CF46" s="579"/>
      <c r="CG46" s="579"/>
      <c r="CH46" s="579"/>
      <c r="CI46" s="579"/>
      <c r="CJ46" s="579"/>
      <c r="CK46" s="579"/>
      <c r="CL46" s="579"/>
      <c r="CM46" s="579"/>
      <c r="CN46" s="579"/>
      <c r="CO46" s="579"/>
      <c r="CP46" s="579"/>
      <c r="CQ46" s="579"/>
      <c r="CR46" s="579"/>
      <c r="CS46" s="579"/>
      <c r="CT46" s="579"/>
      <c r="CU46" s="579"/>
      <c r="CV46" s="579"/>
      <c r="CW46" s="579"/>
      <c r="CX46" s="579"/>
      <c r="CY46" s="579"/>
      <c r="CZ46" s="579"/>
      <c r="DA46" s="579"/>
      <c r="DB46" s="579"/>
      <c r="DC46" s="579"/>
      <c r="DD46" s="579"/>
      <c r="DE46" s="599" t="s">
        <v>6662</v>
      </c>
      <c r="DF46" s="579"/>
      <c r="DG46" s="579"/>
      <c r="DH46" s="579"/>
      <c r="DI46" s="579"/>
      <c r="DJ46" s="579"/>
      <c r="DK46" s="579"/>
      <c r="DL46" s="579"/>
      <c r="DM46" s="579"/>
      <c r="DN46" s="579"/>
      <c r="DO46" s="579"/>
      <c r="DP46" s="579"/>
      <c r="DQ46" s="579"/>
      <c r="DR46" s="579"/>
      <c r="DS46" s="576"/>
      <c r="DT46" s="576"/>
      <c r="DU46" s="576"/>
      <c r="DV46" s="576"/>
      <c r="DW46" s="576"/>
      <c r="DX46" s="576"/>
      <c r="DY46" s="576"/>
      <c r="DZ46" s="576"/>
      <c r="EA46" s="576"/>
      <c r="EB46" s="576"/>
      <c r="EC46" s="576"/>
      <c r="ED46" s="576"/>
      <c r="EE46" s="576"/>
      <c r="EF46" s="576"/>
      <c r="EG46" s="576"/>
      <c r="EH46" s="576"/>
      <c r="EI46" s="576"/>
      <c r="EJ46" s="576"/>
      <c r="EK46" s="576"/>
      <c r="EL46" s="576"/>
      <c r="EM46" s="576"/>
      <c r="EN46" s="576"/>
      <c r="EO46" s="576"/>
      <c r="EP46" s="576"/>
      <c r="EQ46" s="576"/>
      <c r="ER46" s="576"/>
      <c r="ES46" s="576"/>
      <c r="ET46" s="576"/>
      <c r="EU46" s="576"/>
      <c r="EV46" s="576"/>
      <c r="EW46" s="576"/>
      <c r="EX46" s="576"/>
      <c r="EY46" s="576"/>
      <c r="EZ46" s="576"/>
      <c r="FA46" s="576"/>
      <c r="FB46" s="576"/>
      <c r="FC46" s="576"/>
      <c r="FD46" s="576"/>
      <c r="FE46" s="576"/>
      <c r="FF46" s="576"/>
      <c r="FG46" s="576"/>
      <c r="FH46" s="576"/>
      <c r="FI46" s="576"/>
      <c r="FJ46" s="576"/>
      <c r="FK46" s="576" t="s">
        <v>149</v>
      </c>
      <c r="FL46" s="576"/>
      <c r="FM46" s="576"/>
      <c r="FN46" s="576"/>
      <c r="FO46" s="576"/>
      <c r="FP46" s="576" t="s">
        <v>149</v>
      </c>
      <c r="FQ46" s="576"/>
      <c r="FR46" s="576"/>
      <c r="FS46" s="576"/>
      <c r="FT46" s="576"/>
      <c r="FU46" s="576"/>
      <c r="FV46" s="576"/>
      <c r="FW46" s="576"/>
      <c r="FX46" s="576"/>
      <c r="FY46" s="576"/>
      <c r="FZ46" s="576"/>
      <c r="GA46" s="576"/>
      <c r="GB46" s="576"/>
      <c r="GC46" s="576"/>
      <c r="GD46" s="576" t="s">
        <v>6660</v>
      </c>
      <c r="GE46" s="576" t="s">
        <v>149</v>
      </c>
      <c r="GF46" s="576"/>
      <c r="GG46" s="576"/>
      <c r="GH46" s="576"/>
      <c r="GI46" s="576"/>
      <c r="GJ46" s="576"/>
      <c r="GK46" s="576"/>
      <c r="GL46" s="576" t="s">
        <v>2985</v>
      </c>
      <c r="GM46" s="576" t="s">
        <v>2894</v>
      </c>
      <c r="GN46" s="576" t="s">
        <v>6663</v>
      </c>
      <c r="GO46" s="576"/>
      <c r="GP46" s="576"/>
      <c r="GQ46" s="576"/>
      <c r="GR46" s="576"/>
      <c r="GS46" s="576" t="s">
        <v>2985</v>
      </c>
      <c r="GT46" s="576"/>
      <c r="GU46" s="576"/>
      <c r="GV46" s="576"/>
      <c r="GW46" s="576" t="s">
        <v>6664</v>
      </c>
      <c r="GX46" s="576"/>
      <c r="GY46" s="576"/>
      <c r="GZ46" s="576"/>
      <c r="HA46" s="576"/>
      <c r="HB46" s="576"/>
      <c r="HC46" s="576"/>
      <c r="HD46" s="579"/>
      <c r="HE46" s="579"/>
      <c r="HF46" s="579"/>
      <c r="HG46" s="579"/>
      <c r="HH46" s="579"/>
      <c r="HI46" s="579"/>
      <c r="HJ46" s="579"/>
      <c r="HK46" s="576"/>
      <c r="HL46" s="579"/>
      <c r="HM46" s="579"/>
      <c r="HN46" s="579"/>
      <c r="HO46" s="579"/>
      <c r="HP46" s="579"/>
      <c r="HQ46" s="579"/>
      <c r="HR46" s="579"/>
      <c r="HS46" s="579"/>
      <c r="HT46" s="579"/>
      <c r="HU46" s="579"/>
      <c r="HV46" s="579"/>
      <c r="HW46" s="579"/>
      <c r="HX46" s="579"/>
      <c r="HY46" s="579"/>
      <c r="HZ46" s="576"/>
      <c r="IA46" s="579"/>
      <c r="IB46" s="579"/>
      <c r="IC46" s="579"/>
      <c r="ID46" s="566"/>
      <c r="IE46" s="566"/>
      <c r="IF46" s="566"/>
      <c r="IG46" s="566"/>
      <c r="IH46" s="566"/>
      <c r="II46" s="566"/>
      <c r="IJ46" s="566"/>
      <c r="IK46" s="566"/>
      <c r="IL46" s="566"/>
      <c r="IM46" s="566"/>
      <c r="IN46" s="566"/>
      <c r="IO46" s="566"/>
      <c r="IP46" s="566"/>
      <c r="IQ46" s="566"/>
      <c r="IR46" s="566"/>
      <c r="IS46" s="566"/>
      <c r="IT46" s="566"/>
      <c r="IU46" s="566"/>
      <c r="IV46" s="566"/>
      <c r="IW46" s="566"/>
      <c r="IX46" s="566"/>
      <c r="IY46" s="566"/>
      <c r="IZ46" s="566"/>
      <c r="JA46" s="566"/>
    </row>
    <row r="47" spans="1:261" ht="18" customHeight="1">
      <c r="A47" s="605" t="s">
        <v>186</v>
      </c>
      <c r="B47" s="576"/>
      <c r="C47" s="576" t="str">
        <f>IF(ISTEXT(IFERROR(VLOOKUP(A47,职业列表!I3:J15,1,FALSE),0)),"★","")</f>
        <v/>
      </c>
      <c r="D47" s="579"/>
      <c r="E47" s="579"/>
      <c r="F47" s="579"/>
      <c r="G47" s="579"/>
      <c r="H47" s="579"/>
      <c r="I47" s="579"/>
      <c r="J47" s="579"/>
      <c r="K47" s="579"/>
      <c r="L47" s="579"/>
      <c r="M47" s="579"/>
      <c r="N47" s="579"/>
      <c r="O47" s="579"/>
      <c r="P47" s="579"/>
      <c r="Q47" s="579"/>
      <c r="R47" s="579"/>
      <c r="S47" s="579"/>
      <c r="T47" s="579"/>
      <c r="U47" s="579"/>
      <c r="V47" s="579"/>
      <c r="W47" s="579"/>
      <c r="X47" s="579"/>
      <c r="Y47" s="579"/>
      <c r="Z47" s="579"/>
      <c r="AA47" s="579"/>
      <c r="AB47" s="579"/>
      <c r="AC47" s="579"/>
      <c r="AD47" s="579"/>
      <c r="AE47" s="579"/>
      <c r="AF47" s="579"/>
      <c r="AG47" s="579"/>
      <c r="AH47" s="579"/>
      <c r="AI47" s="579"/>
      <c r="AJ47" s="579"/>
      <c r="AK47" s="579"/>
      <c r="AL47" s="579"/>
      <c r="AM47" s="579"/>
      <c r="AN47" s="579"/>
      <c r="AO47" s="579"/>
      <c r="AP47" s="579"/>
      <c r="AQ47" s="579"/>
      <c r="AR47" s="579"/>
      <c r="AS47" s="579"/>
      <c r="AT47" s="579"/>
      <c r="AU47" s="579"/>
      <c r="AV47" s="579"/>
      <c r="AW47" s="579"/>
      <c r="AX47" s="579"/>
      <c r="AY47" s="579"/>
      <c r="AZ47" s="579"/>
      <c r="BA47" s="579"/>
      <c r="BB47" s="579"/>
      <c r="BC47" s="579"/>
      <c r="BD47" s="579"/>
      <c r="BE47" s="579"/>
      <c r="BF47" s="579"/>
      <c r="BG47" s="579" t="s">
        <v>6665</v>
      </c>
      <c r="BH47" s="579"/>
      <c r="BI47" s="579"/>
      <c r="BJ47" s="579"/>
      <c r="BK47" s="579"/>
      <c r="BL47" s="579"/>
      <c r="BM47" s="579"/>
      <c r="BN47" s="579"/>
      <c r="BO47" s="579"/>
      <c r="BP47" s="579"/>
      <c r="BQ47" s="579"/>
      <c r="BR47" s="579"/>
      <c r="BS47" s="579"/>
      <c r="BT47" s="579"/>
      <c r="BU47" s="579"/>
      <c r="BV47" s="579"/>
      <c r="BW47" s="579"/>
      <c r="BX47" s="579"/>
      <c r="BY47" s="579"/>
      <c r="BZ47" s="579"/>
      <c r="CA47" s="579"/>
      <c r="CB47" s="579"/>
      <c r="CC47" s="576" t="s">
        <v>149</v>
      </c>
      <c r="CD47" s="579"/>
      <c r="CE47" s="579"/>
      <c r="CF47" s="579"/>
      <c r="CG47" s="579"/>
      <c r="CH47" s="579"/>
      <c r="CI47" s="579"/>
      <c r="CJ47" s="579"/>
      <c r="CK47" s="579"/>
      <c r="CL47" s="579"/>
      <c r="CM47" s="579"/>
      <c r="CN47" s="579"/>
      <c r="CO47" s="579"/>
      <c r="CP47" s="579"/>
      <c r="CQ47" s="579"/>
      <c r="CR47" s="579"/>
      <c r="CS47" s="579"/>
      <c r="CT47" s="579"/>
      <c r="CU47" s="579"/>
      <c r="CV47" s="579"/>
      <c r="CW47" s="579"/>
      <c r="CX47" s="579"/>
      <c r="CY47" s="579"/>
      <c r="CZ47" s="579"/>
      <c r="DA47" s="579"/>
      <c r="DB47" s="579"/>
      <c r="DC47" s="579"/>
      <c r="DD47" s="579"/>
      <c r="DE47" s="599" t="s">
        <v>6666</v>
      </c>
      <c r="DF47" s="579"/>
      <c r="DG47" s="579"/>
      <c r="DH47" s="579"/>
      <c r="DI47" s="579"/>
      <c r="DJ47" s="579"/>
      <c r="DK47" s="579"/>
      <c r="DL47" s="579"/>
      <c r="DM47" s="579"/>
      <c r="DN47" s="579"/>
      <c r="DO47" s="579"/>
      <c r="DP47" s="579"/>
      <c r="DQ47" s="579"/>
      <c r="DR47" s="579"/>
      <c r="DS47" s="576"/>
      <c r="DT47" s="576"/>
      <c r="DU47" s="576"/>
      <c r="DV47" s="576"/>
      <c r="DW47" s="576"/>
      <c r="DX47" s="576"/>
      <c r="DY47" s="576"/>
      <c r="DZ47" s="576"/>
      <c r="EA47" s="576"/>
      <c r="EB47" s="576"/>
      <c r="EC47" s="576"/>
      <c r="ED47" s="576"/>
      <c r="EE47" s="576"/>
      <c r="EF47" s="576"/>
      <c r="EG47" s="576"/>
      <c r="EH47" s="576"/>
      <c r="EI47" s="576"/>
      <c r="EJ47" s="576"/>
      <c r="EK47" s="576"/>
      <c r="EL47" s="576"/>
      <c r="EM47" s="576"/>
      <c r="EN47" s="576"/>
      <c r="EO47" s="576"/>
      <c r="EP47" s="576"/>
      <c r="EQ47" s="576"/>
      <c r="ER47" s="576"/>
      <c r="ES47" s="576"/>
      <c r="ET47" s="576"/>
      <c r="EU47" s="576"/>
      <c r="EV47" s="576"/>
      <c r="EW47" s="576"/>
      <c r="EX47" s="576"/>
      <c r="EY47" s="576"/>
      <c r="EZ47" s="576"/>
      <c r="FA47" s="576"/>
      <c r="FB47" s="576"/>
      <c r="FC47" s="576"/>
      <c r="FD47" s="576"/>
      <c r="FE47" s="576"/>
      <c r="FF47" s="576"/>
      <c r="FG47" s="576"/>
      <c r="FH47" s="576"/>
      <c r="FI47" s="576"/>
      <c r="FJ47" s="576"/>
      <c r="FK47" s="576"/>
      <c r="FL47" s="576"/>
      <c r="FM47" s="576"/>
      <c r="FN47" s="576"/>
      <c r="FO47" s="576"/>
      <c r="FP47" s="576"/>
      <c r="FQ47" s="576"/>
      <c r="FR47" s="576"/>
      <c r="FS47" s="576"/>
      <c r="FT47" s="576"/>
      <c r="FU47" s="576"/>
      <c r="FV47" s="576"/>
      <c r="FW47" s="576"/>
      <c r="FX47" s="576"/>
      <c r="FY47" s="576"/>
      <c r="FZ47" s="576"/>
      <c r="GA47" s="576"/>
      <c r="GB47" s="576"/>
      <c r="GC47" s="576"/>
      <c r="GD47" s="576" t="s">
        <v>6665</v>
      </c>
      <c r="GE47" s="576"/>
      <c r="GF47" s="576"/>
      <c r="GG47" s="576"/>
      <c r="GH47" s="576"/>
      <c r="GI47" s="576"/>
      <c r="GJ47" s="576"/>
      <c r="GK47" s="576"/>
      <c r="GL47" s="576" t="s">
        <v>2894</v>
      </c>
      <c r="GM47" s="576" t="s">
        <v>6657</v>
      </c>
      <c r="GN47" s="576" t="s">
        <v>3077</v>
      </c>
      <c r="GO47" s="576"/>
      <c r="GP47" s="576"/>
      <c r="GQ47" s="576"/>
      <c r="GR47" s="576"/>
      <c r="GS47" s="576" t="s">
        <v>6663</v>
      </c>
      <c r="GT47" s="576"/>
      <c r="GU47" s="576"/>
      <c r="GV47" s="576"/>
      <c r="GW47" s="576" t="s">
        <v>6667</v>
      </c>
      <c r="GX47" s="576"/>
      <c r="GY47" s="576"/>
      <c r="GZ47" s="576"/>
      <c r="HA47" s="576"/>
      <c r="HB47" s="576"/>
      <c r="HC47" s="576"/>
      <c r="HD47" s="579"/>
      <c r="HE47" s="579"/>
      <c r="HF47" s="579"/>
      <c r="HG47" s="579"/>
      <c r="HH47" s="579"/>
      <c r="HI47" s="579"/>
      <c r="HJ47" s="579"/>
      <c r="HK47" s="579"/>
      <c r="HL47" s="579"/>
      <c r="HM47" s="579"/>
      <c r="HN47" s="579"/>
      <c r="HO47" s="579"/>
      <c r="HP47" s="579"/>
      <c r="HQ47" s="579"/>
      <c r="HR47" s="579"/>
      <c r="HS47" s="579"/>
      <c r="HT47" s="579"/>
      <c r="HU47" s="579"/>
      <c r="HV47" s="579"/>
      <c r="HW47" s="579"/>
      <c r="HX47" s="579"/>
      <c r="HY47" s="579"/>
      <c r="HZ47" s="579"/>
      <c r="IA47" s="579"/>
      <c r="IB47" s="579"/>
      <c r="IC47" s="579"/>
      <c r="ID47" s="566"/>
      <c r="IE47" s="566"/>
      <c r="IF47" s="566"/>
      <c r="IG47" s="566"/>
      <c r="IH47" s="566"/>
      <c r="II47" s="566"/>
      <c r="IJ47" s="566"/>
      <c r="IK47" s="566"/>
      <c r="IL47" s="566"/>
      <c r="IM47" s="566"/>
      <c r="IN47" s="566"/>
      <c r="IO47" s="566"/>
      <c r="IP47" s="566"/>
      <c r="IQ47" s="566"/>
      <c r="IR47" s="566"/>
      <c r="IS47" s="566"/>
      <c r="IT47" s="566"/>
      <c r="IU47" s="566"/>
      <c r="IV47" s="566"/>
      <c r="IW47" s="566"/>
      <c r="IX47" s="566"/>
      <c r="IY47" s="566"/>
      <c r="IZ47" s="566"/>
      <c r="JA47" s="566"/>
    </row>
    <row r="48" spans="1:261" s="559" customFormat="1" ht="18" customHeight="1">
      <c r="A48" s="607" t="s">
        <v>6668</v>
      </c>
      <c r="B48" s="449"/>
      <c r="C48" s="449"/>
      <c r="D48" s="449"/>
      <c r="E48" s="449"/>
      <c r="F48" s="449"/>
      <c r="G48" s="449"/>
      <c r="H48" s="449"/>
      <c r="I48" s="449"/>
      <c r="J48" s="449"/>
      <c r="K48" s="449"/>
      <c r="L48" s="449"/>
      <c r="M48" s="449"/>
      <c r="N48" s="449"/>
      <c r="O48" s="449"/>
      <c r="P48" s="449"/>
      <c r="Q48" s="449"/>
      <c r="R48" s="449"/>
      <c r="S48" s="449"/>
      <c r="T48" s="449"/>
      <c r="U48" s="449"/>
      <c r="V48" s="449"/>
      <c r="W48" s="449"/>
      <c r="X48" s="449"/>
      <c r="Y48" s="449"/>
      <c r="Z48" s="449"/>
      <c r="AA48" s="449"/>
      <c r="AB48" s="449"/>
      <c r="AC48" s="449"/>
      <c r="AD48" s="449"/>
      <c r="AE48" s="449"/>
      <c r="AF48" s="449"/>
      <c r="AG48" s="449"/>
      <c r="AH48" s="449"/>
      <c r="AI48" s="449"/>
      <c r="AJ48" s="449"/>
      <c r="AK48" s="449"/>
      <c r="AL48" s="449"/>
      <c r="AM48" s="449"/>
      <c r="AN48" s="449"/>
      <c r="AO48" s="449"/>
      <c r="AP48" s="449"/>
      <c r="AQ48" s="449"/>
      <c r="AR48" s="449"/>
      <c r="AS48" s="449"/>
      <c r="AT48" s="449"/>
      <c r="AU48" s="449"/>
      <c r="AV48" s="449"/>
      <c r="AW48" s="449"/>
      <c r="AX48" s="449"/>
      <c r="AY48" s="449"/>
      <c r="AZ48" s="449"/>
      <c r="BA48" s="449"/>
      <c r="BB48" s="449"/>
      <c r="BC48" s="449"/>
      <c r="BD48" s="449"/>
      <c r="BE48" s="449"/>
      <c r="BF48" s="449"/>
      <c r="BG48" s="449"/>
      <c r="BH48" s="449"/>
      <c r="BI48" s="449"/>
      <c r="BJ48" s="449"/>
      <c r="BK48" s="449"/>
      <c r="BL48" s="449"/>
      <c r="BM48" s="449"/>
      <c r="BN48" s="449"/>
      <c r="BO48" s="449"/>
      <c r="BP48" s="449"/>
      <c r="BQ48" s="449"/>
      <c r="BR48" s="449"/>
      <c r="BS48" s="449"/>
      <c r="BT48" s="449"/>
      <c r="BU48" s="449"/>
      <c r="BV48" s="449"/>
      <c r="BW48" s="449"/>
      <c r="BX48" s="449"/>
      <c r="BY48" s="449"/>
      <c r="BZ48" s="449"/>
      <c r="CA48" s="449"/>
      <c r="CB48" s="449"/>
      <c r="CC48" s="449"/>
      <c r="CD48" s="449"/>
      <c r="CE48" s="449"/>
      <c r="CF48" s="449"/>
      <c r="CG48" s="449"/>
      <c r="CH48" s="449"/>
      <c r="CI48" s="449"/>
      <c r="CJ48" s="449"/>
      <c r="CK48" s="449"/>
      <c r="CL48" s="449"/>
      <c r="CM48" s="449"/>
      <c r="CN48" s="449"/>
      <c r="CO48" s="449"/>
      <c r="CP48" s="449"/>
      <c r="CQ48" s="449"/>
      <c r="CR48" s="449"/>
      <c r="CS48" s="449"/>
      <c r="CT48" s="449"/>
      <c r="CU48" s="449"/>
      <c r="CV48" s="449"/>
      <c r="CW48" s="449"/>
      <c r="CX48" s="449"/>
      <c r="CY48" s="449"/>
      <c r="CZ48" s="449"/>
      <c r="DA48" s="449"/>
      <c r="DB48" s="449"/>
      <c r="DC48" s="449"/>
      <c r="DD48" s="449"/>
      <c r="DE48" s="449"/>
      <c r="DF48" s="449"/>
      <c r="DG48" s="449"/>
      <c r="DH48" s="449"/>
      <c r="DI48" s="449"/>
      <c r="DJ48" s="449"/>
      <c r="DK48" s="449"/>
      <c r="DL48" s="449"/>
      <c r="DM48" s="449"/>
      <c r="DN48" s="449"/>
      <c r="DO48" s="449"/>
      <c r="DP48" s="449"/>
      <c r="DQ48" s="449"/>
      <c r="DR48" s="449"/>
      <c r="DS48" s="449"/>
      <c r="DT48" s="449"/>
      <c r="DU48" s="449"/>
      <c r="DV48" s="449"/>
      <c r="DW48" s="449"/>
      <c r="DX48" s="449"/>
      <c r="DY48" s="449"/>
      <c r="DZ48" s="449"/>
      <c r="EA48" s="449"/>
      <c r="EB48" s="449"/>
      <c r="EC48" s="449"/>
      <c r="ED48" s="449"/>
      <c r="EE48" s="449"/>
      <c r="EF48" s="449"/>
      <c r="EG48" s="449"/>
      <c r="EH48" s="449"/>
      <c r="EI48" s="449"/>
      <c r="EJ48" s="449"/>
      <c r="EK48" s="449"/>
      <c r="EL48" s="449"/>
      <c r="EM48" s="449"/>
      <c r="EN48" s="449"/>
      <c r="EO48" s="449"/>
      <c r="EP48" s="449"/>
      <c r="EQ48" s="449"/>
      <c r="ER48" s="449"/>
      <c r="ES48" s="449"/>
      <c r="ET48" s="449"/>
      <c r="EU48" s="449"/>
      <c r="EV48" s="449"/>
      <c r="EW48" s="449"/>
      <c r="EX48" s="449"/>
      <c r="EY48" s="449"/>
      <c r="EZ48" s="449"/>
      <c r="FA48" s="449"/>
      <c r="FB48" s="449"/>
      <c r="FC48" s="449"/>
      <c r="FD48" s="449"/>
      <c r="FE48" s="449"/>
      <c r="FF48" s="449"/>
      <c r="FG48" s="449"/>
      <c r="FH48" s="449"/>
      <c r="FI48" s="449"/>
      <c r="FJ48" s="449"/>
      <c r="FK48" s="449"/>
      <c r="FL48" s="449"/>
      <c r="FM48" s="449"/>
      <c r="FN48" s="449"/>
      <c r="FO48" s="449"/>
      <c r="FP48" s="449"/>
      <c r="FQ48" s="449"/>
      <c r="FR48" s="449"/>
      <c r="FS48" s="449"/>
      <c r="FT48" s="449"/>
      <c r="FU48" s="449"/>
      <c r="FV48" s="449"/>
      <c r="FW48" s="449"/>
      <c r="FX48" s="449"/>
      <c r="FY48" s="449"/>
      <c r="FZ48" s="449"/>
      <c r="GA48" s="449"/>
      <c r="GB48" s="449"/>
      <c r="GC48" s="449"/>
      <c r="GD48" s="449"/>
      <c r="GE48" s="449"/>
      <c r="GF48" s="449"/>
      <c r="GG48" s="449"/>
      <c r="GH48" s="449"/>
      <c r="GI48" s="449"/>
      <c r="GJ48" s="449"/>
      <c r="GK48" s="449"/>
      <c r="GL48" s="449"/>
      <c r="GM48" s="449"/>
      <c r="GN48" s="449"/>
      <c r="GO48" s="449"/>
      <c r="GP48" s="449"/>
      <c r="GQ48" s="449"/>
      <c r="GR48" s="449"/>
      <c r="GS48" s="449"/>
      <c r="GT48" s="449"/>
      <c r="GU48" s="449"/>
      <c r="GV48" s="449"/>
      <c r="GW48" s="449"/>
      <c r="GX48" s="449"/>
      <c r="GY48" s="449"/>
      <c r="GZ48" s="449"/>
      <c r="HA48" s="449"/>
      <c r="HB48" s="449"/>
      <c r="HC48" s="449"/>
      <c r="HD48" s="449"/>
      <c r="HE48" s="449"/>
      <c r="HF48" s="449"/>
      <c r="HG48" s="449"/>
      <c r="HH48" s="449"/>
      <c r="HI48" s="449"/>
      <c r="HJ48" s="449"/>
      <c r="HK48" s="449"/>
      <c r="HL48" s="449"/>
      <c r="HM48" s="449"/>
      <c r="HN48" s="449"/>
      <c r="HO48" s="449"/>
      <c r="HP48" s="449"/>
      <c r="HQ48" s="449"/>
      <c r="HR48" s="449"/>
      <c r="HS48" s="449"/>
      <c r="HT48" s="449"/>
      <c r="HU48" s="449"/>
      <c r="HV48" s="449"/>
      <c r="HW48" s="449"/>
      <c r="HX48" s="449"/>
      <c r="HY48" s="449"/>
      <c r="HZ48" s="449"/>
      <c r="IA48" s="449"/>
      <c r="IB48" s="449"/>
      <c r="IC48" s="449"/>
      <c r="ID48" s="449"/>
      <c r="IE48" s="449"/>
      <c r="IF48" s="449"/>
      <c r="IG48" s="449"/>
      <c r="IH48" s="449"/>
      <c r="II48" s="449"/>
      <c r="IJ48" s="449"/>
      <c r="IK48" s="449"/>
      <c r="IL48" s="449"/>
      <c r="IM48" s="449"/>
      <c r="IN48" s="449"/>
      <c r="IO48" s="449"/>
      <c r="IP48" s="449"/>
      <c r="IQ48" s="449"/>
      <c r="IR48" s="449"/>
      <c r="IS48" s="449"/>
      <c r="IT48" s="449"/>
      <c r="IU48" s="449"/>
      <c r="IV48" s="449"/>
      <c r="IW48" s="449"/>
      <c r="IX48" s="449"/>
      <c r="IY48" s="449"/>
      <c r="IZ48" s="449"/>
      <c r="JA48" s="449"/>
    </row>
    <row r="49" spans="1:261" s="559" customFormat="1" ht="18" customHeight="1">
      <c r="A49" s="607" t="s">
        <v>6669</v>
      </c>
      <c r="B49" s="449"/>
      <c r="C49" s="449"/>
      <c r="D49" s="449"/>
      <c r="E49" s="449"/>
      <c r="F49" s="449"/>
      <c r="G49" s="449"/>
      <c r="H49" s="449"/>
      <c r="I49" s="449"/>
      <c r="J49" s="449"/>
      <c r="K49" s="449"/>
      <c r="L49" s="449"/>
      <c r="M49" s="449"/>
      <c r="N49" s="449"/>
      <c r="O49" s="449"/>
      <c r="P49" s="449"/>
      <c r="Q49" s="449"/>
      <c r="R49" s="449"/>
      <c r="S49" s="449"/>
      <c r="T49" s="449"/>
      <c r="U49" s="449"/>
      <c r="V49" s="449"/>
      <c r="W49" s="449"/>
      <c r="X49" s="449"/>
      <c r="Y49" s="449"/>
      <c r="Z49" s="449"/>
      <c r="AA49" s="449"/>
      <c r="AB49" s="449"/>
      <c r="AC49" s="449"/>
      <c r="AD49" s="449"/>
      <c r="AE49" s="449"/>
      <c r="AF49" s="449"/>
      <c r="AG49" s="449"/>
      <c r="AH49" s="449"/>
      <c r="AI49" s="449"/>
      <c r="AJ49" s="449"/>
      <c r="AK49" s="449"/>
      <c r="AL49" s="449"/>
      <c r="AM49" s="449"/>
      <c r="AN49" s="449"/>
      <c r="AO49" s="449"/>
      <c r="AP49" s="449"/>
      <c r="AQ49" s="449"/>
      <c r="AR49" s="449"/>
      <c r="AS49" s="449"/>
      <c r="AT49" s="449"/>
      <c r="AU49" s="449"/>
      <c r="AV49" s="449"/>
      <c r="AW49" s="449"/>
      <c r="AX49" s="449"/>
      <c r="AY49" s="449"/>
      <c r="AZ49" s="449"/>
      <c r="BA49" s="449"/>
      <c r="BB49" s="449"/>
      <c r="BC49" s="449"/>
      <c r="BD49" s="449"/>
      <c r="BE49" s="449"/>
      <c r="BF49" s="449"/>
      <c r="BG49" s="449"/>
      <c r="BH49" s="449"/>
      <c r="BI49" s="449"/>
      <c r="BJ49" s="449"/>
      <c r="BK49" s="449"/>
      <c r="BL49" s="449"/>
      <c r="BM49" s="449"/>
      <c r="BN49" s="449"/>
      <c r="BO49" s="449"/>
      <c r="BP49" s="449"/>
      <c r="BQ49" s="449"/>
      <c r="BR49" s="449"/>
      <c r="BS49" s="449"/>
      <c r="BT49" s="449"/>
      <c r="BU49" s="449"/>
      <c r="BV49" s="449"/>
      <c r="BW49" s="449"/>
      <c r="BX49" s="449"/>
      <c r="BY49" s="449"/>
      <c r="BZ49" s="449"/>
      <c r="CA49" s="449"/>
      <c r="CB49" s="449"/>
      <c r="CC49" s="449"/>
      <c r="CD49" s="449"/>
      <c r="CE49" s="449"/>
      <c r="CF49" s="449"/>
      <c r="CG49" s="449"/>
      <c r="CH49" s="449"/>
      <c r="CI49" s="449"/>
      <c r="CJ49" s="449"/>
      <c r="CK49" s="449"/>
      <c r="CL49" s="449"/>
      <c r="CM49" s="449"/>
      <c r="CN49" s="449"/>
      <c r="CO49" s="449"/>
      <c r="CP49" s="449"/>
      <c r="CQ49" s="449"/>
      <c r="CR49" s="449"/>
      <c r="CS49" s="449"/>
      <c r="CT49" s="449"/>
      <c r="CU49" s="449"/>
      <c r="CV49" s="449"/>
      <c r="CW49" s="449"/>
      <c r="CX49" s="449"/>
      <c r="CY49" s="449"/>
      <c r="CZ49" s="449"/>
      <c r="DA49" s="449"/>
      <c r="DB49" s="449"/>
      <c r="DC49" s="449"/>
      <c r="DD49" s="449"/>
      <c r="DE49" s="449"/>
      <c r="DF49" s="449"/>
      <c r="DG49" s="449"/>
      <c r="DH49" s="449"/>
      <c r="DI49" s="449"/>
      <c r="DJ49" s="449"/>
      <c r="DK49" s="449"/>
      <c r="DL49" s="449"/>
      <c r="DM49" s="449"/>
      <c r="DN49" s="449"/>
      <c r="DO49" s="449"/>
      <c r="DP49" s="449"/>
      <c r="DQ49" s="449"/>
      <c r="DR49" s="449"/>
      <c r="DS49" s="449"/>
      <c r="DT49" s="449"/>
      <c r="DU49" s="449"/>
      <c r="DV49" s="449"/>
      <c r="DW49" s="449"/>
      <c r="DX49" s="449"/>
      <c r="DY49" s="449"/>
      <c r="DZ49" s="449"/>
      <c r="EA49" s="449"/>
      <c r="EB49" s="449"/>
      <c r="EC49" s="449"/>
      <c r="ED49" s="449"/>
      <c r="EE49" s="449"/>
      <c r="EF49" s="449"/>
      <c r="EG49" s="449"/>
      <c r="EH49" s="449"/>
      <c r="EI49" s="449"/>
      <c r="EJ49" s="449"/>
      <c r="EK49" s="449"/>
      <c r="EL49" s="449"/>
      <c r="EM49" s="449"/>
      <c r="EN49" s="449"/>
      <c r="EO49" s="449"/>
      <c r="EP49" s="449"/>
      <c r="EQ49" s="449"/>
      <c r="ER49" s="449"/>
      <c r="ES49" s="449"/>
      <c r="ET49" s="449"/>
      <c r="EU49" s="449"/>
      <c r="EV49" s="449"/>
      <c r="EW49" s="449"/>
      <c r="EX49" s="449"/>
      <c r="EY49" s="449"/>
      <c r="EZ49" s="449"/>
      <c r="FA49" s="449"/>
      <c r="FB49" s="449"/>
      <c r="FC49" s="449"/>
      <c r="FD49" s="449"/>
      <c r="FE49" s="449"/>
      <c r="FF49" s="449"/>
      <c r="FG49" s="449"/>
      <c r="FH49" s="449"/>
      <c r="FI49" s="449"/>
      <c r="FJ49" s="449"/>
      <c r="FK49" s="449"/>
      <c r="FL49" s="449"/>
      <c r="FM49" s="449"/>
      <c r="FN49" s="449"/>
      <c r="FO49" s="449"/>
      <c r="FP49" s="449"/>
      <c r="FQ49" s="449"/>
      <c r="FR49" s="449"/>
      <c r="FS49" s="449"/>
      <c r="FT49" s="449"/>
      <c r="FU49" s="449"/>
      <c r="FV49" s="449"/>
      <c r="FW49" s="449"/>
      <c r="FX49" s="449"/>
      <c r="FY49" s="449"/>
      <c r="FZ49" s="449"/>
      <c r="GA49" s="449"/>
      <c r="GB49" s="449"/>
      <c r="GC49" s="449"/>
      <c r="GD49" s="449"/>
      <c r="GE49" s="449"/>
      <c r="GF49" s="449"/>
      <c r="GG49" s="449"/>
      <c r="GH49" s="449"/>
      <c r="GI49" s="449"/>
      <c r="GJ49" s="449"/>
      <c r="GK49" s="449"/>
      <c r="GL49" s="449"/>
      <c r="GM49" s="449"/>
      <c r="GN49" s="449"/>
      <c r="GO49" s="449"/>
      <c r="GP49" s="449"/>
      <c r="GQ49" s="449"/>
      <c r="GR49" s="449"/>
      <c r="GS49" s="449"/>
      <c r="GT49" s="449"/>
      <c r="GU49" s="449"/>
      <c r="GV49" s="449"/>
      <c r="GW49" s="449"/>
      <c r="GX49" s="449"/>
      <c r="GY49" s="449"/>
      <c r="GZ49" s="449"/>
      <c r="HA49" s="449"/>
      <c r="HB49" s="449"/>
      <c r="HC49" s="449"/>
      <c r="HD49" s="449"/>
      <c r="HE49" s="449"/>
      <c r="HF49" s="449"/>
      <c r="HG49" s="449"/>
      <c r="HH49" s="449"/>
      <c r="HI49" s="449"/>
      <c r="HJ49" s="449"/>
      <c r="HK49" s="449"/>
      <c r="HL49" s="449"/>
      <c r="HM49" s="449"/>
      <c r="HN49" s="449"/>
      <c r="HO49" s="449"/>
      <c r="HP49" s="449"/>
      <c r="HQ49" s="449"/>
      <c r="HR49" s="449"/>
      <c r="HS49" s="449"/>
      <c r="HT49" s="449"/>
      <c r="HU49" s="449"/>
      <c r="HV49" s="449"/>
      <c r="HW49" s="449"/>
      <c r="HX49" s="449"/>
      <c r="HY49" s="449"/>
      <c r="HZ49" s="449"/>
      <c r="IA49" s="449"/>
      <c r="IB49" s="449"/>
      <c r="IC49" s="449"/>
      <c r="ID49" s="449"/>
      <c r="IE49" s="449"/>
      <c r="IF49" s="449"/>
      <c r="IG49" s="449"/>
      <c r="IH49" s="449"/>
      <c r="II49" s="449"/>
      <c r="IJ49" s="449"/>
      <c r="IK49" s="449"/>
      <c r="IL49" s="449"/>
      <c r="IM49" s="449"/>
      <c r="IN49" s="449"/>
      <c r="IO49" s="449"/>
      <c r="IP49" s="449"/>
      <c r="IQ49" s="449"/>
      <c r="IR49" s="449"/>
      <c r="IS49" s="449"/>
      <c r="IT49" s="449"/>
      <c r="IU49" s="449"/>
      <c r="IV49" s="449"/>
      <c r="IW49" s="449"/>
      <c r="IX49" s="449"/>
      <c r="IY49" s="449"/>
      <c r="IZ49" s="449"/>
      <c r="JA49" s="449"/>
    </row>
    <row r="50" spans="1:261" s="559" customFormat="1" ht="18" customHeight="1">
      <c r="A50" s="608" t="s">
        <v>167</v>
      </c>
      <c r="B50" s="609"/>
      <c r="C50" s="576" t="str">
        <f>IF(ISTEXT(IFERROR(VLOOKUP(A50,职业列表!I3:J15,1,FALSE),0)),"★","")</f>
        <v/>
      </c>
      <c r="D50" s="609"/>
      <c r="E50" s="609"/>
      <c r="F50" s="609"/>
      <c r="G50" s="610" t="s">
        <v>6670</v>
      </c>
      <c r="H50" s="609"/>
      <c r="I50" s="609"/>
      <c r="J50" s="609"/>
      <c r="K50" s="609"/>
      <c r="L50" s="609"/>
      <c r="M50" s="609"/>
      <c r="N50" s="609" t="s">
        <v>6671</v>
      </c>
      <c r="O50" s="609" t="s">
        <v>6670</v>
      </c>
      <c r="P50" s="609"/>
      <c r="Q50" s="609"/>
      <c r="R50" s="611" t="s">
        <v>6642</v>
      </c>
      <c r="S50" s="609" t="s">
        <v>4631</v>
      </c>
      <c r="T50" s="609"/>
      <c r="U50" s="609"/>
      <c r="V50" s="609"/>
      <c r="W50" s="609"/>
      <c r="X50" s="609"/>
      <c r="Y50" s="609" t="s">
        <v>6671</v>
      </c>
      <c r="Z50" s="609"/>
      <c r="AA50" s="609"/>
      <c r="AB50" s="609"/>
      <c r="AC50" s="609"/>
      <c r="AD50" s="609"/>
      <c r="AE50" s="609" t="s">
        <v>4631</v>
      </c>
      <c r="AF50" s="609"/>
      <c r="AG50" s="609"/>
      <c r="AH50" s="609"/>
      <c r="AI50" s="609"/>
      <c r="AJ50" s="609"/>
      <c r="AK50" s="609"/>
      <c r="AL50" s="609"/>
      <c r="AM50" s="609"/>
      <c r="AN50" s="609"/>
      <c r="AO50" s="609"/>
      <c r="AP50" s="609"/>
      <c r="AQ50" s="609"/>
      <c r="AR50" s="609"/>
      <c r="AS50" s="609"/>
      <c r="AT50" s="609"/>
      <c r="AU50" s="609"/>
      <c r="AV50" s="609"/>
      <c r="AW50" s="609"/>
      <c r="AX50" s="609" t="s">
        <v>6671</v>
      </c>
      <c r="AY50" s="609" t="s">
        <v>6671</v>
      </c>
      <c r="AZ50" s="609"/>
      <c r="BA50" s="609"/>
      <c r="BB50" s="609"/>
      <c r="BC50" s="609"/>
      <c r="BD50" s="609"/>
      <c r="BE50" s="609"/>
      <c r="BF50" s="609" t="s">
        <v>6672</v>
      </c>
      <c r="BG50" s="609"/>
      <c r="BH50" s="609"/>
      <c r="BI50" s="609"/>
      <c r="BJ50" s="609"/>
      <c r="BK50" s="609"/>
      <c r="BL50" s="609"/>
      <c r="BM50" s="609" t="s">
        <v>6671</v>
      </c>
      <c r="BN50" s="609"/>
      <c r="BO50" s="609"/>
      <c r="BP50" s="609"/>
      <c r="BQ50" s="609"/>
      <c r="BR50" s="609"/>
      <c r="BS50" s="609"/>
      <c r="BT50" s="609"/>
      <c r="BU50" s="609"/>
      <c r="BV50" s="609"/>
      <c r="BW50" s="609" t="s">
        <v>4575</v>
      </c>
      <c r="BX50" s="612"/>
      <c r="BY50" s="609" t="s">
        <v>6673</v>
      </c>
      <c r="BZ50" s="609" t="s">
        <v>6674</v>
      </c>
      <c r="CA50" s="609"/>
      <c r="CB50" s="609"/>
      <c r="CC50" s="609"/>
      <c r="CD50" s="609"/>
      <c r="CE50" s="609"/>
      <c r="CF50" s="609"/>
      <c r="CG50" s="609"/>
      <c r="CH50" s="609"/>
      <c r="CI50" s="609" t="s">
        <v>6671</v>
      </c>
      <c r="CJ50" s="611" t="s">
        <v>4641</v>
      </c>
      <c r="CK50" s="609"/>
      <c r="CL50" s="609"/>
      <c r="CM50" s="609" t="s">
        <v>4575</v>
      </c>
      <c r="CN50" s="609" t="s">
        <v>4575</v>
      </c>
      <c r="CO50" s="609" t="s">
        <v>4575</v>
      </c>
      <c r="CP50" s="609" t="s">
        <v>6675</v>
      </c>
      <c r="CQ50" s="609"/>
      <c r="CR50" s="609"/>
      <c r="CS50" s="609"/>
      <c r="CT50" s="609"/>
      <c r="CU50" s="609"/>
      <c r="CV50" s="609" t="s">
        <v>6674</v>
      </c>
      <c r="CW50" s="609"/>
      <c r="CX50" s="609" t="s">
        <v>6671</v>
      </c>
      <c r="CY50" s="609"/>
      <c r="CZ50" s="609"/>
      <c r="DA50" s="609"/>
      <c r="DB50" s="609"/>
      <c r="DC50" s="609"/>
      <c r="DD50" s="609" t="s">
        <v>149</v>
      </c>
      <c r="DE50" s="609"/>
      <c r="DF50" s="609"/>
      <c r="DG50" s="609"/>
      <c r="DH50" s="609"/>
      <c r="DI50" s="609"/>
      <c r="DJ50" s="609"/>
      <c r="DK50" s="609"/>
      <c r="DL50" s="609" t="s">
        <v>6671</v>
      </c>
      <c r="DM50" s="609"/>
      <c r="DN50" s="609"/>
      <c r="DO50" s="609"/>
      <c r="DP50" s="609"/>
      <c r="DQ50" s="609"/>
      <c r="DR50" s="609" t="s">
        <v>4678</v>
      </c>
      <c r="DS50" s="609"/>
      <c r="DT50" s="609"/>
      <c r="DU50" s="609"/>
      <c r="DV50" s="609"/>
      <c r="DW50" s="609"/>
      <c r="DX50" s="609"/>
      <c r="DY50" s="609"/>
      <c r="DZ50" s="609"/>
      <c r="EA50" s="609"/>
      <c r="EB50" s="609"/>
      <c r="EC50" s="609"/>
      <c r="ED50" s="609"/>
      <c r="EE50" s="609"/>
      <c r="EF50" s="609"/>
      <c r="EG50" s="609"/>
      <c r="EH50" s="609"/>
      <c r="EI50" s="609"/>
      <c r="EJ50" s="609"/>
      <c r="EK50" s="609" t="s">
        <v>6671</v>
      </c>
      <c r="EL50" s="609" t="s">
        <v>6671</v>
      </c>
      <c r="EM50" s="609" t="s">
        <v>6671</v>
      </c>
      <c r="EN50" s="609"/>
      <c r="EO50" s="609"/>
      <c r="EP50" s="609"/>
      <c r="EQ50" s="609" t="s">
        <v>4575</v>
      </c>
      <c r="ER50" s="609"/>
      <c r="ES50" s="609"/>
      <c r="ET50" s="609"/>
      <c r="EU50" s="609"/>
      <c r="EV50" s="609"/>
      <c r="EW50" s="609"/>
      <c r="EX50" s="609"/>
      <c r="EY50" s="609"/>
      <c r="EZ50" s="609"/>
      <c r="FA50" s="609"/>
      <c r="FB50" s="609"/>
      <c r="FC50" s="609"/>
      <c r="FD50" s="609"/>
      <c r="FE50" s="609" t="s">
        <v>6671</v>
      </c>
      <c r="FF50" s="609" t="s">
        <v>4678</v>
      </c>
      <c r="FG50" s="609"/>
      <c r="FH50" s="609"/>
      <c r="FI50" s="609"/>
      <c r="FJ50" s="609"/>
      <c r="FK50" s="609"/>
      <c r="FL50" s="609" t="s">
        <v>6675</v>
      </c>
      <c r="FM50" s="609"/>
      <c r="FN50" s="609" t="s">
        <v>6642</v>
      </c>
      <c r="FO50" s="609"/>
      <c r="FP50" s="609" t="s">
        <v>6675</v>
      </c>
      <c r="FQ50" s="609" t="s">
        <v>4575</v>
      </c>
      <c r="FR50" s="609"/>
      <c r="FS50" s="609"/>
      <c r="FT50" s="609"/>
      <c r="FU50" s="609" t="s">
        <v>6675</v>
      </c>
      <c r="FV50" s="609"/>
      <c r="FW50" s="609"/>
      <c r="FX50" s="609"/>
      <c r="FY50" s="609" t="s">
        <v>6670</v>
      </c>
      <c r="FZ50" s="609" t="s">
        <v>4575</v>
      </c>
      <c r="GA50" s="609" t="s">
        <v>4678</v>
      </c>
      <c r="GB50" s="609" t="s">
        <v>4575</v>
      </c>
      <c r="GC50" s="609"/>
      <c r="GD50" s="609"/>
      <c r="GE50" s="609"/>
      <c r="GF50" s="609"/>
      <c r="GG50" s="609"/>
      <c r="GH50" s="609"/>
      <c r="GI50" s="609"/>
      <c r="GJ50" s="609"/>
      <c r="GK50" s="609"/>
      <c r="GL50" s="609"/>
      <c r="GM50" s="609"/>
      <c r="GN50" s="609"/>
      <c r="GO50" s="609"/>
      <c r="GP50" s="609"/>
      <c r="GQ50" s="609"/>
      <c r="GR50" s="609"/>
      <c r="GS50" s="609"/>
      <c r="GT50" s="609"/>
      <c r="GU50" s="609" t="s">
        <v>6676</v>
      </c>
      <c r="GV50" s="609"/>
      <c r="GW50" s="609"/>
      <c r="GX50" s="609" t="s">
        <v>6671</v>
      </c>
      <c r="GY50" s="609"/>
      <c r="GZ50" s="609"/>
      <c r="HA50" s="609"/>
      <c r="HB50" s="609"/>
      <c r="HC50" s="609"/>
      <c r="HD50" s="609"/>
      <c r="HE50" s="609"/>
      <c r="HF50" s="609"/>
      <c r="HG50" s="609"/>
      <c r="HH50" s="609"/>
      <c r="HI50" s="609"/>
      <c r="HJ50" s="609"/>
      <c r="HK50" s="611" t="s">
        <v>4575</v>
      </c>
      <c r="HL50" s="609"/>
      <c r="HM50" s="609"/>
      <c r="HN50" s="609"/>
      <c r="HO50" s="609"/>
      <c r="HP50" s="609"/>
      <c r="HQ50" s="609" t="s">
        <v>6671</v>
      </c>
      <c r="HR50" s="609"/>
      <c r="HS50" s="609"/>
      <c r="HT50" s="609"/>
      <c r="HU50" s="609"/>
      <c r="HV50" s="611" t="s">
        <v>6671</v>
      </c>
      <c r="HW50" s="609"/>
      <c r="HX50" s="609"/>
      <c r="HY50" s="609"/>
      <c r="HZ50" s="609"/>
      <c r="IA50" s="609"/>
      <c r="IB50" s="609"/>
      <c r="IC50" s="609"/>
      <c r="ID50" s="613"/>
      <c r="IE50" s="613"/>
      <c r="IF50" s="613"/>
      <c r="IG50" s="613"/>
      <c r="IH50" s="613"/>
      <c r="II50" s="613"/>
      <c r="IJ50" s="613"/>
      <c r="IK50" s="613"/>
      <c r="IL50" s="613"/>
      <c r="IM50" s="613"/>
      <c r="IN50" s="613"/>
      <c r="IO50" s="613"/>
      <c r="IP50" s="613"/>
      <c r="IQ50" s="613"/>
      <c r="IR50" s="613"/>
      <c r="IS50" s="613"/>
      <c r="IT50" s="613"/>
      <c r="IU50" s="613"/>
      <c r="IV50" s="613"/>
      <c r="IW50" s="613"/>
      <c r="IX50" s="613"/>
      <c r="IY50" s="613"/>
      <c r="IZ50" s="613"/>
      <c r="JA50" s="613"/>
    </row>
    <row r="51" spans="1:261" ht="18" customHeight="1">
      <c r="A51" s="605" t="s">
        <v>169</v>
      </c>
      <c r="B51" s="576"/>
      <c r="C51" s="576" t="str">
        <f>IF(ISTEXT(IFERROR(VLOOKUP(A51,职业列表!I3:J15,1,FALSE),0)),"★","")</f>
        <v/>
      </c>
      <c r="D51" s="579"/>
      <c r="E51" s="579"/>
      <c r="F51" s="579"/>
      <c r="G51" s="579"/>
      <c r="H51" s="579"/>
      <c r="I51" s="579"/>
      <c r="J51" s="579"/>
      <c r="K51" s="579"/>
      <c r="L51" s="579"/>
      <c r="M51" s="579"/>
      <c r="N51" s="579" t="s">
        <v>4575</v>
      </c>
      <c r="O51" s="579"/>
      <c r="P51" s="579"/>
      <c r="Q51" s="579"/>
      <c r="R51" s="579"/>
      <c r="S51" s="579"/>
      <c r="T51" s="579"/>
      <c r="U51" s="579"/>
      <c r="V51" s="579"/>
      <c r="W51" s="579"/>
      <c r="X51" s="579"/>
      <c r="Y51" s="579" t="s">
        <v>6677</v>
      </c>
      <c r="Z51" s="579"/>
      <c r="AA51" s="579"/>
      <c r="AB51" s="579"/>
      <c r="AC51" s="579"/>
      <c r="AD51" s="579"/>
      <c r="AE51" s="579"/>
      <c r="AF51" s="579"/>
      <c r="AG51" s="579"/>
      <c r="AH51" s="579"/>
      <c r="AI51" s="579"/>
      <c r="AJ51" s="579"/>
      <c r="AK51" s="579"/>
      <c r="AL51" s="579"/>
      <c r="AM51" s="579"/>
      <c r="AN51" s="579"/>
      <c r="AO51" s="579"/>
      <c r="AP51" s="579"/>
      <c r="AQ51" s="579"/>
      <c r="AR51" s="579"/>
      <c r="AS51" s="579"/>
      <c r="AT51" s="579"/>
      <c r="AU51" s="579"/>
      <c r="AV51" s="579"/>
      <c r="AW51" s="579"/>
      <c r="AX51" s="579"/>
      <c r="AY51" s="579" t="s">
        <v>4678</v>
      </c>
      <c r="AZ51" s="579"/>
      <c r="BA51" s="579"/>
      <c r="BB51" s="579"/>
      <c r="BC51" s="579"/>
      <c r="BD51" s="579"/>
      <c r="BE51" s="579"/>
      <c r="BF51" s="579" t="s">
        <v>6676</v>
      </c>
      <c r="BG51" s="579"/>
      <c r="BH51" s="579"/>
      <c r="BI51" s="579"/>
      <c r="BJ51" s="579"/>
      <c r="BK51" s="579"/>
      <c r="BL51" s="579"/>
      <c r="BM51" s="579" t="s">
        <v>6678</v>
      </c>
      <c r="BN51" s="579"/>
      <c r="BO51" s="579"/>
      <c r="BP51" s="579"/>
      <c r="BQ51" s="579"/>
      <c r="BR51" s="579"/>
      <c r="BS51" s="579"/>
      <c r="BT51" s="579"/>
      <c r="BU51" s="579"/>
      <c r="BV51" s="579"/>
      <c r="BW51" s="576" t="s">
        <v>149</v>
      </c>
      <c r="BX51" s="579"/>
      <c r="BY51" s="599" t="s">
        <v>6679</v>
      </c>
      <c r="BZ51" s="579"/>
      <c r="CA51" s="579"/>
      <c r="CB51" s="579"/>
      <c r="CC51" s="579"/>
      <c r="CD51" s="579"/>
      <c r="CE51" s="579"/>
      <c r="CF51" s="579"/>
      <c r="CG51" s="579"/>
      <c r="CH51" s="579"/>
      <c r="CI51" s="579" t="s">
        <v>4575</v>
      </c>
      <c r="CJ51" s="579"/>
      <c r="CK51" s="579"/>
      <c r="CL51" s="579"/>
      <c r="CM51" s="579" t="s">
        <v>6680</v>
      </c>
      <c r="CN51" s="579"/>
      <c r="CO51" s="579"/>
      <c r="CP51" s="579"/>
      <c r="CQ51" s="579"/>
      <c r="CR51" s="579"/>
      <c r="CS51" s="579"/>
      <c r="CT51" s="579"/>
      <c r="CU51" s="579"/>
      <c r="CV51" s="579"/>
      <c r="CW51" s="579"/>
      <c r="CX51" s="579" t="s">
        <v>4575</v>
      </c>
      <c r="CY51" s="579"/>
      <c r="CZ51" s="579"/>
      <c r="DA51" s="579"/>
      <c r="DB51" s="579"/>
      <c r="DC51" s="579"/>
      <c r="DD51" s="576" t="s">
        <v>149</v>
      </c>
      <c r="DE51" s="579"/>
      <c r="DF51" s="579"/>
      <c r="DG51" s="579"/>
      <c r="DH51" s="579"/>
      <c r="DI51" s="579"/>
      <c r="DJ51" s="579"/>
      <c r="DK51" s="579"/>
      <c r="DL51" s="579" t="s">
        <v>4575</v>
      </c>
      <c r="DM51" s="579"/>
      <c r="DN51" s="579"/>
      <c r="DO51" s="579"/>
      <c r="DP51" s="579"/>
      <c r="DQ51" s="579"/>
      <c r="DR51" s="579" t="s">
        <v>6670</v>
      </c>
      <c r="DS51" s="576"/>
      <c r="DT51" s="576"/>
      <c r="DU51" s="576"/>
      <c r="DV51" s="576"/>
      <c r="DW51" s="576"/>
      <c r="DX51" s="576"/>
      <c r="DY51" s="576"/>
      <c r="DZ51" s="576"/>
      <c r="EA51" s="576"/>
      <c r="EB51" s="576"/>
      <c r="EC51" s="576"/>
      <c r="ED51" s="576"/>
      <c r="EE51" s="576"/>
      <c r="EF51" s="576"/>
      <c r="EG51" s="576"/>
      <c r="EH51" s="576"/>
      <c r="EI51" s="576"/>
      <c r="EJ51" s="576"/>
      <c r="EK51" s="576" t="s">
        <v>4678</v>
      </c>
      <c r="EL51" s="576" t="s">
        <v>4678</v>
      </c>
      <c r="EM51" s="576" t="s">
        <v>4678</v>
      </c>
      <c r="EN51" s="576"/>
      <c r="EO51" s="576"/>
      <c r="EP51" s="576"/>
      <c r="EQ51" s="576" t="s">
        <v>6678</v>
      </c>
      <c r="ER51" s="576"/>
      <c r="ES51" s="576"/>
      <c r="ET51" s="576"/>
      <c r="EU51" s="576"/>
      <c r="EV51" s="576"/>
      <c r="EW51" s="576"/>
      <c r="EX51" s="576"/>
      <c r="EY51" s="576"/>
      <c r="EZ51" s="576"/>
      <c r="FA51" s="576"/>
      <c r="FB51" s="576"/>
      <c r="FC51" s="576"/>
      <c r="FD51" s="576"/>
      <c r="FE51" s="576" t="s">
        <v>4575</v>
      </c>
      <c r="FF51" s="576"/>
      <c r="FG51" s="576"/>
      <c r="FH51" s="576"/>
      <c r="FI51" s="576"/>
      <c r="FJ51" s="576"/>
      <c r="FK51" s="576"/>
      <c r="FL51" s="576" t="s">
        <v>6674</v>
      </c>
      <c r="FM51" s="576"/>
      <c r="FN51" s="576"/>
      <c r="FO51" s="576"/>
      <c r="FP51" s="576"/>
      <c r="FQ51" s="576"/>
      <c r="FR51" s="576"/>
      <c r="FS51" s="576"/>
      <c r="FT51" s="576"/>
      <c r="FU51" s="576"/>
      <c r="FV51" s="576"/>
      <c r="FW51" s="576"/>
      <c r="FX51" s="576"/>
      <c r="FY51" s="576"/>
      <c r="FZ51" s="576"/>
      <c r="GA51" s="576"/>
      <c r="GB51" s="576" t="s">
        <v>6678</v>
      </c>
      <c r="GC51" s="576"/>
      <c r="GD51" s="576"/>
      <c r="GE51" s="576"/>
      <c r="GF51" s="576"/>
      <c r="GG51" s="576"/>
      <c r="GH51" s="576"/>
      <c r="GI51" s="576"/>
      <c r="GJ51" s="576"/>
      <c r="GK51" s="576"/>
      <c r="GL51" s="576"/>
      <c r="GM51" s="576"/>
      <c r="GN51" s="576"/>
      <c r="GO51" s="576"/>
      <c r="GP51" s="576"/>
      <c r="GQ51" s="576"/>
      <c r="GR51" s="576"/>
      <c r="GS51" s="576"/>
      <c r="GT51" s="576"/>
      <c r="GU51" s="576" t="s">
        <v>4575</v>
      </c>
      <c r="GV51" s="576"/>
      <c r="GW51" s="576"/>
      <c r="GX51" s="576" t="s">
        <v>4575</v>
      </c>
      <c r="GY51" s="576"/>
      <c r="GZ51" s="576"/>
      <c r="HA51" s="576"/>
      <c r="HB51" s="576"/>
      <c r="HC51" s="576"/>
      <c r="HD51" s="579"/>
      <c r="HE51" s="579"/>
      <c r="HF51" s="579"/>
      <c r="HG51" s="579"/>
      <c r="HH51" s="579"/>
      <c r="HI51" s="579"/>
      <c r="HJ51" s="579"/>
      <c r="HK51" s="579"/>
      <c r="HL51" s="579"/>
      <c r="HM51" s="579"/>
      <c r="HN51" s="579"/>
      <c r="HO51" s="579"/>
      <c r="HP51" s="579"/>
      <c r="HQ51" s="579"/>
      <c r="HR51" s="579"/>
      <c r="HS51" s="579"/>
      <c r="HT51" s="579"/>
      <c r="HU51" s="579"/>
      <c r="HV51" s="599" t="s">
        <v>4678</v>
      </c>
      <c r="HW51" s="579"/>
      <c r="HX51" s="579"/>
      <c r="HY51" s="579"/>
      <c r="HZ51" s="579"/>
      <c r="IA51" s="579"/>
      <c r="IB51" s="579"/>
      <c r="IC51" s="579"/>
      <c r="ID51" s="566"/>
      <c r="IE51" s="566"/>
      <c r="IF51" s="566"/>
      <c r="IG51" s="566"/>
      <c r="IH51" s="566"/>
      <c r="II51" s="566"/>
      <c r="IJ51" s="566"/>
      <c r="IK51" s="566"/>
      <c r="IL51" s="566"/>
      <c r="IM51" s="566"/>
      <c r="IN51" s="566"/>
      <c r="IO51" s="566"/>
      <c r="IP51" s="566"/>
      <c r="IQ51" s="566"/>
      <c r="IR51" s="566"/>
      <c r="IS51" s="566"/>
      <c r="IT51" s="566"/>
      <c r="IU51" s="566"/>
      <c r="IV51" s="566"/>
      <c r="IW51" s="566"/>
      <c r="IX51" s="566"/>
      <c r="IY51" s="566"/>
      <c r="IZ51" s="566"/>
      <c r="JA51" s="566"/>
    </row>
    <row r="52" spans="1:261" ht="18" customHeight="1">
      <c r="A52" s="605" t="s">
        <v>171</v>
      </c>
      <c r="B52" s="576"/>
      <c r="C52" s="576" t="str">
        <f>IF(ISTEXT(IFERROR(VLOOKUP(A52,职业列表!I3:J15,1,FALSE),0)),"★","")</f>
        <v/>
      </c>
      <c r="D52" s="579"/>
      <c r="E52" s="579"/>
      <c r="F52" s="579"/>
      <c r="G52" s="579"/>
      <c r="H52" s="579"/>
      <c r="I52" s="579"/>
      <c r="J52" s="579"/>
      <c r="K52" s="579"/>
      <c r="L52" s="579"/>
      <c r="M52" s="579"/>
      <c r="N52" s="579"/>
      <c r="O52" s="579"/>
      <c r="P52" s="579"/>
      <c r="Q52" s="579"/>
      <c r="R52" s="579"/>
      <c r="S52" s="579"/>
      <c r="T52" s="579"/>
      <c r="U52" s="579"/>
      <c r="V52" s="579"/>
      <c r="W52" s="579"/>
      <c r="X52" s="579"/>
      <c r="Y52" s="579"/>
      <c r="Z52" s="579"/>
      <c r="AA52" s="579"/>
      <c r="AB52" s="579"/>
      <c r="AC52" s="579"/>
      <c r="AD52" s="579"/>
      <c r="AE52" s="579"/>
      <c r="AF52" s="579"/>
      <c r="AG52" s="579"/>
      <c r="AH52" s="579"/>
      <c r="AI52" s="579"/>
      <c r="AJ52" s="579"/>
      <c r="AK52" s="579"/>
      <c r="AL52" s="579"/>
      <c r="AM52" s="579"/>
      <c r="AN52" s="579"/>
      <c r="AO52" s="579"/>
      <c r="AP52" s="579"/>
      <c r="AQ52" s="579"/>
      <c r="AR52" s="579"/>
      <c r="AS52" s="579"/>
      <c r="AT52" s="579"/>
      <c r="AU52" s="579"/>
      <c r="AV52" s="579"/>
      <c r="AW52" s="579"/>
      <c r="AX52" s="579"/>
      <c r="AY52" s="579"/>
      <c r="AZ52" s="579"/>
      <c r="BA52" s="579"/>
      <c r="BB52" s="579"/>
      <c r="BC52" s="579"/>
      <c r="BD52" s="579"/>
      <c r="BE52" s="579"/>
      <c r="BF52" s="579"/>
      <c r="BG52" s="579"/>
      <c r="BH52" s="579"/>
      <c r="BI52" s="579"/>
      <c r="BJ52" s="579"/>
      <c r="BK52" s="579"/>
      <c r="BL52" s="579"/>
      <c r="BM52" s="579" t="s">
        <v>4678</v>
      </c>
      <c r="BN52" s="579"/>
      <c r="BO52" s="579"/>
      <c r="BP52" s="579"/>
      <c r="BQ52" s="579"/>
      <c r="BR52" s="579"/>
      <c r="BS52" s="579"/>
      <c r="BT52" s="579"/>
      <c r="BU52" s="579"/>
      <c r="BV52" s="579"/>
      <c r="BW52" s="576" t="s">
        <v>149</v>
      </c>
      <c r="BX52" s="579"/>
      <c r="BY52" s="579"/>
      <c r="BZ52" s="579"/>
      <c r="CA52" s="579"/>
      <c r="CB52" s="579"/>
      <c r="CC52" s="579"/>
      <c r="CD52" s="579"/>
      <c r="CE52" s="579"/>
      <c r="CF52" s="579"/>
      <c r="CG52" s="579"/>
      <c r="CH52" s="579"/>
      <c r="CI52" s="579"/>
      <c r="CJ52" s="579"/>
      <c r="CK52" s="579"/>
      <c r="CL52" s="579"/>
      <c r="CM52" s="579"/>
      <c r="CN52" s="579"/>
      <c r="CO52" s="579"/>
      <c r="CP52" s="579"/>
      <c r="CQ52" s="579"/>
      <c r="CR52" s="579"/>
      <c r="CS52" s="579"/>
      <c r="CT52" s="579"/>
      <c r="CU52" s="579"/>
      <c r="CV52" s="579"/>
      <c r="CW52" s="579"/>
      <c r="CX52" s="579"/>
      <c r="CY52" s="579"/>
      <c r="CZ52" s="579"/>
      <c r="DA52" s="579"/>
      <c r="DB52" s="579"/>
      <c r="DC52" s="579"/>
      <c r="DD52" s="576" t="s">
        <v>149</v>
      </c>
      <c r="DE52" s="579"/>
      <c r="DF52" s="579"/>
      <c r="DG52" s="579"/>
      <c r="DH52" s="579"/>
      <c r="DI52" s="579"/>
      <c r="DJ52" s="579"/>
      <c r="DK52" s="579"/>
      <c r="DL52" s="579"/>
      <c r="DM52" s="579"/>
      <c r="DN52" s="579"/>
      <c r="DO52" s="579"/>
      <c r="DP52" s="579"/>
      <c r="DQ52" s="579"/>
      <c r="DR52" s="579"/>
      <c r="DS52" s="576"/>
      <c r="DT52" s="576"/>
      <c r="DU52" s="576"/>
      <c r="DV52" s="576"/>
      <c r="DW52" s="576"/>
      <c r="DX52" s="576"/>
      <c r="DY52" s="576"/>
      <c r="DZ52" s="576"/>
      <c r="EA52" s="576"/>
      <c r="EB52" s="576"/>
      <c r="EC52" s="576"/>
      <c r="ED52" s="576"/>
      <c r="EE52" s="576"/>
      <c r="EF52" s="576"/>
      <c r="EG52" s="576"/>
      <c r="EH52" s="576"/>
      <c r="EI52" s="576"/>
      <c r="EJ52" s="576"/>
      <c r="EK52" s="576"/>
      <c r="EL52" s="576"/>
      <c r="EM52" s="576"/>
      <c r="EN52" s="576"/>
      <c r="EO52" s="576"/>
      <c r="EP52" s="576"/>
      <c r="EQ52" s="576" t="s">
        <v>4678</v>
      </c>
      <c r="ER52" s="576"/>
      <c r="ES52" s="576"/>
      <c r="ET52" s="576"/>
      <c r="EU52" s="576"/>
      <c r="EV52" s="576"/>
      <c r="EW52" s="576"/>
      <c r="EX52" s="576"/>
      <c r="EY52" s="576"/>
      <c r="EZ52" s="576"/>
      <c r="FA52" s="576"/>
      <c r="FB52" s="576"/>
      <c r="FC52" s="576"/>
      <c r="FD52" s="576"/>
      <c r="FE52" s="576" t="s">
        <v>4678</v>
      </c>
      <c r="FF52" s="576"/>
      <c r="FG52" s="576"/>
      <c r="FH52" s="576"/>
      <c r="FI52" s="576"/>
      <c r="FJ52" s="576"/>
      <c r="FK52" s="576"/>
      <c r="FL52" s="576"/>
      <c r="FM52" s="576"/>
      <c r="FN52" s="576"/>
      <c r="FO52" s="576"/>
      <c r="FP52" s="576"/>
      <c r="FQ52" s="576"/>
      <c r="FR52" s="576"/>
      <c r="FS52" s="576"/>
      <c r="FT52" s="576"/>
      <c r="FU52" s="576"/>
      <c r="FV52" s="576"/>
      <c r="FW52" s="576"/>
      <c r="FX52" s="576"/>
      <c r="FY52" s="576"/>
      <c r="FZ52" s="576"/>
      <c r="GA52" s="576"/>
      <c r="GB52" s="576" t="s">
        <v>4678</v>
      </c>
      <c r="GC52" s="576"/>
      <c r="GD52" s="576"/>
      <c r="GE52" s="576"/>
      <c r="GF52" s="576"/>
      <c r="GG52" s="576"/>
      <c r="GH52" s="576"/>
      <c r="GI52" s="576"/>
      <c r="GJ52" s="576"/>
      <c r="GK52" s="576"/>
      <c r="GL52" s="576"/>
      <c r="GM52" s="576"/>
      <c r="GN52" s="576"/>
      <c r="GO52" s="576"/>
      <c r="GP52" s="576"/>
      <c r="GQ52" s="576"/>
      <c r="GR52" s="576"/>
      <c r="GS52" s="576"/>
      <c r="GT52" s="576"/>
      <c r="GU52" s="576" t="s">
        <v>6671</v>
      </c>
      <c r="GV52" s="576"/>
      <c r="GW52" s="576"/>
      <c r="GX52" s="576"/>
      <c r="GY52" s="576"/>
      <c r="GZ52" s="576"/>
      <c r="HA52" s="576"/>
      <c r="HB52" s="576"/>
      <c r="HC52" s="576"/>
      <c r="HD52" s="579"/>
      <c r="HE52" s="579"/>
      <c r="HF52" s="579"/>
      <c r="HG52" s="579"/>
      <c r="HH52" s="579"/>
      <c r="HI52" s="579"/>
      <c r="HJ52" s="579"/>
      <c r="HK52" s="579"/>
      <c r="HL52" s="579"/>
      <c r="HM52" s="579"/>
      <c r="HN52" s="579"/>
      <c r="HO52" s="579"/>
      <c r="HP52" s="579"/>
      <c r="HQ52" s="579"/>
      <c r="HR52" s="579"/>
      <c r="HS52" s="579"/>
      <c r="HT52" s="579"/>
      <c r="HU52" s="579"/>
      <c r="HV52" s="579"/>
      <c r="HW52" s="579"/>
      <c r="HX52" s="579"/>
      <c r="HY52" s="579"/>
      <c r="HZ52" s="579"/>
      <c r="IA52" s="579"/>
      <c r="IB52" s="579"/>
      <c r="IC52" s="579"/>
      <c r="ID52" s="566"/>
      <c r="IE52" s="566"/>
      <c r="IF52" s="566"/>
      <c r="IG52" s="566"/>
      <c r="IH52" s="566"/>
      <c r="II52" s="566"/>
      <c r="IJ52" s="566"/>
      <c r="IK52" s="566"/>
      <c r="IL52" s="566"/>
      <c r="IM52" s="566"/>
      <c r="IN52" s="566"/>
      <c r="IO52" s="566"/>
      <c r="IP52" s="566"/>
      <c r="IQ52" s="566"/>
      <c r="IR52" s="566"/>
      <c r="IS52" s="566"/>
      <c r="IT52" s="566"/>
      <c r="IU52" s="566"/>
      <c r="IV52" s="566"/>
      <c r="IW52" s="566"/>
      <c r="IX52" s="566"/>
      <c r="IY52" s="566"/>
      <c r="IZ52" s="566"/>
      <c r="JA52" s="566"/>
    </row>
    <row r="53" spans="1:261" ht="18" customHeight="1">
      <c r="A53" s="607" t="s">
        <v>6681</v>
      </c>
    </row>
    <row r="54" spans="1:261" ht="18" customHeight="1">
      <c r="A54" s="607" t="s">
        <v>6682</v>
      </c>
    </row>
    <row r="55" spans="1:261" s="560" customFormat="1" ht="18" customHeight="1">
      <c r="A55" s="614" t="s">
        <v>192</v>
      </c>
      <c r="B55" s="615"/>
      <c r="C55" s="576" t="str">
        <f>IF(ISTEXT(IFERROR(VLOOKUP(A55,职业列表!I3:J15,1,FALSE),0)),"★","")</f>
        <v/>
      </c>
      <c r="D55" s="615"/>
      <c r="E55" s="615" t="s">
        <v>149</v>
      </c>
      <c r="F55" s="615"/>
      <c r="G55" s="615"/>
      <c r="H55" s="615"/>
      <c r="I55" s="615"/>
      <c r="J55" s="615"/>
      <c r="K55" s="615"/>
      <c r="L55" s="615"/>
      <c r="M55" s="615"/>
      <c r="N55" s="615"/>
      <c r="O55" s="615"/>
      <c r="P55" s="615"/>
      <c r="Q55" s="615"/>
      <c r="R55" s="615"/>
      <c r="S55" s="615" t="s">
        <v>149</v>
      </c>
      <c r="T55" s="615"/>
      <c r="U55" s="615"/>
      <c r="V55" s="615"/>
      <c r="W55" s="615" t="s">
        <v>149</v>
      </c>
      <c r="X55" s="615"/>
      <c r="Y55" s="615"/>
      <c r="Z55" s="615" t="s">
        <v>149</v>
      </c>
      <c r="AA55" s="615"/>
      <c r="AB55" s="615"/>
      <c r="AC55" s="615"/>
      <c r="AD55" s="615"/>
      <c r="AE55" s="615"/>
      <c r="AF55" s="615"/>
      <c r="AG55" s="615"/>
      <c r="AH55" s="615"/>
      <c r="AI55" s="615"/>
      <c r="AJ55" s="615"/>
      <c r="AK55" s="615"/>
      <c r="AL55" s="615"/>
      <c r="AM55" s="615"/>
      <c r="AN55" s="615"/>
      <c r="AO55" s="615"/>
      <c r="AP55" s="615"/>
      <c r="AQ55" s="615"/>
      <c r="AR55" s="615"/>
      <c r="AS55" s="615"/>
      <c r="AT55" s="615"/>
      <c r="AU55" s="615"/>
      <c r="AV55" s="615"/>
      <c r="AW55" s="615"/>
      <c r="AX55" s="615"/>
      <c r="AY55" s="615"/>
      <c r="AZ55" s="615"/>
      <c r="BA55" s="615"/>
      <c r="BB55" s="615"/>
      <c r="BC55" s="615"/>
      <c r="BD55" s="615" t="s">
        <v>149</v>
      </c>
      <c r="BE55" s="615" t="s">
        <v>149</v>
      </c>
      <c r="BF55" s="615"/>
      <c r="BG55" s="615"/>
      <c r="BH55" s="615"/>
      <c r="BI55" s="615"/>
      <c r="BJ55" s="615"/>
      <c r="BK55" s="615"/>
      <c r="BL55" s="615" t="s">
        <v>149</v>
      </c>
      <c r="BM55" s="615"/>
      <c r="BN55" s="615"/>
      <c r="BO55" s="615"/>
      <c r="BP55" s="615"/>
      <c r="BQ55" s="615"/>
      <c r="BR55" s="615"/>
      <c r="BS55" s="615"/>
      <c r="BT55" s="615" t="s">
        <v>149</v>
      </c>
      <c r="BU55" s="616"/>
      <c r="BV55" s="615" t="s">
        <v>149</v>
      </c>
      <c r="BW55" s="615"/>
      <c r="BX55" s="615"/>
      <c r="BY55" s="615"/>
      <c r="BZ55" s="615"/>
      <c r="CA55" s="615"/>
      <c r="CB55" s="615" t="s">
        <v>149</v>
      </c>
      <c r="CC55" s="615"/>
      <c r="CD55" s="615"/>
      <c r="CE55" s="615"/>
      <c r="CF55" s="615"/>
      <c r="CG55" s="615"/>
      <c r="CH55" s="615"/>
      <c r="CI55" s="615"/>
      <c r="CJ55" s="615"/>
      <c r="CK55" s="615"/>
      <c r="CL55" s="615"/>
      <c r="CM55" s="615"/>
      <c r="CN55" s="615"/>
      <c r="CO55" s="615"/>
      <c r="CP55" s="615"/>
      <c r="CQ55" s="615"/>
      <c r="CR55" s="615"/>
      <c r="CS55" s="615"/>
      <c r="CT55" s="615"/>
      <c r="CU55" s="615" t="s">
        <v>149</v>
      </c>
      <c r="CV55" s="615"/>
      <c r="CW55" s="615"/>
      <c r="CX55" s="615"/>
      <c r="CY55" s="615"/>
      <c r="CZ55" s="615"/>
      <c r="DA55" s="615"/>
      <c r="DB55" s="615"/>
      <c r="DC55" s="615"/>
      <c r="DD55" s="615" t="s">
        <v>149</v>
      </c>
      <c r="DE55" s="615" t="s">
        <v>149</v>
      </c>
      <c r="DF55" s="615"/>
      <c r="DG55" s="615"/>
      <c r="DH55" s="615"/>
      <c r="DI55" s="615" t="s">
        <v>6642</v>
      </c>
      <c r="DJ55" s="615"/>
      <c r="DK55" s="615"/>
      <c r="DL55" s="615"/>
      <c r="DM55" s="615"/>
      <c r="DN55" s="615"/>
      <c r="DO55" s="615" t="s">
        <v>149</v>
      </c>
      <c r="DP55" s="615"/>
      <c r="DQ55" s="615"/>
      <c r="DR55" s="615"/>
      <c r="DS55" s="615" t="s">
        <v>149</v>
      </c>
      <c r="DT55" s="615"/>
      <c r="DU55" s="615"/>
      <c r="DV55" s="615"/>
      <c r="DW55" s="615"/>
      <c r="DX55" s="615"/>
      <c r="DY55" s="615"/>
      <c r="DZ55" s="615" t="s">
        <v>149</v>
      </c>
      <c r="EA55" s="615"/>
      <c r="EB55" s="615" t="s">
        <v>149</v>
      </c>
      <c r="EC55" s="615" t="s">
        <v>149</v>
      </c>
      <c r="ED55" s="615"/>
      <c r="EE55" s="615" t="s">
        <v>149</v>
      </c>
      <c r="EF55" s="615"/>
      <c r="EG55" s="615"/>
      <c r="EH55" s="615"/>
      <c r="EI55" s="615"/>
      <c r="EJ55" s="615"/>
      <c r="EK55" s="615"/>
      <c r="EL55" s="615"/>
      <c r="EM55" s="615"/>
      <c r="EN55" s="615"/>
      <c r="EO55" s="615"/>
      <c r="EP55" s="615"/>
      <c r="EQ55" s="615"/>
      <c r="ER55" s="615"/>
      <c r="ES55" s="615"/>
      <c r="ET55" s="615"/>
      <c r="EU55" s="615"/>
      <c r="EV55" s="615" t="s">
        <v>149</v>
      </c>
      <c r="EW55" s="615"/>
      <c r="EX55" s="615"/>
      <c r="EY55" s="615"/>
      <c r="EZ55" s="615" t="s">
        <v>149</v>
      </c>
      <c r="FA55" s="615" t="s">
        <v>149</v>
      </c>
      <c r="FB55" s="615"/>
      <c r="FC55" s="615" t="s">
        <v>149</v>
      </c>
      <c r="FD55" s="615"/>
      <c r="FE55" s="615"/>
      <c r="FF55" s="615"/>
      <c r="FG55" s="615"/>
      <c r="FH55" s="615"/>
      <c r="FI55" s="615"/>
      <c r="FJ55" s="615"/>
      <c r="FK55" s="615"/>
      <c r="FL55" s="615"/>
      <c r="FM55" s="615"/>
      <c r="FN55" s="615" t="s">
        <v>149</v>
      </c>
      <c r="FO55" s="615"/>
      <c r="FP55" s="615"/>
      <c r="FQ55" s="615"/>
      <c r="FR55" s="615" t="s">
        <v>149</v>
      </c>
      <c r="FS55" s="615"/>
      <c r="FT55" s="615"/>
      <c r="FU55" s="615"/>
      <c r="FV55" s="615"/>
      <c r="FW55" s="615"/>
      <c r="FX55" s="615"/>
      <c r="FY55" s="615"/>
      <c r="FZ55" s="615"/>
      <c r="GA55" s="615"/>
      <c r="GB55" s="615"/>
      <c r="GC55" s="615"/>
      <c r="GD55" s="615"/>
      <c r="GE55" s="615"/>
      <c r="GF55" s="615"/>
      <c r="GG55" s="615"/>
      <c r="GH55" s="615"/>
      <c r="GI55" s="615"/>
      <c r="GJ55" s="615"/>
      <c r="GK55" s="615" t="s">
        <v>149</v>
      </c>
      <c r="GL55" s="615"/>
      <c r="GM55" s="615"/>
      <c r="GN55" s="615"/>
      <c r="GO55" s="615"/>
      <c r="GP55" s="615" t="s">
        <v>149</v>
      </c>
      <c r="GQ55" s="615" t="s">
        <v>149</v>
      </c>
      <c r="GR55" s="615" t="s">
        <v>149</v>
      </c>
      <c r="GS55" s="615"/>
      <c r="GT55" s="615"/>
      <c r="GU55" s="615"/>
      <c r="GV55" s="615"/>
      <c r="GW55" s="615"/>
      <c r="GX55" s="615"/>
      <c r="GY55" s="615"/>
      <c r="GZ55" s="615"/>
      <c r="HA55" s="615" t="s">
        <v>149</v>
      </c>
      <c r="HB55" s="615"/>
      <c r="HC55" s="615"/>
      <c r="HD55" s="615"/>
      <c r="HE55" s="615"/>
      <c r="HF55" s="615"/>
      <c r="HG55" s="615"/>
      <c r="HH55" s="615" t="s">
        <v>149</v>
      </c>
      <c r="HI55" s="615"/>
      <c r="HJ55" s="615"/>
      <c r="HK55" s="615"/>
      <c r="HL55" s="615"/>
      <c r="HM55" s="615"/>
      <c r="HN55" s="615"/>
      <c r="HO55" s="615" t="s">
        <v>149</v>
      </c>
      <c r="HP55" s="615"/>
      <c r="HQ55" s="615"/>
      <c r="HR55" s="615"/>
      <c r="HS55" s="615" t="s">
        <v>149</v>
      </c>
      <c r="HT55" s="615"/>
      <c r="HU55" s="615"/>
      <c r="HV55" s="615"/>
      <c r="HW55" s="615"/>
      <c r="HX55" s="615"/>
      <c r="HY55" s="615"/>
      <c r="HZ55" s="615"/>
      <c r="IA55" s="615"/>
      <c r="IB55" s="615"/>
      <c r="IC55" s="615"/>
      <c r="ID55" s="617"/>
      <c r="IE55" s="617"/>
      <c r="IF55" s="617"/>
      <c r="IG55" s="617"/>
      <c r="IH55" s="617"/>
      <c r="II55" s="617"/>
      <c r="IJ55" s="617"/>
      <c r="IK55" s="617"/>
      <c r="IL55" s="617"/>
      <c r="IM55" s="617"/>
      <c r="IN55" s="617"/>
      <c r="IO55" s="617"/>
      <c r="IP55" s="617"/>
      <c r="IQ55" s="617"/>
      <c r="IR55" s="617"/>
      <c r="IS55" s="617"/>
      <c r="IT55" s="617"/>
      <c r="IU55" s="617"/>
      <c r="IV55" s="617"/>
      <c r="IW55" s="617"/>
      <c r="IX55" s="617"/>
      <c r="IY55" s="617"/>
      <c r="IZ55" s="617"/>
      <c r="JA55" s="617"/>
    </row>
    <row r="56" spans="1:261" s="560" customFormat="1" ht="18" customHeight="1">
      <c r="A56" s="614" t="s">
        <v>195</v>
      </c>
      <c r="B56" s="615"/>
      <c r="C56" s="577" t="str">
        <f>IF(ISTEXT(IFERROR(VLOOKUP(A56,职业列表!I3:J15,1,FALSE),0)),"★","")</f>
        <v/>
      </c>
      <c r="D56" s="615"/>
      <c r="E56" s="615" t="s">
        <v>149</v>
      </c>
      <c r="F56" s="615"/>
      <c r="G56" s="615"/>
      <c r="H56" s="615"/>
      <c r="I56" s="615"/>
      <c r="J56" s="615"/>
      <c r="K56" s="615"/>
      <c r="L56" s="615"/>
      <c r="M56" s="615"/>
      <c r="N56" s="615" t="s">
        <v>149</v>
      </c>
      <c r="O56" s="615"/>
      <c r="P56" s="615" t="s">
        <v>149</v>
      </c>
      <c r="Q56" s="615"/>
      <c r="R56" s="615" t="s">
        <v>149</v>
      </c>
      <c r="S56" s="615"/>
      <c r="T56" s="615" t="s">
        <v>149</v>
      </c>
      <c r="U56" s="615"/>
      <c r="V56" s="615"/>
      <c r="W56" s="615" t="s">
        <v>149</v>
      </c>
      <c r="X56" s="615"/>
      <c r="Y56" s="615" t="s">
        <v>6643</v>
      </c>
      <c r="Z56" s="615" t="s">
        <v>149</v>
      </c>
      <c r="AA56" s="615"/>
      <c r="AB56" s="615"/>
      <c r="AC56" s="615" t="s">
        <v>149</v>
      </c>
      <c r="AD56" s="615" t="s">
        <v>149</v>
      </c>
      <c r="AE56" s="615"/>
      <c r="AF56" s="615"/>
      <c r="AG56" s="615"/>
      <c r="AH56" s="615"/>
      <c r="AI56" s="615"/>
      <c r="AJ56" s="615"/>
      <c r="AK56" s="615"/>
      <c r="AL56" s="615"/>
      <c r="AM56" s="615" t="s">
        <v>6642</v>
      </c>
      <c r="AN56" s="615"/>
      <c r="AO56" s="615"/>
      <c r="AP56" s="615"/>
      <c r="AQ56" s="615"/>
      <c r="AR56" s="615"/>
      <c r="AS56" s="615"/>
      <c r="AT56" s="615"/>
      <c r="AU56" s="615"/>
      <c r="AV56" s="616"/>
      <c r="AW56" s="615" t="s">
        <v>149</v>
      </c>
      <c r="AX56" s="616"/>
      <c r="AY56" s="615" t="s">
        <v>6683</v>
      </c>
      <c r="AZ56" s="615"/>
      <c r="BA56" s="615"/>
      <c r="BB56" s="615"/>
      <c r="BC56" s="615"/>
      <c r="BD56" s="615"/>
      <c r="BE56" s="615"/>
      <c r="BF56" s="615"/>
      <c r="BG56" s="615"/>
      <c r="BH56" s="615" t="s">
        <v>149</v>
      </c>
      <c r="BI56" s="616"/>
      <c r="BJ56" s="615"/>
      <c r="BK56" s="615"/>
      <c r="BL56" s="615" t="s">
        <v>149</v>
      </c>
      <c r="BM56" s="615" t="s">
        <v>6683</v>
      </c>
      <c r="BN56" s="615"/>
      <c r="BO56" s="615"/>
      <c r="BP56" s="615"/>
      <c r="BQ56" s="615" t="s">
        <v>149</v>
      </c>
      <c r="BR56" s="615"/>
      <c r="BS56" s="615"/>
      <c r="BT56" s="615"/>
      <c r="BU56" s="615"/>
      <c r="BV56" s="615"/>
      <c r="BW56" s="615" t="s">
        <v>149</v>
      </c>
      <c r="BX56" s="615"/>
      <c r="BY56" s="615"/>
      <c r="BZ56" s="615"/>
      <c r="CA56" s="615"/>
      <c r="CB56" s="615" t="s">
        <v>149</v>
      </c>
      <c r="CC56" s="615"/>
      <c r="CD56" s="615"/>
      <c r="CE56" s="615"/>
      <c r="CF56" s="615" t="s">
        <v>149</v>
      </c>
      <c r="CG56" s="615" t="s">
        <v>149</v>
      </c>
      <c r="CH56" s="615"/>
      <c r="CI56" s="615"/>
      <c r="CJ56" s="615" t="s">
        <v>149</v>
      </c>
      <c r="CK56" s="615"/>
      <c r="CL56" s="615" t="s">
        <v>149</v>
      </c>
      <c r="CM56" s="615" t="s">
        <v>6683</v>
      </c>
      <c r="CN56" s="616"/>
      <c r="CO56" s="615" t="s">
        <v>149</v>
      </c>
      <c r="CP56" s="615"/>
      <c r="CQ56" s="615"/>
      <c r="CR56" s="615"/>
      <c r="CS56" s="615"/>
      <c r="CT56" s="615"/>
      <c r="CU56" s="615" t="s">
        <v>149</v>
      </c>
      <c r="CV56" s="615"/>
      <c r="CW56" s="615"/>
      <c r="CX56" s="615" t="s">
        <v>149</v>
      </c>
      <c r="CY56" s="615"/>
      <c r="CZ56" s="615" t="s">
        <v>149</v>
      </c>
      <c r="DA56" s="615"/>
      <c r="DB56" s="615"/>
      <c r="DC56" s="615"/>
      <c r="DD56" s="615" t="s">
        <v>149</v>
      </c>
      <c r="DE56" s="615"/>
      <c r="DF56" s="615"/>
      <c r="DG56" s="618" t="s">
        <v>6645</v>
      </c>
      <c r="DH56" s="615" t="s">
        <v>149</v>
      </c>
      <c r="DI56" s="615" t="s">
        <v>6642</v>
      </c>
      <c r="DJ56" s="615"/>
      <c r="DK56" s="615"/>
      <c r="DL56" s="615"/>
      <c r="DM56" s="615"/>
      <c r="DN56" s="615"/>
      <c r="DO56" s="615" t="s">
        <v>149</v>
      </c>
      <c r="DP56" s="615" t="s">
        <v>149</v>
      </c>
      <c r="DQ56" s="615"/>
      <c r="DR56" s="615"/>
      <c r="DS56" s="615" t="s">
        <v>6684</v>
      </c>
      <c r="DT56" s="615" t="s">
        <v>149</v>
      </c>
      <c r="DU56" s="615"/>
      <c r="DV56" s="615"/>
      <c r="DW56" s="615" t="s">
        <v>149</v>
      </c>
      <c r="DX56" s="615" t="s">
        <v>149</v>
      </c>
      <c r="DY56" s="615"/>
      <c r="DZ56" s="615" t="s">
        <v>6683</v>
      </c>
      <c r="EA56" s="615"/>
      <c r="EB56" s="615" t="s">
        <v>6685</v>
      </c>
      <c r="EC56" s="615" t="s">
        <v>149</v>
      </c>
      <c r="ED56" s="615" t="s">
        <v>149</v>
      </c>
      <c r="EE56" s="615"/>
      <c r="EF56" s="615"/>
      <c r="EG56" s="615"/>
      <c r="EH56" s="615"/>
      <c r="EI56" s="615"/>
      <c r="EJ56" s="615"/>
      <c r="EK56" s="615" t="s">
        <v>6683</v>
      </c>
      <c r="EL56" s="615" t="s">
        <v>6683</v>
      </c>
      <c r="EM56" s="615" t="s">
        <v>6683</v>
      </c>
      <c r="EN56" s="615"/>
      <c r="EO56" s="615" t="s">
        <v>149</v>
      </c>
      <c r="EP56" s="615"/>
      <c r="EQ56" s="615"/>
      <c r="ER56" s="615"/>
      <c r="ES56" s="615" t="s">
        <v>149</v>
      </c>
      <c r="ET56" s="615"/>
      <c r="EU56" s="615"/>
      <c r="EV56" s="615"/>
      <c r="EW56" s="615"/>
      <c r="EX56" s="615"/>
      <c r="EY56" s="615"/>
      <c r="EZ56" s="615"/>
      <c r="FA56" s="615"/>
      <c r="FB56" s="615"/>
      <c r="FC56" s="615" t="s">
        <v>149</v>
      </c>
      <c r="FD56" s="615"/>
      <c r="FE56" s="615"/>
      <c r="FF56" s="615"/>
      <c r="FG56" s="615"/>
      <c r="FH56" s="615"/>
      <c r="FI56" s="615"/>
      <c r="FJ56" s="615" t="s">
        <v>6686</v>
      </c>
      <c r="FK56" s="615"/>
      <c r="FL56" s="615"/>
      <c r="FM56" s="615"/>
      <c r="FN56" s="615" t="s">
        <v>149</v>
      </c>
      <c r="FO56" s="615"/>
      <c r="FP56" s="615"/>
      <c r="FQ56" s="615" t="s">
        <v>6686</v>
      </c>
      <c r="FR56" s="615"/>
      <c r="FS56" s="615"/>
      <c r="FT56" s="615"/>
      <c r="FU56" s="615"/>
      <c r="FV56" s="615" t="s">
        <v>149</v>
      </c>
      <c r="FW56" s="615" t="s">
        <v>149</v>
      </c>
      <c r="FX56" s="615" t="s">
        <v>149</v>
      </c>
      <c r="FY56" s="615"/>
      <c r="FZ56" s="615"/>
      <c r="GA56" s="615" t="s">
        <v>149</v>
      </c>
      <c r="GB56" s="615"/>
      <c r="GC56" s="615" t="s">
        <v>149</v>
      </c>
      <c r="GD56" s="615"/>
      <c r="GE56" s="615"/>
      <c r="GF56" s="615"/>
      <c r="GG56" s="615"/>
      <c r="GH56" s="615" t="s">
        <v>6645</v>
      </c>
      <c r="GI56" s="615" t="s">
        <v>6645</v>
      </c>
      <c r="GJ56" s="615" t="s">
        <v>149</v>
      </c>
      <c r="GK56" s="615" t="s">
        <v>149</v>
      </c>
      <c r="GL56" s="615"/>
      <c r="GM56" s="615"/>
      <c r="GN56" s="615"/>
      <c r="GO56" s="615"/>
      <c r="GP56" s="615"/>
      <c r="GQ56" s="615"/>
      <c r="GR56" s="615"/>
      <c r="GS56" s="615"/>
      <c r="GT56" s="615"/>
      <c r="GU56" s="615"/>
      <c r="GV56" s="615"/>
      <c r="GW56" s="615"/>
      <c r="GX56" s="615" t="s">
        <v>149</v>
      </c>
      <c r="GY56" s="615"/>
      <c r="GZ56" s="615" t="s">
        <v>6645</v>
      </c>
      <c r="HA56" s="615"/>
      <c r="HB56" s="615"/>
      <c r="HC56" s="615"/>
      <c r="HD56" s="615" t="s">
        <v>149</v>
      </c>
      <c r="HE56" s="618" t="s">
        <v>6687</v>
      </c>
      <c r="HF56" s="618" t="s">
        <v>6687</v>
      </c>
      <c r="HG56" s="618" t="s">
        <v>6687</v>
      </c>
      <c r="HH56" s="618" t="s">
        <v>6687</v>
      </c>
      <c r="HI56" s="615"/>
      <c r="HJ56" s="618" t="s">
        <v>6683</v>
      </c>
      <c r="HK56" s="615" t="s">
        <v>149</v>
      </c>
      <c r="HL56" s="615"/>
      <c r="HM56" s="615"/>
      <c r="HN56" s="615"/>
      <c r="HO56" s="615"/>
      <c r="HP56" s="615" t="s">
        <v>149</v>
      </c>
      <c r="HQ56" s="615" t="s">
        <v>149</v>
      </c>
      <c r="HR56" s="615"/>
      <c r="HS56" s="615" t="s">
        <v>6687</v>
      </c>
      <c r="HT56" s="615"/>
      <c r="HU56" s="618" t="s">
        <v>6683</v>
      </c>
      <c r="HV56" s="615" t="s">
        <v>6683</v>
      </c>
      <c r="HW56" s="615"/>
      <c r="HX56" s="618" t="s">
        <v>6687</v>
      </c>
      <c r="HY56" s="615"/>
      <c r="HZ56" s="618" t="s">
        <v>6645</v>
      </c>
      <c r="IA56" s="615"/>
      <c r="IB56" s="615"/>
      <c r="IC56" s="615" t="s">
        <v>6687</v>
      </c>
      <c r="ID56" s="617"/>
      <c r="IE56" s="617"/>
      <c r="IF56" s="617"/>
      <c r="IG56" s="617"/>
      <c r="IH56" s="617"/>
      <c r="II56" s="617"/>
      <c r="IJ56" s="617"/>
      <c r="IK56" s="617"/>
      <c r="IL56" s="617"/>
      <c r="IM56" s="617"/>
      <c r="IN56" s="617"/>
      <c r="IO56" s="617"/>
      <c r="IP56" s="617"/>
      <c r="IQ56" s="617"/>
      <c r="IR56" s="617"/>
      <c r="IS56" s="617"/>
      <c r="IT56" s="617"/>
      <c r="IU56" s="617"/>
      <c r="IV56" s="617"/>
      <c r="IW56" s="617"/>
      <c r="IX56" s="617"/>
      <c r="IY56" s="617"/>
      <c r="IZ56" s="617"/>
      <c r="JA56" s="617"/>
    </row>
    <row r="57" spans="1:261" ht="18" customHeight="1">
      <c r="A57" s="605" t="s">
        <v>197</v>
      </c>
      <c r="B57" s="576"/>
      <c r="C57" s="577" t="str">
        <f>IF(ISTEXT(IFERROR(VLOOKUP(A57,职业列表!I3:J15,1,FALSE),0)),"★","")</f>
        <v/>
      </c>
      <c r="D57" s="579"/>
      <c r="E57" s="576" t="s">
        <v>149</v>
      </c>
      <c r="F57" s="579"/>
      <c r="G57" s="579"/>
      <c r="H57" s="579"/>
      <c r="I57" s="579"/>
      <c r="J57" s="579"/>
      <c r="K57" s="579"/>
      <c r="L57" s="579"/>
      <c r="M57" s="579"/>
      <c r="N57" s="576" t="s">
        <v>149</v>
      </c>
      <c r="O57" s="579"/>
      <c r="P57" s="576" t="s">
        <v>149</v>
      </c>
      <c r="Q57" s="579"/>
      <c r="R57" s="576" t="s">
        <v>149</v>
      </c>
      <c r="S57" s="579"/>
      <c r="T57" s="576" t="s">
        <v>149</v>
      </c>
      <c r="U57" s="579"/>
      <c r="V57" s="579"/>
      <c r="W57" s="576" t="s">
        <v>149</v>
      </c>
      <c r="X57" s="579"/>
      <c r="Y57" s="576" t="s">
        <v>6643</v>
      </c>
      <c r="Z57" s="576" t="s">
        <v>149</v>
      </c>
      <c r="AA57" s="579"/>
      <c r="AB57" s="579"/>
      <c r="AC57" s="576" t="s">
        <v>149</v>
      </c>
      <c r="AD57" s="576" t="s">
        <v>149</v>
      </c>
      <c r="AE57" s="579"/>
      <c r="AF57" s="579"/>
      <c r="AG57" s="579"/>
      <c r="AH57" s="579"/>
      <c r="AI57" s="579"/>
      <c r="AJ57" s="579"/>
      <c r="AK57" s="579"/>
      <c r="AL57" s="579"/>
      <c r="AM57" s="576" t="s">
        <v>6642</v>
      </c>
      <c r="AN57" s="579"/>
      <c r="AO57" s="579"/>
      <c r="AP57" s="579"/>
      <c r="AQ57" s="579"/>
      <c r="AR57" s="579"/>
      <c r="AS57" s="579"/>
      <c r="AT57" s="579"/>
      <c r="AU57" s="579"/>
      <c r="AV57" s="579"/>
      <c r="AW57" s="576" t="s">
        <v>149</v>
      </c>
      <c r="AX57" s="579"/>
      <c r="AY57" s="579"/>
      <c r="AZ57" s="579"/>
      <c r="BA57" s="579"/>
      <c r="BB57" s="579"/>
      <c r="BC57" s="579"/>
      <c r="BD57" s="579"/>
      <c r="BE57" s="579"/>
      <c r="BF57" s="579"/>
      <c r="BG57" s="579"/>
      <c r="BH57" s="576" t="s">
        <v>149</v>
      </c>
      <c r="BI57" s="579"/>
      <c r="BJ57" s="579"/>
      <c r="BK57" s="579"/>
      <c r="BL57" s="576" t="s">
        <v>149</v>
      </c>
      <c r="BM57" s="579"/>
      <c r="BN57" s="579"/>
      <c r="BO57" s="579"/>
      <c r="BP57" s="579"/>
      <c r="BQ57" s="579"/>
      <c r="BR57" s="579"/>
      <c r="BS57" s="579"/>
      <c r="BT57" s="579"/>
      <c r="BU57" s="579"/>
      <c r="BV57" s="579"/>
      <c r="BW57" s="576"/>
      <c r="BX57" s="579"/>
      <c r="BY57" s="579"/>
      <c r="BZ57" s="579"/>
      <c r="CA57" s="579"/>
      <c r="CB57" s="576" t="s">
        <v>149</v>
      </c>
      <c r="CC57" s="579"/>
      <c r="CD57" s="579"/>
      <c r="CE57" s="579"/>
      <c r="CF57" s="576" t="s">
        <v>149</v>
      </c>
      <c r="CG57" s="576" t="s">
        <v>149</v>
      </c>
      <c r="CH57" s="579"/>
      <c r="CI57" s="579"/>
      <c r="CJ57" s="576" t="s">
        <v>149</v>
      </c>
      <c r="CK57" s="579"/>
      <c r="CL57" s="576" t="s">
        <v>149</v>
      </c>
      <c r="CM57" s="579"/>
      <c r="CN57" s="579"/>
      <c r="CO57" s="576" t="s">
        <v>149</v>
      </c>
      <c r="CP57" s="579"/>
      <c r="CQ57" s="579"/>
      <c r="CR57" s="579"/>
      <c r="CS57" s="579"/>
      <c r="CT57" s="579"/>
      <c r="CU57" s="576" t="s">
        <v>149</v>
      </c>
      <c r="CV57" s="579"/>
      <c r="CW57" s="579"/>
      <c r="CX57" s="576" t="s">
        <v>149</v>
      </c>
      <c r="CY57" s="579"/>
      <c r="CZ57" s="576" t="s">
        <v>149</v>
      </c>
      <c r="DA57" s="579"/>
      <c r="DB57" s="579"/>
      <c r="DC57" s="579"/>
      <c r="DD57" s="576" t="s">
        <v>149</v>
      </c>
      <c r="DE57" s="579"/>
      <c r="DF57" s="579"/>
      <c r="DG57" s="577"/>
      <c r="DH57" s="576" t="s">
        <v>149</v>
      </c>
      <c r="DI57" s="576" t="s">
        <v>6642</v>
      </c>
      <c r="DJ57" s="579"/>
      <c r="DK57" s="579"/>
      <c r="DL57" s="579"/>
      <c r="DM57" s="579"/>
      <c r="DN57" s="579"/>
      <c r="DO57" s="576" t="s">
        <v>149</v>
      </c>
      <c r="DP57" s="576" t="s">
        <v>149</v>
      </c>
      <c r="DQ57" s="579"/>
      <c r="DR57" s="579"/>
      <c r="DS57" s="576" t="s">
        <v>6684</v>
      </c>
      <c r="DT57" s="576"/>
      <c r="DU57" s="576"/>
      <c r="DV57" s="576"/>
      <c r="DW57" s="576"/>
      <c r="DX57" s="576" t="s">
        <v>149</v>
      </c>
      <c r="DY57" s="576"/>
      <c r="DZ57" s="576"/>
      <c r="EA57" s="576"/>
      <c r="EB57" s="576"/>
      <c r="EC57" s="576" t="s">
        <v>149</v>
      </c>
      <c r="ED57" s="576" t="s">
        <v>149</v>
      </c>
      <c r="EE57" s="576"/>
      <c r="EF57" s="576"/>
      <c r="EG57" s="576"/>
      <c r="EH57" s="576"/>
      <c r="EI57" s="576"/>
      <c r="EJ57" s="576"/>
      <c r="EK57" s="576"/>
      <c r="EL57" s="576"/>
      <c r="EM57" s="576"/>
      <c r="EN57" s="576"/>
      <c r="EO57" s="576" t="s">
        <v>149</v>
      </c>
      <c r="EP57" s="576"/>
      <c r="EQ57" s="576"/>
      <c r="ER57" s="576"/>
      <c r="ES57" s="576" t="s">
        <v>149</v>
      </c>
      <c r="ET57" s="576"/>
      <c r="EU57" s="576"/>
      <c r="EV57" s="576"/>
      <c r="EW57" s="576"/>
      <c r="EX57" s="576"/>
      <c r="EY57" s="576"/>
      <c r="EZ57" s="576"/>
      <c r="FA57" s="576"/>
      <c r="FB57" s="576"/>
      <c r="FC57" s="576" t="s">
        <v>149</v>
      </c>
      <c r="FD57" s="576"/>
      <c r="FE57" s="576"/>
      <c r="FF57" s="576"/>
      <c r="FG57" s="576"/>
      <c r="FH57" s="576"/>
      <c r="FI57" s="576"/>
      <c r="FJ57" s="576" t="s">
        <v>6688</v>
      </c>
      <c r="FK57" s="576"/>
      <c r="FL57" s="576"/>
      <c r="FM57" s="576"/>
      <c r="FN57" s="576"/>
      <c r="FO57" s="576"/>
      <c r="FP57" s="576"/>
      <c r="FQ57" s="576"/>
      <c r="FR57" s="576"/>
      <c r="FS57" s="576"/>
      <c r="FT57" s="576"/>
      <c r="FU57" s="576"/>
      <c r="FV57" s="576" t="s">
        <v>149</v>
      </c>
      <c r="FW57" s="576" t="s">
        <v>149</v>
      </c>
      <c r="FX57" s="576"/>
      <c r="FY57" s="576"/>
      <c r="FZ57" s="576"/>
      <c r="GA57" s="576" t="s">
        <v>149</v>
      </c>
      <c r="GB57" s="576"/>
      <c r="GC57" s="576" t="s">
        <v>149</v>
      </c>
      <c r="GD57" s="576"/>
      <c r="GE57" s="576"/>
      <c r="GF57" s="576"/>
      <c r="GG57" s="576"/>
      <c r="GH57" s="576"/>
      <c r="GI57" s="576"/>
      <c r="GJ57" s="576" t="s">
        <v>149</v>
      </c>
      <c r="GK57" s="576" t="s">
        <v>149</v>
      </c>
      <c r="GL57" s="576"/>
      <c r="GM57" s="576"/>
      <c r="GN57" s="576"/>
      <c r="GO57" s="576"/>
      <c r="GP57" s="576"/>
      <c r="GQ57" s="576"/>
      <c r="GR57" s="576"/>
      <c r="GS57" s="576"/>
      <c r="GT57" s="576"/>
      <c r="GU57" s="576"/>
      <c r="GV57" s="576"/>
      <c r="GW57" s="576"/>
      <c r="GX57" s="576" t="s">
        <v>149</v>
      </c>
      <c r="GY57" s="576"/>
      <c r="GZ57" s="576"/>
      <c r="HA57" s="576"/>
      <c r="HB57" s="576"/>
      <c r="HC57" s="576"/>
      <c r="HD57" s="579"/>
      <c r="HE57" s="579"/>
      <c r="HF57" s="577" t="s">
        <v>6683</v>
      </c>
      <c r="HG57" s="579"/>
      <c r="HH57" s="576"/>
      <c r="HI57" s="579"/>
      <c r="HJ57" s="576"/>
      <c r="HK57" s="579"/>
      <c r="HL57" s="576"/>
      <c r="HM57" s="579"/>
      <c r="HN57" s="579"/>
      <c r="HO57" s="576"/>
      <c r="HP57" s="579"/>
      <c r="HQ57" s="576"/>
      <c r="HR57" s="576"/>
      <c r="HS57" s="579"/>
      <c r="HT57" s="579"/>
      <c r="HU57" s="576"/>
      <c r="HV57" s="576"/>
      <c r="HW57" s="579"/>
      <c r="HX57" s="579"/>
      <c r="HY57" s="579"/>
      <c r="HZ57" s="579"/>
      <c r="IA57" s="579"/>
      <c r="IB57" s="579"/>
      <c r="IC57" s="579"/>
      <c r="ID57" s="566"/>
      <c r="IE57" s="566"/>
      <c r="IF57" s="566"/>
      <c r="IG57" s="566"/>
      <c r="IH57" s="566"/>
      <c r="II57" s="566"/>
      <c r="IJ57" s="566"/>
      <c r="IK57" s="566"/>
      <c r="IL57" s="566"/>
      <c r="IM57" s="566"/>
      <c r="IN57" s="566"/>
      <c r="IO57" s="566"/>
      <c r="IP57" s="566"/>
      <c r="IQ57" s="566"/>
      <c r="IR57" s="566"/>
      <c r="IS57" s="566"/>
      <c r="IT57" s="566"/>
      <c r="IU57" s="566"/>
      <c r="IV57" s="566"/>
      <c r="IW57" s="566"/>
      <c r="IX57" s="566"/>
      <c r="IY57" s="566"/>
      <c r="IZ57" s="566"/>
      <c r="JA57" s="566"/>
    </row>
    <row r="58" spans="1:261" ht="18" customHeight="1">
      <c r="A58" s="605" t="s">
        <v>199</v>
      </c>
      <c r="B58" s="576"/>
      <c r="C58" s="576" t="str">
        <f>IF(ISTEXT(IFERROR(VLOOKUP(A58,职业列表!I3:J15,1,FALSE),0)),"★","")</f>
        <v/>
      </c>
      <c r="D58" s="579"/>
      <c r="E58" s="576" t="s">
        <v>149</v>
      </c>
      <c r="F58" s="579"/>
      <c r="G58" s="579"/>
      <c r="H58" s="579"/>
      <c r="I58" s="579"/>
      <c r="J58" s="579"/>
      <c r="K58" s="579"/>
      <c r="L58" s="579"/>
      <c r="M58" s="579"/>
      <c r="N58" s="576" t="s">
        <v>149</v>
      </c>
      <c r="O58" s="579"/>
      <c r="P58" s="576" t="s">
        <v>149</v>
      </c>
      <c r="Q58" s="579"/>
      <c r="R58" s="576" t="s">
        <v>149</v>
      </c>
      <c r="S58" s="579"/>
      <c r="T58" s="576" t="s">
        <v>149</v>
      </c>
      <c r="U58" s="579"/>
      <c r="V58" s="579"/>
      <c r="W58" s="576" t="s">
        <v>149</v>
      </c>
      <c r="X58" s="579"/>
      <c r="Y58" s="576" t="s">
        <v>6643</v>
      </c>
      <c r="Z58" s="576" t="s">
        <v>149</v>
      </c>
      <c r="AA58" s="579"/>
      <c r="AB58" s="579"/>
      <c r="AC58" s="576" t="s">
        <v>149</v>
      </c>
      <c r="AD58" s="576" t="s">
        <v>149</v>
      </c>
      <c r="AE58" s="579"/>
      <c r="AF58" s="579"/>
      <c r="AG58" s="579"/>
      <c r="AH58" s="579"/>
      <c r="AI58" s="579"/>
      <c r="AJ58" s="579"/>
      <c r="AK58" s="579"/>
      <c r="AL58" s="579"/>
      <c r="AM58" s="576" t="s">
        <v>6642</v>
      </c>
      <c r="AN58" s="579"/>
      <c r="AO58" s="579"/>
      <c r="AP58" s="579"/>
      <c r="AQ58" s="579"/>
      <c r="AR58" s="579"/>
      <c r="AS58" s="579"/>
      <c r="AT58" s="579"/>
      <c r="AU58" s="579"/>
      <c r="AV58" s="579"/>
      <c r="AW58" s="576" t="s">
        <v>149</v>
      </c>
      <c r="AX58" s="579"/>
      <c r="AY58" s="579"/>
      <c r="AZ58" s="579"/>
      <c r="BA58" s="579"/>
      <c r="BB58" s="579"/>
      <c r="BC58" s="579"/>
      <c r="BD58" s="579"/>
      <c r="BE58" s="579"/>
      <c r="BF58" s="579"/>
      <c r="BG58" s="579"/>
      <c r="BH58" s="576" t="s">
        <v>149</v>
      </c>
      <c r="BI58" s="579"/>
      <c r="BJ58" s="579"/>
      <c r="BK58" s="579"/>
      <c r="BL58" s="576" t="s">
        <v>149</v>
      </c>
      <c r="BM58" s="579"/>
      <c r="BN58" s="579"/>
      <c r="BO58" s="579"/>
      <c r="BP58" s="579"/>
      <c r="BQ58" s="579"/>
      <c r="BR58" s="579"/>
      <c r="BS58" s="579"/>
      <c r="BT58" s="579"/>
      <c r="BU58" s="579"/>
      <c r="BV58" s="579"/>
      <c r="BW58" s="576"/>
      <c r="BX58" s="579"/>
      <c r="BY58" s="579"/>
      <c r="BZ58" s="579"/>
      <c r="CA58" s="579"/>
      <c r="CB58" s="576" t="s">
        <v>149</v>
      </c>
      <c r="CC58" s="579"/>
      <c r="CD58" s="579"/>
      <c r="CE58" s="579"/>
      <c r="CF58" s="576" t="s">
        <v>149</v>
      </c>
      <c r="CG58" s="576" t="s">
        <v>149</v>
      </c>
      <c r="CH58" s="579"/>
      <c r="CI58" s="579"/>
      <c r="CJ58" s="576" t="s">
        <v>149</v>
      </c>
      <c r="CK58" s="579"/>
      <c r="CL58" s="576" t="s">
        <v>149</v>
      </c>
      <c r="CM58" s="579"/>
      <c r="CN58" s="579"/>
      <c r="CO58" s="576" t="s">
        <v>149</v>
      </c>
      <c r="CP58" s="579"/>
      <c r="CQ58" s="579"/>
      <c r="CR58" s="579"/>
      <c r="CS58" s="579"/>
      <c r="CT58" s="579"/>
      <c r="CU58" s="576" t="s">
        <v>149</v>
      </c>
      <c r="CV58" s="579"/>
      <c r="CW58" s="579"/>
      <c r="CX58" s="576" t="s">
        <v>149</v>
      </c>
      <c r="CY58" s="579"/>
      <c r="CZ58" s="576" t="s">
        <v>149</v>
      </c>
      <c r="DA58" s="579"/>
      <c r="DB58" s="579"/>
      <c r="DC58" s="579"/>
      <c r="DD58" s="576" t="s">
        <v>149</v>
      </c>
      <c r="DE58" s="579"/>
      <c r="DF58" s="579"/>
      <c r="DG58" s="577"/>
      <c r="DH58" s="576" t="s">
        <v>149</v>
      </c>
      <c r="DI58" s="576" t="s">
        <v>6642</v>
      </c>
      <c r="DJ58" s="579"/>
      <c r="DK58" s="579"/>
      <c r="DL58" s="579"/>
      <c r="DM58" s="579"/>
      <c r="DN58" s="579"/>
      <c r="DO58" s="576" t="s">
        <v>149</v>
      </c>
      <c r="DP58" s="576" t="s">
        <v>149</v>
      </c>
      <c r="DQ58" s="579"/>
      <c r="DR58" s="579"/>
      <c r="DS58" s="576"/>
      <c r="DT58" s="576"/>
      <c r="DU58" s="576"/>
      <c r="DV58" s="576"/>
      <c r="DW58" s="576"/>
      <c r="DX58" s="576" t="s">
        <v>149</v>
      </c>
      <c r="DY58" s="576"/>
      <c r="DZ58" s="576"/>
      <c r="EA58" s="576"/>
      <c r="EB58" s="576"/>
      <c r="EC58" s="576" t="s">
        <v>149</v>
      </c>
      <c r="ED58" s="576" t="s">
        <v>149</v>
      </c>
      <c r="EE58" s="576"/>
      <c r="EF58" s="576"/>
      <c r="EG58" s="576"/>
      <c r="EH58" s="576"/>
      <c r="EI58" s="576"/>
      <c r="EJ58" s="576"/>
      <c r="EK58" s="576"/>
      <c r="EL58" s="576"/>
      <c r="EM58" s="576"/>
      <c r="EN58" s="576"/>
      <c r="EO58" s="576" t="s">
        <v>149</v>
      </c>
      <c r="EP58" s="576"/>
      <c r="EQ58" s="576"/>
      <c r="ER58" s="576"/>
      <c r="ES58" s="576" t="s">
        <v>149</v>
      </c>
      <c r="ET58" s="576"/>
      <c r="EU58" s="576"/>
      <c r="EV58" s="576"/>
      <c r="EW58" s="576"/>
      <c r="EX58" s="576"/>
      <c r="EY58" s="576"/>
      <c r="EZ58" s="576"/>
      <c r="FA58" s="576"/>
      <c r="FB58" s="576"/>
      <c r="FC58" s="576" t="s">
        <v>149</v>
      </c>
      <c r="FD58" s="576"/>
      <c r="FE58" s="576"/>
      <c r="FF58" s="576"/>
      <c r="FG58" s="576"/>
      <c r="FH58" s="576"/>
      <c r="FI58" s="576"/>
      <c r="FJ58" s="576"/>
      <c r="FK58" s="576"/>
      <c r="FL58" s="576"/>
      <c r="FM58" s="576"/>
      <c r="FN58" s="576"/>
      <c r="FO58" s="576"/>
      <c r="FP58" s="576"/>
      <c r="FQ58" s="576"/>
      <c r="FR58" s="576"/>
      <c r="FS58" s="576"/>
      <c r="FT58" s="576"/>
      <c r="FU58" s="576"/>
      <c r="FV58" s="576" t="s">
        <v>149</v>
      </c>
      <c r="FW58" s="576" t="s">
        <v>149</v>
      </c>
      <c r="FX58" s="576"/>
      <c r="FY58" s="576"/>
      <c r="FZ58" s="576"/>
      <c r="GA58" s="576" t="s">
        <v>149</v>
      </c>
      <c r="GB58" s="576"/>
      <c r="GC58" s="576" t="s">
        <v>149</v>
      </c>
      <c r="GD58" s="576"/>
      <c r="GE58" s="576"/>
      <c r="GF58" s="576"/>
      <c r="GG58" s="576"/>
      <c r="GH58" s="576"/>
      <c r="GI58" s="576"/>
      <c r="GJ58" s="576" t="s">
        <v>149</v>
      </c>
      <c r="GK58" s="576" t="s">
        <v>149</v>
      </c>
      <c r="GL58" s="576"/>
      <c r="GM58" s="576"/>
      <c r="GN58" s="576"/>
      <c r="GO58" s="576"/>
      <c r="GP58" s="576"/>
      <c r="GQ58" s="576"/>
      <c r="GR58" s="576"/>
      <c r="GS58" s="576"/>
      <c r="GT58" s="576"/>
      <c r="GU58" s="576"/>
      <c r="GV58" s="576"/>
      <c r="GW58" s="576"/>
      <c r="GX58" s="576" t="s">
        <v>149</v>
      </c>
      <c r="GY58" s="576"/>
      <c r="GZ58" s="576"/>
      <c r="HA58" s="576"/>
      <c r="HB58" s="576"/>
      <c r="HC58" s="576"/>
      <c r="HD58" s="579"/>
      <c r="HE58" s="579"/>
      <c r="HF58" s="577"/>
      <c r="HG58" s="579"/>
      <c r="HH58" s="576"/>
      <c r="HI58" s="579"/>
      <c r="HJ58" s="576"/>
      <c r="HK58" s="579"/>
      <c r="HL58" s="576"/>
      <c r="HM58" s="579"/>
      <c r="HN58" s="579"/>
      <c r="HO58" s="576"/>
      <c r="HP58" s="579"/>
      <c r="HQ58" s="576"/>
      <c r="HR58" s="576"/>
      <c r="HS58" s="579"/>
      <c r="HT58" s="579"/>
      <c r="HU58" s="576"/>
      <c r="HV58" s="576"/>
      <c r="HW58" s="579"/>
      <c r="HX58" s="579"/>
      <c r="HY58" s="579"/>
      <c r="HZ58" s="579"/>
      <c r="IA58" s="579"/>
      <c r="IB58" s="579"/>
      <c r="IC58" s="579"/>
      <c r="ID58" s="566"/>
      <c r="IE58" s="566"/>
      <c r="IF58" s="566"/>
      <c r="IG58" s="566"/>
      <c r="IH58" s="566"/>
      <c r="II58" s="566"/>
      <c r="IJ58" s="566"/>
      <c r="IK58" s="566"/>
      <c r="IL58" s="566"/>
      <c r="IM58" s="566"/>
      <c r="IN58" s="566"/>
      <c r="IO58" s="566"/>
      <c r="IP58" s="566"/>
      <c r="IQ58" s="566"/>
      <c r="IR58" s="566"/>
      <c r="IS58" s="566"/>
      <c r="IT58" s="566"/>
      <c r="IU58" s="566"/>
      <c r="IV58" s="566"/>
      <c r="IW58" s="566"/>
      <c r="IX58" s="566"/>
      <c r="IY58" s="566"/>
      <c r="IZ58" s="566"/>
      <c r="JA58" s="566"/>
    </row>
    <row r="59" spans="1:261" ht="18" customHeight="1">
      <c r="A59" s="607" t="s">
        <v>201</v>
      </c>
    </row>
    <row r="60" spans="1:261" ht="18" customHeight="1">
      <c r="A60" s="607" t="s">
        <v>6689</v>
      </c>
    </row>
    <row r="61" spans="1:261" ht="18" customHeight="1">
      <c r="A61" s="619" t="str">
        <f>人物卡!CA57</f>
        <v>炮术</v>
      </c>
      <c r="B61" s="620"/>
      <c r="C61" s="620" t="str">
        <f>IF(ISTEXT(IFERROR(VLOOKUP(A61,职业列表!I3:J15,1,FALSE),0)),"★","")</f>
        <v/>
      </c>
      <c r="D61" s="620"/>
      <c r="E61" s="620"/>
      <c r="F61" s="620"/>
      <c r="G61" s="620"/>
      <c r="H61" s="620"/>
      <c r="I61" s="620"/>
      <c r="J61" s="620"/>
      <c r="K61" s="620"/>
      <c r="L61" s="620"/>
      <c r="M61" s="620"/>
      <c r="N61" s="620"/>
      <c r="O61" s="620"/>
      <c r="P61" s="620"/>
      <c r="Q61" s="620"/>
      <c r="R61" s="620"/>
      <c r="S61" s="620"/>
      <c r="T61" s="620"/>
      <c r="U61" s="620"/>
      <c r="V61" s="620"/>
      <c r="W61" s="620"/>
      <c r="X61" s="620"/>
      <c r="Y61" s="620"/>
      <c r="Z61" s="620"/>
      <c r="AA61" s="620"/>
      <c r="AB61" s="620"/>
      <c r="AC61" s="620"/>
      <c r="AD61" s="620"/>
      <c r="AE61" s="620"/>
      <c r="AF61" s="620"/>
      <c r="AG61" s="620"/>
      <c r="AH61" s="620"/>
      <c r="AI61" s="620"/>
      <c r="AJ61" s="620"/>
      <c r="AK61" s="620"/>
      <c r="AL61" s="620"/>
      <c r="AM61" s="620"/>
      <c r="AN61" s="620"/>
      <c r="AO61" s="620"/>
      <c r="AP61" s="620"/>
      <c r="AQ61" s="620"/>
      <c r="AR61" s="620"/>
      <c r="AS61" s="620"/>
      <c r="AT61" s="620"/>
      <c r="AU61" s="620"/>
      <c r="AV61" s="620"/>
      <c r="AW61" s="620"/>
      <c r="AX61" s="620"/>
      <c r="AY61" s="620"/>
      <c r="AZ61" s="620"/>
      <c r="BA61" s="620"/>
      <c r="BB61" s="620"/>
      <c r="BC61" s="620"/>
      <c r="BD61" s="620"/>
      <c r="BE61" s="620"/>
      <c r="BF61" s="620"/>
      <c r="BG61" s="620"/>
      <c r="BH61" s="620"/>
      <c r="BI61" s="620"/>
      <c r="BJ61" s="620"/>
      <c r="BK61" s="620"/>
      <c r="BL61" s="620"/>
      <c r="BM61" s="620"/>
      <c r="BN61" s="620"/>
      <c r="BO61" s="620"/>
      <c r="BP61" s="620"/>
      <c r="BQ61" s="620"/>
      <c r="BR61" s="620"/>
      <c r="BS61" s="620"/>
      <c r="BT61" s="620"/>
      <c r="BU61" s="620"/>
      <c r="BV61" s="620"/>
      <c r="BW61" s="620"/>
      <c r="BX61" s="620"/>
      <c r="BY61" s="620"/>
      <c r="BZ61" s="620"/>
      <c r="CA61" s="620"/>
      <c r="CB61" s="620"/>
      <c r="CC61" s="620"/>
      <c r="CD61" s="620"/>
      <c r="CE61" s="620"/>
      <c r="CF61" s="620"/>
      <c r="CG61" s="620"/>
      <c r="CH61" s="620"/>
      <c r="CI61" s="620"/>
      <c r="CJ61" s="620"/>
      <c r="CK61" s="620"/>
      <c r="CL61" s="620"/>
      <c r="CM61" s="620"/>
      <c r="CN61" s="620"/>
      <c r="CO61" s="620"/>
      <c r="CP61" s="620"/>
      <c r="CQ61" s="620"/>
      <c r="CR61" s="620"/>
      <c r="CS61" s="620"/>
      <c r="CT61" s="620"/>
      <c r="CU61" s="620"/>
      <c r="CV61" s="620"/>
      <c r="CW61" s="620"/>
      <c r="CX61" s="620"/>
      <c r="CY61" s="620"/>
      <c r="CZ61" s="620"/>
      <c r="DA61" s="620"/>
      <c r="DB61" s="620"/>
      <c r="DC61" s="620"/>
      <c r="DD61" s="620"/>
      <c r="DE61" s="620"/>
      <c r="DF61" s="620"/>
      <c r="DG61" s="620"/>
      <c r="DH61" s="620"/>
      <c r="DI61" s="620"/>
      <c r="DJ61" s="620"/>
      <c r="DK61" s="620"/>
      <c r="DL61" s="620"/>
      <c r="DM61" s="620"/>
      <c r="DN61" s="620"/>
      <c r="DO61" s="620"/>
      <c r="DP61" s="620"/>
      <c r="DQ61" s="620"/>
      <c r="DR61" s="620"/>
      <c r="DS61" s="620"/>
      <c r="DT61" s="620"/>
      <c r="DU61" s="620"/>
      <c r="DV61" s="620"/>
      <c r="DW61" s="620"/>
      <c r="DX61" s="620"/>
      <c r="DY61" s="620"/>
      <c r="DZ61" s="620"/>
      <c r="EA61" s="620"/>
      <c r="EB61" s="620"/>
      <c r="EC61" s="620"/>
      <c r="ED61" s="620"/>
      <c r="EE61" s="620"/>
      <c r="EF61" s="620"/>
      <c r="EG61" s="620"/>
      <c r="EH61" s="620"/>
      <c r="EI61" s="620"/>
      <c r="EJ61" s="620"/>
      <c r="EK61" s="620"/>
      <c r="EL61" s="620"/>
      <c r="EM61" s="620"/>
      <c r="EN61" s="620"/>
      <c r="EO61" s="620"/>
      <c r="EP61" s="620"/>
      <c r="EQ61" s="620"/>
      <c r="ER61" s="620"/>
      <c r="ES61" s="620"/>
      <c r="ET61" s="620"/>
      <c r="EU61" s="620"/>
      <c r="EV61" s="620"/>
      <c r="EW61" s="620"/>
      <c r="EX61" s="620"/>
      <c r="EY61" s="620"/>
      <c r="EZ61" s="620"/>
      <c r="FA61" s="620"/>
      <c r="FB61" s="620"/>
      <c r="FC61" s="620"/>
      <c r="FD61" s="620"/>
      <c r="FE61" s="620"/>
      <c r="FF61" s="620"/>
      <c r="FG61" s="620"/>
      <c r="FH61" s="620"/>
      <c r="FI61" s="620"/>
      <c r="FJ61" s="620"/>
      <c r="FK61" s="620"/>
      <c r="FL61" s="620"/>
      <c r="FM61" s="620"/>
      <c r="FN61" s="620"/>
      <c r="FO61" s="620"/>
      <c r="FP61" s="620"/>
      <c r="FQ61" s="620"/>
      <c r="FR61" s="620"/>
      <c r="FS61" s="620"/>
      <c r="FT61" s="620"/>
      <c r="FU61" s="620"/>
      <c r="FV61" s="620"/>
      <c r="FW61" s="620"/>
      <c r="FX61" s="620"/>
      <c r="FY61" s="620"/>
      <c r="FZ61" s="620"/>
      <c r="GA61" s="620"/>
      <c r="GB61" s="620"/>
      <c r="GC61" s="620"/>
      <c r="GD61" s="620"/>
      <c r="GE61" s="620"/>
      <c r="GF61" s="620"/>
      <c r="GG61" s="620"/>
      <c r="GH61" s="620"/>
      <c r="GI61" s="620"/>
      <c r="GJ61" s="620"/>
      <c r="GK61" s="620"/>
      <c r="GL61" s="620"/>
      <c r="GM61" s="620"/>
      <c r="GN61" s="620"/>
      <c r="GO61" s="620"/>
      <c r="GP61" s="620"/>
      <c r="GQ61" s="620"/>
      <c r="GR61" s="620"/>
      <c r="GS61" s="620"/>
      <c r="GT61" s="620"/>
      <c r="GU61" s="620"/>
      <c r="GV61" s="620"/>
      <c r="GW61" s="620"/>
      <c r="GX61" s="620"/>
      <c r="GY61" s="620"/>
      <c r="GZ61" s="620"/>
      <c r="HA61" s="620"/>
      <c r="HB61" s="620"/>
      <c r="HC61" s="620"/>
      <c r="HD61" s="620"/>
      <c r="HE61" s="620"/>
      <c r="HF61" s="620"/>
      <c r="HG61" s="620"/>
      <c r="HH61" s="620"/>
      <c r="HI61" s="620"/>
      <c r="HJ61" s="620"/>
      <c r="HK61" s="620"/>
      <c r="HL61" s="620"/>
      <c r="HM61" s="620"/>
      <c r="HN61" s="620"/>
      <c r="HO61" s="620"/>
      <c r="HP61" s="620"/>
      <c r="HQ61" s="620"/>
      <c r="HR61" s="620"/>
      <c r="HS61" s="620"/>
      <c r="HT61" s="620"/>
      <c r="HU61" s="620"/>
      <c r="HV61" s="620"/>
      <c r="HW61" s="620"/>
      <c r="HX61" s="620"/>
      <c r="HY61" s="620"/>
      <c r="HZ61" s="620"/>
      <c r="IA61" s="620"/>
      <c r="IB61" s="620"/>
      <c r="IC61" s="620"/>
    </row>
    <row r="62" spans="1:261" ht="18" customHeight="1">
      <c r="A62" s="575" t="s">
        <v>178</v>
      </c>
      <c r="B62" s="576"/>
      <c r="C62" s="576" t="str">
        <f>IF(ISTEXT(IFERROR(VLOOKUP(A62,职业列表!I3:J15,1,FALSE),0)),"★","")</f>
        <v/>
      </c>
      <c r="D62" s="576"/>
      <c r="E62" s="576"/>
      <c r="F62" s="576"/>
      <c r="G62" s="576"/>
      <c r="H62" s="576"/>
      <c r="I62" s="576"/>
      <c r="J62" s="576"/>
      <c r="K62" s="576"/>
      <c r="L62" s="576"/>
      <c r="M62" s="576"/>
      <c r="N62" s="576"/>
      <c r="O62" s="576"/>
      <c r="P62" s="576"/>
      <c r="Q62" s="576"/>
      <c r="R62" s="576"/>
      <c r="S62" s="576"/>
      <c r="T62" s="576"/>
      <c r="U62" s="576" t="s">
        <v>149</v>
      </c>
      <c r="V62" s="576"/>
      <c r="W62" s="576"/>
      <c r="X62" s="576"/>
      <c r="Y62" s="576"/>
      <c r="Z62" s="576"/>
      <c r="AA62" s="576"/>
      <c r="AB62" s="576"/>
      <c r="AC62" s="576" t="s">
        <v>149</v>
      </c>
      <c r="AD62" s="576"/>
      <c r="AE62" s="576"/>
      <c r="AF62" s="576"/>
      <c r="AG62" s="576" t="s">
        <v>6642</v>
      </c>
      <c r="AH62" s="576"/>
      <c r="AI62" s="576"/>
      <c r="AJ62" s="576"/>
      <c r="AK62" s="576"/>
      <c r="AL62" s="576"/>
      <c r="AM62" s="576"/>
      <c r="AN62" s="576"/>
      <c r="AO62" s="576"/>
      <c r="AP62" s="576"/>
      <c r="AQ62" s="576"/>
      <c r="AR62" s="576"/>
      <c r="AS62" s="576"/>
      <c r="AT62" s="576"/>
      <c r="AU62" s="576"/>
      <c r="AV62" s="576"/>
      <c r="AW62" s="576"/>
      <c r="AX62" s="576" t="s">
        <v>149</v>
      </c>
      <c r="AY62" s="576" t="s">
        <v>149</v>
      </c>
      <c r="AZ62" s="576"/>
      <c r="BA62" s="576"/>
      <c r="BB62" s="576"/>
      <c r="BC62" s="576"/>
      <c r="BD62" s="576"/>
      <c r="BE62" s="576"/>
      <c r="BF62" s="576"/>
      <c r="BG62" s="576"/>
      <c r="BH62" s="576"/>
      <c r="BI62" s="576"/>
      <c r="BJ62" s="576"/>
      <c r="BK62" s="576" t="s">
        <v>149</v>
      </c>
      <c r="BL62" s="576"/>
      <c r="BM62" s="576"/>
      <c r="BN62" s="576"/>
      <c r="BO62" s="576"/>
      <c r="BP62" s="576"/>
      <c r="BQ62" s="576"/>
      <c r="BR62" s="576"/>
      <c r="BS62" s="576" t="s">
        <v>149</v>
      </c>
      <c r="BT62" s="576"/>
      <c r="BU62" s="576"/>
      <c r="BV62" s="576"/>
      <c r="BW62" s="576"/>
      <c r="BX62" s="576" t="s">
        <v>149</v>
      </c>
      <c r="BY62" s="576" t="s">
        <v>149</v>
      </c>
      <c r="BZ62" s="576"/>
      <c r="CA62" s="576"/>
      <c r="CB62" s="576"/>
      <c r="CC62" s="576"/>
      <c r="CD62" s="576" t="s">
        <v>149</v>
      </c>
      <c r="CE62" s="576" t="s">
        <v>149</v>
      </c>
      <c r="CF62" s="576" t="s">
        <v>149</v>
      </c>
      <c r="CG62" s="576"/>
      <c r="CH62" s="576"/>
      <c r="CI62" s="576" t="s">
        <v>149</v>
      </c>
      <c r="CJ62" s="576"/>
      <c r="CK62" s="576" t="s">
        <v>149</v>
      </c>
      <c r="CL62" s="576"/>
      <c r="CM62" s="576" t="s">
        <v>149</v>
      </c>
      <c r="CN62" s="576"/>
      <c r="CO62" s="576"/>
      <c r="CP62" s="576"/>
      <c r="CQ62" s="576"/>
      <c r="CR62" s="576"/>
      <c r="CS62" s="576" t="s">
        <v>149</v>
      </c>
      <c r="CT62" s="576"/>
      <c r="CU62" s="576"/>
      <c r="CV62" s="576" t="s">
        <v>149</v>
      </c>
      <c r="CW62" s="576"/>
      <c r="CX62" s="576"/>
      <c r="CY62" s="576"/>
      <c r="CZ62" s="576"/>
      <c r="DA62" s="576" t="s">
        <v>149</v>
      </c>
      <c r="DB62" s="576" t="s">
        <v>149</v>
      </c>
      <c r="DC62" s="576"/>
      <c r="DD62" s="576"/>
      <c r="DE62" s="576"/>
      <c r="DF62" s="576"/>
      <c r="DG62" s="577" t="s">
        <v>6645</v>
      </c>
      <c r="DH62" s="576"/>
      <c r="DI62" s="576"/>
      <c r="DJ62" s="576" t="s">
        <v>149</v>
      </c>
      <c r="DK62" s="576"/>
      <c r="DL62" s="576"/>
      <c r="DM62" s="576"/>
      <c r="DN62" s="576"/>
      <c r="DO62" s="576"/>
      <c r="DP62" s="576"/>
      <c r="DQ62" s="576"/>
      <c r="DR62" s="576" t="s">
        <v>149</v>
      </c>
      <c r="DS62" s="576"/>
      <c r="DT62" s="576"/>
      <c r="DU62" s="576"/>
      <c r="DV62" s="576"/>
      <c r="DW62" s="576"/>
      <c r="DX62" s="576"/>
      <c r="DY62" s="576"/>
      <c r="DZ62" s="576"/>
      <c r="EA62" s="576"/>
      <c r="EB62" s="576"/>
      <c r="EC62" s="576"/>
      <c r="ED62" s="576"/>
      <c r="EE62" s="576"/>
      <c r="EF62" s="576"/>
      <c r="EG62" s="576"/>
      <c r="EH62" s="576"/>
      <c r="EI62" s="576"/>
      <c r="EJ62" s="576"/>
      <c r="EK62" s="576" t="s">
        <v>149</v>
      </c>
      <c r="EL62" s="576" t="s">
        <v>149</v>
      </c>
      <c r="EM62" s="576" t="s">
        <v>149</v>
      </c>
      <c r="EN62" s="576"/>
      <c r="EO62" s="576" t="s">
        <v>149</v>
      </c>
      <c r="EP62" s="576"/>
      <c r="EQ62" s="576"/>
      <c r="ER62" s="576" t="s">
        <v>149</v>
      </c>
      <c r="ES62" s="576"/>
      <c r="ET62" s="576"/>
      <c r="EU62" s="576"/>
      <c r="EV62" s="576"/>
      <c r="EW62" s="576"/>
      <c r="EX62" s="576"/>
      <c r="EY62" s="576"/>
      <c r="EZ62" s="576"/>
      <c r="FA62" s="576"/>
      <c r="FB62" s="576"/>
      <c r="FC62" s="576"/>
      <c r="FD62" s="576"/>
      <c r="FE62" s="576"/>
      <c r="FF62" s="576" t="s">
        <v>149</v>
      </c>
      <c r="FG62" s="576"/>
      <c r="FH62" s="576"/>
      <c r="FI62" s="576"/>
      <c r="FJ62" s="576"/>
      <c r="FK62" s="576"/>
      <c r="FL62" s="576"/>
      <c r="FM62" s="576"/>
      <c r="FN62" s="576"/>
      <c r="FO62" s="576"/>
      <c r="FP62" s="576"/>
      <c r="FQ62" s="576" t="s">
        <v>6642</v>
      </c>
      <c r="FR62" s="576"/>
      <c r="FS62" s="576"/>
      <c r="FT62" s="576"/>
      <c r="FU62" s="576"/>
      <c r="FV62" s="576"/>
      <c r="FW62" s="576" t="s">
        <v>149</v>
      </c>
      <c r="FX62" s="576" t="s">
        <v>149</v>
      </c>
      <c r="FY62" s="576"/>
      <c r="FZ62" s="576" t="s">
        <v>149</v>
      </c>
      <c r="GA62" s="576" t="s">
        <v>149</v>
      </c>
      <c r="GB62" s="576"/>
      <c r="GC62" s="576" t="s">
        <v>149</v>
      </c>
      <c r="GD62" s="576"/>
      <c r="GE62" s="576"/>
      <c r="GF62" s="576" t="s">
        <v>149</v>
      </c>
      <c r="GG62" s="576" t="s">
        <v>149</v>
      </c>
      <c r="GH62" s="576" t="s">
        <v>6645</v>
      </c>
      <c r="GI62" s="576" t="s">
        <v>6645</v>
      </c>
      <c r="GJ62" s="576"/>
      <c r="GK62" s="576"/>
      <c r="GL62" s="576"/>
      <c r="GM62" s="576"/>
      <c r="GN62" s="576"/>
      <c r="GO62" s="576"/>
      <c r="GP62" s="576"/>
      <c r="GQ62" s="576"/>
      <c r="GR62" s="576"/>
      <c r="GS62" s="576"/>
      <c r="GT62" s="576"/>
      <c r="GU62" s="576"/>
      <c r="GV62" s="576"/>
      <c r="GW62" s="576"/>
      <c r="GX62" s="576"/>
      <c r="GY62" s="576"/>
      <c r="GZ62" s="576" t="s">
        <v>6645</v>
      </c>
      <c r="HA62" s="576"/>
      <c r="HB62" s="576" t="s">
        <v>149</v>
      </c>
      <c r="HC62" s="576"/>
      <c r="HD62" s="576" t="s">
        <v>149</v>
      </c>
      <c r="HE62" s="576"/>
      <c r="HF62" s="576"/>
      <c r="HG62" s="576"/>
      <c r="HH62" s="576"/>
      <c r="HI62" s="576"/>
      <c r="HJ62" s="576"/>
      <c r="HK62" s="576" t="s">
        <v>149</v>
      </c>
      <c r="HL62" s="576"/>
      <c r="HM62" s="576"/>
      <c r="HN62" s="576"/>
      <c r="HO62" s="576"/>
      <c r="HP62" s="577" t="s">
        <v>149</v>
      </c>
      <c r="HQ62" s="576" t="s">
        <v>149</v>
      </c>
      <c r="HR62" s="576"/>
      <c r="HS62" s="576"/>
      <c r="HT62" s="577" t="s">
        <v>149</v>
      </c>
      <c r="HU62" s="576"/>
      <c r="HV62" s="577" t="s">
        <v>149</v>
      </c>
      <c r="HW62" s="576" t="s">
        <v>149</v>
      </c>
      <c r="HX62" s="576"/>
      <c r="HY62" s="576"/>
      <c r="HZ62" s="576" t="s">
        <v>6645</v>
      </c>
      <c r="IA62" s="576"/>
      <c r="IB62" s="576" t="s">
        <v>149</v>
      </c>
      <c r="IC62" s="576"/>
      <c r="ID62" s="566"/>
      <c r="IE62" s="566"/>
      <c r="IF62" s="566"/>
      <c r="IG62" s="566"/>
      <c r="IH62" s="566"/>
      <c r="II62" s="566"/>
      <c r="IJ62" s="566"/>
      <c r="IK62" s="566"/>
      <c r="IL62" s="566"/>
      <c r="IM62" s="566"/>
      <c r="IN62" s="566"/>
      <c r="IO62" s="566"/>
      <c r="IP62" s="566"/>
      <c r="IQ62" s="566"/>
      <c r="IR62" s="566"/>
      <c r="IS62" s="566"/>
      <c r="IT62" s="566"/>
      <c r="IU62" s="566"/>
      <c r="IV62" s="566"/>
      <c r="IW62" s="566"/>
      <c r="IX62" s="566"/>
      <c r="IY62" s="566"/>
      <c r="IZ62" s="566"/>
      <c r="JA62" s="566"/>
    </row>
    <row r="63" spans="1:261" ht="18" customHeight="1">
      <c r="A63" s="575" t="s">
        <v>176</v>
      </c>
      <c r="B63" s="576"/>
      <c r="C63" s="576" t="str">
        <f>IF(ISTEXT(IFERROR(VLOOKUP(A63,职业列表!I3:J15,1,FALSE),0)),"★","")</f>
        <v/>
      </c>
      <c r="D63" s="576"/>
      <c r="E63" s="576"/>
      <c r="F63" s="576"/>
      <c r="G63" s="576"/>
      <c r="H63" s="576"/>
      <c r="I63" s="576"/>
      <c r="J63" s="576"/>
      <c r="K63" s="576"/>
      <c r="L63" s="576"/>
      <c r="M63" s="576"/>
      <c r="N63" s="576" t="s">
        <v>149</v>
      </c>
      <c r="O63" s="576"/>
      <c r="P63" s="576"/>
      <c r="Q63" s="576"/>
      <c r="R63" s="576"/>
      <c r="S63" s="576"/>
      <c r="T63" s="576"/>
      <c r="U63" s="576"/>
      <c r="V63" s="576"/>
      <c r="W63" s="576"/>
      <c r="X63" s="576"/>
      <c r="Y63" s="576"/>
      <c r="Z63" s="576"/>
      <c r="AA63" s="576"/>
      <c r="AB63" s="576"/>
      <c r="AC63" s="576"/>
      <c r="AD63" s="576"/>
      <c r="AE63" s="576"/>
      <c r="AF63" s="576"/>
      <c r="AG63" s="576"/>
      <c r="AH63" s="576"/>
      <c r="AI63" s="576"/>
      <c r="AJ63" s="576"/>
      <c r="AK63" s="576"/>
      <c r="AL63" s="576"/>
      <c r="AM63" s="576"/>
      <c r="AN63" s="576"/>
      <c r="AO63" s="576"/>
      <c r="AP63" s="576"/>
      <c r="AQ63" s="576"/>
      <c r="AR63" s="576"/>
      <c r="AS63" s="576"/>
      <c r="AT63" s="576"/>
      <c r="AU63" s="576"/>
      <c r="AV63" s="576"/>
      <c r="AW63" s="576"/>
      <c r="AX63" s="576"/>
      <c r="AY63" s="576" t="s">
        <v>149</v>
      </c>
      <c r="AZ63" s="576"/>
      <c r="BA63" s="576"/>
      <c r="BB63" s="576"/>
      <c r="BC63" s="576"/>
      <c r="BD63" s="576"/>
      <c r="BE63" s="576"/>
      <c r="BF63" s="576"/>
      <c r="BG63" s="576"/>
      <c r="BH63" s="576"/>
      <c r="BI63" s="576"/>
      <c r="BJ63" s="576"/>
      <c r="BK63" s="576"/>
      <c r="BL63" s="576"/>
      <c r="BM63" s="576" t="s">
        <v>149</v>
      </c>
      <c r="BN63" s="576"/>
      <c r="BO63" s="576"/>
      <c r="BP63" s="576"/>
      <c r="BQ63" s="576"/>
      <c r="BR63" s="576"/>
      <c r="BS63" s="576"/>
      <c r="BT63" s="576"/>
      <c r="BU63" s="576"/>
      <c r="BV63" s="576"/>
      <c r="BW63" s="576"/>
      <c r="BX63" s="576"/>
      <c r="BY63" s="576"/>
      <c r="BZ63" s="576"/>
      <c r="CA63" s="576"/>
      <c r="CB63" s="576"/>
      <c r="CC63" s="576"/>
      <c r="CD63" s="576"/>
      <c r="CE63" s="576" t="s">
        <v>149</v>
      </c>
      <c r="CF63" s="576"/>
      <c r="CG63" s="576"/>
      <c r="CH63" s="576"/>
      <c r="CI63" s="576" t="s">
        <v>149</v>
      </c>
      <c r="CJ63" s="576"/>
      <c r="CK63" s="576"/>
      <c r="CL63" s="576"/>
      <c r="CM63" s="576"/>
      <c r="CN63" s="576"/>
      <c r="CO63" s="576"/>
      <c r="CP63" s="576"/>
      <c r="CQ63" s="576"/>
      <c r="CR63" s="576"/>
      <c r="CS63" s="576"/>
      <c r="CT63" s="576"/>
      <c r="CU63" s="576"/>
      <c r="CV63" s="576"/>
      <c r="CW63" s="576"/>
      <c r="CX63" s="576" t="s">
        <v>149</v>
      </c>
      <c r="CY63" s="576"/>
      <c r="CZ63" s="576"/>
      <c r="DA63" s="576"/>
      <c r="DB63" s="576"/>
      <c r="DC63" s="576"/>
      <c r="DD63" s="576"/>
      <c r="DE63" s="576"/>
      <c r="DF63" s="576"/>
      <c r="DG63" s="576"/>
      <c r="DH63" s="576"/>
      <c r="DI63" s="576"/>
      <c r="DJ63" s="576"/>
      <c r="DK63" s="576"/>
      <c r="DL63" s="576"/>
      <c r="DM63" s="576"/>
      <c r="DN63" s="576"/>
      <c r="DO63" s="576"/>
      <c r="DP63" s="576"/>
      <c r="DQ63" s="576"/>
      <c r="DR63" s="576" t="s">
        <v>149</v>
      </c>
      <c r="DS63" s="576"/>
      <c r="DT63" s="576"/>
      <c r="DU63" s="576"/>
      <c r="DV63" s="576"/>
      <c r="DW63" s="576"/>
      <c r="DX63" s="576"/>
      <c r="DY63" s="576"/>
      <c r="DZ63" s="576"/>
      <c r="EA63" s="576"/>
      <c r="EB63" s="576"/>
      <c r="EC63" s="576"/>
      <c r="ED63" s="576"/>
      <c r="EE63" s="576"/>
      <c r="EF63" s="576"/>
      <c r="EG63" s="576"/>
      <c r="EH63" s="576"/>
      <c r="EI63" s="576"/>
      <c r="EJ63" s="576"/>
      <c r="EK63" s="576" t="s">
        <v>149</v>
      </c>
      <c r="EL63" s="576" t="s">
        <v>149</v>
      </c>
      <c r="EM63" s="576" t="s">
        <v>149</v>
      </c>
      <c r="EN63" s="576"/>
      <c r="EO63" s="576"/>
      <c r="EP63" s="576"/>
      <c r="EQ63" s="576" t="s">
        <v>149</v>
      </c>
      <c r="ER63" s="576"/>
      <c r="ES63" s="576"/>
      <c r="ET63" s="576"/>
      <c r="EU63" s="576"/>
      <c r="EV63" s="576"/>
      <c r="EW63" s="576"/>
      <c r="EX63" s="576"/>
      <c r="EY63" s="576"/>
      <c r="EZ63" s="576"/>
      <c r="FA63" s="576"/>
      <c r="FB63" s="576"/>
      <c r="FC63" s="576"/>
      <c r="FD63" s="576"/>
      <c r="FE63" s="576" t="s">
        <v>149</v>
      </c>
      <c r="FF63" s="576" t="s">
        <v>149</v>
      </c>
      <c r="FG63" s="576"/>
      <c r="FH63" s="576"/>
      <c r="FI63" s="576"/>
      <c r="FJ63" s="576"/>
      <c r="FK63" s="576"/>
      <c r="FL63" s="576"/>
      <c r="FM63" s="576"/>
      <c r="FN63" s="576"/>
      <c r="FO63" s="576"/>
      <c r="FP63" s="576"/>
      <c r="FQ63" s="576" t="s">
        <v>149</v>
      </c>
      <c r="FR63" s="576"/>
      <c r="FS63" s="576"/>
      <c r="FT63" s="576"/>
      <c r="FU63" s="576"/>
      <c r="FV63" s="576"/>
      <c r="FW63" s="576"/>
      <c r="FX63" s="576"/>
      <c r="FY63" s="576"/>
      <c r="FZ63" s="576" t="s">
        <v>149</v>
      </c>
      <c r="GA63" s="576" t="s">
        <v>149</v>
      </c>
      <c r="GB63" s="576" t="s">
        <v>149</v>
      </c>
      <c r="GC63" s="576"/>
      <c r="GD63" s="576"/>
      <c r="GE63" s="576"/>
      <c r="GF63" s="576"/>
      <c r="GG63" s="576"/>
      <c r="GH63" s="576"/>
      <c r="GI63" s="576"/>
      <c r="GJ63" s="576"/>
      <c r="GK63" s="576"/>
      <c r="GL63" s="576"/>
      <c r="GM63" s="576"/>
      <c r="GN63" s="576"/>
      <c r="GO63" s="576"/>
      <c r="GP63" s="576"/>
      <c r="GQ63" s="576"/>
      <c r="GR63" s="576"/>
      <c r="GS63" s="576"/>
      <c r="GT63" s="576"/>
      <c r="GU63" s="576"/>
      <c r="GV63" s="576"/>
      <c r="GW63" s="576"/>
      <c r="GX63" s="576"/>
      <c r="GY63" s="576"/>
      <c r="GZ63" s="576"/>
      <c r="HA63" s="576"/>
      <c r="HB63" s="576"/>
      <c r="HC63" s="576"/>
      <c r="HD63" s="576"/>
      <c r="HE63" s="576"/>
      <c r="HF63" s="576"/>
      <c r="HG63" s="576"/>
      <c r="HH63" s="576"/>
      <c r="HI63" s="576"/>
      <c r="HJ63" s="576"/>
      <c r="HK63" s="576"/>
      <c r="HL63" s="576"/>
      <c r="HM63" s="576"/>
      <c r="HN63" s="576"/>
      <c r="HO63" s="576"/>
      <c r="HP63" s="576"/>
      <c r="HQ63" s="576"/>
      <c r="HR63" s="576"/>
      <c r="HS63" s="576"/>
      <c r="HT63" s="576"/>
      <c r="HU63" s="576"/>
      <c r="HV63" s="576" t="s">
        <v>149</v>
      </c>
      <c r="HW63" s="576"/>
      <c r="HX63" s="576"/>
      <c r="HY63" s="576"/>
      <c r="HZ63" s="576"/>
      <c r="IA63" s="576"/>
      <c r="IB63" s="576"/>
      <c r="IC63" s="576"/>
      <c r="ID63" s="566"/>
      <c r="IE63" s="566"/>
      <c r="IF63" s="566"/>
      <c r="IG63" s="566"/>
      <c r="IH63" s="566"/>
      <c r="II63" s="566"/>
      <c r="IJ63" s="566"/>
      <c r="IK63" s="566"/>
      <c r="IL63" s="566"/>
      <c r="IM63" s="566"/>
      <c r="IN63" s="566"/>
      <c r="IO63" s="566"/>
      <c r="IP63" s="566"/>
      <c r="IQ63" s="566"/>
      <c r="IR63" s="566"/>
      <c r="IS63" s="566"/>
      <c r="IT63" s="566"/>
      <c r="IU63" s="566"/>
      <c r="IV63" s="566"/>
      <c r="IW63" s="566"/>
      <c r="IX63" s="566"/>
      <c r="IY63" s="566"/>
      <c r="IZ63" s="566"/>
      <c r="JA63" s="566"/>
    </row>
    <row r="64" spans="1:261" ht="18" customHeight="1">
      <c r="A64" s="592" t="s">
        <v>174</v>
      </c>
      <c r="B64" s="576"/>
      <c r="C64" s="576" t="str">
        <f>IF(ISTEXT(IFERROR(VLOOKUP(A64,职业列表!I3:J15,1,FALSE),0)),"★","")</f>
        <v/>
      </c>
      <c r="D64" s="576"/>
      <c r="E64" s="576"/>
      <c r="F64" s="576"/>
      <c r="G64" s="576"/>
      <c r="H64" s="576"/>
      <c r="I64" s="576"/>
      <c r="J64" s="576"/>
      <c r="K64" s="576"/>
      <c r="L64" s="576"/>
      <c r="M64" s="576"/>
      <c r="N64" s="576" t="s">
        <v>149</v>
      </c>
      <c r="O64" s="576"/>
      <c r="P64" s="576"/>
      <c r="Q64" s="576"/>
      <c r="R64" s="576"/>
      <c r="S64" s="576"/>
      <c r="T64" s="576"/>
      <c r="U64" s="576"/>
      <c r="V64" s="576"/>
      <c r="W64" s="576"/>
      <c r="X64" s="576"/>
      <c r="Y64" s="576"/>
      <c r="Z64" s="576"/>
      <c r="AA64" s="576"/>
      <c r="AB64" s="576"/>
      <c r="AC64" s="576"/>
      <c r="AD64" s="576"/>
      <c r="AE64" s="576"/>
      <c r="AF64" s="576"/>
      <c r="AG64" s="576"/>
      <c r="AH64" s="576"/>
      <c r="AI64" s="576"/>
      <c r="AJ64" s="576"/>
      <c r="AK64" s="576"/>
      <c r="AL64" s="576"/>
      <c r="AM64" s="576"/>
      <c r="AN64" s="576"/>
      <c r="AO64" s="576"/>
      <c r="AP64" s="576"/>
      <c r="AQ64" s="576"/>
      <c r="AR64" s="576"/>
      <c r="AS64" s="576"/>
      <c r="AT64" s="576"/>
      <c r="AU64" s="576"/>
      <c r="AV64" s="576"/>
      <c r="AW64" s="576"/>
      <c r="AX64" s="576"/>
      <c r="AY64" s="576"/>
      <c r="AZ64" s="576"/>
      <c r="BA64" s="576"/>
      <c r="BB64" s="576"/>
      <c r="BC64" s="576"/>
      <c r="BD64" s="576"/>
      <c r="BE64" s="576"/>
      <c r="BF64" s="576"/>
      <c r="BG64" s="576"/>
      <c r="BH64" s="576"/>
      <c r="BI64" s="576"/>
      <c r="BJ64" s="576"/>
      <c r="BK64" s="576"/>
      <c r="BL64" s="576"/>
      <c r="BM64" s="576"/>
      <c r="BN64" s="576"/>
      <c r="BO64" s="576"/>
      <c r="BP64" s="576"/>
      <c r="BQ64" s="576"/>
      <c r="BR64" s="576"/>
      <c r="BS64" s="576"/>
      <c r="BT64" s="576"/>
      <c r="BU64" s="576"/>
      <c r="BV64" s="576"/>
      <c r="BW64" s="576"/>
      <c r="BX64" s="576"/>
      <c r="BY64" s="576"/>
      <c r="BZ64" s="576"/>
      <c r="CA64" s="576"/>
      <c r="CB64" s="576"/>
      <c r="CC64" s="576"/>
      <c r="CD64" s="576"/>
      <c r="CE64" s="576"/>
      <c r="CF64" s="576"/>
      <c r="CG64" s="576"/>
      <c r="CH64" s="576"/>
      <c r="CI64" s="576"/>
      <c r="CJ64" s="576"/>
      <c r="CK64" s="576"/>
      <c r="CL64" s="576"/>
      <c r="CM64" s="576"/>
      <c r="CN64" s="576"/>
      <c r="CO64" s="576"/>
      <c r="CP64" s="576"/>
      <c r="CQ64" s="576"/>
      <c r="CR64" s="576"/>
      <c r="CS64" s="576"/>
      <c r="CT64" s="576"/>
      <c r="CU64" s="576"/>
      <c r="CV64" s="576"/>
      <c r="CW64" s="576"/>
      <c r="CX64" s="576" t="s">
        <v>149</v>
      </c>
      <c r="CY64" s="576" t="s">
        <v>149</v>
      </c>
      <c r="CZ64" s="576"/>
      <c r="DA64" s="576"/>
      <c r="DB64" s="576"/>
      <c r="DC64" s="576"/>
      <c r="DD64" s="576"/>
      <c r="DE64" s="576"/>
      <c r="DF64" s="576"/>
      <c r="DG64" s="576"/>
      <c r="DH64" s="576"/>
      <c r="DI64" s="576"/>
      <c r="DJ64" s="576"/>
      <c r="DK64" s="576"/>
      <c r="DL64" s="576"/>
      <c r="DM64" s="576"/>
      <c r="DN64" s="576"/>
      <c r="DO64" s="576"/>
      <c r="DP64" s="576"/>
      <c r="DQ64" s="576"/>
      <c r="DR64" s="576"/>
      <c r="DS64" s="576"/>
      <c r="DT64" s="576"/>
      <c r="DU64" s="576"/>
      <c r="DV64" s="576"/>
      <c r="DW64" s="576"/>
      <c r="DX64" s="576"/>
      <c r="DY64" s="576"/>
      <c r="DZ64" s="576"/>
      <c r="EA64" s="576"/>
      <c r="EB64" s="576"/>
      <c r="EC64" s="576"/>
      <c r="ED64" s="576"/>
      <c r="EE64" s="576"/>
      <c r="EF64" s="576"/>
      <c r="EG64" s="576"/>
      <c r="EH64" s="576"/>
      <c r="EI64" s="576"/>
      <c r="EJ64" s="576"/>
      <c r="EK64" s="576"/>
      <c r="EL64" s="576"/>
      <c r="EM64" s="576"/>
      <c r="EN64" s="576"/>
      <c r="EO64" s="576"/>
      <c r="EP64" s="576"/>
      <c r="EQ64" s="576"/>
      <c r="ER64" s="576"/>
      <c r="ES64" s="576"/>
      <c r="ET64" s="576"/>
      <c r="EU64" s="576"/>
      <c r="EV64" s="576"/>
      <c r="EW64" s="576"/>
      <c r="EX64" s="576"/>
      <c r="EY64" s="576"/>
      <c r="EZ64" s="576"/>
      <c r="FA64" s="576"/>
      <c r="FB64" s="576"/>
      <c r="FC64" s="576"/>
      <c r="FD64" s="576"/>
      <c r="FE64" s="576"/>
      <c r="FF64" s="576"/>
      <c r="FG64" s="576"/>
      <c r="FH64" s="576"/>
      <c r="FI64" s="576"/>
      <c r="FJ64" s="576"/>
      <c r="FK64" s="576"/>
      <c r="FL64" s="576"/>
      <c r="FM64" s="576"/>
      <c r="FN64" s="576"/>
      <c r="FO64" s="576"/>
      <c r="FP64" s="576"/>
      <c r="FQ64" s="576" t="s">
        <v>6642</v>
      </c>
      <c r="FR64" s="576"/>
      <c r="FS64" s="576"/>
      <c r="FT64" s="576"/>
      <c r="FU64" s="576"/>
      <c r="FV64" s="576" t="s">
        <v>149</v>
      </c>
      <c r="FW64" s="576"/>
      <c r="FX64" s="576"/>
      <c r="FY64" s="576" t="s">
        <v>149</v>
      </c>
      <c r="FZ64" s="576"/>
      <c r="GA64" s="576"/>
      <c r="GB64" s="576"/>
      <c r="GC64" s="576"/>
      <c r="GD64" s="576"/>
      <c r="GE64" s="576"/>
      <c r="GF64" s="576"/>
      <c r="GG64" s="576"/>
      <c r="GH64" s="576"/>
      <c r="GI64" s="576"/>
      <c r="GJ64" s="576"/>
      <c r="GK64" s="576"/>
      <c r="GL64" s="576"/>
      <c r="GM64" s="576"/>
      <c r="GN64" s="576"/>
      <c r="GO64" s="576"/>
      <c r="GP64" s="576"/>
      <c r="GQ64" s="576"/>
      <c r="GR64" s="576"/>
      <c r="GS64" s="576"/>
      <c r="GT64" s="576"/>
      <c r="GU64" s="576"/>
      <c r="GV64" s="576"/>
      <c r="GW64" s="576"/>
      <c r="GX64" s="576"/>
      <c r="GY64" s="576"/>
      <c r="GZ64" s="576"/>
      <c r="HA64" s="576"/>
      <c r="HB64" s="576"/>
      <c r="HC64" s="576"/>
      <c r="HD64" s="576"/>
      <c r="HE64" s="576"/>
      <c r="HF64" s="576"/>
      <c r="HG64" s="576"/>
      <c r="HH64" s="576"/>
      <c r="HI64" s="576"/>
      <c r="HJ64" s="576"/>
      <c r="HK64" s="576"/>
      <c r="HL64" s="576"/>
      <c r="HM64" s="576"/>
      <c r="HN64" s="576"/>
      <c r="HO64" s="576"/>
      <c r="HP64" s="576"/>
      <c r="HQ64" s="576"/>
      <c r="HR64" s="576"/>
      <c r="HS64" s="576"/>
      <c r="HT64" s="576"/>
      <c r="HU64" s="576"/>
      <c r="HV64" s="576"/>
      <c r="HW64" s="576"/>
      <c r="HX64" s="576"/>
      <c r="HY64" s="576"/>
      <c r="HZ64" s="576"/>
      <c r="IA64" s="576"/>
      <c r="IB64" s="576"/>
      <c r="IC64" s="576"/>
      <c r="ID64" s="566"/>
      <c r="IE64" s="566"/>
      <c r="IF64" s="566"/>
      <c r="IG64" s="566"/>
      <c r="IH64" s="566"/>
      <c r="II64" s="566"/>
      <c r="IJ64" s="566"/>
      <c r="IK64" s="566"/>
      <c r="IL64" s="566"/>
      <c r="IM64" s="566"/>
      <c r="IN64" s="566"/>
      <c r="IO64" s="566"/>
      <c r="IP64" s="566"/>
      <c r="IQ64" s="566"/>
      <c r="IR64" s="566"/>
      <c r="IS64" s="566"/>
      <c r="IT64" s="566"/>
      <c r="IU64" s="566"/>
      <c r="IV64" s="566"/>
      <c r="IW64" s="566"/>
      <c r="IX64" s="566"/>
      <c r="IY64" s="566"/>
      <c r="IZ64" s="566"/>
      <c r="JA64" s="566"/>
    </row>
    <row r="65" spans="1:261" s="561" customFormat="1" ht="18" customHeight="1">
      <c r="A65" s="621" t="s">
        <v>205</v>
      </c>
      <c r="B65" s="622"/>
      <c r="C65" s="576" t="str">
        <f>IF(ISTEXT(IFERROR(VLOOKUP(A65,职业列表!I3:J15,1,FALSE),0)),"★","")</f>
        <v/>
      </c>
      <c r="D65" s="622"/>
      <c r="E65" s="622"/>
      <c r="F65" s="622"/>
      <c r="G65" s="622"/>
      <c r="H65" s="622" t="s">
        <v>149</v>
      </c>
      <c r="I65" s="622"/>
      <c r="J65" s="622" t="s">
        <v>149</v>
      </c>
      <c r="K65" s="622"/>
      <c r="L65" s="622"/>
      <c r="M65" s="622"/>
      <c r="N65" s="622"/>
      <c r="O65" s="622"/>
      <c r="P65" s="622"/>
      <c r="Q65" s="622"/>
      <c r="R65" s="622"/>
      <c r="S65" s="622"/>
      <c r="T65" s="622"/>
      <c r="U65" s="622" t="s">
        <v>149</v>
      </c>
      <c r="V65" s="622"/>
      <c r="W65" s="622"/>
      <c r="X65" s="622"/>
      <c r="Y65" s="622"/>
      <c r="Z65" s="622"/>
      <c r="AA65" s="622"/>
      <c r="AB65" s="622" t="s">
        <v>149</v>
      </c>
      <c r="AC65" s="622"/>
      <c r="AD65" s="622"/>
      <c r="AE65" s="622"/>
      <c r="AF65" s="622"/>
      <c r="AG65" s="622" t="s">
        <v>149</v>
      </c>
      <c r="AH65" s="622"/>
      <c r="AI65" s="622"/>
      <c r="AJ65" s="622"/>
      <c r="AK65" s="622"/>
      <c r="AL65" s="622"/>
      <c r="AM65" s="622"/>
      <c r="AN65" s="622"/>
      <c r="AO65" s="622"/>
      <c r="AP65" s="622"/>
      <c r="AQ65" s="622"/>
      <c r="AR65" s="622"/>
      <c r="AS65" s="622"/>
      <c r="AT65" s="622"/>
      <c r="AU65" s="622"/>
      <c r="AV65" s="622"/>
      <c r="AW65" s="622"/>
      <c r="AX65" s="622"/>
      <c r="AY65" s="622"/>
      <c r="AZ65" s="622"/>
      <c r="BA65" s="622"/>
      <c r="BB65" s="622"/>
      <c r="BC65" s="622"/>
      <c r="BD65" s="622"/>
      <c r="BE65" s="622"/>
      <c r="BF65" s="622"/>
      <c r="BG65" s="622"/>
      <c r="BH65" s="622"/>
      <c r="BI65" s="622"/>
      <c r="BJ65" s="622"/>
      <c r="BK65" s="622" t="s">
        <v>149</v>
      </c>
      <c r="BL65" s="622"/>
      <c r="BM65" s="622"/>
      <c r="BN65" s="622"/>
      <c r="BO65" s="622"/>
      <c r="BP65" s="622"/>
      <c r="BQ65" s="622"/>
      <c r="BR65" s="622"/>
      <c r="BS65" s="622"/>
      <c r="BT65" s="622"/>
      <c r="BU65" s="622"/>
      <c r="BV65" s="622"/>
      <c r="BW65" s="622"/>
      <c r="BX65" s="622"/>
      <c r="BY65" s="622" t="s">
        <v>149</v>
      </c>
      <c r="BZ65" s="622"/>
      <c r="CA65" s="622"/>
      <c r="CB65" s="622"/>
      <c r="CC65" s="622"/>
      <c r="CD65" s="622"/>
      <c r="CE65" s="622"/>
      <c r="CF65" s="622"/>
      <c r="CG65" s="622"/>
      <c r="CH65" s="622"/>
      <c r="CI65" s="622"/>
      <c r="CJ65" s="622"/>
      <c r="CK65" s="622"/>
      <c r="CL65" s="622"/>
      <c r="CM65" s="622"/>
      <c r="CN65" s="622"/>
      <c r="CO65" s="622"/>
      <c r="CP65" s="622"/>
      <c r="CQ65" s="622"/>
      <c r="CR65" s="622"/>
      <c r="CS65" s="622"/>
      <c r="CT65" s="622"/>
      <c r="CU65" s="622"/>
      <c r="CV65" s="622"/>
      <c r="CW65" s="622" t="s">
        <v>149</v>
      </c>
      <c r="CX65" s="622"/>
      <c r="CY65" s="622"/>
      <c r="CZ65" s="622"/>
      <c r="DA65" s="622"/>
      <c r="DB65" s="622"/>
      <c r="DC65" s="622"/>
      <c r="DD65" s="622"/>
      <c r="DE65" s="622"/>
      <c r="DF65" s="622"/>
      <c r="DG65" s="622" t="s">
        <v>149</v>
      </c>
      <c r="DH65" s="622"/>
      <c r="DI65" s="622"/>
      <c r="DJ65" s="622" t="s">
        <v>149</v>
      </c>
      <c r="DK65" s="622"/>
      <c r="DL65" s="622"/>
      <c r="DM65" s="622"/>
      <c r="DN65" s="622" t="s">
        <v>149</v>
      </c>
      <c r="DO65" s="622"/>
      <c r="DP65" s="622"/>
      <c r="DQ65" s="622"/>
      <c r="DR65" s="622" t="s">
        <v>149</v>
      </c>
      <c r="DS65" s="622"/>
      <c r="DT65" s="622"/>
      <c r="DU65" s="622"/>
      <c r="DV65" s="622" t="s">
        <v>149</v>
      </c>
      <c r="DW65" s="622" t="s">
        <v>149</v>
      </c>
      <c r="DX65" s="622" t="s">
        <v>149</v>
      </c>
      <c r="DY65" s="622"/>
      <c r="DZ65" s="622"/>
      <c r="EA65" s="622"/>
      <c r="EB65" s="622"/>
      <c r="EC65" s="622"/>
      <c r="ED65" s="622"/>
      <c r="EE65" s="622"/>
      <c r="EF65" s="622"/>
      <c r="EG65" s="622"/>
      <c r="EH65" s="622"/>
      <c r="EI65" s="622"/>
      <c r="EJ65" s="622"/>
      <c r="EK65" s="622"/>
      <c r="EL65" s="622"/>
      <c r="EM65" s="622"/>
      <c r="EN65" s="622"/>
      <c r="EO65" s="622"/>
      <c r="EP65" s="622"/>
      <c r="EQ65" s="622"/>
      <c r="ER65" s="622" t="s">
        <v>149</v>
      </c>
      <c r="ES65" s="622"/>
      <c r="ET65" s="622"/>
      <c r="EU65" s="622"/>
      <c r="EV65" s="622"/>
      <c r="EW65" s="622"/>
      <c r="EX65" s="622"/>
      <c r="EY65" s="622"/>
      <c r="EZ65" s="622"/>
      <c r="FA65" s="622"/>
      <c r="FB65" s="622"/>
      <c r="FC65" s="622"/>
      <c r="FD65" s="622"/>
      <c r="FE65" s="622"/>
      <c r="FF65" s="622"/>
      <c r="FG65" s="622"/>
      <c r="FH65" s="622"/>
      <c r="FI65" s="622"/>
      <c r="FJ65" s="622"/>
      <c r="FK65" s="622"/>
      <c r="FL65" s="622"/>
      <c r="FM65" s="622"/>
      <c r="FN65" s="622"/>
      <c r="FO65" s="622"/>
      <c r="FP65" s="622"/>
      <c r="FQ65" s="622"/>
      <c r="FR65" s="622"/>
      <c r="FS65" s="622"/>
      <c r="FT65" s="622" t="s">
        <v>149</v>
      </c>
      <c r="FU65" s="622"/>
      <c r="FV65" s="622"/>
      <c r="FW65" s="622"/>
      <c r="FX65" s="622"/>
      <c r="FY65" s="622"/>
      <c r="FZ65" s="622"/>
      <c r="GA65" s="622"/>
      <c r="GB65" s="622"/>
      <c r="GC65" s="622"/>
      <c r="GD65" s="622"/>
      <c r="GE65" s="622"/>
      <c r="GF65" s="622"/>
      <c r="GG65" s="622"/>
      <c r="GH65" s="622" t="s">
        <v>149</v>
      </c>
      <c r="GI65" s="622" t="s">
        <v>149</v>
      </c>
      <c r="GJ65" s="622"/>
      <c r="GK65" s="622"/>
      <c r="GL65" s="622"/>
      <c r="GM65" s="622"/>
      <c r="GN65" s="622"/>
      <c r="GO65" s="622" t="s">
        <v>149</v>
      </c>
      <c r="GP65" s="622"/>
      <c r="GQ65" s="622"/>
      <c r="GR65" s="622"/>
      <c r="GS65" s="622"/>
      <c r="GT65" s="622"/>
      <c r="GU65" s="622"/>
      <c r="GV65" s="622"/>
      <c r="GW65" s="622"/>
      <c r="GX65" s="622"/>
      <c r="GY65" s="622"/>
      <c r="GZ65" s="622" t="s">
        <v>149</v>
      </c>
      <c r="HA65" s="622"/>
      <c r="HB65" s="622"/>
      <c r="HC65" s="622"/>
      <c r="HD65" s="622"/>
      <c r="HE65" s="622"/>
      <c r="HF65" s="622"/>
      <c r="HG65" s="622"/>
      <c r="HH65" s="622"/>
      <c r="HI65" s="622" t="s">
        <v>149</v>
      </c>
      <c r="HJ65" s="622"/>
      <c r="HK65" s="622"/>
      <c r="HL65" s="622"/>
      <c r="HM65" s="622"/>
      <c r="HN65" s="622"/>
      <c r="HO65" s="623" t="s">
        <v>149</v>
      </c>
      <c r="HP65" s="622"/>
      <c r="HQ65" s="622"/>
      <c r="HR65" s="622"/>
      <c r="HS65" s="622" t="s">
        <v>149</v>
      </c>
      <c r="HT65" s="622" t="s">
        <v>149</v>
      </c>
      <c r="HU65" s="622"/>
      <c r="HV65" s="622"/>
      <c r="HW65" s="622" t="s">
        <v>149</v>
      </c>
      <c r="HX65" s="622"/>
      <c r="HY65" s="622"/>
      <c r="HZ65" s="622" t="s">
        <v>149</v>
      </c>
      <c r="IA65" s="622"/>
      <c r="IB65" s="623" t="s">
        <v>149</v>
      </c>
      <c r="IC65" s="622"/>
      <c r="ID65" s="624"/>
      <c r="IE65" s="624"/>
      <c r="IF65" s="624"/>
      <c r="IG65" s="624"/>
      <c r="IH65" s="624"/>
      <c r="II65" s="624"/>
      <c r="IJ65" s="624"/>
      <c r="IK65" s="624"/>
      <c r="IL65" s="624"/>
      <c r="IM65" s="624"/>
      <c r="IN65" s="624"/>
      <c r="IO65" s="624"/>
      <c r="IP65" s="624"/>
      <c r="IQ65" s="624"/>
      <c r="IR65" s="624"/>
      <c r="IS65" s="624"/>
      <c r="IT65" s="624"/>
      <c r="IU65" s="624"/>
      <c r="IV65" s="624"/>
      <c r="IW65" s="624"/>
      <c r="IX65" s="624"/>
      <c r="IY65" s="624"/>
      <c r="IZ65" s="624"/>
      <c r="JA65" s="624"/>
    </row>
    <row r="66" spans="1:261" s="562" customFormat="1" ht="18" customHeight="1">
      <c r="A66" s="625" t="s">
        <v>208</v>
      </c>
      <c r="B66" s="626"/>
      <c r="C66" s="576" t="str">
        <f>IF(ISTEXT(IFERROR(VLOOKUP(A66,职业列表!I3:J15,1,FALSE),0)),"★","")</f>
        <v/>
      </c>
      <c r="D66" s="626" t="s">
        <v>149</v>
      </c>
      <c r="E66" s="626"/>
      <c r="F66" s="626"/>
      <c r="G66" s="626"/>
      <c r="H66" s="626" t="s">
        <v>149</v>
      </c>
      <c r="I66" s="626"/>
      <c r="J66" s="626"/>
      <c r="K66" s="626" t="s">
        <v>149</v>
      </c>
      <c r="L66" s="626"/>
      <c r="M66" s="626" t="s">
        <v>149</v>
      </c>
      <c r="N66" s="626"/>
      <c r="O66" s="626"/>
      <c r="P66" s="626"/>
      <c r="Q66" s="626"/>
      <c r="R66" s="626"/>
      <c r="S66" s="626"/>
      <c r="T66" s="626"/>
      <c r="U66" s="626" t="s">
        <v>149</v>
      </c>
      <c r="V66" s="626" t="s">
        <v>149</v>
      </c>
      <c r="W66" s="626"/>
      <c r="X66" s="626" t="s">
        <v>149</v>
      </c>
      <c r="Y66" s="626"/>
      <c r="Z66" s="626"/>
      <c r="AA66" s="627" t="s">
        <v>6643</v>
      </c>
      <c r="AB66" s="626" t="s">
        <v>149</v>
      </c>
      <c r="AC66" s="626"/>
      <c r="AD66" s="626"/>
      <c r="AE66" s="626"/>
      <c r="AF66" s="626"/>
      <c r="AG66" s="626" t="s">
        <v>6643</v>
      </c>
      <c r="AH66" s="626"/>
      <c r="AI66" s="626" t="s">
        <v>149</v>
      </c>
      <c r="AJ66" s="626" t="s">
        <v>149</v>
      </c>
      <c r="AK66" s="626" t="s">
        <v>149</v>
      </c>
      <c r="AL66" s="626"/>
      <c r="AM66" s="626"/>
      <c r="AN66" s="626" t="s">
        <v>6643</v>
      </c>
      <c r="AO66" s="626" t="s">
        <v>6642</v>
      </c>
      <c r="AP66" s="626"/>
      <c r="AQ66" s="626"/>
      <c r="AR66" s="626"/>
      <c r="AS66" s="626" t="s">
        <v>149</v>
      </c>
      <c r="AT66" s="626"/>
      <c r="AU66" s="626" t="s">
        <v>6642</v>
      </c>
      <c r="AV66" s="626"/>
      <c r="AW66" s="626"/>
      <c r="AX66" s="626"/>
      <c r="AY66" s="626"/>
      <c r="AZ66" s="626"/>
      <c r="BA66" s="626"/>
      <c r="BB66" s="626"/>
      <c r="BC66" s="626"/>
      <c r="BD66" s="626"/>
      <c r="BE66" s="626"/>
      <c r="BF66" s="626"/>
      <c r="BG66" s="626"/>
      <c r="BH66" s="626"/>
      <c r="BI66" s="626"/>
      <c r="BJ66" s="626" t="s">
        <v>149</v>
      </c>
      <c r="BK66" s="626"/>
      <c r="BL66" s="626"/>
      <c r="BM66" s="626"/>
      <c r="BN66" s="626"/>
      <c r="BO66" s="626" t="s">
        <v>149</v>
      </c>
      <c r="BP66" s="626" t="s">
        <v>149</v>
      </c>
      <c r="BQ66" s="626"/>
      <c r="BR66" s="626"/>
      <c r="BS66" s="626" t="s">
        <v>149</v>
      </c>
      <c r="BT66" s="626"/>
      <c r="BU66" s="626"/>
      <c r="BV66" s="626"/>
      <c r="BW66" s="626"/>
      <c r="BX66" s="626" t="s">
        <v>149</v>
      </c>
      <c r="BY66" s="626"/>
      <c r="BZ66" s="626"/>
      <c r="CA66" s="626"/>
      <c r="CB66" s="626"/>
      <c r="CC66" s="626"/>
      <c r="CD66" s="626"/>
      <c r="CE66" s="626"/>
      <c r="CF66" s="626"/>
      <c r="CG66" s="626"/>
      <c r="CH66" s="626"/>
      <c r="CI66" s="626"/>
      <c r="CJ66" s="626"/>
      <c r="CK66" s="626"/>
      <c r="CL66" s="626"/>
      <c r="CM66" s="626"/>
      <c r="CN66" s="626"/>
      <c r="CO66" s="626"/>
      <c r="CP66" s="626"/>
      <c r="CQ66" s="626"/>
      <c r="CR66" s="626"/>
      <c r="CS66" s="627" t="s">
        <v>149</v>
      </c>
      <c r="CT66" s="626"/>
      <c r="CU66" s="626"/>
      <c r="CV66" s="626"/>
      <c r="CW66" s="626"/>
      <c r="CX66" s="626"/>
      <c r="CY66" s="626"/>
      <c r="CZ66" s="626"/>
      <c r="DA66" s="626" t="s">
        <v>149</v>
      </c>
      <c r="DB66" s="626"/>
      <c r="DC66" s="626"/>
      <c r="DD66" s="626"/>
      <c r="DE66" s="626"/>
      <c r="DF66" s="626"/>
      <c r="DG66" s="626" t="s">
        <v>149</v>
      </c>
      <c r="DH66" s="626"/>
      <c r="DI66" s="626"/>
      <c r="DJ66" s="626" t="s">
        <v>149</v>
      </c>
      <c r="DK66" s="626" t="s">
        <v>6642</v>
      </c>
      <c r="DL66" s="626"/>
      <c r="DM66" s="626" t="s">
        <v>149</v>
      </c>
      <c r="DN66" s="626"/>
      <c r="DO66" s="626"/>
      <c r="DP66" s="626"/>
      <c r="DQ66" s="626"/>
      <c r="DR66" s="626"/>
      <c r="DS66" s="626"/>
      <c r="DT66" s="626" t="s">
        <v>149</v>
      </c>
      <c r="DU66" s="626" t="s">
        <v>149</v>
      </c>
      <c r="DV66" s="626" t="s">
        <v>149</v>
      </c>
      <c r="DW66" s="626" t="s">
        <v>149</v>
      </c>
      <c r="DX66" s="626"/>
      <c r="DY66" s="626"/>
      <c r="DZ66" s="626"/>
      <c r="EA66" s="626"/>
      <c r="EB66" s="626"/>
      <c r="EC66" s="626"/>
      <c r="ED66" s="626" t="s">
        <v>149</v>
      </c>
      <c r="EE66" s="626"/>
      <c r="EF66" s="626"/>
      <c r="EG66" s="626"/>
      <c r="EH66" s="626"/>
      <c r="EI66" s="626"/>
      <c r="EJ66" s="626"/>
      <c r="EK66" s="626"/>
      <c r="EL66" s="626"/>
      <c r="EM66" s="626"/>
      <c r="EN66" s="626"/>
      <c r="EO66" s="626"/>
      <c r="EP66" s="626"/>
      <c r="EQ66" s="626"/>
      <c r="ER66" s="626" t="s">
        <v>149</v>
      </c>
      <c r="ES66" s="626"/>
      <c r="ET66" s="626"/>
      <c r="EU66" s="626"/>
      <c r="EV66" s="626"/>
      <c r="EW66" s="626"/>
      <c r="EX66" s="626"/>
      <c r="EY66" s="626"/>
      <c r="EZ66" s="626"/>
      <c r="FA66" s="626"/>
      <c r="FB66" s="626"/>
      <c r="FC66" s="626"/>
      <c r="FD66" s="626"/>
      <c r="FE66" s="626"/>
      <c r="FF66" s="626"/>
      <c r="FG66" s="626"/>
      <c r="FH66" s="626" t="s">
        <v>149</v>
      </c>
      <c r="FI66" s="626" t="s">
        <v>149</v>
      </c>
      <c r="FJ66" s="626"/>
      <c r="FK66" s="626"/>
      <c r="FL66" s="626"/>
      <c r="FM66" s="626" t="s">
        <v>149</v>
      </c>
      <c r="FN66" s="626" t="s">
        <v>149</v>
      </c>
      <c r="FO66" s="626"/>
      <c r="FP66" s="626"/>
      <c r="FQ66" s="626"/>
      <c r="FR66" s="626"/>
      <c r="FS66" s="626"/>
      <c r="FT66" s="626" t="s">
        <v>149</v>
      </c>
      <c r="FU66" s="626"/>
      <c r="FV66" s="626"/>
      <c r="FW66" s="626"/>
      <c r="FX66" s="626"/>
      <c r="FY66" s="626"/>
      <c r="FZ66" s="626"/>
      <c r="GA66" s="626"/>
      <c r="GB66" s="626"/>
      <c r="GC66" s="626"/>
      <c r="GD66" s="626"/>
      <c r="GE66" s="626"/>
      <c r="GF66" s="626" t="s">
        <v>149</v>
      </c>
      <c r="GG66" s="626"/>
      <c r="GH66" s="626" t="s">
        <v>149</v>
      </c>
      <c r="GI66" s="626" t="s">
        <v>149</v>
      </c>
      <c r="GJ66" s="626"/>
      <c r="GK66" s="626"/>
      <c r="GL66" s="626"/>
      <c r="GM66" s="626"/>
      <c r="GN66" s="626"/>
      <c r="GO66" s="626"/>
      <c r="GP66" s="626"/>
      <c r="GQ66" s="626"/>
      <c r="GR66" s="626"/>
      <c r="GS66" s="626"/>
      <c r="GT66" s="626"/>
      <c r="GU66" s="626"/>
      <c r="GV66" s="626"/>
      <c r="GW66" s="626"/>
      <c r="GX66" s="626" t="s">
        <v>149</v>
      </c>
      <c r="GY66" s="626"/>
      <c r="GZ66" s="626" t="s">
        <v>149</v>
      </c>
      <c r="HA66" s="626"/>
      <c r="HB66" s="626" t="s">
        <v>149</v>
      </c>
      <c r="HC66" s="626"/>
      <c r="HD66" s="626"/>
      <c r="HE66" s="626"/>
      <c r="HF66" s="626"/>
      <c r="HG66" s="626"/>
      <c r="HH66" s="626"/>
      <c r="HI66" s="627" t="s">
        <v>6690</v>
      </c>
      <c r="HJ66" s="626"/>
      <c r="HK66" s="626"/>
      <c r="HL66" s="626"/>
      <c r="HM66" s="626" t="s">
        <v>149</v>
      </c>
      <c r="HN66" s="626"/>
      <c r="HO66" s="626"/>
      <c r="HP66" s="626"/>
      <c r="HQ66" s="626" t="s">
        <v>149</v>
      </c>
      <c r="HR66" s="626"/>
      <c r="HS66" s="626"/>
      <c r="HT66" s="627" t="s">
        <v>6645</v>
      </c>
      <c r="HU66" s="626"/>
      <c r="HV66" s="626"/>
      <c r="HW66" s="627" t="s">
        <v>149</v>
      </c>
      <c r="HX66" s="626"/>
      <c r="HY66" s="626"/>
      <c r="HZ66" s="626"/>
      <c r="IA66" s="626"/>
      <c r="IB66" s="626"/>
      <c r="IC66" s="626" t="s">
        <v>149</v>
      </c>
      <c r="ID66" s="628"/>
      <c r="IE66" s="628"/>
      <c r="IF66" s="628"/>
      <c r="IG66" s="628"/>
      <c r="IH66" s="628"/>
      <c r="II66" s="628"/>
      <c r="IJ66" s="628"/>
      <c r="IK66" s="628"/>
      <c r="IL66" s="628"/>
      <c r="IM66" s="628"/>
      <c r="IN66" s="628"/>
      <c r="IO66" s="628"/>
      <c r="IP66" s="628"/>
      <c r="IQ66" s="628"/>
      <c r="IR66" s="628"/>
      <c r="IS66" s="628"/>
      <c r="IT66" s="628"/>
      <c r="IU66" s="628"/>
      <c r="IV66" s="628"/>
      <c r="IW66" s="628"/>
      <c r="IX66" s="628"/>
      <c r="IY66" s="628"/>
      <c r="IZ66" s="628"/>
      <c r="JA66" s="628"/>
    </row>
    <row r="67" spans="1:261" ht="18" customHeight="1">
      <c r="A67" s="605" t="s">
        <v>212</v>
      </c>
      <c r="B67" s="576"/>
      <c r="C67" s="576" t="str">
        <f>IF(ISTEXT(IFERROR(VLOOKUP(A67,职业列表!I3:J15,1,FALSE),0)),"★","")</f>
        <v/>
      </c>
      <c r="D67" s="576" t="s">
        <v>149</v>
      </c>
      <c r="E67" s="576"/>
      <c r="F67" s="576"/>
      <c r="G67" s="576"/>
      <c r="H67" s="629" t="s">
        <v>3790</v>
      </c>
      <c r="I67" s="576"/>
      <c r="J67" s="576"/>
      <c r="K67" s="576" t="s">
        <v>149</v>
      </c>
      <c r="L67" s="576"/>
      <c r="M67" s="576"/>
      <c r="N67" s="576"/>
      <c r="O67" s="576"/>
      <c r="P67" s="576"/>
      <c r="Q67" s="576"/>
      <c r="R67" s="576"/>
      <c r="S67" s="576"/>
      <c r="T67" s="576"/>
      <c r="U67" s="576"/>
      <c r="V67" s="576"/>
      <c r="W67" s="576"/>
      <c r="X67" s="576"/>
      <c r="Y67" s="576"/>
      <c r="Z67" s="576"/>
      <c r="AA67" s="576" t="s">
        <v>6643</v>
      </c>
      <c r="AB67" s="576"/>
      <c r="AC67" s="576"/>
      <c r="AD67" s="576"/>
      <c r="AE67" s="576"/>
      <c r="AF67" s="576"/>
      <c r="AG67" s="576" t="s">
        <v>6643</v>
      </c>
      <c r="AH67" s="576"/>
      <c r="AI67" s="576" t="s">
        <v>149</v>
      </c>
      <c r="AJ67" s="576" t="s">
        <v>149</v>
      </c>
      <c r="AK67" s="576" t="s">
        <v>149</v>
      </c>
      <c r="AL67" s="576"/>
      <c r="AM67" s="576"/>
      <c r="AN67" s="576" t="s">
        <v>6643</v>
      </c>
      <c r="AO67" s="576"/>
      <c r="AP67" s="576"/>
      <c r="AQ67" s="576"/>
      <c r="AR67" s="576"/>
      <c r="AS67" s="576" t="s">
        <v>149</v>
      </c>
      <c r="AT67" s="576"/>
      <c r="AU67" s="576"/>
      <c r="AV67" s="576"/>
      <c r="AW67" s="576"/>
      <c r="AX67" s="576"/>
      <c r="AY67" s="576"/>
      <c r="AZ67" s="576"/>
      <c r="BA67" s="576"/>
      <c r="BB67" s="576"/>
      <c r="BC67" s="576"/>
      <c r="BD67" s="576"/>
      <c r="BE67" s="576"/>
      <c r="BF67" s="576"/>
      <c r="BG67" s="576"/>
      <c r="BH67" s="576"/>
      <c r="BI67" s="576"/>
      <c r="BJ67" s="576"/>
      <c r="BK67" s="576"/>
      <c r="BL67" s="576"/>
      <c r="BM67" s="576"/>
      <c r="BN67" s="576"/>
      <c r="BO67" s="576" t="s">
        <v>149</v>
      </c>
      <c r="BP67" s="576" t="s">
        <v>149</v>
      </c>
      <c r="BQ67" s="576"/>
      <c r="BR67" s="576"/>
      <c r="BS67" s="576"/>
      <c r="BT67" s="576"/>
      <c r="BU67" s="576"/>
      <c r="BV67" s="576"/>
      <c r="BW67" s="576"/>
      <c r="BX67" s="576" t="s">
        <v>149</v>
      </c>
      <c r="BY67" s="577" t="s">
        <v>6691</v>
      </c>
      <c r="BZ67" s="576"/>
      <c r="CA67" s="576"/>
      <c r="CB67" s="576"/>
      <c r="CC67" s="576"/>
      <c r="CD67" s="576"/>
      <c r="CE67" s="576"/>
      <c r="CF67" s="576"/>
      <c r="CG67" s="576"/>
      <c r="CH67" s="576"/>
      <c r="CI67" s="576"/>
      <c r="CJ67" s="576"/>
      <c r="CK67" s="576"/>
      <c r="CL67" s="576"/>
      <c r="CM67" s="576"/>
      <c r="CN67" s="576"/>
      <c r="CO67" s="576"/>
      <c r="CP67" s="576"/>
      <c r="CQ67" s="576"/>
      <c r="CR67" s="576"/>
      <c r="CS67" s="576"/>
      <c r="CT67" s="576"/>
      <c r="CU67" s="576"/>
      <c r="CV67" s="576"/>
      <c r="CW67" s="576"/>
      <c r="CX67" s="576"/>
      <c r="CY67" s="576"/>
      <c r="CZ67" s="576"/>
      <c r="DA67" s="576" t="s">
        <v>149</v>
      </c>
      <c r="DB67" s="576"/>
      <c r="DC67" s="576"/>
      <c r="DD67" s="576"/>
      <c r="DE67" s="576"/>
      <c r="DF67" s="576"/>
      <c r="DG67" s="576" t="s">
        <v>149</v>
      </c>
      <c r="DH67" s="576"/>
      <c r="DI67" s="576"/>
      <c r="DJ67" s="576" t="s">
        <v>149</v>
      </c>
      <c r="DK67" s="576" t="s">
        <v>6642</v>
      </c>
      <c r="DL67" s="576"/>
      <c r="DM67" s="576"/>
      <c r="DN67" s="576"/>
      <c r="DO67" s="576"/>
      <c r="DP67" s="576"/>
      <c r="DQ67" s="576"/>
      <c r="DR67" s="576"/>
      <c r="DS67" s="576"/>
      <c r="DT67" s="576"/>
      <c r="DU67" s="576"/>
      <c r="DV67" s="576"/>
      <c r="DW67" s="576"/>
      <c r="DX67" s="576"/>
      <c r="DY67" s="576"/>
      <c r="DZ67" s="576"/>
      <c r="EA67" s="576"/>
      <c r="EB67" s="576"/>
      <c r="EC67" s="576"/>
      <c r="ED67" s="576"/>
      <c r="EE67" s="576"/>
      <c r="EF67" s="576"/>
      <c r="EG67" s="576"/>
      <c r="EH67" s="576"/>
      <c r="EI67" s="576"/>
      <c r="EJ67" s="576"/>
      <c r="EK67" s="576"/>
      <c r="EL67" s="576"/>
      <c r="EM67" s="576"/>
      <c r="EN67" s="576"/>
      <c r="EO67" s="576"/>
      <c r="EP67" s="576"/>
      <c r="EQ67" s="576"/>
      <c r="ER67" s="576"/>
      <c r="ES67" s="576"/>
      <c r="ET67" s="576"/>
      <c r="EU67" s="576"/>
      <c r="EV67" s="576"/>
      <c r="EW67" s="576"/>
      <c r="EX67" s="576"/>
      <c r="EY67" s="576"/>
      <c r="EZ67" s="576"/>
      <c r="FA67" s="576"/>
      <c r="FB67" s="576"/>
      <c r="FC67" s="576"/>
      <c r="FD67" s="576"/>
      <c r="FE67" s="576"/>
      <c r="FF67" s="576"/>
      <c r="FG67" s="576"/>
      <c r="FH67" s="576" t="s">
        <v>6690</v>
      </c>
      <c r="FI67" s="576"/>
      <c r="FJ67" s="576"/>
      <c r="FK67" s="576"/>
      <c r="FL67" s="576"/>
      <c r="FM67" s="576"/>
      <c r="FN67" s="576"/>
      <c r="FO67" s="576"/>
      <c r="FP67" s="576"/>
      <c r="FQ67" s="576"/>
      <c r="FR67" s="576"/>
      <c r="FS67" s="576"/>
      <c r="FT67" s="576"/>
      <c r="FU67" s="576"/>
      <c r="FV67" s="576"/>
      <c r="FW67" s="576" t="s">
        <v>3773</v>
      </c>
      <c r="FX67" s="576"/>
      <c r="FY67" s="576"/>
      <c r="FZ67" s="576"/>
      <c r="GA67" s="576"/>
      <c r="GB67" s="576"/>
      <c r="GC67" s="576"/>
      <c r="GD67" s="576"/>
      <c r="GE67" s="576"/>
      <c r="GF67" s="576" t="s">
        <v>149</v>
      </c>
      <c r="GG67" s="576"/>
      <c r="GH67" s="576" t="s">
        <v>149</v>
      </c>
      <c r="GI67" s="576" t="s">
        <v>149</v>
      </c>
      <c r="GJ67" s="576"/>
      <c r="GK67" s="576"/>
      <c r="GL67" s="576"/>
      <c r="GM67" s="576"/>
      <c r="GN67" s="576"/>
      <c r="GO67" s="576"/>
      <c r="GP67" s="576"/>
      <c r="GQ67" s="576"/>
      <c r="GR67" s="576"/>
      <c r="GS67" s="576"/>
      <c r="GT67" s="576"/>
      <c r="GU67" s="576"/>
      <c r="GV67" s="576"/>
      <c r="GW67" s="576"/>
      <c r="GX67" s="576"/>
      <c r="GY67" s="576"/>
      <c r="GZ67" s="576" t="s">
        <v>149</v>
      </c>
      <c r="HA67" s="576"/>
      <c r="HB67" s="576"/>
      <c r="HC67" s="576"/>
      <c r="HD67" s="576"/>
      <c r="HE67" s="576"/>
      <c r="HF67" s="576"/>
      <c r="HG67" s="576"/>
      <c r="HH67" s="576"/>
      <c r="HI67" s="576"/>
      <c r="HJ67" s="576"/>
      <c r="HK67" s="576"/>
      <c r="HL67" s="576"/>
      <c r="HM67" s="576" t="s">
        <v>149</v>
      </c>
      <c r="HN67" s="576"/>
      <c r="HO67" s="576"/>
      <c r="HP67" s="577" t="s">
        <v>3708</v>
      </c>
      <c r="HQ67" s="576"/>
      <c r="HR67" s="576"/>
      <c r="HS67" s="576"/>
      <c r="HT67" s="576"/>
      <c r="HU67" s="576"/>
      <c r="HV67" s="576"/>
      <c r="HW67" s="576"/>
      <c r="HX67" s="576"/>
      <c r="HY67" s="576"/>
      <c r="HZ67" s="576"/>
      <c r="IA67" s="576"/>
      <c r="IB67" s="576"/>
      <c r="IC67" s="576"/>
      <c r="ID67" s="566"/>
      <c r="IE67" s="566"/>
      <c r="IF67" s="566"/>
      <c r="IG67" s="566"/>
      <c r="IH67" s="566"/>
      <c r="II67" s="566"/>
      <c r="IJ67" s="566"/>
      <c r="IK67" s="566"/>
      <c r="IL67" s="566"/>
      <c r="IM67" s="566"/>
      <c r="IN67" s="566"/>
      <c r="IO67" s="566"/>
      <c r="IP67" s="566"/>
      <c r="IQ67" s="566"/>
      <c r="IR67" s="566"/>
      <c r="IS67" s="566"/>
      <c r="IT67" s="566"/>
      <c r="IU67" s="566"/>
      <c r="IV67" s="566"/>
      <c r="IW67" s="566"/>
      <c r="IX67" s="566"/>
      <c r="IY67" s="566"/>
      <c r="IZ67" s="566"/>
      <c r="JA67" s="566"/>
    </row>
    <row r="68" spans="1:261" ht="18" customHeight="1">
      <c r="A68" s="605" t="s">
        <v>214</v>
      </c>
      <c r="B68" s="576"/>
      <c r="C68" s="576" t="str">
        <f>IF(ISTEXT(IFERROR(VLOOKUP(A68,职业列表!I3:P17,1,FALSE),0)),"★","")</f>
        <v/>
      </c>
      <c r="D68" s="576" t="s">
        <v>149</v>
      </c>
      <c r="E68" s="576"/>
      <c r="F68" s="576"/>
      <c r="G68" s="576"/>
      <c r="H68" s="576" t="s">
        <v>149</v>
      </c>
      <c r="I68" s="576"/>
      <c r="J68" s="576"/>
      <c r="K68" s="576" t="s">
        <v>149</v>
      </c>
      <c r="L68" s="576"/>
      <c r="M68" s="576"/>
      <c r="N68" s="576"/>
      <c r="O68" s="576"/>
      <c r="P68" s="576"/>
      <c r="Q68" s="576"/>
      <c r="R68" s="576"/>
      <c r="S68" s="576"/>
      <c r="T68" s="576"/>
      <c r="U68" s="576"/>
      <c r="V68" s="576"/>
      <c r="W68" s="576"/>
      <c r="X68" s="576"/>
      <c r="Y68" s="576"/>
      <c r="Z68" s="576"/>
      <c r="AA68" s="576" t="s">
        <v>6643</v>
      </c>
      <c r="AB68" s="576"/>
      <c r="AC68" s="576"/>
      <c r="AD68" s="576"/>
      <c r="AE68" s="576"/>
      <c r="AF68" s="576"/>
      <c r="AG68" s="576" t="s">
        <v>6643</v>
      </c>
      <c r="AH68" s="576"/>
      <c r="AI68" s="576" t="s">
        <v>149</v>
      </c>
      <c r="AJ68" s="576" t="s">
        <v>149</v>
      </c>
      <c r="AK68" s="576" t="s">
        <v>149</v>
      </c>
      <c r="AL68" s="576"/>
      <c r="AM68" s="576"/>
      <c r="AN68" s="576" t="s">
        <v>6643</v>
      </c>
      <c r="AO68" s="576"/>
      <c r="AP68" s="576"/>
      <c r="AQ68" s="576"/>
      <c r="AR68" s="576"/>
      <c r="AS68" s="576" t="s">
        <v>149</v>
      </c>
      <c r="AT68" s="576"/>
      <c r="AU68" s="576"/>
      <c r="AV68" s="576"/>
      <c r="AW68" s="576"/>
      <c r="AX68" s="576"/>
      <c r="AY68" s="576"/>
      <c r="AZ68" s="576"/>
      <c r="BA68" s="576"/>
      <c r="BB68" s="576"/>
      <c r="BC68" s="576"/>
      <c r="BD68" s="576"/>
      <c r="BE68" s="576"/>
      <c r="BF68" s="576"/>
      <c r="BG68" s="576"/>
      <c r="BH68" s="576"/>
      <c r="BI68" s="576"/>
      <c r="BJ68" s="576"/>
      <c r="BK68" s="576"/>
      <c r="BL68" s="576"/>
      <c r="BM68" s="576"/>
      <c r="BN68" s="576"/>
      <c r="BO68" s="576" t="s">
        <v>149</v>
      </c>
      <c r="BP68" s="576" t="s">
        <v>149</v>
      </c>
      <c r="BQ68" s="576"/>
      <c r="BR68" s="576"/>
      <c r="BS68" s="576"/>
      <c r="BT68" s="576"/>
      <c r="BU68" s="576"/>
      <c r="BV68" s="576"/>
      <c r="BW68" s="576"/>
      <c r="BX68" s="576" t="s">
        <v>149</v>
      </c>
      <c r="BY68" s="577"/>
      <c r="BZ68" s="576"/>
      <c r="CA68" s="576"/>
      <c r="CB68" s="576"/>
      <c r="CC68" s="576"/>
      <c r="CD68" s="576"/>
      <c r="CE68" s="576"/>
      <c r="CF68" s="576"/>
      <c r="CG68" s="576"/>
      <c r="CH68" s="576"/>
      <c r="CI68" s="576"/>
      <c r="CJ68" s="576"/>
      <c r="CK68" s="576"/>
      <c r="CL68" s="576"/>
      <c r="CM68" s="576"/>
      <c r="CN68" s="576"/>
      <c r="CO68" s="576"/>
      <c r="CP68" s="576"/>
      <c r="CQ68" s="576"/>
      <c r="CR68" s="576"/>
      <c r="CS68" s="576"/>
      <c r="CT68" s="576"/>
      <c r="CU68" s="576"/>
      <c r="CV68" s="576"/>
      <c r="CW68" s="576"/>
      <c r="CX68" s="576"/>
      <c r="CY68" s="576"/>
      <c r="CZ68" s="576"/>
      <c r="DA68" s="576" t="s">
        <v>149</v>
      </c>
      <c r="DB68" s="576"/>
      <c r="DC68" s="576"/>
      <c r="DD68" s="576"/>
      <c r="DE68" s="576"/>
      <c r="DF68" s="576"/>
      <c r="DG68" s="576" t="s">
        <v>149</v>
      </c>
      <c r="DH68" s="576"/>
      <c r="DI68" s="576"/>
      <c r="DJ68" s="576" t="s">
        <v>149</v>
      </c>
      <c r="DK68" s="576" t="s">
        <v>6642</v>
      </c>
      <c r="DL68" s="576"/>
      <c r="DM68" s="576"/>
      <c r="DN68" s="576"/>
      <c r="DO68" s="576"/>
      <c r="DP68" s="576"/>
      <c r="DQ68" s="576"/>
      <c r="DR68" s="576"/>
      <c r="DS68" s="576"/>
      <c r="DT68" s="576"/>
      <c r="DU68" s="576"/>
      <c r="DV68" s="576"/>
      <c r="DW68" s="576"/>
      <c r="DX68" s="576"/>
      <c r="DY68" s="576"/>
      <c r="DZ68" s="576"/>
      <c r="EA68" s="576"/>
      <c r="EB68" s="576"/>
      <c r="EC68" s="576"/>
      <c r="ED68" s="576"/>
      <c r="EE68" s="576"/>
      <c r="EF68" s="576"/>
      <c r="EG68" s="576"/>
      <c r="EH68" s="576"/>
      <c r="EI68" s="576"/>
      <c r="EJ68" s="576"/>
      <c r="EK68" s="576"/>
      <c r="EL68" s="576"/>
      <c r="EM68" s="576"/>
      <c r="EN68" s="576"/>
      <c r="EO68" s="576"/>
      <c r="EP68" s="576"/>
      <c r="EQ68" s="576"/>
      <c r="ER68" s="576"/>
      <c r="ES68" s="576"/>
      <c r="ET68" s="576"/>
      <c r="EU68" s="576"/>
      <c r="EV68" s="576"/>
      <c r="EW68" s="576"/>
      <c r="EX68" s="576"/>
      <c r="EY68" s="576"/>
      <c r="EZ68" s="576"/>
      <c r="FA68" s="576"/>
      <c r="FB68" s="576"/>
      <c r="FC68" s="576"/>
      <c r="FD68" s="576"/>
      <c r="FE68" s="576"/>
      <c r="FF68" s="576"/>
      <c r="FG68" s="576"/>
      <c r="FH68" s="576"/>
      <c r="FI68" s="576"/>
      <c r="FJ68" s="576"/>
      <c r="FK68" s="576"/>
      <c r="FL68" s="576"/>
      <c r="FM68" s="576"/>
      <c r="FN68" s="576"/>
      <c r="FO68" s="576"/>
      <c r="FP68" s="576"/>
      <c r="FQ68" s="576"/>
      <c r="FR68" s="576"/>
      <c r="FS68" s="576"/>
      <c r="FT68" s="576"/>
      <c r="FU68" s="576"/>
      <c r="FV68" s="576"/>
      <c r="FW68" s="576"/>
      <c r="FX68" s="576"/>
      <c r="FY68" s="576"/>
      <c r="FZ68" s="576"/>
      <c r="GA68" s="576"/>
      <c r="GB68" s="576"/>
      <c r="GC68" s="576"/>
      <c r="GD68" s="576"/>
      <c r="GE68" s="576"/>
      <c r="GF68" s="576" t="s">
        <v>149</v>
      </c>
      <c r="GG68" s="576"/>
      <c r="GH68" s="576" t="s">
        <v>149</v>
      </c>
      <c r="GI68" s="576" t="s">
        <v>149</v>
      </c>
      <c r="GJ68" s="576"/>
      <c r="GK68" s="576"/>
      <c r="GL68" s="576"/>
      <c r="GM68" s="576"/>
      <c r="GN68" s="576"/>
      <c r="GO68" s="576"/>
      <c r="GP68" s="576"/>
      <c r="GQ68" s="576"/>
      <c r="GR68" s="576"/>
      <c r="GS68" s="576"/>
      <c r="GT68" s="576"/>
      <c r="GU68" s="576"/>
      <c r="GV68" s="576"/>
      <c r="GW68" s="576"/>
      <c r="GX68" s="576"/>
      <c r="GY68" s="576"/>
      <c r="GZ68" s="576" t="s">
        <v>149</v>
      </c>
      <c r="HA68" s="576"/>
      <c r="HB68" s="576"/>
      <c r="HC68" s="576"/>
      <c r="HD68" s="576"/>
      <c r="HE68" s="576"/>
      <c r="HF68" s="576"/>
      <c r="HG68" s="576"/>
      <c r="HH68" s="576"/>
      <c r="HI68" s="576"/>
      <c r="HJ68" s="576"/>
      <c r="HK68" s="576"/>
      <c r="HL68" s="576"/>
      <c r="HM68" s="576" t="s">
        <v>149</v>
      </c>
      <c r="HN68" s="576"/>
      <c r="HO68" s="576"/>
      <c r="HP68" s="577"/>
      <c r="HQ68" s="576"/>
      <c r="HR68" s="576"/>
      <c r="HS68" s="576"/>
      <c r="HT68" s="576"/>
      <c r="HU68" s="576"/>
      <c r="HV68" s="576"/>
      <c r="HW68" s="576"/>
      <c r="HX68" s="576"/>
      <c r="HY68" s="576"/>
      <c r="HZ68" s="576"/>
      <c r="IA68" s="576"/>
      <c r="IB68" s="576"/>
      <c r="IC68" s="576"/>
      <c r="ID68" s="566"/>
      <c r="IE68" s="566"/>
      <c r="IF68" s="566"/>
      <c r="IG68" s="566"/>
      <c r="IH68" s="566"/>
      <c r="II68" s="566"/>
      <c r="IJ68" s="566"/>
      <c r="IK68" s="566"/>
      <c r="IL68" s="566"/>
      <c r="IM68" s="566"/>
      <c r="IN68" s="566"/>
      <c r="IO68" s="566"/>
      <c r="IP68" s="566"/>
      <c r="IQ68" s="566"/>
      <c r="IR68" s="566"/>
      <c r="IS68" s="566"/>
      <c r="IT68" s="566"/>
      <c r="IU68" s="566"/>
      <c r="IV68" s="566"/>
      <c r="IW68" s="566"/>
      <c r="IX68" s="566"/>
      <c r="IY68" s="566"/>
      <c r="IZ68" s="566"/>
      <c r="JA68" s="566"/>
    </row>
    <row r="69" spans="1:261" ht="18" customHeight="1">
      <c r="A69" s="580" t="s">
        <v>216</v>
      </c>
      <c r="B69" s="576"/>
      <c r="C69" s="576" t="str">
        <f>IF(ISTEXT(IFERROR(VLOOKUP(A69,职业列表!I3:J15,1,FALSE),0)),"★","")</f>
        <v/>
      </c>
      <c r="D69" s="576" t="s">
        <v>149</v>
      </c>
      <c r="E69" s="576"/>
      <c r="F69" s="576"/>
      <c r="G69" s="576"/>
      <c r="H69" s="576"/>
      <c r="I69" s="576"/>
      <c r="J69" s="576"/>
      <c r="K69" s="576" t="s">
        <v>149</v>
      </c>
      <c r="L69" s="576"/>
      <c r="M69" s="576"/>
      <c r="N69" s="576"/>
      <c r="O69" s="576"/>
      <c r="P69" s="576"/>
      <c r="Q69" s="576"/>
      <c r="R69" s="576"/>
      <c r="S69" s="576"/>
      <c r="T69" s="576"/>
      <c r="U69" s="576"/>
      <c r="V69" s="576"/>
      <c r="W69" s="576"/>
      <c r="X69" s="576"/>
      <c r="Y69" s="576"/>
      <c r="Z69" s="576"/>
      <c r="AA69" s="576" t="s">
        <v>6643</v>
      </c>
      <c r="AB69" s="576"/>
      <c r="AC69" s="576"/>
      <c r="AD69" s="576"/>
      <c r="AE69" s="576"/>
      <c r="AF69" s="576"/>
      <c r="AG69" s="576" t="s">
        <v>6643</v>
      </c>
      <c r="AH69" s="576"/>
      <c r="AI69" s="576" t="s">
        <v>149</v>
      </c>
      <c r="AJ69" s="576" t="s">
        <v>149</v>
      </c>
      <c r="AK69" s="576" t="s">
        <v>149</v>
      </c>
      <c r="AL69" s="576"/>
      <c r="AM69" s="576"/>
      <c r="AN69" s="576" t="s">
        <v>6643</v>
      </c>
      <c r="AO69" s="576"/>
      <c r="AP69" s="576"/>
      <c r="AQ69" s="576"/>
      <c r="AR69" s="576"/>
      <c r="AS69" s="576" t="s">
        <v>149</v>
      </c>
      <c r="AT69" s="576"/>
      <c r="AU69" s="576"/>
      <c r="AV69" s="576"/>
      <c r="AW69" s="576"/>
      <c r="AX69" s="576"/>
      <c r="AY69" s="576"/>
      <c r="AZ69" s="576"/>
      <c r="BA69" s="576"/>
      <c r="BB69" s="576"/>
      <c r="BC69" s="576"/>
      <c r="BD69" s="576"/>
      <c r="BE69" s="576"/>
      <c r="BF69" s="576"/>
      <c r="BG69" s="576"/>
      <c r="BH69" s="576"/>
      <c r="BI69" s="576"/>
      <c r="BJ69" s="576"/>
      <c r="BK69" s="576"/>
      <c r="BL69" s="576"/>
      <c r="BM69" s="576"/>
      <c r="BN69" s="576"/>
      <c r="BO69" s="576" t="s">
        <v>149</v>
      </c>
      <c r="BP69" s="576" t="s">
        <v>149</v>
      </c>
      <c r="BQ69" s="576"/>
      <c r="BR69" s="576"/>
      <c r="BS69" s="576"/>
      <c r="BT69" s="576"/>
      <c r="BU69" s="576"/>
      <c r="BV69" s="576"/>
      <c r="BW69" s="576"/>
      <c r="BX69" s="576" t="s">
        <v>149</v>
      </c>
      <c r="BY69" s="577"/>
      <c r="BZ69" s="576"/>
      <c r="CA69" s="576"/>
      <c r="CB69" s="576"/>
      <c r="CC69" s="576"/>
      <c r="CD69" s="576"/>
      <c r="CE69" s="576"/>
      <c r="CF69" s="576"/>
      <c r="CG69" s="576"/>
      <c r="CH69" s="576"/>
      <c r="CI69" s="576"/>
      <c r="CJ69" s="576"/>
      <c r="CK69" s="576"/>
      <c r="CL69" s="576"/>
      <c r="CM69" s="576"/>
      <c r="CN69" s="576"/>
      <c r="CO69" s="576"/>
      <c r="CP69" s="576"/>
      <c r="CQ69" s="576"/>
      <c r="CR69" s="576"/>
      <c r="CS69" s="576"/>
      <c r="CT69" s="576"/>
      <c r="CU69" s="576"/>
      <c r="CV69" s="576"/>
      <c r="CW69" s="576"/>
      <c r="CX69" s="576"/>
      <c r="CY69" s="576"/>
      <c r="CZ69" s="576"/>
      <c r="DA69" s="576" t="s">
        <v>149</v>
      </c>
      <c r="DB69" s="576"/>
      <c r="DC69" s="576"/>
      <c r="DD69" s="576"/>
      <c r="DE69" s="576"/>
      <c r="DF69" s="576"/>
      <c r="DG69" s="576" t="s">
        <v>149</v>
      </c>
      <c r="DH69" s="576"/>
      <c r="DI69" s="576"/>
      <c r="DJ69" s="576" t="s">
        <v>149</v>
      </c>
      <c r="DK69" s="576" t="s">
        <v>6642</v>
      </c>
      <c r="DL69" s="576"/>
      <c r="DM69" s="576"/>
      <c r="DN69" s="576"/>
      <c r="DO69" s="576"/>
      <c r="DP69" s="576"/>
      <c r="DQ69" s="576"/>
      <c r="DR69" s="576"/>
      <c r="DS69" s="576"/>
      <c r="DT69" s="576"/>
      <c r="DU69" s="576"/>
      <c r="DV69" s="576"/>
      <c r="DW69" s="576"/>
      <c r="DX69" s="576"/>
      <c r="DY69" s="576"/>
      <c r="DZ69" s="576"/>
      <c r="EA69" s="576"/>
      <c r="EB69" s="576"/>
      <c r="EC69" s="576"/>
      <c r="ED69" s="576"/>
      <c r="EE69" s="576"/>
      <c r="EF69" s="576"/>
      <c r="EG69" s="576"/>
      <c r="EH69" s="576"/>
      <c r="EI69" s="576"/>
      <c r="EJ69" s="576"/>
      <c r="EK69" s="576"/>
      <c r="EL69" s="576"/>
      <c r="EM69" s="576"/>
      <c r="EN69" s="576"/>
      <c r="EO69" s="576"/>
      <c r="EP69" s="576"/>
      <c r="EQ69" s="576"/>
      <c r="ER69" s="576"/>
      <c r="ES69" s="576"/>
      <c r="ET69" s="576"/>
      <c r="EU69" s="576"/>
      <c r="EV69" s="576"/>
      <c r="EW69" s="576"/>
      <c r="EX69" s="576"/>
      <c r="EY69" s="576"/>
      <c r="EZ69" s="576"/>
      <c r="FA69" s="576"/>
      <c r="FB69" s="576"/>
      <c r="FC69" s="576"/>
      <c r="FD69" s="576"/>
      <c r="FE69" s="576"/>
      <c r="FF69" s="576"/>
      <c r="FG69" s="576"/>
      <c r="FH69" s="576"/>
      <c r="FI69" s="576"/>
      <c r="FJ69" s="576"/>
      <c r="FK69" s="576"/>
      <c r="FL69" s="576"/>
      <c r="FM69" s="576"/>
      <c r="FN69" s="576"/>
      <c r="FO69" s="576"/>
      <c r="FP69" s="576"/>
      <c r="FQ69" s="576"/>
      <c r="FR69" s="576"/>
      <c r="FS69" s="576"/>
      <c r="FT69" s="576"/>
      <c r="FU69" s="576"/>
      <c r="FV69" s="576"/>
      <c r="FW69" s="576"/>
      <c r="FX69" s="576"/>
      <c r="FY69" s="576"/>
      <c r="FZ69" s="576"/>
      <c r="GA69" s="576"/>
      <c r="GB69" s="576"/>
      <c r="GC69" s="576"/>
      <c r="GD69" s="576"/>
      <c r="GE69" s="576"/>
      <c r="GF69" s="576" t="s">
        <v>149</v>
      </c>
      <c r="GG69" s="576"/>
      <c r="GH69" s="576" t="s">
        <v>149</v>
      </c>
      <c r="GI69" s="576" t="s">
        <v>149</v>
      </c>
      <c r="GJ69" s="576"/>
      <c r="GK69" s="576"/>
      <c r="GL69" s="576"/>
      <c r="GM69" s="576"/>
      <c r="GN69" s="576"/>
      <c r="GO69" s="576"/>
      <c r="GP69" s="576"/>
      <c r="GQ69" s="576"/>
      <c r="GR69" s="576"/>
      <c r="GS69" s="576"/>
      <c r="GT69" s="576"/>
      <c r="GU69" s="576"/>
      <c r="GV69" s="576"/>
      <c r="GW69" s="576"/>
      <c r="GX69" s="576"/>
      <c r="GY69" s="576"/>
      <c r="GZ69" s="576" t="s">
        <v>149</v>
      </c>
      <c r="HA69" s="576"/>
      <c r="HB69" s="576"/>
      <c r="HC69" s="576"/>
      <c r="HD69" s="576"/>
      <c r="HE69" s="576"/>
      <c r="HF69" s="576"/>
      <c r="HG69" s="576"/>
      <c r="HH69" s="576"/>
      <c r="HI69" s="576"/>
      <c r="HJ69" s="576"/>
      <c r="HK69" s="576"/>
      <c r="HL69" s="576"/>
      <c r="HM69" s="576" t="s">
        <v>149</v>
      </c>
      <c r="HN69" s="576"/>
      <c r="HO69" s="576"/>
      <c r="HP69" s="577"/>
      <c r="HQ69" s="576"/>
      <c r="HR69" s="576"/>
      <c r="HS69" s="576"/>
      <c r="HT69" s="576"/>
      <c r="HU69" s="576"/>
      <c r="HV69" s="576"/>
      <c r="HW69" s="576"/>
      <c r="HX69" s="576"/>
      <c r="HY69" s="576"/>
      <c r="HZ69" s="576"/>
      <c r="IA69" s="576"/>
      <c r="IB69" s="576"/>
      <c r="IC69" s="576"/>
      <c r="ID69" s="566"/>
      <c r="IE69" s="566"/>
      <c r="IF69" s="566"/>
      <c r="IG69" s="566"/>
      <c r="IH69" s="566"/>
      <c r="II69" s="566"/>
      <c r="IJ69" s="566"/>
      <c r="IK69" s="566"/>
      <c r="IL69" s="566"/>
      <c r="IM69" s="566"/>
      <c r="IN69" s="566"/>
      <c r="IO69" s="566"/>
      <c r="IP69" s="566"/>
      <c r="IQ69" s="566"/>
      <c r="IR69" s="566"/>
      <c r="IS69" s="566"/>
      <c r="IT69" s="566"/>
      <c r="IU69" s="566"/>
      <c r="IV69" s="566"/>
      <c r="IW69" s="566"/>
      <c r="IX69" s="566"/>
      <c r="IY69" s="566"/>
      <c r="IZ69" s="566"/>
      <c r="JA69" s="566"/>
    </row>
    <row r="70" spans="1:261" ht="18" customHeight="1">
      <c r="A70" s="607" t="s">
        <v>6692</v>
      </c>
    </row>
    <row r="71" spans="1:261" ht="18" customHeight="1">
      <c r="A71" s="630" t="s">
        <v>6693</v>
      </c>
    </row>
    <row r="72" spans="1:261" ht="18" customHeight="1">
      <c r="A72" s="592" t="s">
        <v>206</v>
      </c>
      <c r="B72" s="576"/>
      <c r="C72" s="576" t="str">
        <f>IF(ISTEXT(IFERROR(VLOOKUP(A72,职业列表!I3:J15,1,FALSE),0)),"★","")</f>
        <v/>
      </c>
      <c r="D72" s="576"/>
      <c r="E72" s="576"/>
      <c r="F72" s="576"/>
      <c r="G72" s="576"/>
      <c r="H72" s="576"/>
      <c r="I72" s="576"/>
      <c r="J72" s="576" t="s">
        <v>149</v>
      </c>
      <c r="K72" s="576"/>
      <c r="L72" s="576"/>
      <c r="M72" s="576"/>
      <c r="N72" s="576"/>
      <c r="O72" s="576"/>
      <c r="P72" s="576"/>
      <c r="Q72" s="576"/>
      <c r="R72" s="576"/>
      <c r="S72" s="576"/>
      <c r="T72" s="576"/>
      <c r="U72" s="576"/>
      <c r="V72" s="576" t="s">
        <v>149</v>
      </c>
      <c r="W72" s="576"/>
      <c r="X72" s="576"/>
      <c r="Y72" s="576"/>
      <c r="Z72" s="576"/>
      <c r="AA72" s="576"/>
      <c r="AB72" s="576"/>
      <c r="AC72" s="576"/>
      <c r="AD72" s="576"/>
      <c r="AE72" s="576"/>
      <c r="AF72" s="576"/>
      <c r="AG72" s="576" t="s">
        <v>149</v>
      </c>
      <c r="AH72" s="576"/>
      <c r="AI72" s="576"/>
      <c r="AJ72" s="576"/>
      <c r="AK72" s="576"/>
      <c r="AL72" s="576"/>
      <c r="AM72" s="576"/>
      <c r="AN72" s="576"/>
      <c r="AO72" s="576"/>
      <c r="AP72" s="576"/>
      <c r="AQ72" s="576"/>
      <c r="AR72" s="576"/>
      <c r="AS72" s="576" t="s">
        <v>149</v>
      </c>
      <c r="AT72" s="576"/>
      <c r="AU72" s="576"/>
      <c r="AV72" s="576"/>
      <c r="AW72" s="576"/>
      <c r="AX72" s="576"/>
      <c r="AY72" s="576"/>
      <c r="AZ72" s="576"/>
      <c r="BA72" s="576"/>
      <c r="BB72" s="576"/>
      <c r="BC72" s="576"/>
      <c r="BD72" s="576"/>
      <c r="BE72" s="576"/>
      <c r="BF72" s="576"/>
      <c r="BG72" s="576"/>
      <c r="BH72" s="576"/>
      <c r="BI72" s="576"/>
      <c r="BJ72" s="576"/>
      <c r="BK72" s="576" t="s">
        <v>149</v>
      </c>
      <c r="BL72" s="576"/>
      <c r="BM72" s="576"/>
      <c r="BN72" s="576"/>
      <c r="BO72" s="576"/>
      <c r="BP72" s="576"/>
      <c r="BQ72" s="576"/>
      <c r="BR72" s="576"/>
      <c r="BS72" s="576"/>
      <c r="BT72" s="576"/>
      <c r="BU72" s="576"/>
      <c r="BV72" s="576"/>
      <c r="BW72" s="576"/>
      <c r="BX72" s="576" t="s">
        <v>149</v>
      </c>
      <c r="BY72" s="576" t="s">
        <v>149</v>
      </c>
      <c r="BZ72" s="576"/>
      <c r="CA72" s="576"/>
      <c r="CB72" s="576"/>
      <c r="CC72" s="576"/>
      <c r="CD72" s="576"/>
      <c r="CE72" s="576"/>
      <c r="CF72" s="576"/>
      <c r="CG72" s="576"/>
      <c r="CH72" s="576"/>
      <c r="CI72" s="576"/>
      <c r="CJ72" s="576"/>
      <c r="CK72" s="576"/>
      <c r="CL72" s="576"/>
      <c r="CM72" s="576"/>
      <c r="CN72" s="576"/>
      <c r="CO72" s="576"/>
      <c r="CP72" s="576"/>
      <c r="CQ72" s="576"/>
      <c r="CR72" s="576"/>
      <c r="CS72" s="576"/>
      <c r="CT72" s="576"/>
      <c r="CU72" s="576"/>
      <c r="CV72" s="576"/>
      <c r="CW72" s="576"/>
      <c r="CX72" s="576"/>
      <c r="CY72" s="576"/>
      <c r="CZ72" s="576"/>
      <c r="DA72" s="576"/>
      <c r="DB72" s="576"/>
      <c r="DC72" s="576"/>
      <c r="DD72" s="576"/>
      <c r="DE72" s="576"/>
      <c r="DF72" s="576"/>
      <c r="DG72" s="576"/>
      <c r="DH72" s="576"/>
      <c r="DI72" s="576"/>
      <c r="DJ72" s="576"/>
      <c r="DK72" s="576" t="s">
        <v>6642</v>
      </c>
      <c r="DL72" s="576"/>
      <c r="DM72" s="576"/>
      <c r="DN72" s="576"/>
      <c r="DO72" s="576"/>
      <c r="DP72" s="576"/>
      <c r="DQ72" s="576"/>
      <c r="DR72" s="576"/>
      <c r="DS72" s="576"/>
      <c r="DT72" s="576" t="s">
        <v>149</v>
      </c>
      <c r="DU72" s="576" t="s">
        <v>149</v>
      </c>
      <c r="DV72" s="576" t="s">
        <v>149</v>
      </c>
      <c r="DW72" s="576" t="s">
        <v>149</v>
      </c>
      <c r="DX72" s="576"/>
      <c r="DY72" s="576"/>
      <c r="DZ72" s="576"/>
      <c r="EA72" s="576"/>
      <c r="EB72" s="576"/>
      <c r="EC72" s="576"/>
      <c r="ED72" s="576"/>
      <c r="EE72" s="576"/>
      <c r="EF72" s="576"/>
      <c r="EG72" s="576"/>
      <c r="EH72" s="576"/>
      <c r="EI72" s="576"/>
      <c r="EJ72" s="576"/>
      <c r="EK72" s="576"/>
      <c r="EL72" s="576"/>
      <c r="EM72" s="576"/>
      <c r="EN72" s="576"/>
      <c r="EO72" s="576"/>
      <c r="EP72" s="576"/>
      <c r="EQ72" s="576"/>
      <c r="ER72" s="576"/>
      <c r="ES72" s="576"/>
      <c r="ET72" s="576"/>
      <c r="EU72" s="576"/>
      <c r="EV72" s="576"/>
      <c r="EW72" s="576"/>
      <c r="EX72" s="576"/>
      <c r="EY72" s="576"/>
      <c r="EZ72" s="576"/>
      <c r="FA72" s="576"/>
      <c r="FB72" s="576"/>
      <c r="FC72" s="576"/>
      <c r="FD72" s="576"/>
      <c r="FE72" s="576"/>
      <c r="FF72" s="576"/>
      <c r="FG72" s="576"/>
      <c r="FH72" s="576"/>
      <c r="FI72" s="576"/>
      <c r="FJ72" s="576"/>
      <c r="FK72" s="576"/>
      <c r="FL72" s="576"/>
      <c r="FM72" s="576"/>
      <c r="FN72" s="576"/>
      <c r="FO72" s="576"/>
      <c r="FP72" s="576"/>
      <c r="FQ72" s="576"/>
      <c r="FR72" s="576"/>
      <c r="FS72" s="576"/>
      <c r="FT72" s="576"/>
      <c r="FU72" s="576"/>
      <c r="FV72" s="576"/>
      <c r="FW72" s="576"/>
      <c r="FX72" s="576"/>
      <c r="FY72" s="576"/>
      <c r="FZ72" s="576"/>
      <c r="GA72" s="576"/>
      <c r="GB72" s="576"/>
      <c r="GC72" s="576"/>
      <c r="GD72" s="576"/>
      <c r="GE72" s="576"/>
      <c r="GF72" s="576"/>
      <c r="GG72" s="576"/>
      <c r="GH72" s="576"/>
      <c r="GI72" s="576"/>
      <c r="GJ72" s="576"/>
      <c r="GK72" s="576"/>
      <c r="GL72" s="576"/>
      <c r="GM72" s="576"/>
      <c r="GN72" s="576"/>
      <c r="GO72" s="576" t="s">
        <v>149</v>
      </c>
      <c r="GP72" s="576"/>
      <c r="GQ72" s="576"/>
      <c r="GR72" s="576"/>
      <c r="GS72" s="576"/>
      <c r="GT72" s="576"/>
      <c r="GU72" s="576"/>
      <c r="GV72" s="576"/>
      <c r="GW72" s="576"/>
      <c r="GX72" s="576"/>
      <c r="GY72" s="576"/>
      <c r="GZ72" s="576"/>
      <c r="HA72" s="576"/>
      <c r="HB72" s="576"/>
      <c r="HC72" s="576"/>
      <c r="HD72" s="576"/>
      <c r="HE72" s="576"/>
      <c r="HF72" s="576"/>
      <c r="HG72" s="576"/>
      <c r="HH72" s="576"/>
      <c r="HI72" s="576"/>
      <c r="HJ72" s="576"/>
      <c r="HK72" s="576"/>
      <c r="HL72" s="576"/>
      <c r="HM72" s="576"/>
      <c r="HN72" s="576"/>
      <c r="HO72" s="576"/>
      <c r="HP72" s="576"/>
      <c r="HQ72" s="576"/>
      <c r="HR72" s="576"/>
      <c r="HS72" s="576"/>
      <c r="HT72" s="576"/>
      <c r="HU72" s="576"/>
      <c r="HV72" s="576"/>
      <c r="HW72" s="576"/>
      <c r="HX72" s="576"/>
      <c r="HY72" s="576"/>
      <c r="HZ72" s="576"/>
      <c r="IA72" s="576"/>
      <c r="IB72" s="576"/>
      <c r="IC72" s="576"/>
      <c r="ID72" s="566"/>
      <c r="IE72" s="566"/>
      <c r="IF72" s="566"/>
      <c r="IG72" s="566"/>
      <c r="IH72" s="566"/>
      <c r="II72" s="566"/>
      <c r="IJ72" s="566"/>
      <c r="IK72" s="566"/>
      <c r="IL72" s="566"/>
      <c r="IM72" s="566"/>
      <c r="IN72" s="566"/>
      <c r="IO72" s="566"/>
      <c r="IP72" s="566"/>
      <c r="IQ72" s="566"/>
      <c r="IR72" s="566"/>
      <c r="IS72" s="566"/>
      <c r="IT72" s="566"/>
      <c r="IU72" s="566"/>
      <c r="IV72" s="566"/>
      <c r="IW72" s="566"/>
      <c r="IX72" s="566"/>
      <c r="IY72" s="566"/>
      <c r="IZ72" s="566"/>
      <c r="JA72" s="566"/>
    </row>
    <row r="73" spans="1:261" s="563" customFormat="1" ht="18" customHeight="1">
      <c r="A73" s="631" t="s">
        <v>210</v>
      </c>
      <c r="B73" s="632"/>
      <c r="C73" s="576" t="str">
        <f>IF(ISTEXT(IFERROR(VLOOKUP(A73,职业列表!I3:J15,1,FALSE),0)),"★","")</f>
        <v/>
      </c>
      <c r="D73" s="632" t="s">
        <v>149</v>
      </c>
      <c r="E73" s="632"/>
      <c r="F73" s="632"/>
      <c r="G73" s="632"/>
      <c r="H73" s="632"/>
      <c r="I73" s="632"/>
      <c r="J73" s="632"/>
      <c r="K73" s="632"/>
      <c r="L73" s="632"/>
      <c r="M73" s="632" t="s">
        <v>149</v>
      </c>
      <c r="N73" s="632"/>
      <c r="O73" s="632"/>
      <c r="P73" s="632"/>
      <c r="Q73" s="632"/>
      <c r="R73" s="632"/>
      <c r="S73" s="632"/>
      <c r="T73" s="632"/>
      <c r="U73" s="632"/>
      <c r="V73" s="632"/>
      <c r="W73" s="632"/>
      <c r="X73" s="632"/>
      <c r="Y73" s="632" t="s">
        <v>149</v>
      </c>
      <c r="Z73" s="632"/>
      <c r="AA73" s="632" t="s">
        <v>6643</v>
      </c>
      <c r="AB73" s="632"/>
      <c r="AC73" s="632"/>
      <c r="AD73" s="632"/>
      <c r="AE73" s="632"/>
      <c r="AF73" s="632"/>
      <c r="AG73" s="632" t="s">
        <v>6643</v>
      </c>
      <c r="AH73" s="632"/>
      <c r="AI73" s="632" t="s">
        <v>149</v>
      </c>
      <c r="AJ73" s="632" t="s">
        <v>149</v>
      </c>
      <c r="AK73" s="632" t="s">
        <v>149</v>
      </c>
      <c r="AL73" s="632"/>
      <c r="AM73" s="632"/>
      <c r="AN73" s="632" t="s">
        <v>6643</v>
      </c>
      <c r="AO73" s="632" t="s">
        <v>6642</v>
      </c>
      <c r="AP73" s="632"/>
      <c r="AQ73" s="632"/>
      <c r="AR73" s="632" t="s">
        <v>149</v>
      </c>
      <c r="AS73" s="632" t="s">
        <v>149</v>
      </c>
      <c r="AT73" s="632"/>
      <c r="AU73" s="632" t="s">
        <v>6642</v>
      </c>
      <c r="AV73" s="633"/>
      <c r="AW73" s="632" t="s">
        <v>149</v>
      </c>
      <c r="AX73" s="632"/>
      <c r="AY73" s="632"/>
      <c r="AZ73" s="632"/>
      <c r="BA73" s="632"/>
      <c r="BB73" s="632"/>
      <c r="BC73" s="632"/>
      <c r="BD73" s="632"/>
      <c r="BE73" s="632"/>
      <c r="BF73" s="632"/>
      <c r="BG73" s="632"/>
      <c r="BH73" s="632" t="s">
        <v>149</v>
      </c>
      <c r="BI73" s="632"/>
      <c r="BJ73" s="632" t="s">
        <v>149</v>
      </c>
      <c r="BK73" s="632"/>
      <c r="BL73" s="632"/>
      <c r="BM73" s="632"/>
      <c r="BN73" s="632"/>
      <c r="BO73" s="632" t="s">
        <v>149</v>
      </c>
      <c r="BP73" s="632" t="s">
        <v>149</v>
      </c>
      <c r="BQ73" s="634"/>
      <c r="BR73" s="632"/>
      <c r="BS73" s="632"/>
      <c r="BT73" s="632"/>
      <c r="BU73" s="632"/>
      <c r="BV73" s="632"/>
      <c r="BW73" s="632"/>
      <c r="BX73" s="632"/>
      <c r="BY73" s="632"/>
      <c r="BZ73" s="632"/>
      <c r="CA73" s="632"/>
      <c r="CB73" s="632"/>
      <c r="CC73" s="632"/>
      <c r="CD73" s="632" t="s">
        <v>149</v>
      </c>
      <c r="CE73" s="632"/>
      <c r="CF73" s="632"/>
      <c r="CG73" s="632"/>
      <c r="CH73" s="632"/>
      <c r="CI73" s="632"/>
      <c r="CJ73" s="632"/>
      <c r="CK73" s="632" t="s">
        <v>149</v>
      </c>
      <c r="CL73" s="632"/>
      <c r="CM73" s="632"/>
      <c r="CN73" s="632"/>
      <c r="CO73" s="632"/>
      <c r="CP73" s="632"/>
      <c r="CQ73" s="632"/>
      <c r="CR73" s="632" t="s">
        <v>149</v>
      </c>
      <c r="CS73" s="634" t="s">
        <v>149</v>
      </c>
      <c r="CT73" s="632"/>
      <c r="CU73" s="632"/>
      <c r="CV73" s="632"/>
      <c r="CW73" s="632"/>
      <c r="CX73" s="632"/>
      <c r="CY73" s="632"/>
      <c r="CZ73" s="632"/>
      <c r="DA73" s="632" t="s">
        <v>149</v>
      </c>
      <c r="DB73" s="632"/>
      <c r="DC73" s="632"/>
      <c r="DD73" s="632"/>
      <c r="DE73" s="632"/>
      <c r="DF73" s="632"/>
      <c r="DG73" s="632" t="s">
        <v>149</v>
      </c>
      <c r="DH73" s="632" t="s">
        <v>149</v>
      </c>
      <c r="DI73" s="632"/>
      <c r="DJ73" s="632"/>
      <c r="DK73" s="632"/>
      <c r="DL73" s="632"/>
      <c r="DM73" s="632"/>
      <c r="DN73" s="632"/>
      <c r="DO73" s="632"/>
      <c r="DP73" s="632"/>
      <c r="DQ73" s="632"/>
      <c r="DR73" s="632"/>
      <c r="DS73" s="632"/>
      <c r="DT73" s="632"/>
      <c r="DU73" s="632"/>
      <c r="DV73" s="632"/>
      <c r="DW73" s="632"/>
      <c r="DX73" s="632"/>
      <c r="DY73" s="632"/>
      <c r="DZ73" s="632"/>
      <c r="EA73" s="632"/>
      <c r="EB73" s="632"/>
      <c r="EC73" s="632"/>
      <c r="ED73" s="632" t="s">
        <v>149</v>
      </c>
      <c r="EE73" s="632"/>
      <c r="EF73" s="632"/>
      <c r="EG73" s="632"/>
      <c r="EH73" s="632"/>
      <c r="EI73" s="632"/>
      <c r="EJ73" s="632"/>
      <c r="EK73" s="632"/>
      <c r="EL73" s="632"/>
      <c r="EM73" s="632"/>
      <c r="EN73" s="632"/>
      <c r="EO73" s="632"/>
      <c r="EP73" s="632"/>
      <c r="EQ73" s="632"/>
      <c r="ER73" s="632"/>
      <c r="ES73" s="632"/>
      <c r="ET73" s="632"/>
      <c r="EU73" s="632"/>
      <c r="EV73" s="632"/>
      <c r="EW73" s="632"/>
      <c r="EX73" s="632"/>
      <c r="EY73" s="632"/>
      <c r="EZ73" s="632"/>
      <c r="FA73" s="632"/>
      <c r="FB73" s="632"/>
      <c r="FC73" s="632"/>
      <c r="FD73" s="632"/>
      <c r="FE73" s="632"/>
      <c r="FF73" s="632"/>
      <c r="FG73" s="632"/>
      <c r="FH73" s="632" t="s">
        <v>149</v>
      </c>
      <c r="FI73" s="632"/>
      <c r="FJ73" s="632"/>
      <c r="FK73" s="632"/>
      <c r="FL73" s="632"/>
      <c r="FM73" s="632"/>
      <c r="FN73" s="632"/>
      <c r="FO73" s="632"/>
      <c r="FP73" s="632"/>
      <c r="FQ73" s="632"/>
      <c r="FR73" s="632"/>
      <c r="FS73" s="632"/>
      <c r="FT73" s="632"/>
      <c r="FU73" s="632"/>
      <c r="FV73" s="632"/>
      <c r="FW73" s="632"/>
      <c r="FX73" s="632"/>
      <c r="FY73" s="632"/>
      <c r="FZ73" s="632"/>
      <c r="GA73" s="632"/>
      <c r="GB73" s="632"/>
      <c r="GC73" s="632"/>
      <c r="GD73" s="632"/>
      <c r="GE73" s="632"/>
      <c r="GF73" s="632" t="s">
        <v>149</v>
      </c>
      <c r="GG73" s="632"/>
      <c r="GH73" s="632" t="s">
        <v>149</v>
      </c>
      <c r="GI73" s="632" t="s">
        <v>149</v>
      </c>
      <c r="GJ73" s="632" t="s">
        <v>149</v>
      </c>
      <c r="GK73" s="632"/>
      <c r="GL73" s="632"/>
      <c r="GM73" s="632"/>
      <c r="GN73" s="632"/>
      <c r="GO73" s="632"/>
      <c r="GP73" s="632"/>
      <c r="GQ73" s="632"/>
      <c r="GR73" s="632"/>
      <c r="GS73" s="632"/>
      <c r="GT73" s="632"/>
      <c r="GU73" s="632"/>
      <c r="GV73" s="632"/>
      <c r="GW73" s="632"/>
      <c r="GX73" s="632"/>
      <c r="GY73" s="632"/>
      <c r="GZ73" s="632" t="s">
        <v>149</v>
      </c>
      <c r="HA73" s="632"/>
      <c r="HB73" s="632" t="s">
        <v>149</v>
      </c>
      <c r="HC73" s="632"/>
      <c r="HD73" s="632"/>
      <c r="HE73" s="632"/>
      <c r="HF73" s="632"/>
      <c r="HG73" s="632"/>
      <c r="HH73" s="632"/>
      <c r="HI73" s="632"/>
      <c r="HJ73" s="632"/>
      <c r="HK73" s="632"/>
      <c r="HL73" s="632"/>
      <c r="HM73" s="632"/>
      <c r="HN73" s="632"/>
      <c r="HO73" s="632"/>
      <c r="HP73" s="634" t="s">
        <v>149</v>
      </c>
      <c r="HQ73" s="634" t="s">
        <v>149</v>
      </c>
      <c r="HR73" s="632"/>
      <c r="HS73" s="632"/>
      <c r="HT73" s="632"/>
      <c r="HU73" s="632"/>
      <c r="HV73" s="632"/>
      <c r="HW73" s="632" t="s">
        <v>149</v>
      </c>
      <c r="HX73" s="632"/>
      <c r="HY73" s="632"/>
      <c r="HZ73" s="632"/>
      <c r="IA73" s="632"/>
      <c r="IB73" s="632"/>
      <c r="IC73" s="632"/>
      <c r="ID73" s="635"/>
      <c r="IE73" s="635"/>
      <c r="IF73" s="635"/>
      <c r="IG73" s="635"/>
      <c r="IH73" s="635"/>
      <c r="II73" s="635"/>
      <c r="IJ73" s="635"/>
      <c r="IK73" s="635"/>
      <c r="IL73" s="635"/>
      <c r="IM73" s="635"/>
      <c r="IN73" s="635"/>
      <c r="IO73" s="635"/>
      <c r="IP73" s="635"/>
      <c r="IQ73" s="635"/>
      <c r="IR73" s="635"/>
      <c r="IS73" s="635"/>
      <c r="IT73" s="635"/>
      <c r="IU73" s="635"/>
      <c r="IV73" s="635"/>
      <c r="IW73" s="635"/>
      <c r="IX73" s="635"/>
      <c r="IY73" s="635"/>
      <c r="IZ73" s="635"/>
      <c r="JA73" s="635"/>
    </row>
    <row r="74" spans="1:261" ht="18" customHeight="1">
      <c r="A74" s="605" t="s">
        <v>213</v>
      </c>
      <c r="B74" s="576"/>
      <c r="C74" s="576" t="str">
        <f>IF(ISTEXT(IFERROR(VLOOKUP(A74,职业列表!I3:J15,1,FALSE),0)),"★","")</f>
        <v/>
      </c>
      <c r="D74" s="576" t="s">
        <v>149</v>
      </c>
      <c r="E74" s="576"/>
      <c r="F74" s="576"/>
      <c r="G74" s="576"/>
      <c r="H74" s="576"/>
      <c r="I74" s="576"/>
      <c r="J74" s="576"/>
      <c r="K74" s="576"/>
      <c r="L74" s="576"/>
      <c r="M74" s="576" t="s">
        <v>149</v>
      </c>
      <c r="N74" s="576"/>
      <c r="O74" s="576"/>
      <c r="P74" s="576"/>
      <c r="Q74" s="576"/>
      <c r="R74" s="576"/>
      <c r="S74" s="576"/>
      <c r="T74" s="576"/>
      <c r="U74" s="576"/>
      <c r="V74" s="576"/>
      <c r="W74" s="576"/>
      <c r="X74" s="576"/>
      <c r="Y74" s="576" t="s">
        <v>149</v>
      </c>
      <c r="Z74" s="576"/>
      <c r="AA74" s="576" t="s">
        <v>6643</v>
      </c>
      <c r="AB74" s="576"/>
      <c r="AC74" s="576"/>
      <c r="AD74" s="576"/>
      <c r="AE74" s="576"/>
      <c r="AF74" s="576"/>
      <c r="AG74" s="576" t="s">
        <v>6643</v>
      </c>
      <c r="AH74" s="576"/>
      <c r="AI74" s="576" t="s">
        <v>149</v>
      </c>
      <c r="AJ74" s="576" t="s">
        <v>149</v>
      </c>
      <c r="AK74" s="576" t="s">
        <v>149</v>
      </c>
      <c r="AL74" s="576"/>
      <c r="AM74" s="576"/>
      <c r="AN74" s="576" t="s">
        <v>6643</v>
      </c>
      <c r="AO74" s="576"/>
      <c r="AP74" s="576"/>
      <c r="AQ74" s="576"/>
      <c r="AR74" s="576" t="s">
        <v>149</v>
      </c>
      <c r="AS74" s="576" t="s">
        <v>149</v>
      </c>
      <c r="AT74" s="576"/>
      <c r="AU74" s="576" t="s">
        <v>6642</v>
      </c>
      <c r="AV74" s="636"/>
      <c r="AW74" s="576" t="s">
        <v>149</v>
      </c>
      <c r="AX74" s="576"/>
      <c r="AY74" s="576"/>
      <c r="AZ74" s="576"/>
      <c r="BA74" s="576"/>
      <c r="BB74" s="576"/>
      <c r="BC74" s="576"/>
      <c r="BD74" s="576"/>
      <c r="BE74" s="576"/>
      <c r="BF74" s="576"/>
      <c r="BG74" s="576"/>
      <c r="BH74" s="576" t="s">
        <v>149</v>
      </c>
      <c r="BI74" s="576"/>
      <c r="BJ74" s="576" t="s">
        <v>149</v>
      </c>
      <c r="BK74" s="576"/>
      <c r="BL74" s="576"/>
      <c r="BM74" s="576"/>
      <c r="BN74" s="576"/>
      <c r="BO74" s="576" t="s">
        <v>149</v>
      </c>
      <c r="BP74" s="576" t="s">
        <v>149</v>
      </c>
      <c r="BQ74" s="576" t="s">
        <v>6694</v>
      </c>
      <c r="BR74" s="576"/>
      <c r="BS74" s="576"/>
      <c r="BT74" s="576"/>
      <c r="BU74" s="576"/>
      <c r="BV74" s="576"/>
      <c r="BW74" s="576"/>
      <c r="BX74" s="576"/>
      <c r="BY74" s="576"/>
      <c r="BZ74" s="576"/>
      <c r="CA74" s="576"/>
      <c r="CB74" s="576"/>
      <c r="CC74" s="576"/>
      <c r="CD74" s="576" t="s">
        <v>149</v>
      </c>
      <c r="CE74" s="576"/>
      <c r="CF74" s="576"/>
      <c r="CG74" s="576"/>
      <c r="CH74" s="576"/>
      <c r="CI74" s="576"/>
      <c r="CJ74" s="576"/>
      <c r="CK74" s="576" t="s">
        <v>149</v>
      </c>
      <c r="CL74" s="576"/>
      <c r="CM74" s="576"/>
      <c r="CN74" s="576"/>
      <c r="CO74" s="576"/>
      <c r="CP74" s="576"/>
      <c r="CQ74" s="576"/>
      <c r="CR74" s="576" t="s">
        <v>149</v>
      </c>
      <c r="CS74" s="576" t="s">
        <v>149</v>
      </c>
      <c r="CT74" s="576"/>
      <c r="CU74" s="576"/>
      <c r="CV74" s="576"/>
      <c r="CW74" s="576"/>
      <c r="CX74" s="576"/>
      <c r="CY74" s="576"/>
      <c r="CZ74" s="576"/>
      <c r="DA74" s="576" t="s">
        <v>149</v>
      </c>
      <c r="DB74" s="576"/>
      <c r="DC74" s="576"/>
      <c r="DD74" s="576"/>
      <c r="DE74" s="576"/>
      <c r="DF74" s="576"/>
      <c r="DG74" s="576" t="s">
        <v>149</v>
      </c>
      <c r="DH74" s="576" t="s">
        <v>149</v>
      </c>
      <c r="DI74" s="576"/>
      <c r="DJ74" s="576"/>
      <c r="DK74" s="576"/>
      <c r="DL74" s="576"/>
      <c r="DM74" s="576"/>
      <c r="DN74" s="576"/>
      <c r="DO74" s="576"/>
      <c r="DP74" s="576"/>
      <c r="DQ74" s="576"/>
      <c r="DR74" s="576"/>
      <c r="DS74" s="576"/>
      <c r="DT74" s="576"/>
      <c r="DU74" s="576"/>
      <c r="DV74" s="576"/>
      <c r="DW74" s="576"/>
      <c r="DX74" s="576"/>
      <c r="DY74" s="576"/>
      <c r="DZ74" s="576"/>
      <c r="EA74" s="576"/>
      <c r="EB74" s="576"/>
      <c r="EC74" s="576"/>
      <c r="ED74" s="576"/>
      <c r="EE74" s="576"/>
      <c r="EF74" s="576"/>
      <c r="EG74" s="576"/>
      <c r="EH74" s="576"/>
      <c r="EI74" s="576"/>
      <c r="EJ74" s="576"/>
      <c r="EK74" s="576"/>
      <c r="EL74" s="576"/>
      <c r="EM74" s="576"/>
      <c r="EN74" s="576"/>
      <c r="EO74" s="576"/>
      <c r="EP74" s="576"/>
      <c r="EQ74" s="576"/>
      <c r="ER74" s="576"/>
      <c r="ES74" s="576"/>
      <c r="ET74" s="576"/>
      <c r="EU74" s="576"/>
      <c r="EV74" s="576"/>
      <c r="EW74" s="576"/>
      <c r="EX74" s="576"/>
      <c r="EY74" s="576"/>
      <c r="EZ74" s="576"/>
      <c r="FA74" s="576"/>
      <c r="FB74" s="576"/>
      <c r="FC74" s="576"/>
      <c r="FD74" s="576"/>
      <c r="FE74" s="576"/>
      <c r="FF74" s="576"/>
      <c r="FG74" s="576"/>
      <c r="FH74" s="576" t="s">
        <v>149</v>
      </c>
      <c r="FI74" s="576"/>
      <c r="FJ74" s="576"/>
      <c r="FK74" s="576"/>
      <c r="FL74" s="576"/>
      <c r="FM74" s="576"/>
      <c r="FN74" s="576"/>
      <c r="FO74" s="576"/>
      <c r="FP74" s="576"/>
      <c r="FQ74" s="576"/>
      <c r="FR74" s="576"/>
      <c r="FS74" s="576"/>
      <c r="FT74" s="576"/>
      <c r="FU74" s="576"/>
      <c r="FV74" s="576"/>
      <c r="FW74" s="576" t="s">
        <v>3888</v>
      </c>
      <c r="FX74" s="576"/>
      <c r="FY74" s="576"/>
      <c r="FZ74" s="576"/>
      <c r="GA74" s="576"/>
      <c r="GB74" s="576"/>
      <c r="GC74" s="576"/>
      <c r="GD74" s="576"/>
      <c r="GE74" s="576"/>
      <c r="GF74" s="576" t="s">
        <v>149</v>
      </c>
      <c r="GG74" s="576"/>
      <c r="GH74" s="576" t="s">
        <v>149</v>
      </c>
      <c r="GI74" s="576" t="s">
        <v>149</v>
      </c>
      <c r="GJ74" s="576" t="s">
        <v>149</v>
      </c>
      <c r="GK74" s="576"/>
      <c r="GL74" s="576"/>
      <c r="GM74" s="576"/>
      <c r="GN74" s="576"/>
      <c r="GO74" s="576"/>
      <c r="GP74" s="576"/>
      <c r="GQ74" s="576"/>
      <c r="GR74" s="576"/>
      <c r="GS74" s="576"/>
      <c r="GT74" s="576"/>
      <c r="GU74" s="576"/>
      <c r="GV74" s="576"/>
      <c r="GW74" s="576"/>
      <c r="GX74" s="576"/>
      <c r="GY74" s="576"/>
      <c r="GZ74" s="576" t="s">
        <v>149</v>
      </c>
      <c r="HA74" s="576"/>
      <c r="HB74" s="576" t="s">
        <v>149</v>
      </c>
      <c r="HC74" s="576"/>
      <c r="HD74" s="576"/>
      <c r="HE74" s="577"/>
      <c r="HF74" s="577" t="s">
        <v>6695</v>
      </c>
      <c r="HG74" s="576"/>
      <c r="HH74" s="576"/>
      <c r="HI74" s="576"/>
      <c r="HJ74" s="576"/>
      <c r="HK74" s="576"/>
      <c r="HL74" s="576"/>
      <c r="HM74" s="576"/>
      <c r="HN74" s="576"/>
      <c r="HO74" s="576"/>
      <c r="HP74" s="577" t="s">
        <v>6696</v>
      </c>
      <c r="HQ74" s="577" t="s">
        <v>6696</v>
      </c>
      <c r="HR74" s="576"/>
      <c r="HS74" s="576"/>
      <c r="HT74" s="576"/>
      <c r="HU74" s="576"/>
      <c r="HV74" s="576"/>
      <c r="HW74" s="576"/>
      <c r="HX74" s="576"/>
      <c r="HY74" s="576"/>
      <c r="HZ74" s="576"/>
      <c r="IA74" s="576"/>
      <c r="IB74" s="577" t="s">
        <v>6696</v>
      </c>
      <c r="IC74" s="576"/>
      <c r="ID74" s="566"/>
      <c r="IE74" s="566"/>
      <c r="IF74" s="566"/>
      <c r="IG74" s="566"/>
      <c r="IH74" s="566"/>
      <c r="II74" s="566"/>
      <c r="IJ74" s="566"/>
      <c r="IK74" s="566"/>
      <c r="IL74" s="566"/>
      <c r="IM74" s="566"/>
      <c r="IN74" s="566"/>
      <c r="IO74" s="566"/>
      <c r="IP74" s="566"/>
      <c r="IQ74" s="566"/>
      <c r="IR74" s="566"/>
      <c r="IS74" s="566"/>
      <c r="IT74" s="566"/>
      <c r="IU74" s="566"/>
      <c r="IV74" s="566"/>
      <c r="IW74" s="566"/>
      <c r="IX74" s="566"/>
      <c r="IY74" s="566"/>
      <c r="IZ74" s="566"/>
      <c r="JA74" s="566"/>
    </row>
    <row r="75" spans="1:261" ht="18" customHeight="1">
      <c r="A75" s="605" t="s">
        <v>215</v>
      </c>
      <c r="B75" s="576"/>
      <c r="C75" s="576" t="str">
        <f>IF(ISTEXT(IFERROR(VLOOKUP(A75,职业列表!I3:J15,1,FALSE),0)),"★","")</f>
        <v/>
      </c>
      <c r="D75" s="576" t="s">
        <v>149</v>
      </c>
      <c r="E75" s="576"/>
      <c r="F75" s="576"/>
      <c r="G75" s="576"/>
      <c r="H75" s="576"/>
      <c r="I75" s="576"/>
      <c r="J75" s="576"/>
      <c r="K75" s="576"/>
      <c r="L75" s="576"/>
      <c r="M75" s="576" t="s">
        <v>149</v>
      </c>
      <c r="N75" s="576"/>
      <c r="O75" s="576"/>
      <c r="P75" s="576"/>
      <c r="Q75" s="576"/>
      <c r="R75" s="576"/>
      <c r="S75" s="576"/>
      <c r="T75" s="576"/>
      <c r="U75" s="576"/>
      <c r="V75" s="576"/>
      <c r="W75" s="576"/>
      <c r="X75" s="576"/>
      <c r="Y75" s="576" t="s">
        <v>149</v>
      </c>
      <c r="Z75" s="576"/>
      <c r="AA75" s="576" t="s">
        <v>6643</v>
      </c>
      <c r="AB75" s="576"/>
      <c r="AC75" s="576"/>
      <c r="AD75" s="576"/>
      <c r="AE75" s="576"/>
      <c r="AF75" s="576"/>
      <c r="AG75" s="576" t="s">
        <v>6643</v>
      </c>
      <c r="AH75" s="576"/>
      <c r="AI75" s="576" t="s">
        <v>149</v>
      </c>
      <c r="AJ75" s="576" t="s">
        <v>149</v>
      </c>
      <c r="AK75" s="576" t="s">
        <v>149</v>
      </c>
      <c r="AL75" s="576"/>
      <c r="AM75" s="576"/>
      <c r="AN75" s="576" t="s">
        <v>6643</v>
      </c>
      <c r="AO75" s="576"/>
      <c r="AP75" s="576"/>
      <c r="AQ75" s="576"/>
      <c r="AR75" s="576" t="s">
        <v>149</v>
      </c>
      <c r="AS75" s="576" t="s">
        <v>149</v>
      </c>
      <c r="AT75" s="576"/>
      <c r="AU75" s="576" t="s">
        <v>6642</v>
      </c>
      <c r="AV75" s="636"/>
      <c r="AW75" s="576" t="s">
        <v>149</v>
      </c>
      <c r="AX75" s="576"/>
      <c r="AY75" s="576"/>
      <c r="AZ75" s="576"/>
      <c r="BA75" s="576"/>
      <c r="BB75" s="576"/>
      <c r="BC75" s="576"/>
      <c r="BD75" s="576"/>
      <c r="BE75" s="576"/>
      <c r="BF75" s="576"/>
      <c r="BG75" s="576"/>
      <c r="BH75" s="576" t="s">
        <v>149</v>
      </c>
      <c r="BI75" s="576"/>
      <c r="BJ75" s="576" t="s">
        <v>149</v>
      </c>
      <c r="BK75" s="576"/>
      <c r="BL75" s="576"/>
      <c r="BM75" s="576"/>
      <c r="BN75" s="576"/>
      <c r="BO75" s="576" t="s">
        <v>149</v>
      </c>
      <c r="BP75" s="576" t="s">
        <v>149</v>
      </c>
      <c r="BQ75" s="576"/>
      <c r="BR75" s="576"/>
      <c r="BS75" s="576"/>
      <c r="BT75" s="576"/>
      <c r="BU75" s="576"/>
      <c r="BV75" s="576"/>
      <c r="BW75" s="576"/>
      <c r="BX75" s="576"/>
      <c r="BY75" s="576"/>
      <c r="BZ75" s="576"/>
      <c r="CA75" s="576"/>
      <c r="CB75" s="576"/>
      <c r="CC75" s="576"/>
      <c r="CD75" s="576" t="s">
        <v>149</v>
      </c>
      <c r="CE75" s="576"/>
      <c r="CF75" s="576"/>
      <c r="CG75" s="576"/>
      <c r="CH75" s="576"/>
      <c r="CI75" s="576"/>
      <c r="CJ75" s="576"/>
      <c r="CK75" s="576" t="s">
        <v>149</v>
      </c>
      <c r="CL75" s="576"/>
      <c r="CM75" s="576"/>
      <c r="CN75" s="576"/>
      <c r="CO75" s="576"/>
      <c r="CP75" s="576"/>
      <c r="CQ75" s="576"/>
      <c r="CR75" s="576" t="s">
        <v>149</v>
      </c>
      <c r="CS75" s="576" t="s">
        <v>149</v>
      </c>
      <c r="CT75" s="576"/>
      <c r="CU75" s="576"/>
      <c r="CV75" s="576"/>
      <c r="CW75" s="576"/>
      <c r="CX75" s="576"/>
      <c r="CY75" s="576"/>
      <c r="CZ75" s="576"/>
      <c r="DA75" s="576" t="s">
        <v>149</v>
      </c>
      <c r="DB75" s="576"/>
      <c r="DC75" s="576"/>
      <c r="DD75" s="576"/>
      <c r="DE75" s="576"/>
      <c r="DF75" s="576"/>
      <c r="DG75" s="576" t="s">
        <v>149</v>
      </c>
      <c r="DH75" s="576" t="s">
        <v>149</v>
      </c>
      <c r="DI75" s="576"/>
      <c r="DJ75" s="576"/>
      <c r="DK75" s="576"/>
      <c r="DL75" s="576"/>
      <c r="DM75" s="576"/>
      <c r="DN75" s="576"/>
      <c r="DO75" s="576"/>
      <c r="DP75" s="576"/>
      <c r="DQ75" s="576"/>
      <c r="DR75" s="576"/>
      <c r="DS75" s="576"/>
      <c r="DT75" s="576"/>
      <c r="DU75" s="576"/>
      <c r="DV75" s="576"/>
      <c r="DW75" s="576"/>
      <c r="DX75" s="576"/>
      <c r="DY75" s="576"/>
      <c r="DZ75" s="576"/>
      <c r="EA75" s="576"/>
      <c r="EB75" s="576"/>
      <c r="EC75" s="576"/>
      <c r="ED75" s="576"/>
      <c r="EE75" s="576"/>
      <c r="EF75" s="576"/>
      <c r="EG75" s="576"/>
      <c r="EH75" s="576"/>
      <c r="EI75" s="576"/>
      <c r="EJ75" s="576"/>
      <c r="EK75" s="576"/>
      <c r="EL75" s="576"/>
      <c r="EM75" s="576"/>
      <c r="EN75" s="576"/>
      <c r="EO75" s="576"/>
      <c r="EP75" s="576"/>
      <c r="EQ75" s="576"/>
      <c r="ER75" s="576"/>
      <c r="ES75" s="576"/>
      <c r="ET75" s="576"/>
      <c r="EU75" s="576"/>
      <c r="EV75" s="576"/>
      <c r="EW75" s="576"/>
      <c r="EX75" s="576"/>
      <c r="EY75" s="576"/>
      <c r="EZ75" s="576"/>
      <c r="FA75" s="576"/>
      <c r="FB75" s="576"/>
      <c r="FC75" s="576"/>
      <c r="FD75" s="576"/>
      <c r="FE75" s="576"/>
      <c r="FF75" s="576"/>
      <c r="FG75" s="576"/>
      <c r="FH75" s="576" t="s">
        <v>149</v>
      </c>
      <c r="FI75" s="576"/>
      <c r="FJ75" s="576"/>
      <c r="FK75" s="576"/>
      <c r="FL75" s="576"/>
      <c r="FM75" s="576"/>
      <c r="FN75" s="576"/>
      <c r="FO75" s="576"/>
      <c r="FP75" s="576"/>
      <c r="FQ75" s="576"/>
      <c r="FR75" s="576"/>
      <c r="FS75" s="576"/>
      <c r="FT75" s="576"/>
      <c r="FU75" s="576"/>
      <c r="FV75" s="576"/>
      <c r="FW75" s="576"/>
      <c r="FX75" s="576"/>
      <c r="FY75" s="576"/>
      <c r="FZ75" s="576"/>
      <c r="GA75" s="576"/>
      <c r="GB75" s="576"/>
      <c r="GC75" s="576"/>
      <c r="GD75" s="576"/>
      <c r="GE75" s="576"/>
      <c r="GF75" s="576" t="s">
        <v>149</v>
      </c>
      <c r="GG75" s="576"/>
      <c r="GH75" s="576" t="s">
        <v>149</v>
      </c>
      <c r="GI75" s="576" t="s">
        <v>149</v>
      </c>
      <c r="GJ75" s="576" t="s">
        <v>149</v>
      </c>
      <c r="GK75" s="576"/>
      <c r="GL75" s="576"/>
      <c r="GM75" s="576"/>
      <c r="GN75" s="576"/>
      <c r="GO75" s="576"/>
      <c r="GP75" s="576"/>
      <c r="GQ75" s="576"/>
      <c r="GR75" s="576"/>
      <c r="GS75" s="576"/>
      <c r="GT75" s="576"/>
      <c r="GU75" s="576"/>
      <c r="GV75" s="576"/>
      <c r="GW75" s="576"/>
      <c r="GX75" s="576"/>
      <c r="GY75" s="576"/>
      <c r="GZ75" s="576" t="s">
        <v>149</v>
      </c>
      <c r="HA75" s="576"/>
      <c r="HB75" s="576" t="s">
        <v>149</v>
      </c>
      <c r="HC75" s="576"/>
      <c r="HD75" s="576"/>
      <c r="HE75" s="577"/>
      <c r="HF75" s="577"/>
      <c r="HG75" s="576"/>
      <c r="HH75" s="576"/>
      <c r="HI75" s="576"/>
      <c r="HJ75" s="576"/>
      <c r="HK75" s="576"/>
      <c r="HL75" s="576"/>
      <c r="HM75" s="576"/>
      <c r="HN75" s="576"/>
      <c r="HO75" s="576"/>
      <c r="HP75" s="577"/>
      <c r="HQ75" s="577"/>
      <c r="HR75" s="576"/>
      <c r="HS75" s="576"/>
      <c r="HT75" s="576"/>
      <c r="HU75" s="576"/>
      <c r="HV75" s="576"/>
      <c r="HW75" s="576"/>
      <c r="HX75" s="576"/>
      <c r="HY75" s="576"/>
      <c r="HZ75" s="576"/>
      <c r="IA75" s="576"/>
      <c r="IB75" s="577"/>
      <c r="IC75" s="576"/>
      <c r="ID75" s="566"/>
      <c r="IE75" s="566"/>
      <c r="IF75" s="566"/>
      <c r="IG75" s="566"/>
      <c r="IH75" s="566"/>
      <c r="II75" s="566"/>
      <c r="IJ75" s="566"/>
      <c r="IK75" s="566"/>
      <c r="IL75" s="566"/>
      <c r="IM75" s="566"/>
      <c r="IN75" s="566"/>
      <c r="IO75" s="566"/>
      <c r="IP75" s="566"/>
      <c r="IQ75" s="566"/>
      <c r="IR75" s="566"/>
      <c r="IS75" s="566"/>
      <c r="IT75" s="566"/>
      <c r="IU75" s="566"/>
      <c r="IV75" s="566"/>
      <c r="IW75" s="566"/>
      <c r="IX75" s="566"/>
      <c r="IY75" s="566"/>
      <c r="IZ75" s="566"/>
      <c r="JA75" s="566"/>
    </row>
    <row r="76" spans="1:261" ht="18" customHeight="1">
      <c r="A76" s="637" t="s">
        <v>217</v>
      </c>
      <c r="B76" s="620"/>
      <c r="C76" s="620" t="str">
        <f>IF(ISTEXT(IFERROR(VLOOKUP(A76,职业列表!I3:J15,1,FALSE),0)),"★","")</f>
        <v/>
      </c>
      <c r="D76" s="576" t="s">
        <v>149</v>
      </c>
      <c r="E76" s="576"/>
      <c r="F76" s="576"/>
      <c r="G76" s="576"/>
      <c r="H76" s="576"/>
      <c r="I76" s="576"/>
      <c r="J76" s="576"/>
      <c r="K76" s="576"/>
      <c r="L76" s="576"/>
      <c r="M76" s="576" t="s">
        <v>149</v>
      </c>
      <c r="N76" s="576"/>
      <c r="O76" s="576"/>
      <c r="P76" s="576"/>
      <c r="Q76" s="576"/>
      <c r="R76" s="576"/>
      <c r="S76" s="576"/>
      <c r="T76" s="576"/>
      <c r="U76" s="576"/>
      <c r="V76" s="576"/>
      <c r="W76" s="576"/>
      <c r="X76" s="576"/>
      <c r="Y76" s="576" t="s">
        <v>149</v>
      </c>
      <c r="Z76" s="576"/>
      <c r="AA76" s="576" t="s">
        <v>6643</v>
      </c>
      <c r="AB76" s="576"/>
      <c r="AC76" s="576"/>
      <c r="AD76" s="576"/>
      <c r="AE76" s="576"/>
      <c r="AF76" s="576"/>
      <c r="AG76" s="576" t="s">
        <v>6643</v>
      </c>
      <c r="AH76" s="576"/>
      <c r="AI76" s="576" t="s">
        <v>149</v>
      </c>
      <c r="AJ76" s="576" t="s">
        <v>149</v>
      </c>
      <c r="AK76" s="576" t="s">
        <v>149</v>
      </c>
      <c r="AL76" s="576"/>
      <c r="AM76" s="576"/>
      <c r="AN76" s="576" t="s">
        <v>6643</v>
      </c>
      <c r="AO76" s="576"/>
      <c r="AP76" s="576"/>
      <c r="AQ76" s="576"/>
      <c r="AR76" s="576" t="s">
        <v>149</v>
      </c>
      <c r="AS76" s="576" t="s">
        <v>149</v>
      </c>
      <c r="AT76" s="576"/>
      <c r="AU76" s="576" t="s">
        <v>6642</v>
      </c>
      <c r="AV76" s="636"/>
      <c r="AW76" s="576" t="s">
        <v>149</v>
      </c>
      <c r="AX76" s="576"/>
      <c r="AY76" s="576"/>
      <c r="AZ76" s="576"/>
      <c r="BA76" s="576"/>
      <c r="BB76" s="576"/>
      <c r="BC76" s="576"/>
      <c r="BD76" s="576"/>
      <c r="BE76" s="576"/>
      <c r="BF76" s="576"/>
      <c r="BG76" s="576"/>
      <c r="BH76" s="576" t="s">
        <v>149</v>
      </c>
      <c r="BI76" s="576"/>
      <c r="BJ76" s="576" t="s">
        <v>149</v>
      </c>
      <c r="BK76" s="576"/>
      <c r="BL76" s="576"/>
      <c r="BM76" s="576"/>
      <c r="BN76" s="576"/>
      <c r="BO76" s="576" t="s">
        <v>149</v>
      </c>
      <c r="BP76" s="576" t="s">
        <v>149</v>
      </c>
      <c r="BQ76" s="576"/>
      <c r="BR76" s="576"/>
      <c r="BS76" s="576"/>
      <c r="BT76" s="576"/>
      <c r="BU76" s="576"/>
      <c r="BV76" s="576"/>
      <c r="BW76" s="576"/>
      <c r="BX76" s="576"/>
      <c r="BY76" s="576"/>
      <c r="BZ76" s="576"/>
      <c r="CA76" s="576"/>
      <c r="CB76" s="576"/>
      <c r="CC76" s="576"/>
      <c r="CD76" s="576" t="s">
        <v>149</v>
      </c>
      <c r="CE76" s="576"/>
      <c r="CF76" s="576"/>
      <c r="CG76" s="576"/>
      <c r="CH76" s="576"/>
      <c r="CI76" s="576"/>
      <c r="CJ76" s="576"/>
      <c r="CK76" s="576" t="s">
        <v>149</v>
      </c>
      <c r="CL76" s="576"/>
      <c r="CM76" s="576"/>
      <c r="CN76" s="576"/>
      <c r="CO76" s="576"/>
      <c r="CP76" s="576"/>
      <c r="CQ76" s="576"/>
      <c r="CR76" s="576" t="s">
        <v>149</v>
      </c>
      <c r="CS76" s="576" t="s">
        <v>149</v>
      </c>
      <c r="CT76" s="576"/>
      <c r="CU76" s="576"/>
      <c r="CV76" s="576"/>
      <c r="CW76" s="576"/>
      <c r="CX76" s="576"/>
      <c r="CY76" s="576"/>
      <c r="CZ76" s="576"/>
      <c r="DA76" s="576" t="s">
        <v>149</v>
      </c>
      <c r="DB76" s="576"/>
      <c r="DC76" s="576"/>
      <c r="DD76" s="576"/>
      <c r="DE76" s="576"/>
      <c r="DF76" s="576"/>
      <c r="DG76" s="576" t="s">
        <v>149</v>
      </c>
      <c r="DH76" s="576" t="s">
        <v>149</v>
      </c>
      <c r="DI76" s="576"/>
      <c r="DJ76" s="576"/>
      <c r="DK76" s="576"/>
      <c r="DL76" s="576"/>
      <c r="DM76" s="576"/>
      <c r="DN76" s="576"/>
      <c r="DO76" s="576"/>
      <c r="DP76" s="576"/>
      <c r="DQ76" s="576"/>
      <c r="DR76" s="576"/>
      <c r="DS76" s="576"/>
      <c r="DT76" s="576"/>
      <c r="DU76" s="576"/>
      <c r="DV76" s="576"/>
      <c r="DW76" s="576"/>
      <c r="DX76" s="576"/>
      <c r="DY76" s="576"/>
      <c r="DZ76" s="576"/>
      <c r="EA76" s="576"/>
      <c r="EB76" s="576"/>
      <c r="EC76" s="576"/>
      <c r="ED76" s="576"/>
      <c r="EE76" s="576"/>
      <c r="EF76" s="576"/>
      <c r="EG76" s="576"/>
      <c r="EH76" s="576"/>
      <c r="EI76" s="576"/>
      <c r="EJ76" s="576"/>
      <c r="EK76" s="576"/>
      <c r="EL76" s="576"/>
      <c r="EM76" s="576"/>
      <c r="EN76" s="576"/>
      <c r="EO76" s="576"/>
      <c r="EP76" s="576"/>
      <c r="EQ76" s="576"/>
      <c r="ER76" s="576"/>
      <c r="ES76" s="576"/>
      <c r="ET76" s="576"/>
      <c r="EU76" s="576"/>
      <c r="EV76" s="576"/>
      <c r="EW76" s="576"/>
      <c r="EX76" s="576"/>
      <c r="EY76" s="576"/>
      <c r="EZ76" s="576"/>
      <c r="FA76" s="576"/>
      <c r="FB76" s="576"/>
      <c r="FC76" s="576"/>
      <c r="FD76" s="576"/>
      <c r="FE76" s="576"/>
      <c r="FF76" s="576"/>
      <c r="FG76" s="576"/>
      <c r="FH76" s="576" t="s">
        <v>149</v>
      </c>
      <c r="FI76" s="576"/>
      <c r="FJ76" s="576"/>
      <c r="FK76" s="576"/>
      <c r="FL76" s="576"/>
      <c r="FM76" s="576"/>
      <c r="FN76" s="576"/>
      <c r="FO76" s="576"/>
      <c r="FP76" s="576"/>
      <c r="FQ76" s="576"/>
      <c r="FR76" s="576"/>
      <c r="FS76" s="576"/>
      <c r="FT76" s="576"/>
      <c r="FU76" s="576"/>
      <c r="FV76" s="576"/>
      <c r="FW76" s="576"/>
      <c r="FX76" s="576"/>
      <c r="FY76" s="576"/>
      <c r="FZ76" s="576"/>
      <c r="GA76" s="576"/>
      <c r="GB76" s="576"/>
      <c r="GC76" s="576"/>
      <c r="GD76" s="576"/>
      <c r="GE76" s="576"/>
      <c r="GF76" s="576" t="s">
        <v>149</v>
      </c>
      <c r="GG76" s="576"/>
      <c r="GH76" s="576" t="s">
        <v>149</v>
      </c>
      <c r="GI76" s="576" t="s">
        <v>149</v>
      </c>
      <c r="GJ76" s="576" t="s">
        <v>149</v>
      </c>
      <c r="GK76" s="576"/>
      <c r="GL76" s="576"/>
      <c r="GM76" s="576"/>
      <c r="GN76" s="576"/>
      <c r="GO76" s="576"/>
      <c r="GP76" s="576"/>
      <c r="GQ76" s="576"/>
      <c r="GR76" s="576"/>
      <c r="GS76" s="576"/>
      <c r="GT76" s="576"/>
      <c r="GU76" s="576"/>
      <c r="GV76" s="576"/>
      <c r="GW76" s="576"/>
      <c r="GX76" s="576"/>
      <c r="GY76" s="576"/>
      <c r="GZ76" s="576" t="s">
        <v>149</v>
      </c>
      <c r="HA76" s="576"/>
      <c r="HB76" s="576" t="s">
        <v>149</v>
      </c>
      <c r="HC76" s="576"/>
      <c r="HD76" s="576"/>
      <c r="HE76" s="577"/>
      <c r="HF76" s="577"/>
      <c r="HG76" s="576"/>
      <c r="HH76" s="576"/>
      <c r="HI76" s="576"/>
      <c r="HJ76" s="576"/>
      <c r="HK76" s="576"/>
      <c r="HL76" s="576"/>
      <c r="HM76" s="576"/>
      <c r="HN76" s="576"/>
      <c r="HO76" s="576"/>
      <c r="HP76" s="577"/>
      <c r="HQ76" s="577"/>
      <c r="HR76" s="576"/>
      <c r="HS76" s="576"/>
      <c r="HT76" s="576"/>
      <c r="HU76" s="576"/>
      <c r="HV76" s="576"/>
      <c r="HW76" s="576"/>
      <c r="HX76" s="576"/>
      <c r="HY76" s="576"/>
      <c r="HZ76" s="576"/>
      <c r="IA76" s="576"/>
      <c r="IB76" s="577"/>
      <c r="IC76" s="576"/>
      <c r="ID76" s="566"/>
      <c r="IE76" s="566"/>
      <c r="IF76" s="566"/>
      <c r="IG76" s="566"/>
      <c r="IH76" s="566"/>
      <c r="II76" s="566"/>
      <c r="IJ76" s="566"/>
      <c r="IK76" s="566"/>
      <c r="IL76" s="566"/>
      <c r="IM76" s="566"/>
      <c r="IN76" s="566"/>
    </row>
    <row r="77" spans="1:261" ht="18" customHeight="1">
      <c r="A77" s="607" t="s">
        <v>6697</v>
      </c>
    </row>
    <row r="78" spans="1:261" ht="18" customHeight="1">
      <c r="A78" s="638" t="s">
        <v>6698</v>
      </c>
    </row>
    <row r="79" spans="1:261" s="564" customFormat="1" ht="18" customHeight="1">
      <c r="A79" s="639" t="s">
        <v>191</v>
      </c>
      <c r="B79" s="640"/>
      <c r="C79" s="577" t="str">
        <f>IF(ISTEXT(IFERROR(VLOOKUP(A79,职业列表!I3:J15,1,FALSE),0)),"★","")</f>
        <v/>
      </c>
      <c r="D79" s="640"/>
      <c r="E79" s="640"/>
      <c r="F79" s="640"/>
      <c r="G79" s="640"/>
      <c r="H79" s="640"/>
      <c r="I79" s="640"/>
      <c r="J79" s="640"/>
      <c r="K79" s="640"/>
      <c r="L79" s="640"/>
      <c r="M79" s="640"/>
      <c r="N79" s="640"/>
      <c r="O79" s="640" t="s">
        <v>149</v>
      </c>
      <c r="P79" s="640"/>
      <c r="Q79" s="640"/>
      <c r="R79" s="640"/>
      <c r="S79" s="640"/>
      <c r="T79" s="640"/>
      <c r="U79" s="640"/>
      <c r="V79" s="640"/>
      <c r="W79" s="640"/>
      <c r="X79" s="640"/>
      <c r="Y79" s="640"/>
      <c r="Z79" s="640"/>
      <c r="AA79" s="640"/>
      <c r="AB79" s="640"/>
      <c r="AC79" s="640"/>
      <c r="AD79" s="640"/>
      <c r="AE79" s="640"/>
      <c r="AF79" s="640"/>
      <c r="AG79" s="640"/>
      <c r="AH79" s="640"/>
      <c r="AI79" s="640"/>
      <c r="AJ79" s="640"/>
      <c r="AK79" s="640"/>
      <c r="AL79" s="640"/>
      <c r="AM79" s="640"/>
      <c r="AN79" s="640"/>
      <c r="AO79" s="640"/>
      <c r="AP79" s="640"/>
      <c r="AQ79" s="640"/>
      <c r="AR79" s="640"/>
      <c r="AS79" s="640"/>
      <c r="AT79" s="640"/>
      <c r="AU79" s="641"/>
      <c r="AV79" s="640"/>
      <c r="AW79" s="640"/>
      <c r="AX79" s="641"/>
      <c r="AY79" s="640"/>
      <c r="AZ79" s="640"/>
      <c r="BA79" s="640"/>
      <c r="BB79" s="640"/>
      <c r="BC79" s="640"/>
      <c r="BD79" s="640"/>
      <c r="BE79" s="640"/>
      <c r="BF79" s="640"/>
      <c r="BG79" s="640"/>
      <c r="BH79" s="640"/>
      <c r="BI79" s="640"/>
      <c r="BJ79" s="640"/>
      <c r="BK79" s="640"/>
      <c r="BL79" s="640"/>
      <c r="BM79" s="640"/>
      <c r="BN79" s="640"/>
      <c r="BO79" s="640"/>
      <c r="BP79" s="640"/>
      <c r="BQ79" s="640"/>
      <c r="BR79" s="640"/>
      <c r="BS79" s="640"/>
      <c r="BT79" s="640"/>
      <c r="BU79" s="640"/>
      <c r="BV79" s="640"/>
      <c r="BW79" s="640"/>
      <c r="BX79" s="640"/>
      <c r="BY79" s="640"/>
      <c r="BZ79" s="640"/>
      <c r="CA79" s="640"/>
      <c r="CB79" s="640"/>
      <c r="CC79" s="640"/>
      <c r="CD79" s="640"/>
      <c r="CE79" s="640"/>
      <c r="CF79" s="640"/>
      <c r="CG79" s="640"/>
      <c r="CH79" s="640"/>
      <c r="CI79" s="640"/>
      <c r="CJ79" s="640"/>
      <c r="CK79" s="640"/>
      <c r="CL79" s="640"/>
      <c r="CM79" s="640"/>
      <c r="CN79" s="640"/>
      <c r="CO79" s="640"/>
      <c r="CP79" s="640"/>
      <c r="CQ79" s="640"/>
      <c r="CR79" s="640"/>
      <c r="CS79" s="640"/>
      <c r="CT79" s="640"/>
      <c r="CU79" s="640"/>
      <c r="CV79" s="640"/>
      <c r="CW79" s="640"/>
      <c r="CX79" s="640"/>
      <c r="CY79" s="640"/>
      <c r="CZ79" s="640"/>
      <c r="DA79" s="640"/>
      <c r="DB79" s="640"/>
      <c r="DC79" s="640"/>
      <c r="DD79" s="640"/>
      <c r="DE79" s="640"/>
      <c r="DF79" s="640"/>
      <c r="DG79" s="640"/>
      <c r="DH79" s="640"/>
      <c r="DI79" s="640"/>
      <c r="DJ79" s="641"/>
      <c r="DK79" s="640"/>
      <c r="DL79" s="640"/>
      <c r="DM79" s="640"/>
      <c r="DN79" s="640"/>
      <c r="DO79" s="640"/>
      <c r="DP79" s="640"/>
      <c r="DQ79" s="640"/>
      <c r="DR79" s="640" t="s">
        <v>149</v>
      </c>
      <c r="DS79" s="640"/>
      <c r="DT79" s="640"/>
      <c r="DU79" s="640"/>
      <c r="DV79" s="640"/>
      <c r="DW79" s="640"/>
      <c r="DX79" s="640"/>
      <c r="DY79" s="640"/>
      <c r="DZ79" s="640"/>
      <c r="EA79" s="640"/>
      <c r="EB79" s="640"/>
      <c r="EC79" s="640"/>
      <c r="ED79" s="640"/>
      <c r="EE79" s="640"/>
      <c r="EF79" s="640"/>
      <c r="EG79" s="640"/>
      <c r="EH79" s="640"/>
      <c r="EI79" s="640"/>
      <c r="EJ79" s="640"/>
      <c r="EK79" s="640"/>
      <c r="EL79" s="640"/>
      <c r="EM79" s="640"/>
      <c r="EN79" s="640"/>
      <c r="EO79" s="640"/>
      <c r="EP79" s="640"/>
      <c r="EQ79" s="640"/>
      <c r="ER79" s="640"/>
      <c r="ES79" s="640"/>
      <c r="ET79" s="640"/>
      <c r="EU79" s="640"/>
      <c r="EV79" s="640"/>
      <c r="EW79" s="640"/>
      <c r="EX79" s="640"/>
      <c r="EY79" s="640"/>
      <c r="EZ79" s="640"/>
      <c r="FA79" s="640"/>
      <c r="FB79" s="640"/>
      <c r="FC79" s="640"/>
      <c r="FD79" s="640"/>
      <c r="FE79" s="640"/>
      <c r="FF79" s="640"/>
      <c r="FG79" s="640"/>
      <c r="FH79" s="640"/>
      <c r="FI79" s="640"/>
      <c r="FJ79" s="640"/>
      <c r="FK79" s="640"/>
      <c r="FL79" s="640"/>
      <c r="FM79" s="640"/>
      <c r="FN79" s="640"/>
      <c r="FO79" s="640"/>
      <c r="FP79" s="640"/>
      <c r="FQ79" s="640"/>
      <c r="FR79" s="640"/>
      <c r="FS79" s="640"/>
      <c r="FT79" s="640"/>
      <c r="FU79" s="640"/>
      <c r="FV79" s="640"/>
      <c r="FW79" s="640"/>
      <c r="FX79" s="640"/>
      <c r="FY79" s="640"/>
      <c r="FZ79" s="640"/>
      <c r="GA79" s="640"/>
      <c r="GB79" s="640"/>
      <c r="GC79" s="640"/>
      <c r="GD79" s="640"/>
      <c r="GE79" s="640"/>
      <c r="GF79" s="640"/>
      <c r="GG79" s="640"/>
      <c r="GH79" s="640"/>
      <c r="GI79" s="640"/>
      <c r="GJ79" s="640"/>
      <c r="GK79" s="640"/>
      <c r="GL79" s="640"/>
      <c r="GM79" s="640"/>
      <c r="GN79" s="640"/>
      <c r="GO79" s="640"/>
      <c r="GP79" s="640"/>
      <c r="GQ79" s="640"/>
      <c r="GR79" s="640"/>
      <c r="GS79" s="640"/>
      <c r="GT79" s="640"/>
      <c r="GU79" s="640"/>
      <c r="GV79" s="640"/>
      <c r="GW79" s="640"/>
      <c r="GX79" s="640"/>
      <c r="GY79" s="640"/>
      <c r="GZ79" s="640"/>
      <c r="HA79" s="640"/>
      <c r="HB79" s="640"/>
      <c r="HC79" s="640"/>
      <c r="HD79" s="640"/>
      <c r="HE79" s="640"/>
      <c r="HF79" s="640"/>
      <c r="HG79" s="640"/>
      <c r="HH79" s="640"/>
      <c r="HI79" s="640"/>
      <c r="HJ79" s="640"/>
      <c r="HK79" s="640"/>
      <c r="HL79" s="640"/>
      <c r="HM79" s="640"/>
      <c r="HN79" s="640"/>
      <c r="HO79" s="640"/>
      <c r="HP79" s="640"/>
      <c r="HQ79" s="640"/>
      <c r="HR79" s="640"/>
      <c r="HS79" s="640"/>
      <c r="HT79" s="640"/>
      <c r="HU79" s="640"/>
      <c r="HV79" s="640"/>
      <c r="HW79" s="640"/>
      <c r="HX79" s="640"/>
      <c r="HY79" s="640"/>
      <c r="HZ79" s="640"/>
      <c r="IA79" s="640"/>
      <c r="IB79" s="640"/>
      <c r="IC79" s="640"/>
      <c r="ID79" s="642"/>
      <c r="IE79" s="642"/>
      <c r="IF79" s="642"/>
      <c r="IG79" s="642"/>
      <c r="IH79" s="642"/>
      <c r="II79" s="642"/>
      <c r="IJ79" s="642"/>
      <c r="IK79" s="642"/>
      <c r="IL79" s="642"/>
      <c r="IM79" s="642"/>
      <c r="IN79" s="642"/>
      <c r="IO79" s="642"/>
      <c r="IP79" s="642"/>
      <c r="IQ79" s="642"/>
      <c r="IR79" s="642"/>
      <c r="IS79" s="642"/>
      <c r="IT79" s="642"/>
      <c r="IU79" s="642"/>
      <c r="IV79" s="642"/>
      <c r="IW79" s="642"/>
      <c r="IX79" s="642"/>
      <c r="IY79" s="642"/>
      <c r="IZ79" s="642"/>
      <c r="JA79" s="642"/>
    </row>
    <row r="80" spans="1:261" ht="18" customHeight="1">
      <c r="A80" s="637" t="s">
        <v>193</v>
      </c>
      <c r="B80" s="576"/>
      <c r="C80" s="576" t="str">
        <f>IF(ISTEXT(IFERROR(VLOOKUP(A80,职业列表!I3:J15,1,FALSE),0)),"★","")</f>
        <v/>
      </c>
      <c r="D80" s="576"/>
      <c r="E80" s="576"/>
      <c r="F80" s="576"/>
      <c r="G80" s="576"/>
      <c r="H80" s="576"/>
      <c r="I80" s="576"/>
      <c r="J80" s="576"/>
      <c r="K80" s="576"/>
      <c r="L80" s="576"/>
      <c r="M80" s="576"/>
      <c r="N80" s="576"/>
      <c r="O80" s="576"/>
      <c r="P80" s="576"/>
      <c r="Q80" s="576"/>
      <c r="R80" s="576"/>
      <c r="S80" s="576"/>
      <c r="T80" s="576"/>
      <c r="U80" s="576"/>
      <c r="V80" s="576"/>
      <c r="W80" s="576"/>
      <c r="X80" s="576"/>
      <c r="Y80" s="576"/>
      <c r="Z80" s="576"/>
      <c r="AA80" s="576"/>
      <c r="AB80" s="576"/>
      <c r="AC80" s="576"/>
      <c r="AD80" s="576"/>
      <c r="AE80" s="576"/>
      <c r="AF80" s="576"/>
      <c r="AG80" s="576"/>
      <c r="AH80" s="576"/>
      <c r="AI80" s="576"/>
      <c r="AJ80" s="576"/>
      <c r="AK80" s="576"/>
      <c r="AL80" s="576"/>
      <c r="AM80" s="576"/>
      <c r="AN80" s="576"/>
      <c r="AO80" s="576"/>
      <c r="AP80" s="576"/>
      <c r="AQ80" s="576"/>
      <c r="AR80" s="576"/>
      <c r="AS80" s="576"/>
      <c r="AT80" s="576"/>
      <c r="AU80" s="576"/>
      <c r="AV80" s="576"/>
      <c r="AW80" s="576"/>
      <c r="AX80" s="577" t="s">
        <v>149</v>
      </c>
      <c r="AY80" s="576"/>
      <c r="AZ80" s="576"/>
      <c r="BA80" s="576"/>
      <c r="BB80" s="576"/>
      <c r="BC80" s="576"/>
      <c r="BD80" s="576"/>
      <c r="BE80" s="576"/>
      <c r="BF80" s="576"/>
      <c r="BG80" s="576"/>
      <c r="BH80" s="576"/>
      <c r="BI80" s="576"/>
      <c r="BJ80" s="576"/>
      <c r="BK80" s="576"/>
      <c r="BL80" s="576"/>
      <c r="BM80" s="576"/>
      <c r="BN80" s="576"/>
      <c r="BO80" s="576"/>
      <c r="BP80" s="576"/>
      <c r="BQ80" s="576"/>
      <c r="BR80" s="576"/>
      <c r="BS80" s="576"/>
      <c r="BT80" s="576"/>
      <c r="BU80" s="576"/>
      <c r="BV80" s="576"/>
      <c r="BW80" s="576"/>
      <c r="BX80" s="576"/>
      <c r="BY80" s="576"/>
      <c r="BZ80" s="576"/>
      <c r="CA80" s="576"/>
      <c r="CB80" s="576"/>
      <c r="CC80" s="576"/>
      <c r="CD80" s="576"/>
      <c r="CE80" s="576"/>
      <c r="CF80" s="576"/>
      <c r="CG80" s="576"/>
      <c r="CH80" s="576"/>
      <c r="CI80" s="576"/>
      <c r="CJ80" s="576"/>
      <c r="CK80" s="576"/>
      <c r="CL80" s="576"/>
      <c r="CM80" s="576"/>
      <c r="CN80" s="576"/>
      <c r="CO80" s="576"/>
      <c r="CP80" s="576"/>
      <c r="CQ80" s="576"/>
      <c r="CR80" s="576"/>
      <c r="CS80" s="576"/>
      <c r="CT80" s="576"/>
      <c r="CU80" s="576"/>
      <c r="CV80" s="576"/>
      <c r="CW80" s="576"/>
      <c r="CX80" s="576"/>
      <c r="CY80" s="576"/>
      <c r="CZ80" s="576"/>
      <c r="DA80" s="576"/>
      <c r="DB80" s="576"/>
      <c r="DC80" s="576"/>
      <c r="DD80" s="576"/>
      <c r="DE80" s="576"/>
      <c r="DF80" s="576"/>
      <c r="DG80" s="576"/>
      <c r="DH80" s="576"/>
      <c r="DI80" s="576"/>
      <c r="DJ80" s="577" t="s">
        <v>6645</v>
      </c>
      <c r="DK80" s="576"/>
      <c r="DL80" s="576"/>
      <c r="DM80" s="576"/>
      <c r="DN80" s="576"/>
      <c r="DO80" s="576"/>
      <c r="DP80" s="576"/>
      <c r="DQ80" s="576"/>
      <c r="DR80" s="576"/>
      <c r="DS80" s="576"/>
      <c r="DT80" s="576"/>
      <c r="DU80" s="576"/>
      <c r="DV80" s="576"/>
      <c r="DW80" s="576"/>
      <c r="DX80" s="576"/>
      <c r="DY80" s="576"/>
      <c r="DZ80" s="576"/>
      <c r="EA80" s="576"/>
      <c r="EB80" s="576"/>
      <c r="EC80" s="576"/>
      <c r="ED80" s="576"/>
      <c r="EE80" s="576"/>
      <c r="EF80" s="576"/>
      <c r="EG80" s="576"/>
      <c r="EH80" s="576"/>
      <c r="EI80" s="576"/>
      <c r="EJ80" s="576"/>
      <c r="EK80" s="576"/>
      <c r="EL80" s="576"/>
      <c r="EM80" s="576"/>
      <c r="EN80" s="576"/>
      <c r="EO80" s="576"/>
      <c r="EP80" s="576"/>
      <c r="EQ80" s="576"/>
      <c r="ER80" s="576"/>
      <c r="ES80" s="576"/>
      <c r="ET80" s="576"/>
      <c r="EU80" s="576"/>
      <c r="EV80" s="576"/>
      <c r="EW80" s="576"/>
      <c r="EX80" s="576"/>
      <c r="EY80" s="576"/>
      <c r="EZ80" s="576"/>
      <c r="FA80" s="576"/>
      <c r="FB80" s="576"/>
      <c r="FC80" s="576"/>
      <c r="FD80" s="576"/>
      <c r="FE80" s="576"/>
      <c r="FF80" s="576"/>
      <c r="FG80" s="576"/>
      <c r="FH80" s="576"/>
      <c r="FI80" s="576"/>
      <c r="FJ80" s="620"/>
      <c r="FK80" s="620"/>
      <c r="FL80" s="620"/>
      <c r="FM80" s="620"/>
      <c r="FN80" s="620"/>
      <c r="FO80" s="620"/>
      <c r="FP80" s="620"/>
      <c r="FQ80" s="620"/>
      <c r="FR80" s="576"/>
      <c r="FS80" s="576"/>
      <c r="FT80" s="576"/>
      <c r="FU80" s="576"/>
      <c r="FV80" s="576"/>
      <c r="FW80" s="576"/>
      <c r="FX80" s="576"/>
      <c r="FY80" s="576"/>
      <c r="FZ80" s="576"/>
      <c r="GA80" s="576"/>
      <c r="GB80" s="576"/>
      <c r="GC80" s="576"/>
      <c r="GD80" s="576"/>
      <c r="GE80" s="576"/>
      <c r="GF80" s="576"/>
      <c r="GG80" s="576"/>
      <c r="GH80" s="576"/>
      <c r="GI80" s="576"/>
      <c r="GJ80" s="576"/>
      <c r="GK80" s="576"/>
      <c r="GL80" s="576"/>
      <c r="GM80" s="576"/>
      <c r="GN80" s="576"/>
      <c r="GO80" s="576"/>
      <c r="GP80" s="576"/>
      <c r="GQ80" s="576"/>
      <c r="GR80" s="576"/>
      <c r="GS80" s="576"/>
      <c r="GT80" s="576"/>
      <c r="GU80" s="576"/>
      <c r="GV80" s="576"/>
      <c r="GW80" s="576"/>
      <c r="GX80" s="576"/>
      <c r="GY80" s="576"/>
      <c r="GZ80" s="576"/>
      <c r="HA80" s="576"/>
      <c r="HB80" s="576"/>
      <c r="HC80" s="576"/>
      <c r="HD80" s="576"/>
      <c r="HE80" s="576"/>
      <c r="HF80" s="576"/>
      <c r="HG80" s="576"/>
      <c r="HH80" s="576"/>
      <c r="HI80" s="576"/>
      <c r="HJ80" s="576"/>
      <c r="HK80" s="576"/>
      <c r="HL80" s="576"/>
      <c r="HM80" s="576"/>
      <c r="HN80" s="576"/>
      <c r="HO80" s="576"/>
      <c r="HP80" s="576"/>
      <c r="HQ80" s="576"/>
      <c r="HR80" s="576"/>
      <c r="HS80" s="576"/>
      <c r="HT80" s="576"/>
      <c r="HU80" s="576"/>
      <c r="HV80" s="576"/>
      <c r="HW80" s="576"/>
      <c r="HX80" s="576"/>
      <c r="HY80" s="576"/>
      <c r="HZ80" s="576"/>
      <c r="IA80" s="576"/>
      <c r="IB80" s="576"/>
      <c r="IC80" s="576"/>
      <c r="ID80" s="566"/>
      <c r="IE80" s="566"/>
      <c r="IF80" s="566"/>
      <c r="IG80" s="566"/>
      <c r="IH80" s="566"/>
      <c r="II80" s="566"/>
      <c r="IJ80" s="566"/>
      <c r="IK80" s="566"/>
      <c r="IL80" s="566"/>
      <c r="IM80" s="566"/>
      <c r="IN80" s="566"/>
      <c r="IO80" s="566"/>
      <c r="IP80" s="566"/>
      <c r="IQ80" s="566"/>
      <c r="IR80" s="566"/>
      <c r="IS80" s="566"/>
      <c r="IT80" s="566"/>
      <c r="IU80" s="566"/>
      <c r="IV80" s="566"/>
      <c r="IW80" s="566"/>
      <c r="IX80" s="566"/>
      <c r="IY80" s="566"/>
      <c r="IZ80" s="566"/>
      <c r="JA80" s="566"/>
    </row>
    <row r="81" spans="1:261" ht="18" customHeight="1">
      <c r="A81" s="637" t="s">
        <v>163</v>
      </c>
      <c r="B81" s="576"/>
      <c r="C81" s="577" t="str">
        <f>IF(ISTEXT(IFERROR(VLOOKUP(A81,职业列表!I3:J15,1,FALSE),0)),"★","")</f>
        <v/>
      </c>
      <c r="D81" s="576"/>
      <c r="E81" s="576"/>
      <c r="F81" s="576"/>
      <c r="G81" s="576"/>
      <c r="H81" s="576"/>
      <c r="I81" s="576"/>
      <c r="J81" s="576"/>
      <c r="K81" s="576"/>
      <c r="L81" s="576"/>
      <c r="M81" s="576"/>
      <c r="N81" s="576"/>
      <c r="O81" s="576"/>
      <c r="P81" s="576"/>
      <c r="Q81" s="576"/>
      <c r="R81" s="576"/>
      <c r="S81" s="576"/>
      <c r="T81" s="576"/>
      <c r="U81" s="576"/>
      <c r="V81" s="576"/>
      <c r="W81" s="576"/>
      <c r="X81" s="576"/>
      <c r="Y81" s="576"/>
      <c r="Z81" s="576"/>
      <c r="AA81" s="576"/>
      <c r="AB81" s="576"/>
      <c r="AC81" s="576"/>
      <c r="AD81" s="576"/>
      <c r="AE81" s="576"/>
      <c r="AF81" s="576"/>
      <c r="AG81" s="576"/>
      <c r="AH81" s="576"/>
      <c r="AI81" s="576"/>
      <c r="AJ81" s="576"/>
      <c r="AK81" s="576"/>
      <c r="AL81" s="576"/>
      <c r="AM81" s="576"/>
      <c r="AN81" s="576"/>
      <c r="AO81" s="576"/>
      <c r="AP81" s="576"/>
      <c r="AQ81" s="576"/>
      <c r="AR81" s="576"/>
      <c r="AS81" s="576"/>
      <c r="AT81" s="576"/>
      <c r="AU81" s="620"/>
      <c r="AV81" s="576"/>
      <c r="AW81" s="576"/>
      <c r="AX81" s="576"/>
      <c r="AY81" s="576"/>
      <c r="AZ81" s="576"/>
      <c r="BA81" s="576"/>
      <c r="BB81" s="576"/>
      <c r="BC81" s="576"/>
      <c r="BD81" s="576"/>
      <c r="BE81" s="576"/>
      <c r="BF81" s="576"/>
      <c r="BG81" s="576"/>
      <c r="BH81" s="576"/>
      <c r="BI81" s="576"/>
      <c r="BJ81" s="576"/>
      <c r="BK81" s="576"/>
      <c r="BL81" s="576"/>
      <c r="BM81" s="576"/>
      <c r="BN81" s="576"/>
      <c r="BO81" s="576"/>
      <c r="BP81" s="576"/>
      <c r="BQ81" s="576"/>
      <c r="BR81" s="576"/>
      <c r="BS81" s="576"/>
      <c r="BT81" s="576"/>
      <c r="BU81" s="576"/>
      <c r="BV81" s="576"/>
      <c r="BW81" s="576"/>
      <c r="BX81" s="576"/>
      <c r="BY81" s="576"/>
      <c r="BZ81" s="576"/>
      <c r="CA81" s="576"/>
      <c r="CB81" s="576"/>
      <c r="CC81" s="576"/>
      <c r="CD81" s="576"/>
      <c r="CE81" s="576"/>
      <c r="CF81" s="576"/>
      <c r="CG81" s="576"/>
      <c r="CH81" s="576"/>
      <c r="CI81" s="576"/>
      <c r="CJ81" s="576"/>
      <c r="CK81" s="576"/>
      <c r="CL81" s="576"/>
      <c r="CM81" s="576"/>
      <c r="CN81" s="576"/>
      <c r="CO81" s="576"/>
      <c r="CP81" s="576"/>
      <c r="CQ81" s="576"/>
      <c r="CR81" s="576"/>
      <c r="CS81" s="576"/>
      <c r="CT81" s="576"/>
      <c r="CU81" s="576"/>
      <c r="CV81" s="576"/>
      <c r="CW81" s="576"/>
      <c r="CX81" s="576"/>
      <c r="CY81" s="576"/>
      <c r="CZ81" s="576"/>
      <c r="DA81" s="576"/>
      <c r="DB81" s="576"/>
      <c r="DC81" s="576"/>
      <c r="DD81" s="576"/>
      <c r="DE81" s="576"/>
      <c r="DF81" s="576"/>
      <c r="DG81" s="576"/>
      <c r="DH81" s="576"/>
      <c r="DI81" s="576"/>
      <c r="DJ81" s="576"/>
      <c r="DK81" s="576"/>
      <c r="DL81" s="576"/>
      <c r="DM81" s="576"/>
      <c r="DN81" s="576"/>
      <c r="DO81" s="576"/>
      <c r="DP81" s="576"/>
      <c r="DQ81" s="576"/>
      <c r="DR81" s="576"/>
      <c r="DS81" s="576"/>
      <c r="DT81" s="576"/>
      <c r="DU81" s="576"/>
      <c r="DV81" s="576"/>
      <c r="DW81" s="576"/>
      <c r="DX81" s="576"/>
      <c r="DY81" s="576"/>
      <c r="DZ81" s="576"/>
      <c r="EA81" s="576"/>
      <c r="EB81" s="576"/>
      <c r="EC81" s="576"/>
      <c r="ED81" s="576"/>
      <c r="EE81" s="576"/>
      <c r="EF81" s="576"/>
      <c r="EG81" s="576"/>
      <c r="EH81" s="576"/>
      <c r="EI81" s="576"/>
      <c r="EJ81" s="576"/>
      <c r="EK81" s="576"/>
      <c r="EL81" s="576"/>
      <c r="EM81" s="576"/>
      <c r="EN81" s="576"/>
      <c r="EO81" s="576"/>
      <c r="EP81" s="576"/>
      <c r="EQ81" s="576"/>
      <c r="ER81" s="576"/>
      <c r="ES81" s="576"/>
      <c r="ET81" s="576"/>
      <c r="EU81" s="576"/>
      <c r="EV81" s="576"/>
      <c r="EW81" s="576"/>
      <c r="EX81" s="576"/>
      <c r="EY81" s="576"/>
      <c r="EZ81" s="576"/>
      <c r="FA81" s="576"/>
      <c r="FB81" s="576"/>
      <c r="FC81" s="576"/>
      <c r="FD81" s="576"/>
      <c r="FE81" s="576"/>
      <c r="FF81" s="576"/>
      <c r="FG81" s="576"/>
      <c r="FH81" s="576"/>
      <c r="FI81" s="576"/>
      <c r="FJ81" s="576"/>
      <c r="FK81" s="576"/>
      <c r="FL81" s="576"/>
      <c r="FM81" s="576"/>
      <c r="FN81" s="576"/>
      <c r="FO81" s="576"/>
      <c r="FP81" s="576"/>
      <c r="FQ81" s="576"/>
      <c r="FR81" s="576"/>
      <c r="FS81" s="576"/>
      <c r="FT81" s="576"/>
      <c r="FU81" s="576"/>
      <c r="FV81" s="576"/>
      <c r="FW81" s="576"/>
      <c r="FX81" s="576"/>
      <c r="FY81" s="576"/>
      <c r="FZ81" s="576"/>
      <c r="GA81" s="576"/>
      <c r="GB81" s="576"/>
      <c r="GC81" s="576"/>
      <c r="GD81" s="576"/>
      <c r="GE81" s="576"/>
      <c r="GF81" s="576"/>
      <c r="GG81" s="576"/>
      <c r="GH81" s="576"/>
      <c r="GI81" s="576"/>
      <c r="GJ81" s="576"/>
      <c r="GK81" s="576"/>
      <c r="GL81" s="576"/>
      <c r="GM81" s="576"/>
      <c r="GN81" s="576"/>
      <c r="GO81" s="576"/>
      <c r="GP81" s="576"/>
      <c r="GQ81" s="576"/>
      <c r="GR81" s="576"/>
      <c r="GS81" s="576"/>
      <c r="GT81" s="576"/>
      <c r="GU81" s="576"/>
      <c r="GV81" s="576"/>
      <c r="GW81" s="576"/>
      <c r="GX81" s="576"/>
      <c r="GY81" s="576"/>
      <c r="GZ81" s="576"/>
      <c r="HA81" s="576"/>
      <c r="HB81" s="576"/>
      <c r="HC81" s="576"/>
      <c r="HD81" s="576"/>
      <c r="HE81" s="576"/>
      <c r="HF81" s="576"/>
      <c r="HG81" s="576"/>
      <c r="HH81" s="576"/>
      <c r="HI81" s="576"/>
      <c r="HJ81" s="576"/>
      <c r="HK81" s="576"/>
      <c r="HL81" s="576"/>
      <c r="HM81" s="576"/>
      <c r="HN81" s="576"/>
      <c r="HO81" s="576"/>
      <c r="HP81" s="576"/>
      <c r="HQ81" s="576"/>
      <c r="HR81" s="576"/>
      <c r="HS81" s="576"/>
      <c r="HT81" s="576"/>
      <c r="HU81" s="576"/>
      <c r="HV81" s="576"/>
      <c r="HW81" s="576"/>
      <c r="HX81" s="576"/>
      <c r="HY81" s="576"/>
      <c r="HZ81" s="576"/>
      <c r="IA81" s="576"/>
      <c r="IB81" s="576"/>
      <c r="IC81" s="576"/>
      <c r="ID81" s="566"/>
      <c r="IE81" s="566"/>
      <c r="IF81" s="566"/>
      <c r="IG81" s="566"/>
      <c r="IH81" s="566"/>
      <c r="II81" s="566"/>
      <c r="IJ81" s="566"/>
      <c r="IK81" s="566"/>
      <c r="IL81" s="566"/>
      <c r="IM81" s="566"/>
      <c r="IN81" s="566"/>
      <c r="IO81" s="566"/>
      <c r="IP81" s="566"/>
      <c r="IQ81" s="566"/>
      <c r="IR81" s="566"/>
      <c r="IS81" s="566"/>
      <c r="IT81" s="566"/>
      <c r="IU81" s="566"/>
      <c r="IV81" s="566"/>
      <c r="IW81" s="566"/>
      <c r="IX81" s="566"/>
      <c r="IY81" s="566"/>
      <c r="IZ81" s="566"/>
      <c r="JA81" s="566"/>
    </row>
    <row r="82" spans="1:261" ht="18" customHeight="1">
      <c r="A82" s="637" t="s">
        <v>196</v>
      </c>
      <c r="B82" s="576"/>
      <c r="C82" s="576" t="str">
        <f>IF(ISTEXT(IFERROR(VLOOKUP(A82,职业列表!I3:J15,1,FALSE),0)),"★","")</f>
        <v/>
      </c>
      <c r="D82" s="576"/>
      <c r="E82" s="576"/>
      <c r="F82" s="576"/>
      <c r="G82" s="576"/>
      <c r="H82" s="576"/>
      <c r="I82" s="576"/>
      <c r="J82" s="576"/>
      <c r="K82" s="576"/>
      <c r="L82" s="576"/>
      <c r="M82" s="576"/>
      <c r="N82" s="576"/>
      <c r="O82" s="576"/>
      <c r="P82" s="576"/>
      <c r="Q82" s="576"/>
      <c r="R82" s="576"/>
      <c r="S82" s="576"/>
      <c r="T82" s="576"/>
      <c r="U82" s="576"/>
      <c r="V82" s="576"/>
      <c r="W82" s="576"/>
      <c r="X82" s="576"/>
      <c r="Y82" s="576"/>
      <c r="Z82" s="576"/>
      <c r="AA82" s="576"/>
      <c r="AB82" s="576"/>
      <c r="AC82" s="576"/>
      <c r="AD82" s="576"/>
      <c r="AE82" s="576"/>
      <c r="AF82" s="576"/>
      <c r="AG82" s="576"/>
      <c r="AH82" s="576"/>
      <c r="AI82" s="576"/>
      <c r="AJ82" s="576"/>
      <c r="AK82" s="576"/>
      <c r="AL82" s="576"/>
      <c r="AM82" s="576"/>
      <c r="AN82" s="576"/>
      <c r="AO82" s="576"/>
      <c r="AP82" s="576"/>
      <c r="AQ82" s="576"/>
      <c r="AR82" s="576"/>
      <c r="AS82" s="576"/>
      <c r="AT82" s="576"/>
      <c r="AU82" s="576"/>
      <c r="AV82" s="576"/>
      <c r="AW82" s="576"/>
      <c r="AX82" s="620"/>
      <c r="AY82" s="576"/>
      <c r="AZ82" s="576"/>
      <c r="BA82" s="576"/>
      <c r="BB82" s="576"/>
      <c r="BC82" s="576"/>
      <c r="BD82" s="576"/>
      <c r="BE82" s="576"/>
      <c r="BF82" s="576"/>
      <c r="BG82" s="576"/>
      <c r="BH82" s="576"/>
      <c r="BI82" s="576"/>
      <c r="BJ82" s="576"/>
      <c r="BK82" s="576"/>
      <c r="BL82" s="576"/>
      <c r="BM82" s="576"/>
      <c r="BN82" s="576"/>
      <c r="BO82" s="576"/>
      <c r="BP82" s="576"/>
      <c r="BQ82" s="576"/>
      <c r="BR82" s="576"/>
      <c r="BS82" s="576"/>
      <c r="BT82" s="576"/>
      <c r="BU82" s="576"/>
      <c r="BV82" s="576"/>
      <c r="BW82" s="576"/>
      <c r="BX82" s="576"/>
      <c r="BY82" s="576"/>
      <c r="BZ82" s="576"/>
      <c r="CA82" s="576"/>
      <c r="CB82" s="576"/>
      <c r="CC82" s="576"/>
      <c r="CD82" s="576"/>
      <c r="CE82" s="576"/>
      <c r="CF82" s="576"/>
      <c r="CG82" s="576"/>
      <c r="CH82" s="576"/>
      <c r="CI82" s="576"/>
      <c r="CJ82" s="576"/>
      <c r="CK82" s="576"/>
      <c r="CL82" s="576"/>
      <c r="CM82" s="576"/>
      <c r="CN82" s="576"/>
      <c r="CO82" s="576"/>
      <c r="CP82" s="576"/>
      <c r="CQ82" s="576"/>
      <c r="CR82" s="576"/>
      <c r="CS82" s="576"/>
      <c r="CT82" s="576"/>
      <c r="CU82" s="576"/>
      <c r="CV82" s="576"/>
      <c r="CW82" s="576"/>
      <c r="CX82" s="576"/>
      <c r="CY82" s="576"/>
      <c r="CZ82" s="576"/>
      <c r="DA82" s="576"/>
      <c r="DB82" s="576"/>
      <c r="DC82" s="576"/>
      <c r="DD82" s="576"/>
      <c r="DE82" s="576"/>
      <c r="DF82" s="576"/>
      <c r="DG82" s="576"/>
      <c r="DH82" s="576"/>
      <c r="DI82" s="576"/>
      <c r="DJ82" s="577"/>
      <c r="DK82" s="576"/>
      <c r="DL82" s="576"/>
      <c r="DM82" s="576"/>
      <c r="DN82" s="576"/>
      <c r="DO82" s="576"/>
      <c r="DP82" s="576"/>
      <c r="DQ82" s="576"/>
      <c r="DR82" s="576"/>
      <c r="DS82" s="576"/>
      <c r="DT82" s="576"/>
      <c r="DU82" s="576"/>
      <c r="DV82" s="576"/>
      <c r="DW82" s="576"/>
      <c r="DX82" s="576"/>
      <c r="DY82" s="576"/>
      <c r="DZ82" s="576"/>
      <c r="EA82" s="576"/>
      <c r="EB82" s="576"/>
      <c r="EC82" s="576"/>
      <c r="ED82" s="576"/>
      <c r="EE82" s="576"/>
      <c r="EF82" s="576"/>
      <c r="EG82" s="576"/>
      <c r="EH82" s="576"/>
      <c r="EI82" s="576"/>
      <c r="EJ82" s="576"/>
      <c r="EK82" s="576"/>
      <c r="EL82" s="576"/>
      <c r="EM82" s="576"/>
      <c r="EN82" s="576"/>
      <c r="EO82" s="576"/>
      <c r="EP82" s="576"/>
      <c r="EQ82" s="576"/>
      <c r="ER82" s="576"/>
      <c r="ES82" s="576"/>
      <c r="ET82" s="576"/>
      <c r="EU82" s="576"/>
      <c r="EV82" s="576"/>
      <c r="EW82" s="576"/>
      <c r="EX82" s="576"/>
      <c r="EY82" s="576"/>
      <c r="EZ82" s="576"/>
      <c r="FA82" s="576"/>
      <c r="FB82" s="576"/>
      <c r="FC82" s="576"/>
      <c r="FD82" s="576"/>
      <c r="FE82" s="576"/>
      <c r="FF82" s="576"/>
      <c r="FG82" s="576"/>
      <c r="FH82" s="576"/>
      <c r="FI82" s="576"/>
      <c r="FJ82" s="576"/>
      <c r="FK82" s="576"/>
      <c r="FL82" s="576"/>
      <c r="FM82" s="576"/>
      <c r="FN82" s="576"/>
      <c r="FO82" s="576"/>
      <c r="FP82" s="576"/>
      <c r="FQ82" s="576"/>
      <c r="FR82" s="576"/>
      <c r="FS82" s="576"/>
      <c r="FT82" s="576"/>
      <c r="FU82" s="576"/>
      <c r="FV82" s="576"/>
      <c r="FW82" s="576"/>
      <c r="FX82" s="576"/>
      <c r="FY82" s="576"/>
      <c r="FZ82" s="576"/>
      <c r="GA82" s="576"/>
      <c r="GB82" s="576"/>
      <c r="GC82" s="576"/>
      <c r="GD82" s="576"/>
      <c r="GE82" s="576"/>
      <c r="GF82" s="576"/>
      <c r="GG82" s="576"/>
      <c r="GH82" s="576"/>
      <c r="GI82" s="576"/>
      <c r="GJ82" s="576"/>
      <c r="GK82" s="576"/>
      <c r="GL82" s="576"/>
      <c r="GM82" s="576"/>
      <c r="GN82" s="576"/>
      <c r="GO82" s="576"/>
      <c r="GP82" s="576"/>
      <c r="GQ82" s="576"/>
      <c r="GR82" s="576"/>
      <c r="GS82" s="576"/>
      <c r="GT82" s="576"/>
      <c r="GU82" s="576"/>
      <c r="GV82" s="576"/>
      <c r="GW82" s="576"/>
      <c r="GX82" s="576"/>
      <c r="GY82" s="576"/>
      <c r="GZ82" s="576"/>
      <c r="HA82" s="576"/>
      <c r="HB82" s="576"/>
      <c r="HC82" s="576"/>
      <c r="HD82" s="576"/>
      <c r="HE82" s="576"/>
      <c r="HF82" s="576"/>
      <c r="HG82" s="576"/>
      <c r="HH82" s="576"/>
      <c r="HI82" s="576"/>
      <c r="HJ82" s="576"/>
      <c r="HK82" s="576"/>
      <c r="HL82" s="576"/>
      <c r="HM82" s="576"/>
      <c r="HN82" s="576"/>
      <c r="HO82" s="576"/>
      <c r="HP82" s="576"/>
      <c r="HQ82" s="576"/>
      <c r="HR82" s="576"/>
      <c r="HS82" s="576"/>
      <c r="HT82" s="576"/>
      <c r="HU82" s="576"/>
      <c r="HV82" s="576"/>
      <c r="HW82" s="576"/>
      <c r="HX82" s="576"/>
      <c r="HY82" s="576"/>
      <c r="HZ82" s="576"/>
      <c r="IA82" s="576"/>
      <c r="IB82" s="576"/>
      <c r="IC82" s="576"/>
      <c r="ID82" s="566"/>
      <c r="IE82" s="566"/>
      <c r="IF82" s="566"/>
      <c r="IG82" s="566"/>
      <c r="IH82" s="566"/>
      <c r="II82" s="566"/>
      <c r="IJ82" s="566"/>
      <c r="IK82" s="566"/>
      <c r="IL82" s="566"/>
      <c r="IM82" s="566"/>
      <c r="IN82" s="566"/>
      <c r="IO82" s="566"/>
      <c r="IP82" s="566"/>
      <c r="IQ82" s="566"/>
      <c r="IR82" s="566"/>
      <c r="IS82" s="566"/>
      <c r="IT82" s="566"/>
      <c r="IU82" s="566"/>
      <c r="IV82" s="566"/>
      <c r="IW82" s="566"/>
      <c r="IX82" s="566"/>
      <c r="IY82" s="566"/>
      <c r="IZ82" s="566"/>
      <c r="JA82" s="566"/>
    </row>
    <row r="83" spans="1:261" ht="18" customHeight="1">
      <c r="A83" s="637" t="s">
        <v>198</v>
      </c>
      <c r="B83" s="620"/>
      <c r="C83" s="620" t="str">
        <f>IF(ISTEXT(IFERROR(VLOOKUP(A83,职业列表!I3:J15,1,FALSE),0)),"★","")</f>
        <v/>
      </c>
      <c r="D83" s="620"/>
      <c r="E83" s="620"/>
      <c r="F83" s="620"/>
      <c r="G83" s="620"/>
      <c r="H83" s="620"/>
      <c r="I83" s="620"/>
      <c r="J83" s="620"/>
      <c r="K83" s="620"/>
      <c r="L83" s="620"/>
      <c r="M83" s="620"/>
      <c r="N83" s="620"/>
      <c r="O83" s="620"/>
      <c r="P83" s="620"/>
      <c r="Q83" s="620"/>
      <c r="R83" s="620"/>
      <c r="S83" s="620"/>
      <c r="T83" s="620"/>
      <c r="U83" s="620"/>
      <c r="V83" s="620"/>
      <c r="W83" s="620"/>
      <c r="X83" s="620"/>
      <c r="Y83" s="620"/>
      <c r="Z83" s="620"/>
      <c r="AA83" s="620"/>
      <c r="AB83" s="620"/>
      <c r="AC83" s="620"/>
      <c r="AD83" s="620"/>
      <c r="AE83" s="620"/>
      <c r="AF83" s="620"/>
      <c r="AG83" s="620"/>
      <c r="AH83" s="620"/>
      <c r="AI83" s="620"/>
      <c r="AJ83" s="620"/>
      <c r="AK83" s="620"/>
      <c r="AL83" s="620"/>
      <c r="AM83" s="620"/>
      <c r="AN83" s="620"/>
      <c r="AO83" s="620"/>
      <c r="AP83" s="620"/>
      <c r="AQ83" s="620"/>
      <c r="AR83" s="620"/>
      <c r="AS83" s="620"/>
      <c r="AT83" s="620"/>
      <c r="AU83" s="577" t="s">
        <v>149</v>
      </c>
      <c r="AV83" s="620"/>
      <c r="AW83" s="620"/>
      <c r="AX83" s="620"/>
      <c r="AY83" s="620"/>
      <c r="AZ83" s="620"/>
      <c r="BA83" s="620"/>
      <c r="BB83" s="620"/>
      <c r="BC83" s="620"/>
      <c r="BD83" s="620"/>
      <c r="BE83" s="620"/>
      <c r="BF83" s="620"/>
      <c r="BG83" s="620"/>
      <c r="BH83" s="620"/>
      <c r="BI83" s="620"/>
      <c r="BJ83" s="620"/>
      <c r="BK83" s="620"/>
      <c r="BL83" s="620"/>
      <c r="BM83" s="620"/>
      <c r="BN83" s="620"/>
      <c r="BO83" s="620"/>
      <c r="BP83" s="620"/>
      <c r="BQ83" s="620"/>
      <c r="BR83" s="620"/>
      <c r="BS83" s="620"/>
      <c r="BT83" s="620"/>
      <c r="BU83" s="620"/>
      <c r="BV83" s="620"/>
      <c r="BW83" s="620"/>
      <c r="BX83" s="620"/>
      <c r="BY83" s="620"/>
      <c r="BZ83" s="620"/>
      <c r="CA83" s="620"/>
      <c r="CB83" s="620"/>
      <c r="CC83" s="620"/>
      <c r="CD83" s="620"/>
      <c r="CE83" s="620"/>
      <c r="CF83" s="620"/>
      <c r="CG83" s="620"/>
      <c r="CH83" s="620"/>
      <c r="CI83" s="620"/>
      <c r="CJ83" s="620"/>
      <c r="CK83" s="620"/>
      <c r="CL83" s="620"/>
      <c r="CM83" s="620"/>
      <c r="CN83" s="620"/>
      <c r="CO83" s="620"/>
      <c r="CP83" s="620"/>
      <c r="CQ83" s="620"/>
      <c r="CR83" s="620"/>
      <c r="CS83" s="620"/>
      <c r="CT83" s="620"/>
      <c r="CU83" s="620"/>
      <c r="CV83" s="620"/>
      <c r="CW83" s="620"/>
      <c r="CX83" s="620"/>
      <c r="CY83" s="620"/>
      <c r="CZ83" s="620"/>
      <c r="DA83" s="620"/>
      <c r="DB83" s="620"/>
      <c r="DC83" s="620"/>
      <c r="DD83" s="620"/>
      <c r="DE83" s="620"/>
      <c r="DF83" s="620"/>
      <c r="DG83" s="620"/>
      <c r="DH83" s="620"/>
      <c r="DI83" s="620"/>
      <c r="DJ83" s="620"/>
      <c r="DK83" s="620"/>
      <c r="DL83" s="620"/>
      <c r="DM83" s="620"/>
      <c r="DN83" s="620"/>
      <c r="DO83" s="620"/>
      <c r="DP83" s="620"/>
      <c r="DQ83" s="620"/>
      <c r="DR83" s="620"/>
      <c r="DS83" s="620"/>
      <c r="DT83" s="620"/>
      <c r="DU83" s="620"/>
      <c r="DV83" s="620"/>
      <c r="DW83" s="620"/>
      <c r="DX83" s="620"/>
      <c r="DY83" s="620"/>
      <c r="DZ83" s="620"/>
      <c r="EA83" s="620"/>
      <c r="EB83" s="620"/>
      <c r="EC83" s="620"/>
      <c r="ED83" s="620"/>
      <c r="EE83" s="620"/>
      <c r="EF83" s="620"/>
      <c r="EG83" s="620"/>
      <c r="EH83" s="620"/>
      <c r="EI83" s="620"/>
      <c r="EJ83" s="620"/>
      <c r="EK83" s="620"/>
      <c r="EL83" s="620"/>
      <c r="EM83" s="620"/>
      <c r="EN83" s="620"/>
      <c r="EO83" s="620"/>
      <c r="EP83" s="620"/>
      <c r="EQ83" s="620"/>
      <c r="ER83" s="620"/>
      <c r="ES83" s="620"/>
      <c r="ET83" s="620"/>
      <c r="EU83" s="620"/>
      <c r="EV83" s="620"/>
      <c r="EW83" s="620"/>
      <c r="EX83" s="620"/>
      <c r="EY83" s="620"/>
      <c r="EZ83" s="620"/>
      <c r="FA83" s="620"/>
      <c r="FB83" s="620"/>
      <c r="FC83" s="620"/>
      <c r="FD83" s="620"/>
      <c r="FE83" s="620"/>
      <c r="FF83" s="620"/>
      <c r="FG83" s="620"/>
      <c r="FH83" s="620"/>
      <c r="FI83" s="620"/>
      <c r="FJ83" s="620"/>
      <c r="FK83" s="620"/>
      <c r="FL83" s="620"/>
      <c r="FM83" s="620"/>
      <c r="FN83" s="620"/>
      <c r="FO83" s="620"/>
      <c r="FP83" s="620"/>
      <c r="FQ83" s="620"/>
      <c r="FR83" s="620"/>
      <c r="FS83" s="620"/>
      <c r="FT83" s="620"/>
      <c r="FU83" s="620"/>
      <c r="FV83" s="620"/>
      <c r="FW83" s="620"/>
      <c r="FX83" s="620"/>
      <c r="FY83" s="620"/>
      <c r="FZ83" s="620"/>
      <c r="GA83" s="620"/>
      <c r="GB83" s="620"/>
      <c r="GC83" s="620"/>
      <c r="GD83" s="620"/>
      <c r="GE83" s="620"/>
      <c r="GF83" s="620"/>
      <c r="GG83" s="620"/>
      <c r="GH83" s="620"/>
      <c r="GI83" s="620"/>
      <c r="GJ83" s="620"/>
      <c r="GK83" s="620"/>
      <c r="GL83" s="620"/>
      <c r="GM83" s="620"/>
      <c r="GN83" s="620"/>
      <c r="GO83" s="620"/>
      <c r="GP83" s="620"/>
      <c r="GQ83" s="620"/>
      <c r="GR83" s="620"/>
      <c r="GS83" s="620"/>
      <c r="GT83" s="620"/>
      <c r="GU83" s="620"/>
      <c r="GV83" s="620"/>
      <c r="GW83" s="620"/>
      <c r="GX83" s="620"/>
      <c r="GY83" s="620"/>
      <c r="GZ83" s="620"/>
      <c r="HA83" s="620"/>
      <c r="HB83" s="620"/>
      <c r="HC83" s="620"/>
      <c r="HD83" s="620"/>
      <c r="HE83" s="620"/>
      <c r="HF83" s="620"/>
      <c r="HG83" s="620"/>
      <c r="HH83" s="620"/>
      <c r="HI83" s="620"/>
      <c r="HJ83" s="620"/>
      <c r="HK83" s="620"/>
      <c r="HL83" s="620"/>
      <c r="HM83" s="620"/>
      <c r="HN83" s="620"/>
      <c r="HO83" s="620"/>
      <c r="HP83" s="620"/>
      <c r="HQ83" s="620"/>
      <c r="HR83" s="620"/>
      <c r="HS83" s="620"/>
      <c r="HT83" s="620"/>
      <c r="HU83" s="620"/>
      <c r="HV83" s="620"/>
      <c r="HW83" s="620"/>
      <c r="HX83" s="620"/>
      <c r="HY83" s="620"/>
      <c r="HZ83" s="620"/>
      <c r="IA83" s="620"/>
      <c r="IB83" s="620"/>
      <c r="IC83" s="620"/>
    </row>
    <row r="84" spans="1:261" ht="18" customHeight="1">
      <c r="A84" s="605" t="s">
        <v>204</v>
      </c>
      <c r="B84" s="620"/>
      <c r="C84" s="620" t="str">
        <f>IF(ISTEXT(IFERROR(VLOOKUP(A84,职业列表!I3:J15,1,FALSE),0)),"★","")</f>
        <v/>
      </c>
      <c r="D84" s="620"/>
      <c r="E84" s="620"/>
      <c r="F84" s="620"/>
      <c r="G84" s="620"/>
      <c r="H84" s="620"/>
      <c r="I84" s="620"/>
      <c r="J84" s="620"/>
      <c r="K84" s="620"/>
      <c r="L84" s="620"/>
      <c r="M84" s="620"/>
      <c r="N84" s="620"/>
      <c r="O84" s="620"/>
      <c r="P84" s="620"/>
      <c r="Q84" s="620"/>
      <c r="R84" s="620"/>
      <c r="S84" s="620"/>
      <c r="T84" s="620"/>
      <c r="U84" s="620"/>
      <c r="V84" s="620"/>
      <c r="W84" s="620"/>
      <c r="X84" s="620"/>
      <c r="Y84" s="620"/>
      <c r="Z84" s="620"/>
      <c r="AA84" s="620"/>
      <c r="AB84" s="620"/>
      <c r="AC84" s="620"/>
      <c r="AD84" s="620"/>
      <c r="AE84" s="620"/>
      <c r="AF84" s="620"/>
      <c r="AG84" s="620"/>
      <c r="AH84" s="620"/>
      <c r="AI84" s="620"/>
      <c r="AJ84" s="620"/>
      <c r="AK84" s="620"/>
      <c r="AL84" s="620"/>
      <c r="AM84" s="620"/>
      <c r="AN84" s="620"/>
      <c r="AO84" s="620"/>
      <c r="AP84" s="620"/>
      <c r="AQ84" s="620"/>
      <c r="AR84" s="620"/>
      <c r="AS84" s="620"/>
      <c r="AT84" s="620"/>
      <c r="AU84" s="620"/>
      <c r="AV84" s="620"/>
      <c r="AW84" s="620"/>
      <c r="AX84" s="620"/>
      <c r="AY84" s="620"/>
      <c r="AZ84" s="620"/>
      <c r="BA84" s="620"/>
      <c r="BB84" s="620"/>
      <c r="BC84" s="620"/>
      <c r="BD84" s="620"/>
      <c r="BE84" s="620"/>
      <c r="BF84" s="620"/>
      <c r="BG84" s="620"/>
      <c r="BH84" s="620"/>
      <c r="BI84" s="620"/>
      <c r="BJ84" s="620"/>
      <c r="BK84" s="620"/>
      <c r="BL84" s="620"/>
      <c r="BM84" s="620"/>
      <c r="BN84" s="620"/>
      <c r="BO84" s="620"/>
      <c r="BP84" s="620"/>
      <c r="BQ84" s="620"/>
      <c r="BR84" s="620"/>
      <c r="BS84" s="620"/>
      <c r="BT84" s="620"/>
      <c r="BU84" s="620"/>
      <c r="BV84" s="620"/>
      <c r="BW84" s="620"/>
      <c r="BX84" s="620"/>
      <c r="BY84" s="620"/>
      <c r="BZ84" s="620"/>
      <c r="CA84" s="620"/>
      <c r="CB84" s="620"/>
      <c r="CC84" s="620"/>
      <c r="CD84" s="620"/>
      <c r="CE84" s="620"/>
      <c r="CF84" s="620"/>
      <c r="CG84" s="620"/>
      <c r="CH84" s="620"/>
      <c r="CI84" s="620"/>
      <c r="CJ84" s="620"/>
      <c r="CK84" s="620"/>
      <c r="CL84" s="620"/>
      <c r="CM84" s="620"/>
      <c r="CN84" s="620"/>
      <c r="CO84" s="620"/>
      <c r="CP84" s="620"/>
      <c r="CQ84" s="620"/>
      <c r="CR84" s="620"/>
      <c r="CS84" s="620"/>
      <c r="CT84" s="620"/>
      <c r="CU84" s="620"/>
      <c r="CV84" s="620"/>
      <c r="CW84" s="620"/>
      <c r="CX84" s="620"/>
      <c r="CY84" s="620"/>
      <c r="CZ84" s="620"/>
      <c r="DA84" s="620"/>
      <c r="DB84" s="620"/>
      <c r="DC84" s="620"/>
      <c r="DD84" s="620"/>
      <c r="DE84" s="620"/>
      <c r="DF84" s="620"/>
      <c r="DG84" s="620"/>
      <c r="DH84" s="620"/>
      <c r="DI84" s="620"/>
      <c r="DJ84" s="620"/>
      <c r="DK84" s="620"/>
      <c r="DL84" s="620"/>
      <c r="DM84" s="620"/>
      <c r="DN84" s="620"/>
      <c r="DO84" s="620"/>
      <c r="DP84" s="620"/>
      <c r="DQ84" s="620"/>
      <c r="DR84" s="620"/>
      <c r="DS84" s="620"/>
      <c r="DT84" s="620"/>
      <c r="DU84" s="620"/>
      <c r="DV84" s="620"/>
      <c r="DW84" s="620"/>
      <c r="DX84" s="620"/>
      <c r="DY84" s="620"/>
      <c r="DZ84" s="620"/>
      <c r="EA84" s="620"/>
      <c r="EB84" s="620"/>
      <c r="EC84" s="620"/>
      <c r="ED84" s="620"/>
      <c r="EE84" s="620"/>
      <c r="EF84" s="620"/>
      <c r="EG84" s="620"/>
      <c r="EH84" s="620"/>
      <c r="EI84" s="620"/>
      <c r="EJ84" s="620"/>
      <c r="EK84" s="620"/>
      <c r="EL84" s="620"/>
      <c r="EM84" s="620"/>
      <c r="EN84" s="620"/>
      <c r="EO84" s="620"/>
      <c r="EP84" s="620"/>
      <c r="EQ84" s="620"/>
      <c r="ER84" s="620"/>
      <c r="ES84" s="620"/>
      <c r="ET84" s="620"/>
      <c r="EU84" s="620"/>
      <c r="EV84" s="620"/>
      <c r="EW84" s="620"/>
      <c r="EX84" s="620"/>
      <c r="EY84" s="620"/>
      <c r="EZ84" s="620"/>
      <c r="FA84" s="620"/>
      <c r="FB84" s="620"/>
      <c r="FC84" s="620"/>
      <c r="FD84" s="620"/>
      <c r="FE84" s="620"/>
      <c r="FF84" s="620"/>
      <c r="FG84" s="620"/>
      <c r="FH84" s="620"/>
      <c r="FI84" s="620"/>
      <c r="FJ84" s="620"/>
      <c r="FK84" s="620"/>
      <c r="FL84" s="620"/>
      <c r="FM84" s="620"/>
      <c r="FN84" s="620"/>
      <c r="FO84" s="620"/>
      <c r="FP84" s="620"/>
      <c r="FQ84" s="620"/>
      <c r="FR84" s="620"/>
      <c r="FS84" s="620"/>
      <c r="FT84" s="620"/>
      <c r="FU84" s="620"/>
      <c r="FV84" s="620"/>
      <c r="FW84" s="620"/>
      <c r="FX84" s="620"/>
      <c r="FY84" s="620"/>
      <c r="FZ84" s="620"/>
      <c r="GA84" s="620"/>
      <c r="GB84" s="620"/>
      <c r="GC84" s="620"/>
      <c r="GD84" s="620"/>
      <c r="GE84" s="620"/>
      <c r="GF84" s="620"/>
      <c r="GG84" s="620"/>
      <c r="GH84" s="620"/>
      <c r="GI84" s="620"/>
      <c r="GJ84" s="620"/>
      <c r="GK84" s="620"/>
      <c r="GL84" s="620"/>
      <c r="GM84" s="620"/>
      <c r="GN84" s="620"/>
      <c r="GO84" s="620"/>
      <c r="GP84" s="620"/>
      <c r="GQ84" s="620"/>
      <c r="GR84" s="620"/>
      <c r="GS84" s="620"/>
      <c r="GT84" s="620"/>
      <c r="GU84" s="620"/>
      <c r="GV84" s="620"/>
      <c r="GW84" s="620"/>
      <c r="GX84" s="620"/>
      <c r="GY84" s="620"/>
      <c r="GZ84" s="620"/>
      <c r="HA84" s="620"/>
      <c r="HB84" s="620"/>
      <c r="HC84" s="620"/>
      <c r="HD84" s="620"/>
      <c r="HE84" s="620"/>
      <c r="HF84" s="620"/>
      <c r="HG84" s="620"/>
      <c r="HH84" s="620"/>
      <c r="HI84" s="620"/>
      <c r="HJ84" s="620"/>
      <c r="HK84" s="620"/>
      <c r="HL84" s="620"/>
      <c r="HM84" s="620"/>
      <c r="HN84" s="620"/>
      <c r="HO84" s="620"/>
      <c r="HP84" s="620"/>
      <c r="HQ84" s="620"/>
      <c r="HR84" s="620"/>
      <c r="HS84" s="620"/>
      <c r="HT84" s="620"/>
      <c r="HU84" s="620"/>
      <c r="HV84" s="620"/>
      <c r="HW84" s="620"/>
      <c r="HX84" s="620"/>
      <c r="HY84" s="620"/>
      <c r="HZ84" s="620"/>
      <c r="IA84" s="620"/>
      <c r="IB84" s="620"/>
      <c r="IC84" s="620"/>
    </row>
    <row r="85" spans="1:261" ht="18" customHeight="1">
      <c r="A85" s="643" t="s">
        <v>177</v>
      </c>
      <c r="B85" s="620"/>
      <c r="C85" s="620" t="str">
        <f>IF(ISTEXT(IFERROR(VLOOKUP(A85,职业列表!I3:J15,1,FALSE),0)),"★","")</f>
        <v/>
      </c>
      <c r="D85" s="620"/>
      <c r="E85" s="620"/>
      <c r="F85" s="620"/>
      <c r="G85" s="620"/>
      <c r="H85" s="620"/>
      <c r="I85" s="620"/>
      <c r="J85" s="620"/>
      <c r="K85" s="620"/>
      <c r="L85" s="620"/>
      <c r="M85" s="620"/>
      <c r="N85" s="620"/>
      <c r="O85" s="620"/>
      <c r="P85" s="620"/>
      <c r="Q85" s="620"/>
      <c r="R85" s="620"/>
      <c r="S85" s="620"/>
      <c r="T85" s="620"/>
      <c r="U85" s="620"/>
      <c r="V85" s="620"/>
      <c r="W85" s="620"/>
      <c r="X85" s="620"/>
      <c r="Y85" s="620"/>
      <c r="Z85" s="620"/>
      <c r="AA85" s="620"/>
      <c r="AB85" s="620"/>
      <c r="AC85" s="620"/>
      <c r="AD85" s="620"/>
      <c r="AE85" s="620"/>
      <c r="AF85" s="620"/>
      <c r="AG85" s="620"/>
      <c r="AH85" s="620"/>
      <c r="AI85" s="620"/>
      <c r="AJ85" s="620"/>
      <c r="AK85" s="620"/>
      <c r="AL85" s="620"/>
      <c r="AM85" s="620"/>
      <c r="AN85" s="620"/>
      <c r="AO85" s="620"/>
      <c r="AP85" s="620"/>
      <c r="AQ85" s="620"/>
      <c r="AR85" s="620"/>
      <c r="AS85" s="620"/>
      <c r="AT85" s="620"/>
      <c r="AU85" s="620"/>
      <c r="AV85" s="620"/>
      <c r="AW85" s="620"/>
      <c r="AX85" s="620"/>
      <c r="AY85" s="620"/>
      <c r="AZ85" s="620"/>
      <c r="BA85" s="620"/>
      <c r="BB85" s="620"/>
      <c r="BC85" s="620"/>
      <c r="BD85" s="620"/>
      <c r="BE85" s="620"/>
      <c r="BF85" s="620"/>
      <c r="BG85" s="620"/>
      <c r="BH85" s="620"/>
      <c r="BI85" s="620"/>
      <c r="BJ85" s="620"/>
      <c r="BK85" s="620"/>
      <c r="BL85" s="620"/>
      <c r="BM85" s="620"/>
      <c r="BN85" s="620"/>
      <c r="BO85" s="620"/>
      <c r="BP85" s="620"/>
      <c r="BQ85" s="620"/>
      <c r="BR85" s="620"/>
      <c r="BS85" s="620"/>
      <c r="BT85" s="620"/>
      <c r="BU85" s="620"/>
      <c r="BV85" s="620"/>
      <c r="BW85" s="620"/>
      <c r="BX85" s="620"/>
      <c r="BY85" s="620"/>
      <c r="BZ85" s="620"/>
      <c r="CA85" s="620"/>
      <c r="CB85" s="620"/>
      <c r="CC85" s="620"/>
      <c r="CD85" s="620"/>
      <c r="CE85" s="620"/>
      <c r="CF85" s="620"/>
      <c r="CG85" s="620"/>
      <c r="CH85" s="620"/>
      <c r="CI85" s="620"/>
      <c r="CJ85" s="620"/>
      <c r="CK85" s="620"/>
      <c r="CL85" s="620"/>
      <c r="CM85" s="620"/>
      <c r="CN85" s="620"/>
      <c r="CO85" s="620"/>
      <c r="CP85" s="620"/>
      <c r="CQ85" s="620"/>
      <c r="CR85" s="620"/>
      <c r="CS85" s="620"/>
      <c r="CT85" s="620"/>
      <c r="CU85" s="620"/>
      <c r="CV85" s="620"/>
      <c r="CW85" s="620"/>
      <c r="CX85" s="620"/>
      <c r="CY85" s="620"/>
      <c r="CZ85" s="620"/>
      <c r="DA85" s="620"/>
      <c r="DB85" s="620"/>
      <c r="DC85" s="620"/>
      <c r="DD85" s="620"/>
      <c r="DE85" s="620"/>
      <c r="DF85" s="620"/>
      <c r="DG85" s="620"/>
      <c r="DH85" s="620"/>
      <c r="DI85" s="620"/>
      <c r="DJ85" s="620"/>
      <c r="DK85" s="620"/>
      <c r="DL85" s="620"/>
      <c r="DM85" s="620"/>
      <c r="DN85" s="620"/>
      <c r="DO85" s="620"/>
      <c r="DP85" s="620"/>
      <c r="DQ85" s="620"/>
      <c r="DR85" s="620"/>
      <c r="DS85" s="620"/>
      <c r="DT85" s="620"/>
      <c r="DU85" s="620"/>
      <c r="DV85" s="620"/>
      <c r="DW85" s="620"/>
      <c r="DX85" s="620"/>
      <c r="DY85" s="620"/>
      <c r="DZ85" s="620"/>
      <c r="EA85" s="620"/>
      <c r="EB85" s="620"/>
      <c r="EC85" s="620"/>
      <c r="ED85" s="620"/>
      <c r="EE85" s="620"/>
      <c r="EF85" s="620"/>
      <c r="EG85" s="620"/>
      <c r="EH85" s="620"/>
      <c r="EI85" s="620"/>
      <c r="EJ85" s="620"/>
      <c r="EK85" s="620"/>
      <c r="EL85" s="620"/>
      <c r="EM85" s="620"/>
      <c r="EN85" s="620"/>
      <c r="EO85" s="620"/>
      <c r="EP85" s="620"/>
      <c r="EQ85" s="620"/>
      <c r="ER85" s="620"/>
      <c r="ES85" s="620"/>
      <c r="ET85" s="620"/>
      <c r="EU85" s="620"/>
      <c r="EV85" s="620"/>
      <c r="EW85" s="620"/>
      <c r="EX85" s="620"/>
      <c r="EY85" s="620"/>
      <c r="EZ85" s="620"/>
      <c r="FA85" s="620"/>
      <c r="FB85" s="620"/>
      <c r="FC85" s="620"/>
      <c r="FD85" s="620"/>
      <c r="FE85" s="620"/>
      <c r="FF85" s="620"/>
      <c r="FG85" s="620"/>
      <c r="FH85" s="620"/>
      <c r="FI85" s="620"/>
      <c r="FJ85" s="577" t="s">
        <v>149</v>
      </c>
      <c r="FK85" s="577" t="s">
        <v>149</v>
      </c>
      <c r="FL85" s="577" t="s">
        <v>149</v>
      </c>
      <c r="FM85" s="577" t="s">
        <v>149</v>
      </c>
      <c r="FN85" s="576"/>
      <c r="FO85" s="577" t="s">
        <v>149</v>
      </c>
      <c r="FP85" s="577" t="s">
        <v>149</v>
      </c>
      <c r="FQ85" s="577" t="s">
        <v>149</v>
      </c>
      <c r="FR85" s="620"/>
      <c r="FS85" s="620"/>
      <c r="FT85" s="620"/>
      <c r="FU85" s="620"/>
      <c r="FV85" s="620"/>
      <c r="FW85" s="620"/>
      <c r="FX85" s="620"/>
      <c r="FY85" s="620"/>
      <c r="FZ85" s="620"/>
      <c r="GA85" s="620"/>
      <c r="GB85" s="620"/>
      <c r="GC85" s="620"/>
      <c r="GD85" s="620"/>
      <c r="GE85" s="620"/>
      <c r="GF85" s="620"/>
      <c r="GG85" s="620"/>
      <c r="GH85" s="620"/>
      <c r="GI85" s="620"/>
      <c r="GJ85" s="620"/>
      <c r="GK85" s="620"/>
      <c r="GL85" s="620"/>
      <c r="GM85" s="620"/>
      <c r="GN85" s="620"/>
      <c r="GO85" s="620"/>
      <c r="GP85" s="620"/>
      <c r="GQ85" s="620"/>
      <c r="GR85" s="620"/>
      <c r="GS85" s="620"/>
      <c r="GT85" s="620"/>
      <c r="GU85" s="620"/>
      <c r="GV85" s="620"/>
      <c r="GW85" s="620"/>
      <c r="GX85" s="620"/>
      <c r="GY85" s="620"/>
      <c r="GZ85" s="620"/>
      <c r="HA85" s="620"/>
      <c r="HB85" s="620"/>
      <c r="HC85" s="620"/>
      <c r="HD85" s="620"/>
      <c r="HE85" s="620"/>
      <c r="HF85" s="620"/>
      <c r="HG85" s="620"/>
      <c r="HH85" s="620"/>
      <c r="HI85" s="620"/>
      <c r="HJ85" s="620"/>
      <c r="HK85" s="620"/>
      <c r="HL85" s="620"/>
      <c r="HM85" s="620"/>
      <c r="HN85" s="620"/>
      <c r="HO85" s="620"/>
      <c r="HP85" s="620"/>
      <c r="HQ85" s="620"/>
      <c r="HR85" s="620"/>
      <c r="HS85" s="620"/>
      <c r="HT85" s="620"/>
      <c r="HU85" s="620"/>
      <c r="HV85" s="620"/>
      <c r="HW85" s="620"/>
      <c r="HX85" s="620"/>
      <c r="HY85" s="620"/>
      <c r="HZ85" s="620"/>
      <c r="IA85" s="620"/>
      <c r="IB85" s="620"/>
      <c r="IC85" s="620"/>
    </row>
    <row r="86" spans="1:261" ht="18" customHeight="1">
      <c r="A86" s="449" t="s">
        <v>200</v>
      </c>
    </row>
    <row r="87" spans="1:261" ht="18" customHeight="1">
      <c r="A87" s="449" t="s">
        <v>202</v>
      </c>
    </row>
  </sheetData>
  <phoneticPr fontId="282" type="noConversion"/>
  <pageMargins left="0.75" right="0.75" top="1" bottom="1" header="0.51180555555555596" footer="0.5118055555555559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BD154"/>
  <sheetViews>
    <sheetView showGridLines="0" showRowColHeaders="0" topLeftCell="A7" zoomScale="85" zoomScaleNormal="85" workbookViewId="0">
      <selection activeCell="B25" sqref="B25:G38"/>
    </sheetView>
  </sheetViews>
  <sheetFormatPr defaultColWidth="8.453125" defaultRowHeight="16.5"/>
  <cols>
    <col min="1" max="1" width="16.81640625" style="27" customWidth="1"/>
    <col min="2" max="12" width="8.453125" style="27" customWidth="1"/>
    <col min="13" max="13" width="9" style="27" customWidth="1"/>
    <col min="14" max="14" width="8.453125" style="27" customWidth="1"/>
    <col min="15" max="16384" width="8.453125" style="27"/>
  </cols>
  <sheetData>
    <row r="2" spans="1:56" s="393" customFormat="1" ht="17.5" customHeight="1">
      <c r="A2" s="3349" t="s">
        <v>6699</v>
      </c>
      <c r="B2" s="3416" t="s">
        <v>6700</v>
      </c>
      <c r="C2" s="3417"/>
      <c r="D2" s="3417"/>
      <c r="E2" s="3417"/>
      <c r="F2" s="3417"/>
      <c r="G2" s="3417"/>
      <c r="H2" s="3417"/>
      <c r="I2" s="3417"/>
      <c r="J2" s="3417"/>
      <c r="K2" s="3417"/>
      <c r="L2" s="3418"/>
      <c r="M2" s="3351" t="s">
        <v>6701</v>
      </c>
      <c r="N2" s="3419" t="s">
        <v>6702</v>
      </c>
      <c r="O2" s="3420"/>
      <c r="P2" s="3420"/>
      <c r="Q2" s="3420"/>
      <c r="R2" s="3420"/>
      <c r="S2" s="3420"/>
      <c r="T2" s="3420"/>
      <c r="U2" s="3420"/>
      <c r="V2" s="3420"/>
      <c r="W2" s="3420"/>
      <c r="X2" s="3420"/>
      <c r="Y2" s="3420"/>
      <c r="Z2" s="3421"/>
    </row>
    <row r="3" spans="1:56">
      <c r="A3" s="3350"/>
      <c r="B3" s="3367" t="s">
        <v>122</v>
      </c>
      <c r="C3" s="3368"/>
      <c r="D3" s="3368"/>
      <c r="E3" s="3368" t="s">
        <v>6703</v>
      </c>
      <c r="F3" s="3368"/>
      <c r="G3" s="3368" t="s">
        <v>2453</v>
      </c>
      <c r="H3" s="3368"/>
      <c r="I3" s="3422" t="s">
        <v>6704</v>
      </c>
      <c r="J3" s="3422"/>
      <c r="K3" s="3422"/>
      <c r="L3" s="3423"/>
      <c r="M3" s="3351"/>
      <c r="N3" s="525" t="s">
        <v>227</v>
      </c>
      <c r="O3" s="3424" t="s">
        <v>6705</v>
      </c>
      <c r="P3" s="3424"/>
      <c r="Q3" s="3424"/>
      <c r="R3" s="3424"/>
      <c r="S3" s="3424"/>
      <c r="T3" s="3424"/>
      <c r="U3" s="3424"/>
      <c r="V3" s="3424"/>
      <c r="W3" s="3424"/>
      <c r="X3" s="3424"/>
      <c r="Y3" s="3424"/>
      <c r="Z3" s="3425"/>
    </row>
    <row r="4" spans="1:56">
      <c r="A4" s="3350"/>
      <c r="B4" s="3353" t="s">
        <v>136</v>
      </c>
      <c r="C4" s="3354"/>
      <c r="D4" s="3354"/>
      <c r="E4" s="3357" t="str">
        <f>IF($B4=附表!B214,"【←下拉框】",VLOOKUP($B4,附表!B95:K213,2,FALSE))</f>
        <v>20%</v>
      </c>
      <c r="F4" s="3357"/>
      <c r="G4" s="3358" t="str">
        <f>IF($B4=附表!B214,"",VLOOKUP($B4,附表!B95:K213,3,FALSE))</f>
        <v>——</v>
      </c>
      <c r="H4" s="3358"/>
      <c r="I4" s="3359" t="str">
        <f>IF($B4=附表!B214,"",VLOOKUP($B4,附表!B95:K213,4,FALSE))</f>
        <v>· 当尝试进行躲藏，这项技能的对抗技能为侦查或者聆听技能，以此决定这项技能检定的难度等级
· 这项技能的难度等级同样也受到环境的影响</v>
      </c>
      <c r="J4" s="3359"/>
      <c r="K4" s="3360"/>
      <c r="L4" s="3361"/>
      <c r="M4" s="3351"/>
      <c r="N4" s="526" t="s">
        <v>6706</v>
      </c>
      <c r="O4" s="3414" t="s">
        <v>6707</v>
      </c>
      <c r="P4" s="3414"/>
      <c r="Q4" s="3414"/>
      <c r="R4" s="3414"/>
      <c r="S4" s="3414"/>
      <c r="T4" s="3414"/>
      <c r="U4" s="3414"/>
      <c r="V4" s="3414"/>
      <c r="W4" s="3414"/>
      <c r="X4" s="3414"/>
      <c r="Y4" s="3414"/>
      <c r="Z4" s="3415"/>
      <c r="AP4" s="391"/>
      <c r="AQ4" s="391"/>
      <c r="AR4" s="391"/>
      <c r="AS4" s="391"/>
      <c r="AT4" s="391"/>
      <c r="AU4" s="391"/>
      <c r="AV4" s="391"/>
      <c r="AW4" s="391"/>
      <c r="AX4" s="391"/>
      <c r="AY4" s="391"/>
      <c r="AZ4" s="391"/>
      <c r="BA4" s="391"/>
      <c r="BB4" s="391"/>
      <c r="BC4" s="391"/>
      <c r="BD4" s="391"/>
    </row>
    <row r="5" spans="1:56">
      <c r="A5" s="3350"/>
      <c r="B5" s="3355"/>
      <c r="C5" s="3356"/>
      <c r="D5" s="3356"/>
      <c r="E5" s="3357"/>
      <c r="F5" s="3357"/>
      <c r="G5" s="3358"/>
      <c r="H5" s="3358"/>
      <c r="I5" s="3359"/>
      <c r="J5" s="3359"/>
      <c r="K5" s="3362"/>
      <c r="L5" s="3363"/>
      <c r="M5" s="3351"/>
      <c r="N5" s="527"/>
      <c r="O5" s="528"/>
      <c r="P5" s="528"/>
      <c r="Q5" s="528"/>
      <c r="R5" s="528"/>
      <c r="S5" s="528"/>
      <c r="T5" s="528"/>
      <c r="U5" s="528"/>
      <c r="V5" s="528"/>
      <c r="W5" s="528"/>
      <c r="X5" s="528"/>
      <c r="Y5" s="528"/>
      <c r="Z5" s="529"/>
      <c r="AP5" s="391"/>
      <c r="AQ5" s="391"/>
      <c r="AR5" s="391"/>
      <c r="AS5" s="391"/>
      <c r="AT5" s="391"/>
      <c r="AU5" s="391"/>
      <c r="AV5" s="391"/>
      <c r="AW5" s="391"/>
      <c r="AX5" s="391"/>
      <c r="AY5" s="391"/>
      <c r="AZ5" s="391"/>
      <c r="BA5" s="391"/>
      <c r="BB5" s="391"/>
      <c r="BC5" s="391"/>
      <c r="BD5" s="391"/>
    </row>
    <row r="6" spans="1:56">
      <c r="A6" s="3350"/>
      <c r="B6" s="3355"/>
      <c r="C6" s="3356"/>
      <c r="D6" s="3356"/>
      <c r="E6" s="3357"/>
      <c r="F6" s="3357"/>
      <c r="G6" s="3358"/>
      <c r="H6" s="3358"/>
      <c r="I6" s="3359"/>
      <c r="J6" s="3359"/>
      <c r="K6" s="3362"/>
      <c r="L6" s="3363"/>
      <c r="M6" s="3351"/>
      <c r="N6" s="530" t="s">
        <v>6708</v>
      </c>
      <c r="O6" s="3370" t="s">
        <v>6709</v>
      </c>
      <c r="P6" s="3370"/>
      <c r="Q6" s="3370"/>
      <c r="R6" s="3370"/>
      <c r="S6" s="3370"/>
      <c r="T6" s="3370"/>
      <c r="U6" s="3370"/>
      <c r="V6" s="3370"/>
      <c r="W6" s="3370"/>
      <c r="X6" s="3370"/>
      <c r="Y6" s="3370"/>
      <c r="Z6" s="3371"/>
      <c r="AP6" s="391"/>
      <c r="AQ6" s="391"/>
      <c r="AR6" s="391"/>
      <c r="AS6" s="391"/>
      <c r="AT6" s="391"/>
      <c r="AU6" s="391"/>
      <c r="AV6" s="391"/>
      <c r="AW6" s="391"/>
      <c r="AX6" s="391"/>
      <c r="AY6" s="391"/>
      <c r="AZ6" s="391"/>
      <c r="BA6" s="391"/>
      <c r="BB6" s="391"/>
      <c r="BC6" s="391"/>
      <c r="BD6" s="391"/>
    </row>
    <row r="7" spans="1:56">
      <c r="A7" s="3350"/>
      <c r="B7" s="3355"/>
      <c r="C7" s="3356"/>
      <c r="D7" s="3356"/>
      <c r="E7" s="3357"/>
      <c r="F7" s="3357"/>
      <c r="G7" s="3358"/>
      <c r="H7" s="3358"/>
      <c r="I7" s="3359"/>
      <c r="J7" s="3359"/>
      <c r="K7" s="3362"/>
      <c r="L7" s="3363"/>
      <c r="M7" s="3351"/>
      <c r="N7" s="533"/>
      <c r="O7" s="531"/>
      <c r="P7" s="531"/>
      <c r="Q7" s="531"/>
      <c r="R7" s="531"/>
      <c r="S7" s="531"/>
      <c r="T7" s="531"/>
      <c r="U7" s="531"/>
      <c r="V7" s="531"/>
      <c r="W7" s="531"/>
      <c r="X7" s="531"/>
      <c r="Y7" s="531"/>
      <c r="Z7" s="532"/>
      <c r="AP7" s="391"/>
      <c r="AQ7" s="391"/>
      <c r="AR7" s="391"/>
      <c r="AS7" s="391"/>
      <c r="AT7" s="391"/>
      <c r="AU7" s="391"/>
      <c r="AV7" s="391"/>
      <c r="AW7" s="391"/>
      <c r="AX7" s="391"/>
      <c r="AY7" s="391"/>
      <c r="AZ7" s="391"/>
      <c r="BA7" s="391"/>
      <c r="BB7" s="391"/>
      <c r="BC7" s="391"/>
      <c r="BD7" s="391"/>
    </row>
    <row r="8" spans="1:56">
      <c r="A8" s="3350"/>
      <c r="B8" s="3355"/>
      <c r="C8" s="3356"/>
      <c r="D8" s="3356"/>
      <c r="E8" s="3357"/>
      <c r="F8" s="3357"/>
      <c r="G8" s="3358"/>
      <c r="H8" s="3358"/>
      <c r="I8" s="3359"/>
      <c r="J8" s="3359"/>
      <c r="K8" s="3362"/>
      <c r="L8" s="3363"/>
      <c r="M8" s="3351"/>
      <c r="N8" s="530" t="s">
        <v>6176</v>
      </c>
      <c r="O8" s="3370" t="s">
        <v>6710</v>
      </c>
      <c r="P8" s="3370"/>
      <c r="Q8" s="3370"/>
      <c r="R8" s="3370"/>
      <c r="S8" s="3370"/>
      <c r="T8" s="3370"/>
      <c r="U8" s="3370"/>
      <c r="V8" s="3370"/>
      <c r="W8" s="3370"/>
      <c r="X8" s="3370"/>
      <c r="Y8" s="3370"/>
      <c r="Z8" s="3371"/>
      <c r="AP8" s="391"/>
      <c r="AQ8" s="391"/>
      <c r="AR8" s="391"/>
      <c r="AS8" s="391"/>
      <c r="AT8" s="391"/>
      <c r="AU8" s="391"/>
      <c r="AV8" s="391"/>
      <c r="AW8" s="391"/>
      <c r="AX8" s="391"/>
      <c r="AY8" s="391"/>
      <c r="AZ8" s="391"/>
      <c r="BA8" s="391"/>
      <c r="BB8" s="391"/>
      <c r="BC8" s="391"/>
      <c r="BD8" s="391"/>
    </row>
    <row r="9" spans="1:56">
      <c r="A9" s="3350"/>
      <c r="B9" s="3355"/>
      <c r="C9" s="3356"/>
      <c r="D9" s="3356"/>
      <c r="E9" s="3357"/>
      <c r="F9" s="3357"/>
      <c r="G9" s="3358"/>
      <c r="H9" s="3358"/>
      <c r="I9" s="3359"/>
      <c r="J9" s="3359"/>
      <c r="K9" s="3362"/>
      <c r="L9" s="3363"/>
      <c r="M9" s="3351"/>
      <c r="N9" s="530"/>
      <c r="O9" s="534"/>
      <c r="P9" s="534"/>
      <c r="Q9" s="534"/>
      <c r="R9" s="534"/>
      <c r="S9" s="534"/>
      <c r="T9" s="534"/>
      <c r="U9" s="534"/>
      <c r="V9" s="534"/>
      <c r="W9" s="534"/>
      <c r="X9" s="534"/>
      <c r="Y9" s="534"/>
      <c r="Z9" s="535"/>
      <c r="AP9" s="391"/>
      <c r="AQ9" s="391"/>
      <c r="AR9" s="391"/>
      <c r="AS9" s="391"/>
      <c r="AT9" s="391"/>
      <c r="AU9" s="391"/>
      <c r="AV9" s="391"/>
      <c r="AW9" s="391"/>
      <c r="AX9" s="391"/>
      <c r="AY9" s="391"/>
      <c r="AZ9" s="391"/>
      <c r="BA9" s="391"/>
      <c r="BB9" s="391"/>
      <c r="BC9" s="391"/>
      <c r="BD9" s="391"/>
    </row>
    <row r="10" spans="1:56">
      <c r="A10" s="3350"/>
      <c r="B10" s="3367" t="s">
        <v>2458</v>
      </c>
      <c r="C10" s="3368"/>
      <c r="D10" s="3403"/>
      <c r="E10" s="3368"/>
      <c r="F10" s="3368"/>
      <c r="G10" s="3368"/>
      <c r="H10" s="3368"/>
      <c r="I10" s="3368" t="s">
        <v>2456</v>
      </c>
      <c r="J10" s="3368"/>
      <c r="K10" s="3404" t="s">
        <v>2457</v>
      </c>
      <c r="L10" s="3369"/>
      <c r="M10" s="3351"/>
      <c r="N10" s="527" t="s">
        <v>6711</v>
      </c>
      <c r="O10" s="3370" t="s">
        <v>6712</v>
      </c>
      <c r="P10" s="3370"/>
      <c r="Q10" s="3370"/>
      <c r="R10" s="3370"/>
      <c r="S10" s="3370"/>
      <c r="T10" s="3370"/>
      <c r="U10" s="3370"/>
      <c r="V10" s="3370"/>
      <c r="W10" s="3370"/>
      <c r="X10" s="3370"/>
      <c r="Y10" s="3370"/>
      <c r="Z10" s="3371"/>
      <c r="AP10" s="391"/>
      <c r="AQ10" s="391"/>
      <c r="AR10" s="391"/>
      <c r="AS10" s="391"/>
      <c r="AT10" s="391"/>
      <c r="AU10" s="391"/>
      <c r="AV10" s="391"/>
      <c r="AW10" s="391"/>
      <c r="AX10" s="391"/>
      <c r="AY10" s="391"/>
      <c r="AZ10" s="391"/>
      <c r="BA10" s="391"/>
      <c r="BB10" s="391"/>
      <c r="BC10" s="391"/>
      <c r="BD10" s="391"/>
    </row>
    <row r="11" spans="1:56">
      <c r="A11" s="3350"/>
      <c r="B11" s="3364" t="str">
        <f>IF($B4=附表!B214,"",VLOOKUP($B4,附表!B95:K213,8,FALSE))</f>
        <v>· 花费更多的时间来调查这个区域
· 脱掉你的鞋子
· 分散对方的注意力
· 一直潜伏着直到危机过去</v>
      </c>
      <c r="C11" s="3365"/>
      <c r="D11" s="3366"/>
      <c r="E11" s="3365"/>
      <c r="F11" s="3365"/>
      <c r="G11" s="3365"/>
      <c r="H11" s="3365"/>
      <c r="I11" s="3405" t="str">
        <f>IF($B4=附表!B214,"",VLOOKUP($B4,附表!B95:K213,6,FALSE))</f>
        <v>在房子里安静地移动并避免被普通人发现（那些侦查、聆听技能低于50%的人）。</v>
      </c>
      <c r="J11" s="3405"/>
      <c r="K11" s="3406" t="str">
        <f>IF($B4=附表!B214,"",VLOOKUP($B4,附表!B95:K213,7,FALSE))</f>
        <v>· 悄然无声地从一条忠于职守的守卫狗身边经过
· 仅有几秒钟时间来让你寻找隐藏地点</v>
      </c>
      <c r="L11" s="3407"/>
      <c r="M11" s="3351"/>
      <c r="N11" s="533"/>
      <c r="O11" s="531"/>
      <c r="P11" s="531"/>
      <c r="Q11" s="531"/>
      <c r="R11" s="531"/>
      <c r="S11" s="531"/>
      <c r="T11" s="531"/>
      <c r="U11" s="531"/>
      <c r="V11" s="531"/>
      <c r="W11" s="531"/>
      <c r="X11" s="531"/>
      <c r="Y11" s="531"/>
      <c r="Z11" s="532"/>
      <c r="AP11" s="391"/>
      <c r="AQ11" s="391"/>
      <c r="AR11" s="391"/>
      <c r="AS11" s="391"/>
      <c r="AT11" s="391"/>
      <c r="AU11" s="391"/>
      <c r="AV11" s="391"/>
      <c r="AW11" s="391"/>
      <c r="AX11" s="391"/>
      <c r="AY11" s="391"/>
      <c r="AZ11" s="391"/>
      <c r="BA11" s="391"/>
      <c r="BB11" s="391"/>
      <c r="BC11" s="391"/>
      <c r="BD11" s="391"/>
    </row>
    <row r="12" spans="1:56" ht="15.75" customHeight="1">
      <c r="A12" s="3350"/>
      <c r="B12" s="3364"/>
      <c r="C12" s="3365"/>
      <c r="D12" s="3366"/>
      <c r="E12" s="3365"/>
      <c r="F12" s="3365"/>
      <c r="G12" s="3365"/>
      <c r="H12" s="3365"/>
      <c r="I12" s="3405"/>
      <c r="J12" s="3405"/>
      <c r="K12" s="3406"/>
      <c r="L12" s="3407"/>
      <c r="M12" s="3351"/>
      <c r="N12" s="530" t="s">
        <v>6713</v>
      </c>
      <c r="O12" s="3370" t="s">
        <v>6714</v>
      </c>
      <c r="P12" s="3370"/>
      <c r="Q12" s="3370"/>
      <c r="R12" s="3370"/>
      <c r="S12" s="3370"/>
      <c r="T12" s="3370"/>
      <c r="U12" s="3370"/>
      <c r="V12" s="3370"/>
      <c r="W12" s="3370"/>
      <c r="X12" s="3370"/>
      <c r="Y12" s="3370"/>
      <c r="Z12" s="3371"/>
      <c r="AP12" s="391"/>
      <c r="AQ12" s="391"/>
      <c r="AR12" s="391"/>
      <c r="AS12" s="391"/>
      <c r="AT12" s="391"/>
      <c r="AU12" s="391"/>
      <c r="AV12" s="391"/>
      <c r="AW12" s="391"/>
      <c r="AX12" s="391"/>
      <c r="AY12" s="391"/>
      <c r="AZ12" s="391"/>
      <c r="BA12" s="391"/>
      <c r="BB12" s="391"/>
      <c r="BC12" s="391"/>
      <c r="BD12" s="391"/>
    </row>
    <row r="13" spans="1:56">
      <c r="A13" s="3350"/>
      <c r="B13" s="3364"/>
      <c r="C13" s="3365"/>
      <c r="D13" s="3366"/>
      <c r="E13" s="3365"/>
      <c r="F13" s="3365"/>
      <c r="G13" s="3365"/>
      <c r="H13" s="3365"/>
      <c r="I13" s="3405"/>
      <c r="J13" s="3405"/>
      <c r="K13" s="3406"/>
      <c r="L13" s="3407"/>
      <c r="M13" s="3351"/>
      <c r="N13" s="536"/>
      <c r="Z13" s="537"/>
      <c r="AP13" s="391"/>
      <c r="AQ13" s="391"/>
      <c r="AR13" s="391"/>
      <c r="AS13" s="391"/>
      <c r="AT13" s="391"/>
      <c r="AU13" s="391"/>
      <c r="AV13" s="391"/>
      <c r="AW13" s="391"/>
      <c r="AX13" s="391"/>
      <c r="AY13" s="391"/>
      <c r="AZ13" s="391"/>
      <c r="BA13" s="391"/>
      <c r="BB13" s="391"/>
      <c r="BC13" s="391"/>
      <c r="BD13" s="391"/>
    </row>
    <row r="14" spans="1:56">
      <c r="A14" s="3350"/>
      <c r="B14" s="3364"/>
      <c r="C14" s="3365"/>
      <c r="D14" s="3366"/>
      <c r="E14" s="3365"/>
      <c r="F14" s="3365"/>
      <c r="G14" s="3365"/>
      <c r="H14" s="3365"/>
      <c r="I14" s="3405"/>
      <c r="J14" s="3405"/>
      <c r="K14" s="3406"/>
      <c r="L14" s="3407"/>
      <c r="M14" s="3351"/>
      <c r="N14" s="3352" t="s">
        <v>6715</v>
      </c>
      <c r="O14" s="3370" t="s">
        <v>6716</v>
      </c>
      <c r="P14" s="3370"/>
      <c r="Q14" s="3370"/>
      <c r="R14" s="3370"/>
      <c r="S14" s="3370"/>
      <c r="T14" s="3370"/>
      <c r="U14" s="3370"/>
      <c r="V14" s="3370"/>
      <c r="W14" s="3370"/>
      <c r="X14" s="3370"/>
      <c r="Y14" s="3370"/>
      <c r="Z14" s="3371"/>
      <c r="AP14" s="391"/>
      <c r="AQ14" s="391"/>
      <c r="AR14" s="391"/>
      <c r="AS14" s="391"/>
      <c r="AT14" s="391"/>
      <c r="AU14" s="391"/>
      <c r="AV14" s="391"/>
      <c r="AW14" s="391"/>
      <c r="AX14" s="391"/>
      <c r="AY14" s="391"/>
      <c r="AZ14" s="391"/>
      <c r="BA14" s="391"/>
      <c r="BB14" s="391"/>
      <c r="BC14" s="391"/>
      <c r="BD14" s="391"/>
    </row>
    <row r="15" spans="1:56">
      <c r="A15" s="3350"/>
      <c r="B15" s="3364"/>
      <c r="C15" s="3365"/>
      <c r="D15" s="3366"/>
      <c r="E15" s="3365"/>
      <c r="F15" s="3365"/>
      <c r="G15" s="3365"/>
      <c r="H15" s="3365"/>
      <c r="I15" s="3405"/>
      <c r="J15" s="3405"/>
      <c r="K15" s="3406"/>
      <c r="L15" s="3407"/>
      <c r="M15" s="3351"/>
      <c r="N15" s="3352"/>
      <c r="O15" s="3370"/>
      <c r="P15" s="3370"/>
      <c r="Q15" s="3370"/>
      <c r="R15" s="3370"/>
      <c r="S15" s="3370"/>
      <c r="T15" s="3370"/>
      <c r="U15" s="3370"/>
      <c r="V15" s="3370"/>
      <c r="W15" s="3370"/>
      <c r="X15" s="3370"/>
      <c r="Y15" s="3370"/>
      <c r="Z15" s="3371"/>
      <c r="AP15" s="391"/>
      <c r="AQ15" s="391"/>
      <c r="AR15" s="391"/>
      <c r="AS15" s="391"/>
      <c r="AT15" s="391"/>
      <c r="AU15" s="391"/>
      <c r="AV15" s="391"/>
      <c r="AW15" s="391"/>
      <c r="AX15" s="391"/>
      <c r="AY15" s="391"/>
      <c r="AZ15" s="391"/>
      <c r="BA15" s="391"/>
      <c r="BB15" s="391"/>
      <c r="BC15" s="391"/>
      <c r="BD15" s="391"/>
    </row>
    <row r="16" spans="1:56">
      <c r="A16" s="3350"/>
      <c r="B16" s="3364"/>
      <c r="C16" s="3365"/>
      <c r="D16" s="3366"/>
      <c r="E16" s="3365"/>
      <c r="F16" s="3365"/>
      <c r="G16" s="3365"/>
      <c r="H16" s="3365"/>
      <c r="I16" s="3405"/>
      <c r="J16" s="3405"/>
      <c r="K16" s="3406"/>
      <c r="L16" s="3407"/>
      <c r="M16" s="3351"/>
      <c r="N16" s="536"/>
      <c r="Z16" s="537"/>
      <c r="AP16" s="391"/>
      <c r="AQ16" s="391"/>
      <c r="AR16" s="391"/>
      <c r="AS16" s="391"/>
      <c r="AT16" s="391"/>
      <c r="AU16" s="391"/>
      <c r="AV16" s="391"/>
      <c r="AW16" s="391"/>
      <c r="AX16" s="391"/>
      <c r="AY16" s="391"/>
      <c r="AZ16" s="391"/>
      <c r="BA16" s="391"/>
      <c r="BB16" s="391"/>
      <c r="BC16" s="391"/>
      <c r="BD16" s="391"/>
    </row>
    <row r="17" spans="1:56">
      <c r="A17" s="3350"/>
      <c r="B17" s="3364"/>
      <c r="C17" s="3365"/>
      <c r="D17" s="3366"/>
      <c r="E17" s="3365"/>
      <c r="F17" s="3365"/>
      <c r="G17" s="3365"/>
      <c r="H17" s="3365"/>
      <c r="I17" s="3405"/>
      <c r="J17" s="3405"/>
      <c r="K17" s="3406"/>
      <c r="L17" s="3407"/>
      <c r="M17" s="3351"/>
      <c r="N17" s="3352" t="s">
        <v>6717</v>
      </c>
      <c r="O17" s="3370" t="s">
        <v>6718</v>
      </c>
      <c r="P17" s="3370"/>
      <c r="Q17" s="3370"/>
      <c r="R17" s="3370"/>
      <c r="S17" s="3370"/>
      <c r="T17" s="3370"/>
      <c r="U17" s="3370"/>
      <c r="V17" s="3370"/>
      <c r="W17" s="3370"/>
      <c r="X17" s="3370"/>
      <c r="Y17" s="3370"/>
      <c r="Z17" s="3371"/>
      <c r="AP17" s="391"/>
      <c r="AQ17" s="391"/>
      <c r="AR17" s="391"/>
      <c r="AS17" s="391"/>
      <c r="AT17" s="391"/>
      <c r="AU17" s="391"/>
      <c r="AV17" s="391"/>
      <c r="AW17" s="391"/>
      <c r="AX17" s="391"/>
      <c r="AY17" s="391"/>
      <c r="AZ17" s="391"/>
      <c r="BA17" s="391"/>
      <c r="BB17" s="391"/>
      <c r="BC17" s="391"/>
      <c r="BD17" s="391"/>
    </row>
    <row r="18" spans="1:56">
      <c r="A18" s="3350"/>
      <c r="B18" s="3364"/>
      <c r="C18" s="3365"/>
      <c r="D18" s="3366"/>
      <c r="E18" s="3365"/>
      <c r="F18" s="3365"/>
      <c r="G18" s="3365"/>
      <c r="H18" s="3365"/>
      <c r="I18" s="3405"/>
      <c r="J18" s="3405"/>
      <c r="K18" s="3406"/>
      <c r="L18" s="3407"/>
      <c r="M18" s="3351"/>
      <c r="N18" s="3352"/>
      <c r="O18" s="3370"/>
      <c r="P18" s="3370"/>
      <c r="Q18" s="3370"/>
      <c r="R18" s="3370"/>
      <c r="S18" s="3370"/>
      <c r="T18" s="3370"/>
      <c r="U18" s="3370"/>
      <c r="V18" s="3370"/>
      <c r="W18" s="3370"/>
      <c r="X18" s="3370"/>
      <c r="Y18" s="3370"/>
      <c r="Z18" s="3371"/>
      <c r="AP18" s="391"/>
      <c r="AQ18" s="391"/>
      <c r="AR18" s="391"/>
      <c r="AS18" s="391"/>
      <c r="AT18" s="391"/>
      <c r="AU18" s="391"/>
      <c r="AV18" s="391"/>
      <c r="AW18" s="391"/>
      <c r="AX18" s="391"/>
      <c r="AY18" s="391"/>
      <c r="AZ18" s="391"/>
      <c r="BA18" s="391"/>
      <c r="BB18" s="391"/>
      <c r="BC18" s="391"/>
      <c r="BD18" s="391"/>
    </row>
    <row r="19" spans="1:56">
      <c r="A19" s="3350"/>
      <c r="B19" s="3364"/>
      <c r="C19" s="3365"/>
      <c r="D19" s="3366"/>
      <c r="E19" s="3365"/>
      <c r="F19" s="3365"/>
      <c r="G19" s="3365"/>
      <c r="H19" s="3365"/>
      <c r="I19" s="3405"/>
      <c r="J19" s="3405"/>
      <c r="K19" s="3406"/>
      <c r="L19" s="3407"/>
      <c r="M19" s="3351"/>
      <c r="N19" s="530"/>
      <c r="O19" s="534"/>
      <c r="P19" s="534"/>
      <c r="Q19" s="534"/>
      <c r="R19" s="534"/>
      <c r="S19" s="534"/>
      <c r="T19" s="534"/>
      <c r="U19" s="534"/>
      <c r="V19" s="534"/>
      <c r="W19" s="534"/>
      <c r="X19" s="534"/>
      <c r="Y19" s="534"/>
      <c r="Z19" s="535"/>
      <c r="AP19" s="391"/>
      <c r="AQ19" s="391"/>
      <c r="AR19" s="391"/>
      <c r="AS19" s="391"/>
      <c r="AT19" s="391"/>
      <c r="AU19" s="391"/>
      <c r="AV19" s="391"/>
      <c r="AW19" s="391"/>
      <c r="AX19" s="391"/>
      <c r="AY19" s="391"/>
      <c r="AZ19" s="391"/>
      <c r="BA19" s="391"/>
      <c r="BB19" s="391"/>
      <c r="BC19" s="391"/>
      <c r="BD19" s="391"/>
    </row>
    <row r="20" spans="1:56">
      <c r="A20" s="3350"/>
      <c r="B20" s="3364"/>
      <c r="C20" s="3365"/>
      <c r="D20" s="3366"/>
      <c r="E20" s="3365"/>
      <c r="F20" s="3365"/>
      <c r="G20" s="3365"/>
      <c r="H20" s="3365"/>
      <c r="I20" s="3405"/>
      <c r="J20" s="3405"/>
      <c r="K20" s="3406"/>
      <c r="L20" s="3407"/>
      <c r="M20" s="3351"/>
      <c r="N20" s="3352" t="s">
        <v>6719</v>
      </c>
      <c r="O20" s="3408" t="s">
        <v>6720</v>
      </c>
      <c r="P20" s="3409"/>
      <c r="Q20" s="3409"/>
      <c r="R20" s="3409"/>
      <c r="S20" s="3409"/>
      <c r="T20" s="3409"/>
      <c r="U20" s="3409"/>
      <c r="V20" s="3409"/>
      <c r="W20" s="3409"/>
      <c r="X20" s="3409"/>
      <c r="Y20" s="3409"/>
      <c r="Z20" s="3410"/>
      <c r="AP20" s="391"/>
      <c r="AQ20" s="391"/>
      <c r="AR20" s="391"/>
      <c r="AS20" s="391"/>
      <c r="AT20" s="391"/>
      <c r="AU20" s="391"/>
      <c r="AV20" s="391"/>
      <c r="AW20" s="391"/>
      <c r="AX20" s="391"/>
      <c r="AY20" s="391"/>
      <c r="AZ20" s="391"/>
      <c r="BA20" s="391"/>
      <c r="BB20" s="391"/>
      <c r="BC20" s="391"/>
      <c r="BD20" s="391"/>
    </row>
    <row r="21" spans="1:56">
      <c r="A21" s="3350"/>
      <c r="B21" s="3364"/>
      <c r="C21" s="3365"/>
      <c r="D21" s="3366"/>
      <c r="E21" s="3365"/>
      <c r="F21" s="3365"/>
      <c r="G21" s="3365"/>
      <c r="H21" s="3365"/>
      <c r="I21" s="3405"/>
      <c r="J21" s="3405"/>
      <c r="K21" s="3406"/>
      <c r="L21" s="3407"/>
      <c r="M21" s="3351"/>
      <c r="N21" s="3352"/>
      <c r="O21" s="3409"/>
      <c r="P21" s="3409"/>
      <c r="Q21" s="3409"/>
      <c r="R21" s="3409"/>
      <c r="S21" s="3409"/>
      <c r="T21" s="3409"/>
      <c r="U21" s="3409"/>
      <c r="V21" s="3409"/>
      <c r="W21" s="3409"/>
      <c r="X21" s="3409"/>
      <c r="Y21" s="3409"/>
      <c r="Z21" s="3410"/>
      <c r="AP21" s="391"/>
      <c r="AQ21" s="391"/>
      <c r="AR21" s="391"/>
      <c r="AS21" s="391"/>
      <c r="AT21" s="391"/>
      <c r="AU21" s="391"/>
      <c r="AV21" s="391"/>
      <c r="AW21" s="391"/>
      <c r="AX21" s="391"/>
      <c r="AY21" s="391"/>
      <c r="AZ21" s="391"/>
      <c r="BA21" s="391"/>
      <c r="BB21" s="391"/>
      <c r="BC21" s="391"/>
      <c r="BD21" s="391"/>
    </row>
    <row r="22" spans="1:56">
      <c r="A22" s="3350"/>
      <c r="B22" s="3364"/>
      <c r="C22" s="3365"/>
      <c r="D22" s="3366"/>
      <c r="E22" s="3365"/>
      <c r="F22" s="3365"/>
      <c r="G22" s="3365"/>
      <c r="H22" s="3365"/>
      <c r="I22" s="3405"/>
      <c r="J22" s="3405"/>
      <c r="K22" s="3406"/>
      <c r="L22" s="3407"/>
      <c r="M22" s="3351"/>
      <c r="N22" s="533"/>
      <c r="O22" s="531"/>
      <c r="P22" s="531"/>
      <c r="Q22" s="531"/>
      <c r="R22" s="531"/>
      <c r="S22" s="531"/>
      <c r="T22" s="531"/>
      <c r="U22" s="531"/>
      <c r="V22" s="531"/>
      <c r="W22" s="531"/>
      <c r="X22" s="531"/>
      <c r="Y22" s="531"/>
      <c r="Z22" s="532"/>
      <c r="AP22" s="391"/>
      <c r="AQ22" s="391"/>
      <c r="AR22" s="391"/>
      <c r="AS22" s="391"/>
      <c r="AT22" s="391"/>
      <c r="AU22" s="391"/>
      <c r="AV22" s="391"/>
      <c r="AW22" s="391"/>
      <c r="AX22" s="391"/>
      <c r="AY22" s="391"/>
      <c r="AZ22" s="391"/>
      <c r="BA22" s="391"/>
      <c r="BB22" s="391"/>
      <c r="BC22" s="391"/>
      <c r="BD22" s="391"/>
    </row>
    <row r="23" spans="1:56">
      <c r="A23" s="3350"/>
      <c r="B23" s="3364"/>
      <c r="C23" s="3365"/>
      <c r="D23" s="3366"/>
      <c r="E23" s="3365"/>
      <c r="F23" s="3365"/>
      <c r="G23" s="3365"/>
      <c r="H23" s="3365"/>
      <c r="I23" s="3405"/>
      <c r="J23" s="3405"/>
      <c r="K23" s="3406"/>
      <c r="L23" s="3407"/>
      <c r="M23" s="3351"/>
      <c r="N23" s="530" t="s">
        <v>6721</v>
      </c>
      <c r="O23" s="3370" t="s">
        <v>6722</v>
      </c>
      <c r="P23" s="3370"/>
      <c r="Q23" s="3370"/>
      <c r="R23" s="3370"/>
      <c r="S23" s="3370"/>
      <c r="T23" s="3370"/>
      <c r="U23" s="3370"/>
      <c r="V23" s="3370"/>
      <c r="W23" s="3370"/>
      <c r="X23" s="3370"/>
      <c r="Y23" s="3370"/>
      <c r="Z23" s="3371"/>
      <c r="AP23" s="391"/>
      <c r="AQ23" s="391"/>
      <c r="AR23" s="391"/>
      <c r="AS23" s="391"/>
      <c r="AT23" s="391"/>
      <c r="AU23" s="391"/>
      <c r="AV23" s="391"/>
      <c r="AW23" s="391"/>
      <c r="AX23" s="391"/>
      <c r="AY23" s="391"/>
      <c r="AZ23" s="391"/>
      <c r="BA23" s="391"/>
      <c r="BB23" s="391"/>
      <c r="BC23" s="391"/>
      <c r="BD23" s="391"/>
    </row>
    <row r="24" spans="1:56">
      <c r="A24" s="391"/>
      <c r="B24" s="3367" t="s">
        <v>2459</v>
      </c>
      <c r="C24" s="3368"/>
      <c r="D24" s="3403"/>
      <c r="E24" s="3368"/>
      <c r="F24" s="3368"/>
      <c r="G24" s="3368"/>
      <c r="H24" s="3368" t="s">
        <v>2460</v>
      </c>
      <c r="I24" s="3368"/>
      <c r="J24" s="3368"/>
      <c r="K24" s="3404"/>
      <c r="L24" s="3369"/>
      <c r="M24" s="3351"/>
      <c r="N24" s="533"/>
      <c r="O24" s="531"/>
      <c r="P24" s="531"/>
      <c r="Q24" s="531"/>
      <c r="R24" s="531"/>
      <c r="S24" s="531"/>
      <c r="T24" s="531"/>
      <c r="U24" s="531"/>
      <c r="V24" s="531"/>
      <c r="W24" s="531"/>
      <c r="X24" s="531"/>
      <c r="Y24" s="531"/>
      <c r="Z24" s="532"/>
      <c r="AP24" s="391"/>
      <c r="AQ24" s="391"/>
      <c r="AR24" s="391"/>
      <c r="AS24" s="391"/>
      <c r="AT24" s="391"/>
      <c r="AU24" s="391"/>
      <c r="AV24" s="391"/>
      <c r="AW24" s="391"/>
      <c r="AX24" s="391"/>
      <c r="AY24" s="391"/>
      <c r="AZ24" s="391"/>
      <c r="BA24" s="391"/>
      <c r="BB24" s="391"/>
      <c r="BC24" s="391"/>
      <c r="BD24" s="391"/>
    </row>
    <row r="25" spans="1:56">
      <c r="A25" s="391"/>
      <c r="B25" s="3364" t="str">
        <f>IF($B4=附表!B214,"",VLOOKUP($B4,附表!B95:K213,9,FALSE))</f>
        <v>· 虽然你并不知道，对方虽然没有直接接近你，但是已经发现了你，然后邪教徒决定召唤“某些东西”来解决你
· 你所躲藏的地方的橱柜门被锁上了然后被钉死了</v>
      </c>
      <c r="C25" s="3365"/>
      <c r="D25" s="3366"/>
      <c r="E25" s="3365"/>
      <c r="F25" s="3365"/>
      <c r="G25" s="3365"/>
      <c r="H25" s="3411" t="str">
        <f>IF($B4=附表!B214,"",VLOOKUP($B4,附表!B95:K213,10,FALSE))</f>
        <v>他可能会相信他是隐形的，尽管实际上每个人都能看见他</v>
      </c>
      <c r="I25" s="3411"/>
      <c r="J25" s="3411"/>
      <c r="K25" s="3412"/>
      <c r="L25" s="3413"/>
      <c r="M25" s="538"/>
      <c r="N25" s="3352" t="s">
        <v>6723</v>
      </c>
      <c r="O25" s="3370" t="s">
        <v>6724</v>
      </c>
      <c r="P25" s="3370"/>
      <c r="Q25" s="3370"/>
      <c r="R25" s="3370"/>
      <c r="S25" s="3370"/>
      <c r="T25" s="3370"/>
      <c r="U25" s="3370"/>
      <c r="V25" s="3370"/>
      <c r="W25" s="3370"/>
      <c r="X25" s="3370"/>
      <c r="Y25" s="3370"/>
      <c r="Z25" s="3371"/>
      <c r="AP25" s="391"/>
      <c r="AQ25" s="391"/>
      <c r="AR25" s="391"/>
      <c r="AS25" s="391"/>
      <c r="AT25" s="391"/>
      <c r="AU25" s="391"/>
      <c r="AV25" s="391"/>
      <c r="AW25" s="391"/>
      <c r="AX25" s="391"/>
      <c r="AY25" s="391"/>
      <c r="AZ25" s="391"/>
      <c r="BA25" s="391"/>
      <c r="BB25" s="391"/>
      <c r="BC25" s="391"/>
      <c r="BD25" s="391"/>
    </row>
    <row r="26" spans="1:56">
      <c r="A26" s="391"/>
      <c r="B26" s="3364"/>
      <c r="C26" s="3365"/>
      <c r="D26" s="3365"/>
      <c r="E26" s="3365"/>
      <c r="F26" s="3365"/>
      <c r="G26" s="3365"/>
      <c r="H26" s="3411"/>
      <c r="I26" s="3411"/>
      <c r="J26" s="3411"/>
      <c r="K26" s="3411"/>
      <c r="L26" s="3413"/>
      <c r="M26" s="538"/>
      <c r="N26" s="3352"/>
      <c r="O26" s="3370"/>
      <c r="P26" s="3370"/>
      <c r="Q26" s="3370"/>
      <c r="R26" s="3370"/>
      <c r="S26" s="3370"/>
      <c r="T26" s="3370"/>
      <c r="U26" s="3370"/>
      <c r="V26" s="3370"/>
      <c r="W26" s="3370"/>
      <c r="X26" s="3370"/>
      <c r="Y26" s="3370"/>
      <c r="Z26" s="3371"/>
      <c r="AP26" s="391"/>
      <c r="AQ26" s="391"/>
      <c r="AR26" s="391"/>
      <c r="AS26" s="391"/>
      <c r="AT26" s="391"/>
      <c r="AU26" s="391"/>
      <c r="AV26" s="391"/>
      <c r="AW26" s="391"/>
      <c r="AX26" s="391"/>
      <c r="AY26" s="391"/>
      <c r="AZ26" s="391"/>
      <c r="BA26" s="391"/>
      <c r="BB26" s="391"/>
      <c r="BC26" s="391"/>
      <c r="BD26" s="391"/>
    </row>
    <row r="27" spans="1:56">
      <c r="A27" s="391"/>
      <c r="B27" s="3364"/>
      <c r="C27" s="3365"/>
      <c r="D27" s="3365"/>
      <c r="E27" s="3365"/>
      <c r="F27" s="3365"/>
      <c r="G27" s="3365"/>
      <c r="H27" s="3411"/>
      <c r="I27" s="3411"/>
      <c r="J27" s="3411"/>
      <c r="K27" s="3411"/>
      <c r="L27" s="3413"/>
      <c r="M27" s="538"/>
      <c r="N27" s="533"/>
      <c r="O27" s="531"/>
      <c r="P27" s="531"/>
      <c r="Q27" s="531"/>
      <c r="R27" s="531"/>
      <c r="S27" s="531"/>
      <c r="T27" s="531"/>
      <c r="U27" s="531"/>
      <c r="V27" s="531"/>
      <c r="W27" s="531"/>
      <c r="X27" s="531"/>
      <c r="Y27" s="531"/>
      <c r="Z27" s="532"/>
      <c r="AP27" s="391"/>
      <c r="AQ27" s="391"/>
      <c r="AR27" s="391"/>
      <c r="AS27" s="391"/>
      <c r="AT27" s="391"/>
      <c r="AU27" s="391"/>
      <c r="AV27" s="391"/>
      <c r="AW27" s="391"/>
      <c r="AX27" s="391"/>
      <c r="AY27" s="391"/>
      <c r="AZ27" s="391"/>
      <c r="BA27" s="391"/>
      <c r="BB27" s="391"/>
      <c r="BC27" s="391"/>
      <c r="BD27" s="391"/>
    </row>
    <row r="28" spans="1:56">
      <c r="A28" s="391"/>
      <c r="B28" s="3364"/>
      <c r="C28" s="3365"/>
      <c r="D28" s="3365"/>
      <c r="E28" s="3365"/>
      <c r="F28" s="3365"/>
      <c r="G28" s="3365"/>
      <c r="H28" s="3411"/>
      <c r="I28" s="3411"/>
      <c r="J28" s="3411"/>
      <c r="K28" s="3411"/>
      <c r="L28" s="3413"/>
      <c r="M28" s="538"/>
      <c r="N28" s="530" t="s">
        <v>6725</v>
      </c>
      <c r="O28" s="3370" t="s">
        <v>6726</v>
      </c>
      <c r="P28" s="3370"/>
      <c r="Q28" s="3370"/>
      <c r="R28" s="3370"/>
      <c r="S28" s="3370"/>
      <c r="T28" s="3370"/>
      <c r="U28" s="3370"/>
      <c r="V28" s="3370"/>
      <c r="W28" s="3370"/>
      <c r="X28" s="3370"/>
      <c r="Y28" s="3370"/>
      <c r="Z28" s="3371"/>
      <c r="AP28" s="391"/>
      <c r="AQ28" s="391"/>
      <c r="AR28" s="391"/>
      <c r="AS28" s="391"/>
      <c r="AT28" s="391"/>
      <c r="AU28" s="391"/>
      <c r="AV28" s="391"/>
      <c r="AW28" s="391"/>
      <c r="AX28" s="391"/>
      <c r="AY28" s="391"/>
      <c r="AZ28" s="391"/>
      <c r="BA28" s="391"/>
      <c r="BB28" s="391"/>
      <c r="BC28" s="391"/>
      <c r="BD28" s="391"/>
    </row>
    <row r="29" spans="1:56">
      <c r="A29" s="391"/>
      <c r="B29" s="3364"/>
      <c r="C29" s="3365"/>
      <c r="D29" s="3365"/>
      <c r="E29" s="3365"/>
      <c r="F29" s="3365"/>
      <c r="G29" s="3365"/>
      <c r="H29" s="3411"/>
      <c r="I29" s="3411"/>
      <c r="J29" s="3411"/>
      <c r="K29" s="3411"/>
      <c r="L29" s="3413"/>
      <c r="M29" s="538"/>
      <c r="N29" s="533"/>
      <c r="O29" s="531"/>
      <c r="P29" s="531"/>
      <c r="Q29" s="531"/>
      <c r="R29" s="531"/>
      <c r="S29" s="531"/>
      <c r="T29" s="531"/>
      <c r="U29" s="531"/>
      <c r="V29" s="531"/>
      <c r="W29" s="531"/>
      <c r="X29" s="531"/>
      <c r="Y29" s="531"/>
      <c r="Z29" s="532"/>
      <c r="AP29" s="391"/>
      <c r="AQ29" s="391"/>
      <c r="AR29" s="391"/>
      <c r="AS29" s="391"/>
      <c r="AT29" s="391"/>
      <c r="AU29" s="391"/>
      <c r="AV29" s="391"/>
      <c r="AW29" s="391"/>
      <c r="AX29" s="391"/>
      <c r="AY29" s="391"/>
      <c r="AZ29" s="391"/>
      <c r="BA29" s="391"/>
      <c r="BB29" s="391"/>
      <c r="BC29" s="391"/>
      <c r="BD29" s="391"/>
    </row>
    <row r="30" spans="1:56">
      <c r="A30" s="391"/>
      <c r="B30" s="3364"/>
      <c r="C30" s="3365"/>
      <c r="D30" s="3365"/>
      <c r="E30" s="3365"/>
      <c r="F30" s="3365"/>
      <c r="G30" s="3365"/>
      <c r="H30" s="3411"/>
      <c r="I30" s="3411"/>
      <c r="J30" s="3411"/>
      <c r="K30" s="3411"/>
      <c r="L30" s="3413"/>
      <c r="M30" s="538"/>
      <c r="N30" s="530" t="s">
        <v>6727</v>
      </c>
      <c r="O30" s="3370" t="s">
        <v>6728</v>
      </c>
      <c r="P30" s="3370"/>
      <c r="Q30" s="3370"/>
      <c r="R30" s="3370"/>
      <c r="S30" s="3370"/>
      <c r="T30" s="3370"/>
      <c r="U30" s="3370"/>
      <c r="V30" s="3370"/>
      <c r="W30" s="3370"/>
      <c r="X30" s="3370"/>
      <c r="Y30" s="3370"/>
      <c r="Z30" s="3371"/>
      <c r="AP30" s="391"/>
      <c r="AQ30" s="391"/>
      <c r="AR30" s="391"/>
      <c r="AS30" s="391"/>
      <c r="AT30" s="391"/>
      <c r="AU30" s="391"/>
      <c r="AV30" s="391"/>
      <c r="AW30" s="391"/>
      <c r="AX30" s="391"/>
      <c r="AY30" s="391"/>
      <c r="AZ30" s="391"/>
      <c r="BA30" s="391"/>
      <c r="BB30" s="391"/>
      <c r="BC30" s="391"/>
      <c r="BD30" s="391"/>
    </row>
    <row r="31" spans="1:56">
      <c r="A31" s="391"/>
      <c r="B31" s="3364"/>
      <c r="C31" s="3365"/>
      <c r="D31" s="3365"/>
      <c r="E31" s="3365"/>
      <c r="F31" s="3365"/>
      <c r="G31" s="3365"/>
      <c r="H31" s="3411"/>
      <c r="I31" s="3411"/>
      <c r="J31" s="3411"/>
      <c r="K31" s="3411"/>
      <c r="L31" s="3413"/>
      <c r="M31" s="538"/>
      <c r="N31" s="530"/>
      <c r="O31" s="531"/>
      <c r="P31" s="531"/>
      <c r="Q31" s="531"/>
      <c r="R31" s="531"/>
      <c r="S31" s="531"/>
      <c r="T31" s="531"/>
      <c r="U31" s="531"/>
      <c r="V31" s="531"/>
      <c r="W31" s="531"/>
      <c r="X31" s="531"/>
      <c r="Y31" s="531"/>
      <c r="Z31" s="532"/>
      <c r="AP31" s="391"/>
      <c r="AQ31" s="391"/>
      <c r="AR31" s="391"/>
      <c r="AS31" s="391"/>
      <c r="AT31" s="391"/>
      <c r="AU31" s="391"/>
      <c r="AV31" s="391"/>
      <c r="AW31" s="391"/>
      <c r="AX31" s="391"/>
      <c r="AY31" s="391"/>
      <c r="AZ31" s="391"/>
      <c r="BA31" s="391"/>
      <c r="BB31" s="391"/>
      <c r="BC31" s="391"/>
      <c r="BD31" s="391"/>
    </row>
    <row r="32" spans="1:56">
      <c r="A32" s="391"/>
      <c r="B32" s="3364"/>
      <c r="C32" s="3365"/>
      <c r="D32" s="3365"/>
      <c r="E32" s="3365"/>
      <c r="F32" s="3365"/>
      <c r="G32" s="3365"/>
      <c r="H32" s="3411"/>
      <c r="I32" s="3411"/>
      <c r="J32" s="3411"/>
      <c r="K32" s="3411"/>
      <c r="L32" s="3413"/>
      <c r="M32" s="538"/>
      <c r="N32" s="530" t="s">
        <v>6729</v>
      </c>
      <c r="O32" s="3370" t="s">
        <v>6730</v>
      </c>
      <c r="P32" s="3370"/>
      <c r="Q32" s="3370"/>
      <c r="R32" s="3370"/>
      <c r="S32" s="3370"/>
      <c r="T32" s="3370"/>
      <c r="U32" s="3370"/>
      <c r="V32" s="3370"/>
      <c r="W32" s="3370"/>
      <c r="X32" s="3370"/>
      <c r="Y32" s="3370"/>
      <c r="Z32" s="3371"/>
      <c r="AP32" s="391"/>
      <c r="AQ32" s="391"/>
      <c r="AR32" s="391"/>
      <c r="AS32" s="391"/>
      <c r="AT32" s="391"/>
      <c r="AU32" s="391"/>
      <c r="AV32" s="391"/>
      <c r="AW32" s="391"/>
      <c r="AX32" s="391"/>
      <c r="AY32" s="391"/>
      <c r="AZ32" s="391"/>
      <c r="BA32" s="391"/>
      <c r="BB32" s="391"/>
      <c r="BC32" s="391"/>
      <c r="BD32" s="391"/>
    </row>
    <row r="33" spans="1:56">
      <c r="A33" s="391"/>
      <c r="B33" s="3364"/>
      <c r="C33" s="3365"/>
      <c r="D33" s="3365"/>
      <c r="E33" s="3365"/>
      <c r="F33" s="3365"/>
      <c r="G33" s="3365"/>
      <c r="H33" s="3411"/>
      <c r="I33" s="3411"/>
      <c r="J33" s="3411"/>
      <c r="K33" s="3411"/>
      <c r="L33" s="3413"/>
      <c r="M33" s="538"/>
      <c r="N33" s="530"/>
      <c r="O33" s="534"/>
      <c r="P33" s="534"/>
      <c r="Q33" s="534"/>
      <c r="R33" s="534"/>
      <c r="S33" s="534"/>
      <c r="T33" s="534"/>
      <c r="U33" s="534"/>
      <c r="V33" s="534"/>
      <c r="W33" s="534"/>
      <c r="X33" s="534"/>
      <c r="Y33" s="534"/>
      <c r="Z33" s="535"/>
      <c r="AP33" s="391"/>
      <c r="AQ33" s="391"/>
      <c r="AR33" s="391"/>
      <c r="AS33" s="391"/>
      <c r="AT33" s="391"/>
      <c r="AU33" s="391"/>
      <c r="AV33" s="391"/>
      <c r="AW33" s="391"/>
      <c r="AX33" s="391"/>
      <c r="AY33" s="391"/>
      <c r="AZ33" s="391"/>
      <c r="BA33" s="391"/>
      <c r="BB33" s="391"/>
      <c r="BC33" s="391"/>
      <c r="BD33" s="391"/>
    </row>
    <row r="34" spans="1:56" ht="33">
      <c r="A34" s="391"/>
      <c r="B34" s="3364"/>
      <c r="C34" s="3365"/>
      <c r="D34" s="3365"/>
      <c r="E34" s="3365"/>
      <c r="F34" s="3365"/>
      <c r="G34" s="3365"/>
      <c r="H34" s="3411"/>
      <c r="I34" s="3411"/>
      <c r="J34" s="3411"/>
      <c r="K34" s="3411"/>
      <c r="L34" s="3413"/>
      <c r="M34" s="538"/>
      <c r="N34" s="530" t="s">
        <v>6731</v>
      </c>
      <c r="O34" s="3370" t="s">
        <v>6732</v>
      </c>
      <c r="P34" s="3370"/>
      <c r="Q34" s="3370"/>
      <c r="R34" s="3370"/>
      <c r="S34" s="3370"/>
      <c r="T34" s="3370"/>
      <c r="U34" s="3370"/>
      <c r="V34" s="3370"/>
      <c r="W34" s="3370"/>
      <c r="X34" s="3370"/>
      <c r="Y34" s="3370"/>
      <c r="Z34" s="3371"/>
      <c r="AP34" s="391"/>
      <c r="AQ34" s="391"/>
      <c r="AR34" s="391"/>
      <c r="AS34" s="391"/>
      <c r="AT34" s="391"/>
      <c r="AU34" s="391"/>
      <c r="AV34" s="391"/>
      <c r="AW34" s="391"/>
      <c r="AX34" s="391"/>
      <c r="AY34" s="391"/>
      <c r="AZ34" s="391"/>
      <c r="BA34" s="391"/>
      <c r="BB34" s="391"/>
      <c r="BC34" s="391"/>
      <c r="BD34" s="391"/>
    </row>
    <row r="35" spans="1:56">
      <c r="A35" s="391"/>
      <c r="B35" s="3364"/>
      <c r="C35" s="3365"/>
      <c r="D35" s="3365"/>
      <c r="E35" s="3365"/>
      <c r="F35" s="3365"/>
      <c r="G35" s="3365"/>
      <c r="H35" s="3411"/>
      <c r="I35" s="3411"/>
      <c r="J35" s="3411"/>
      <c r="K35" s="3411"/>
      <c r="L35" s="3413"/>
      <c r="M35" s="538"/>
      <c r="N35" s="3352"/>
      <c r="O35" s="3370"/>
      <c r="P35" s="3370"/>
      <c r="Q35" s="3370"/>
      <c r="R35" s="3370"/>
      <c r="S35" s="3370"/>
      <c r="T35" s="3370"/>
      <c r="U35" s="3370"/>
      <c r="V35" s="3370"/>
      <c r="W35" s="3370"/>
      <c r="X35" s="3370"/>
      <c r="Y35" s="3370"/>
      <c r="Z35" s="3371"/>
      <c r="AP35" s="391"/>
      <c r="AQ35" s="391"/>
      <c r="AR35" s="391"/>
      <c r="AS35" s="391"/>
      <c r="AT35" s="391"/>
      <c r="AU35" s="391"/>
      <c r="AV35" s="391"/>
      <c r="AW35" s="391"/>
      <c r="AX35" s="391"/>
      <c r="AY35" s="391"/>
      <c r="AZ35" s="391"/>
      <c r="BA35" s="391"/>
      <c r="BB35" s="391"/>
      <c r="BC35" s="391"/>
      <c r="BD35" s="391"/>
    </row>
    <row r="36" spans="1:56">
      <c r="A36" s="391"/>
      <c r="B36" s="3364"/>
      <c r="C36" s="3365"/>
      <c r="D36" s="3365"/>
      <c r="E36" s="3365"/>
      <c r="F36" s="3365"/>
      <c r="G36" s="3365"/>
      <c r="H36" s="3411"/>
      <c r="I36" s="3411"/>
      <c r="J36" s="3411"/>
      <c r="K36" s="3411"/>
      <c r="L36" s="3413"/>
      <c r="M36" s="538"/>
      <c r="N36" s="3352" t="s">
        <v>6733</v>
      </c>
      <c r="O36" s="3370" t="s">
        <v>6734</v>
      </c>
      <c r="P36" s="3370"/>
      <c r="Q36" s="3370"/>
      <c r="R36" s="3370"/>
      <c r="S36" s="3370"/>
      <c r="T36" s="3370"/>
      <c r="U36" s="3370"/>
      <c r="V36" s="3370"/>
      <c r="W36" s="3370"/>
      <c r="X36" s="3370"/>
      <c r="Y36" s="3370"/>
      <c r="Z36" s="3371"/>
      <c r="AP36" s="391"/>
      <c r="AQ36" s="391"/>
      <c r="AR36" s="391"/>
      <c r="AS36" s="391"/>
      <c r="AT36" s="391"/>
      <c r="AU36" s="391"/>
      <c r="AV36" s="391"/>
      <c r="AW36" s="391"/>
      <c r="AX36" s="391"/>
      <c r="AY36" s="391"/>
      <c r="AZ36" s="391"/>
      <c r="BA36" s="391"/>
      <c r="BB36" s="391"/>
      <c r="BC36" s="391"/>
      <c r="BD36" s="391"/>
    </row>
    <row r="37" spans="1:56">
      <c r="A37" s="391"/>
      <c r="B37" s="3364"/>
      <c r="C37" s="3365"/>
      <c r="D37" s="3365"/>
      <c r="E37" s="3365"/>
      <c r="F37" s="3365"/>
      <c r="G37" s="3365"/>
      <c r="H37" s="3411"/>
      <c r="I37" s="3411"/>
      <c r="J37" s="3411"/>
      <c r="K37" s="3411"/>
      <c r="L37" s="3413"/>
      <c r="M37" s="538"/>
      <c r="N37" s="3352"/>
      <c r="O37" s="3370"/>
      <c r="P37" s="3370"/>
      <c r="Q37" s="3370"/>
      <c r="R37" s="3370"/>
      <c r="S37" s="3370"/>
      <c r="T37" s="3370"/>
      <c r="U37" s="3370"/>
      <c r="V37" s="3370"/>
      <c r="W37" s="3370"/>
      <c r="X37" s="3370"/>
      <c r="Y37" s="3370"/>
      <c r="Z37" s="3371"/>
      <c r="AP37" s="391"/>
      <c r="AQ37" s="391"/>
      <c r="AR37" s="391"/>
      <c r="AS37" s="391"/>
      <c r="AT37" s="391"/>
      <c r="AU37" s="391"/>
      <c r="AV37" s="391"/>
      <c r="AW37" s="391"/>
      <c r="AX37" s="391"/>
      <c r="AY37" s="391"/>
      <c r="AZ37" s="391"/>
      <c r="BA37" s="391"/>
      <c r="BB37" s="391"/>
      <c r="BC37" s="391"/>
      <c r="BD37" s="391"/>
    </row>
    <row r="38" spans="1:56">
      <c r="A38" s="391"/>
      <c r="B38" s="3364"/>
      <c r="C38" s="3365"/>
      <c r="D38" s="3365"/>
      <c r="E38" s="3365"/>
      <c r="F38" s="3365"/>
      <c r="G38" s="3365"/>
      <c r="H38" s="3411"/>
      <c r="I38" s="3411"/>
      <c r="J38" s="3411"/>
      <c r="K38" s="3411"/>
      <c r="L38" s="3413"/>
      <c r="M38" s="538"/>
      <c r="N38" s="3352"/>
      <c r="O38" s="3370"/>
      <c r="P38" s="3370"/>
      <c r="Q38" s="3370"/>
      <c r="R38" s="3370"/>
      <c r="S38" s="3370"/>
      <c r="T38" s="3370"/>
      <c r="U38" s="3370"/>
      <c r="V38" s="3370"/>
      <c r="W38" s="3370"/>
      <c r="X38" s="3370"/>
      <c r="Y38" s="3370"/>
      <c r="Z38" s="3371"/>
      <c r="AP38" s="391"/>
      <c r="AQ38" s="391"/>
      <c r="AR38" s="391"/>
      <c r="AS38" s="391"/>
      <c r="AT38" s="391"/>
      <c r="AU38" s="391"/>
      <c r="AV38" s="391"/>
      <c r="AW38" s="391"/>
      <c r="AX38" s="391"/>
      <c r="AY38" s="391"/>
      <c r="AZ38" s="391"/>
      <c r="BA38" s="391"/>
      <c r="BB38" s="391"/>
      <c r="BC38" s="391"/>
      <c r="BD38" s="391"/>
    </row>
    <row r="39" spans="1:56">
      <c r="A39" s="391"/>
      <c r="B39" s="3367" t="s">
        <v>6735</v>
      </c>
      <c r="C39" s="3368"/>
      <c r="D39" s="3368"/>
      <c r="E39" s="3368"/>
      <c r="F39" s="3368"/>
      <c r="G39" s="3368"/>
      <c r="H39" s="3368"/>
      <c r="I39" s="3368"/>
      <c r="J39" s="3368"/>
      <c r="K39" s="3368"/>
      <c r="L39" s="3369"/>
      <c r="M39" s="538"/>
      <c r="N39" s="3352" t="s">
        <v>6736</v>
      </c>
      <c r="O39" s="3370" t="s">
        <v>6737</v>
      </c>
      <c r="P39" s="3377"/>
      <c r="Q39" s="3377"/>
      <c r="R39" s="3377"/>
      <c r="S39" s="3377"/>
      <c r="T39" s="3377"/>
      <c r="U39" s="3377"/>
      <c r="V39" s="3377"/>
      <c r="W39" s="3377"/>
      <c r="X39" s="3377"/>
      <c r="Y39" s="3377"/>
      <c r="Z39" s="3378"/>
      <c r="AP39" s="391"/>
      <c r="AQ39" s="391"/>
      <c r="AR39" s="391"/>
      <c r="AS39" s="391"/>
      <c r="AT39" s="391"/>
      <c r="AU39" s="391"/>
      <c r="AV39" s="391"/>
      <c r="AW39" s="391"/>
      <c r="AX39" s="391"/>
      <c r="AY39" s="391"/>
      <c r="AZ39" s="391"/>
      <c r="BA39" s="391"/>
      <c r="BB39" s="391"/>
      <c r="BC39" s="391"/>
      <c r="BD39" s="391"/>
    </row>
    <row r="40" spans="1:56">
      <c r="A40" s="391"/>
      <c r="B40" s="3379" t="str">
        <f>IF($B4=附表!B214,"",VLOOKUP($B4,附表!B95:K213,5,FALSE))</f>
        <v>·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v>
      </c>
      <c r="C40" s="3380"/>
      <c r="D40" s="3380"/>
      <c r="E40" s="3380"/>
      <c r="F40" s="3380"/>
      <c r="G40" s="3380"/>
      <c r="H40" s="3380"/>
      <c r="I40" s="3380"/>
      <c r="J40" s="3380"/>
      <c r="K40" s="3380"/>
      <c r="L40" s="3381"/>
      <c r="M40" s="538"/>
      <c r="N40" s="3352"/>
      <c r="O40" s="3377"/>
      <c r="P40" s="3377"/>
      <c r="Q40" s="3377"/>
      <c r="R40" s="3377"/>
      <c r="S40" s="3377"/>
      <c r="T40" s="3377"/>
      <c r="U40" s="3377"/>
      <c r="V40" s="3377"/>
      <c r="W40" s="3377"/>
      <c r="X40" s="3377"/>
      <c r="Y40" s="3377"/>
      <c r="Z40" s="3378"/>
      <c r="AP40" s="391"/>
      <c r="AQ40" s="391"/>
      <c r="AR40" s="391"/>
      <c r="AS40" s="391"/>
      <c r="AT40" s="391"/>
      <c r="AU40" s="391"/>
      <c r="AV40" s="391"/>
      <c r="AW40" s="391"/>
      <c r="AX40" s="391"/>
      <c r="AY40" s="391"/>
      <c r="AZ40" s="391"/>
      <c r="BA40" s="391"/>
      <c r="BB40" s="391"/>
      <c r="BC40" s="391"/>
      <c r="BD40" s="391"/>
    </row>
    <row r="41" spans="1:56">
      <c r="A41" s="391"/>
      <c r="B41" s="3382"/>
      <c r="C41" s="3383"/>
      <c r="D41" s="3383"/>
      <c r="E41" s="3383"/>
      <c r="F41" s="3383"/>
      <c r="G41" s="3383"/>
      <c r="H41" s="3383"/>
      <c r="I41" s="3383"/>
      <c r="J41" s="3383"/>
      <c r="K41" s="3383"/>
      <c r="L41" s="3384"/>
      <c r="M41" s="538"/>
      <c r="N41" s="3352"/>
      <c r="O41" s="3370"/>
      <c r="P41" s="3370"/>
      <c r="Q41" s="3370"/>
      <c r="R41" s="3370"/>
      <c r="S41" s="3370"/>
      <c r="T41" s="3370"/>
      <c r="U41" s="3370"/>
      <c r="V41" s="3370"/>
      <c r="W41" s="3370"/>
      <c r="X41" s="3370"/>
      <c r="Y41" s="3370"/>
      <c r="Z41" s="3371"/>
      <c r="AP41" s="391"/>
      <c r="AQ41" s="391"/>
      <c r="AR41" s="391"/>
      <c r="AS41" s="391"/>
      <c r="AT41" s="391"/>
      <c r="AU41" s="391"/>
      <c r="AV41" s="391"/>
      <c r="AW41" s="391"/>
      <c r="AX41" s="391"/>
      <c r="AY41" s="391"/>
      <c r="AZ41" s="391"/>
      <c r="BA41" s="391"/>
      <c r="BB41" s="391"/>
      <c r="BC41" s="391"/>
      <c r="BD41" s="391"/>
    </row>
    <row r="42" spans="1:56">
      <c r="A42" s="391"/>
      <c r="B42" s="3382"/>
      <c r="C42" s="3383"/>
      <c r="D42" s="3383"/>
      <c r="E42" s="3383"/>
      <c r="F42" s="3383"/>
      <c r="G42" s="3383"/>
      <c r="H42" s="3383"/>
      <c r="I42" s="3383"/>
      <c r="J42" s="3383"/>
      <c r="K42" s="3383"/>
      <c r="L42" s="3384"/>
      <c r="M42" s="538"/>
      <c r="N42" s="533"/>
      <c r="O42" s="531"/>
      <c r="P42" s="531"/>
      <c r="Q42" s="531"/>
      <c r="R42" s="531"/>
      <c r="S42" s="531"/>
      <c r="T42" s="531"/>
      <c r="U42" s="531"/>
      <c r="V42" s="531"/>
      <c r="W42" s="531"/>
      <c r="X42" s="531"/>
      <c r="Y42" s="531"/>
      <c r="Z42" s="532"/>
      <c r="AP42" s="391"/>
      <c r="AQ42" s="391"/>
      <c r="AR42" s="391"/>
      <c r="AS42" s="391"/>
      <c r="AT42" s="391"/>
      <c r="AU42" s="391"/>
      <c r="AV42" s="391"/>
      <c r="AW42" s="391"/>
      <c r="AX42" s="391"/>
      <c r="AY42" s="391"/>
      <c r="AZ42" s="391"/>
      <c r="BA42" s="391"/>
      <c r="BB42" s="391"/>
      <c r="BC42" s="391"/>
      <c r="BD42" s="391"/>
    </row>
    <row r="43" spans="1:56" ht="17" customHeight="1">
      <c r="A43" s="391"/>
      <c r="B43" s="3382"/>
      <c r="C43" s="3383"/>
      <c r="D43" s="3383"/>
      <c r="E43" s="3383"/>
      <c r="F43" s="3383"/>
      <c r="G43" s="3383"/>
      <c r="H43" s="3383"/>
      <c r="I43" s="3383"/>
      <c r="J43" s="3383"/>
      <c r="K43" s="3383"/>
      <c r="L43" s="3384"/>
      <c r="M43" s="538"/>
      <c r="N43" s="539" t="s">
        <v>6738</v>
      </c>
      <c r="O43" s="3372" t="s">
        <v>6739</v>
      </c>
      <c r="P43" s="3372"/>
      <c r="Q43" s="3372"/>
      <c r="R43" s="3372"/>
      <c r="S43" s="3372"/>
      <c r="T43" s="3372"/>
      <c r="U43" s="3372"/>
      <c r="V43" s="3372"/>
      <c r="W43" s="3372"/>
      <c r="X43" s="3372"/>
      <c r="Y43" s="3372"/>
      <c r="Z43" s="3373"/>
      <c r="AP43" s="391"/>
      <c r="AQ43" s="391"/>
      <c r="AR43" s="391"/>
      <c r="AS43" s="391"/>
      <c r="AT43" s="391"/>
      <c r="AU43" s="391"/>
      <c r="AV43" s="391"/>
      <c r="AW43" s="391"/>
      <c r="AX43" s="391"/>
      <c r="AY43" s="391"/>
      <c r="AZ43" s="391"/>
      <c r="BA43" s="391"/>
      <c r="BB43" s="391"/>
      <c r="BC43" s="391"/>
      <c r="BD43" s="391"/>
    </row>
    <row r="44" spans="1:56" ht="17" customHeight="1">
      <c r="A44" s="391"/>
      <c r="B44" s="3382"/>
      <c r="C44" s="3383"/>
      <c r="D44" s="3383"/>
      <c r="E44" s="3383"/>
      <c r="F44" s="3383"/>
      <c r="G44" s="3383"/>
      <c r="H44" s="3383"/>
      <c r="I44" s="3383"/>
      <c r="J44" s="3383"/>
      <c r="K44" s="3383"/>
      <c r="L44" s="3384"/>
      <c r="M44" s="391"/>
      <c r="AP44" s="391"/>
      <c r="AQ44" s="391"/>
      <c r="AR44" s="391"/>
      <c r="AS44" s="391"/>
      <c r="AT44" s="391"/>
      <c r="AU44" s="391"/>
      <c r="AV44" s="391"/>
      <c r="AW44" s="391"/>
      <c r="AX44" s="391"/>
      <c r="AY44" s="391"/>
      <c r="AZ44" s="391"/>
      <c r="BA44" s="391"/>
      <c r="BB44" s="391"/>
      <c r="BC44" s="391"/>
      <c r="BD44" s="391"/>
    </row>
    <row r="45" spans="1:56">
      <c r="B45" s="3382"/>
      <c r="C45" s="3383"/>
      <c r="D45" s="3383"/>
      <c r="E45" s="3383"/>
      <c r="F45" s="3383"/>
      <c r="G45" s="3383"/>
      <c r="H45" s="3383"/>
      <c r="I45" s="3383"/>
      <c r="J45" s="3383"/>
      <c r="K45" s="3383"/>
      <c r="L45" s="3384"/>
      <c r="O45" s="1648" t="s">
        <v>333</v>
      </c>
      <c r="P45" s="1648"/>
      <c r="Q45" s="1648"/>
      <c r="R45" s="1648"/>
      <c r="S45" s="1648"/>
      <c r="T45" s="1648"/>
      <c r="U45" s="1648"/>
      <c r="V45" s="1648"/>
      <c r="W45" s="1648"/>
      <c r="X45" s="1648"/>
      <c r="Y45" s="1648"/>
      <c r="AP45" s="391"/>
      <c r="AQ45" s="391"/>
      <c r="AR45" s="391"/>
      <c r="AS45" s="391"/>
      <c r="AT45" s="391"/>
      <c r="AU45" s="391"/>
      <c r="AV45" s="391"/>
      <c r="AW45" s="391"/>
      <c r="AX45" s="391"/>
      <c r="AY45" s="391"/>
      <c r="AZ45" s="391"/>
      <c r="BA45" s="391"/>
      <c r="BB45" s="391"/>
      <c r="BC45" s="391"/>
      <c r="BD45" s="391"/>
    </row>
    <row r="46" spans="1:56">
      <c r="B46" s="3382"/>
      <c r="C46" s="3383"/>
      <c r="D46" s="3383"/>
      <c r="E46" s="3383"/>
      <c r="F46" s="3383"/>
      <c r="G46" s="3383"/>
      <c r="H46" s="3383"/>
      <c r="I46" s="3383"/>
      <c r="J46" s="3383"/>
      <c r="K46" s="3383"/>
      <c r="L46" s="3384"/>
      <c r="AP46" s="391"/>
      <c r="AQ46" s="391"/>
      <c r="AR46" s="391"/>
      <c r="AS46" s="391"/>
      <c r="AT46" s="391"/>
      <c r="AU46" s="391"/>
      <c r="AV46" s="391"/>
      <c r="AW46" s="391"/>
      <c r="AX46" s="391"/>
      <c r="AY46" s="391"/>
      <c r="AZ46" s="391"/>
      <c r="BA46" s="391"/>
      <c r="BB46" s="391"/>
      <c r="BC46" s="391"/>
      <c r="BD46" s="391"/>
    </row>
    <row r="47" spans="1:56">
      <c r="B47" s="3382"/>
      <c r="C47" s="3383"/>
      <c r="D47" s="3383"/>
      <c r="E47" s="3383"/>
      <c r="F47" s="3383"/>
      <c r="G47" s="3383"/>
      <c r="H47" s="3383"/>
      <c r="I47" s="3383"/>
      <c r="J47" s="3383"/>
      <c r="K47" s="3383"/>
      <c r="L47" s="3384"/>
      <c r="AP47" s="391"/>
      <c r="AQ47" s="391"/>
      <c r="AR47" s="391"/>
      <c r="AS47" s="391"/>
      <c r="AT47" s="391"/>
      <c r="AU47" s="391"/>
      <c r="AV47" s="391"/>
      <c r="AW47" s="391"/>
      <c r="AX47" s="391"/>
      <c r="AY47" s="391"/>
      <c r="AZ47" s="391"/>
      <c r="BA47" s="391"/>
      <c r="BB47" s="391"/>
      <c r="BC47" s="391"/>
      <c r="BD47" s="391"/>
    </row>
    <row r="48" spans="1:56">
      <c r="B48" s="3382"/>
      <c r="C48" s="3383"/>
      <c r="D48" s="3383"/>
      <c r="E48" s="3383"/>
      <c r="F48" s="3383"/>
      <c r="G48" s="3383"/>
      <c r="H48" s="3383"/>
      <c r="I48" s="3383"/>
      <c r="J48" s="3383"/>
      <c r="K48" s="3383"/>
      <c r="L48" s="3384"/>
    </row>
    <row r="49" spans="2:26">
      <c r="B49" s="3382"/>
      <c r="C49" s="3383"/>
      <c r="D49" s="3383"/>
      <c r="E49" s="3383"/>
      <c r="F49" s="3383"/>
      <c r="G49" s="3383"/>
      <c r="H49" s="3383"/>
      <c r="I49" s="3383"/>
      <c r="J49" s="3383"/>
      <c r="K49" s="3383"/>
      <c r="L49" s="3384"/>
    </row>
    <row r="50" spans="2:26" ht="16.5" customHeight="1">
      <c r="B50" s="3382"/>
      <c r="C50" s="3383"/>
      <c r="D50" s="3383"/>
      <c r="E50" s="3383"/>
      <c r="F50" s="3383"/>
      <c r="G50" s="3383"/>
      <c r="H50" s="3383"/>
      <c r="I50" s="3383"/>
      <c r="J50" s="3383"/>
      <c r="K50" s="3383"/>
      <c r="L50" s="3384"/>
    </row>
    <row r="51" spans="2:26" ht="16.5" customHeight="1">
      <c r="B51" s="3382"/>
      <c r="C51" s="3383"/>
      <c r="D51" s="3383"/>
      <c r="E51" s="3383"/>
      <c r="F51" s="3383"/>
      <c r="G51" s="3383"/>
      <c r="H51" s="3383"/>
      <c r="I51" s="3383"/>
      <c r="J51" s="3383"/>
      <c r="K51" s="3383"/>
      <c r="L51" s="3384"/>
    </row>
    <row r="52" spans="2:26" ht="16.5" customHeight="1">
      <c r="B52" s="3382"/>
      <c r="C52" s="3383"/>
      <c r="D52" s="3383"/>
      <c r="E52" s="3383"/>
      <c r="F52" s="3383"/>
      <c r="G52" s="3383"/>
      <c r="H52" s="3383"/>
      <c r="I52" s="3383"/>
      <c r="J52" s="3383"/>
      <c r="K52" s="3383"/>
      <c r="L52" s="3384"/>
    </row>
    <row r="53" spans="2:26" ht="16.5" customHeight="1">
      <c r="B53" s="3382"/>
      <c r="C53" s="3383"/>
      <c r="D53" s="3383"/>
      <c r="E53" s="3383"/>
      <c r="F53" s="3383"/>
      <c r="G53" s="3383"/>
      <c r="H53" s="3383"/>
      <c r="I53" s="3383"/>
      <c r="J53" s="3383"/>
      <c r="K53" s="3383"/>
      <c r="L53" s="3384"/>
    </row>
    <row r="54" spans="2:26" ht="16.5" customHeight="1">
      <c r="B54" s="3382"/>
      <c r="C54" s="3383"/>
      <c r="D54" s="3383"/>
      <c r="E54" s="3383"/>
      <c r="F54" s="3383"/>
      <c r="G54" s="3383"/>
      <c r="H54" s="3383"/>
      <c r="I54" s="3383"/>
      <c r="J54" s="3383"/>
      <c r="K54" s="3383"/>
      <c r="L54" s="3384"/>
    </row>
    <row r="55" spans="2:26" ht="16.5" customHeight="1">
      <c r="B55" s="3382"/>
      <c r="C55" s="3383"/>
      <c r="D55" s="3383"/>
      <c r="E55" s="3383"/>
      <c r="F55" s="3383"/>
      <c r="G55" s="3383"/>
      <c r="H55" s="3383"/>
      <c r="I55" s="3383"/>
      <c r="J55" s="3383"/>
      <c r="K55" s="3383"/>
      <c r="L55" s="3384"/>
    </row>
    <row r="56" spans="2:26" ht="16.5" customHeight="1">
      <c r="B56" s="3382"/>
      <c r="C56" s="3383"/>
      <c r="D56" s="3383"/>
      <c r="E56" s="3383"/>
      <c r="F56" s="3383"/>
      <c r="G56" s="3383"/>
      <c r="H56" s="3383"/>
      <c r="I56" s="3383"/>
      <c r="J56" s="3383"/>
      <c r="K56" s="3383"/>
      <c r="L56" s="3384"/>
    </row>
    <row r="57" spans="2:26" ht="16.5" customHeight="1">
      <c r="B57" s="3382"/>
      <c r="C57" s="3383"/>
      <c r="D57" s="3383"/>
      <c r="E57" s="3383"/>
      <c r="F57" s="3383"/>
      <c r="G57" s="3383"/>
      <c r="H57" s="3383"/>
      <c r="I57" s="3383"/>
      <c r="J57" s="3383"/>
      <c r="K57" s="3383"/>
      <c r="L57" s="3384"/>
    </row>
    <row r="58" spans="2:26" ht="16.5" customHeight="1">
      <c r="B58" s="3382"/>
      <c r="C58" s="3383"/>
      <c r="D58" s="3383"/>
      <c r="E58" s="3383"/>
      <c r="F58" s="3383"/>
      <c r="G58" s="3383"/>
      <c r="H58" s="3383"/>
      <c r="I58" s="3383"/>
      <c r="J58" s="3383"/>
      <c r="K58" s="3383"/>
      <c r="L58" s="3384"/>
    </row>
    <row r="59" spans="2:26" ht="16.5" customHeight="1">
      <c r="B59" s="3382"/>
      <c r="C59" s="3383"/>
      <c r="D59" s="3383"/>
      <c r="E59" s="3383"/>
      <c r="F59" s="3383"/>
      <c r="G59" s="3383"/>
      <c r="H59" s="3383"/>
      <c r="I59" s="3383"/>
      <c r="J59" s="3383"/>
      <c r="K59" s="3383"/>
      <c r="L59" s="3384"/>
    </row>
    <row r="60" spans="2:26" ht="16.5" customHeight="1">
      <c r="B60" s="3385"/>
      <c r="C60" s="3386"/>
      <c r="D60" s="3386"/>
      <c r="E60" s="3386"/>
      <c r="F60" s="3386"/>
      <c r="G60" s="3386"/>
      <c r="H60" s="3386"/>
      <c r="I60" s="3386"/>
      <c r="J60" s="3386"/>
      <c r="K60" s="3386"/>
      <c r="L60" s="3387"/>
    </row>
    <row r="61" spans="2:26" ht="16.5" customHeight="1">
      <c r="B61" s="540"/>
      <c r="C61" s="540"/>
      <c r="D61" s="540"/>
      <c r="E61" s="540"/>
      <c r="F61" s="540"/>
      <c r="G61" s="540"/>
      <c r="H61" s="540"/>
      <c r="I61" s="540"/>
      <c r="J61" s="540"/>
      <c r="K61" s="540"/>
      <c r="L61" s="540"/>
    </row>
    <row r="62" spans="2:26" ht="16.5" customHeight="1"/>
    <row r="63" spans="2:26" ht="16.5" customHeight="1"/>
    <row r="64" spans="2:26" ht="16.5" customHeight="1">
      <c r="B64" s="3319" t="s">
        <v>6740</v>
      </c>
      <c r="C64" s="3320"/>
      <c r="D64" s="3320"/>
      <c r="E64" s="3320"/>
      <c r="F64" s="3320"/>
      <c r="G64" s="3320"/>
      <c r="H64" s="3320"/>
      <c r="I64" s="3320"/>
      <c r="J64" s="3320"/>
      <c r="K64" s="3320"/>
      <c r="L64" s="3320"/>
      <c r="M64" s="3320"/>
      <c r="N64" s="3320"/>
      <c r="O64" s="3320"/>
      <c r="P64" s="3320"/>
      <c r="Q64" s="3320"/>
      <c r="R64" s="3320"/>
      <c r="S64" s="3320"/>
      <c r="T64" s="3320"/>
      <c r="U64" s="3320"/>
      <c r="V64" s="3320"/>
      <c r="W64" s="3320"/>
      <c r="X64" s="3320"/>
      <c r="Y64" s="3320"/>
      <c r="Z64" s="3321"/>
    </row>
    <row r="65" spans="2:26" ht="16.5" customHeight="1">
      <c r="B65" s="3322"/>
      <c r="C65" s="3323"/>
      <c r="D65" s="3323"/>
      <c r="E65" s="3323"/>
      <c r="F65" s="3323"/>
      <c r="G65" s="3323"/>
      <c r="H65" s="3323"/>
      <c r="I65" s="3323"/>
      <c r="J65" s="3323"/>
      <c r="K65" s="3323"/>
      <c r="L65" s="3323"/>
      <c r="M65" s="3323"/>
      <c r="N65" s="3323"/>
      <c r="O65" s="3323"/>
      <c r="P65" s="3323"/>
      <c r="Q65" s="3323"/>
      <c r="R65" s="3323"/>
      <c r="S65" s="3323"/>
      <c r="T65" s="3323"/>
      <c r="U65" s="3323"/>
      <c r="V65" s="3323"/>
      <c r="W65" s="3323"/>
      <c r="X65" s="3323"/>
      <c r="Y65" s="3323"/>
      <c r="Z65" s="3324"/>
    </row>
    <row r="66" spans="2:26" ht="16.5" customHeight="1">
      <c r="B66" s="3325"/>
      <c r="C66" s="3326"/>
      <c r="D66" s="3326"/>
      <c r="E66" s="3326"/>
      <c r="F66" s="3326"/>
      <c r="G66" s="3326"/>
      <c r="H66" s="3326"/>
      <c r="I66" s="3326"/>
      <c r="J66" s="3326"/>
      <c r="K66" s="3326"/>
      <c r="L66" s="3326"/>
      <c r="M66" s="3326"/>
      <c r="N66" s="3326"/>
      <c r="O66" s="3326"/>
      <c r="P66" s="3326"/>
      <c r="Q66" s="3326"/>
      <c r="R66" s="3326"/>
      <c r="S66" s="3326"/>
      <c r="T66" s="3326"/>
      <c r="U66" s="3326"/>
      <c r="V66" s="3326"/>
      <c r="W66" s="3326"/>
      <c r="X66" s="3326"/>
      <c r="Y66" s="3326"/>
      <c r="Z66" s="3327"/>
    </row>
    <row r="67" spans="2:26" ht="16.5" customHeight="1"/>
    <row r="68" spans="2:26" ht="16.5" customHeight="1">
      <c r="B68" s="3049" t="s">
        <v>6741</v>
      </c>
      <c r="C68" s="3050"/>
      <c r="D68" s="3050"/>
      <c r="E68" s="3050"/>
      <c r="F68" s="3050"/>
      <c r="G68" s="3050"/>
      <c r="H68" s="3050"/>
      <c r="I68" s="3050"/>
      <c r="J68" s="3050"/>
      <c r="K68" s="3050"/>
      <c r="L68" s="3050"/>
      <c r="M68" s="3050"/>
      <c r="N68" s="3050"/>
      <c r="O68" s="3050"/>
      <c r="P68" s="3050"/>
      <c r="Q68" s="3050"/>
      <c r="R68" s="3050"/>
      <c r="S68" s="3050"/>
      <c r="T68" s="3050"/>
      <c r="U68" s="3050"/>
      <c r="V68" s="3050"/>
      <c r="W68" s="3050"/>
      <c r="X68" s="3050"/>
      <c r="Y68" s="3050"/>
      <c r="Z68" s="3051"/>
    </row>
    <row r="69" spans="2:26" ht="16.5" customHeight="1">
      <c r="B69" s="3052"/>
      <c r="C69" s="3053"/>
      <c r="D69" s="3053"/>
      <c r="E69" s="3053"/>
      <c r="F69" s="3053"/>
      <c r="G69" s="3053"/>
      <c r="H69" s="3053"/>
      <c r="I69" s="3053"/>
      <c r="J69" s="3053"/>
      <c r="K69" s="3053"/>
      <c r="L69" s="3053"/>
      <c r="M69" s="3053"/>
      <c r="N69" s="3053"/>
      <c r="O69" s="3053"/>
      <c r="P69" s="3053"/>
      <c r="Q69" s="3053"/>
      <c r="R69" s="3053"/>
      <c r="S69" s="3053"/>
      <c r="T69" s="3053"/>
      <c r="U69" s="3053"/>
      <c r="V69" s="3053"/>
      <c r="W69" s="3053"/>
      <c r="X69" s="3053"/>
      <c r="Y69" s="3053"/>
      <c r="Z69" s="3054"/>
    </row>
    <row r="70" spans="2:26" ht="16.5" customHeight="1">
      <c r="B70" s="3388" t="s">
        <v>6742</v>
      </c>
      <c r="C70" s="3389"/>
      <c r="D70" s="3389"/>
      <c r="E70" s="3389"/>
      <c r="F70" s="3389"/>
      <c r="G70" s="3389"/>
      <c r="H70" s="3389"/>
      <c r="I70" s="3389"/>
      <c r="J70" s="3389"/>
      <c r="K70" s="3389"/>
      <c r="L70" s="3389"/>
      <c r="M70" s="3390"/>
      <c r="O70" s="3391" t="s">
        <v>26</v>
      </c>
      <c r="P70" s="3392"/>
      <c r="Q70" s="3392"/>
      <c r="R70" s="3392"/>
      <c r="S70" s="3392"/>
      <c r="T70" s="3392"/>
      <c r="U70" s="3392"/>
      <c r="V70" s="3392"/>
      <c r="W70" s="3392"/>
      <c r="X70" s="3392"/>
      <c r="Y70" s="3392"/>
      <c r="Z70" s="3393"/>
    </row>
    <row r="71" spans="2:26" ht="16.5" customHeight="1">
      <c r="B71" s="3391"/>
      <c r="C71" s="3392"/>
      <c r="D71" s="3392"/>
      <c r="E71" s="3392"/>
      <c r="F71" s="3392"/>
      <c r="G71" s="3392"/>
      <c r="H71" s="3392"/>
      <c r="I71" s="3392"/>
      <c r="J71" s="3392"/>
      <c r="K71" s="3392"/>
      <c r="L71" s="3392"/>
      <c r="M71" s="3393"/>
      <c r="O71" s="3394"/>
      <c r="P71" s="3395"/>
      <c r="Q71" s="3395"/>
      <c r="R71" s="3395"/>
      <c r="S71" s="3395"/>
      <c r="T71" s="3395"/>
      <c r="U71" s="3395"/>
      <c r="V71" s="3395"/>
      <c r="W71" s="3395"/>
      <c r="X71" s="3395"/>
      <c r="Y71" s="3395"/>
      <c r="Z71" s="3396"/>
    </row>
    <row r="72" spans="2:26" ht="16.5" customHeight="1">
      <c r="B72" s="3397" t="s">
        <v>6743</v>
      </c>
      <c r="C72" s="3398"/>
      <c r="D72" s="3398"/>
      <c r="E72" s="3398"/>
      <c r="F72" s="3398"/>
      <c r="G72" s="3398"/>
      <c r="H72" s="3399" t="s">
        <v>6744</v>
      </c>
      <c r="I72" s="3398"/>
      <c r="J72" s="3398"/>
      <c r="K72" s="3398"/>
      <c r="L72" s="3398"/>
      <c r="M72" s="3400"/>
      <c r="O72" s="3307" t="s">
        <v>6745</v>
      </c>
      <c r="P72" s="3308"/>
      <c r="Q72" s="3308"/>
      <c r="R72" s="3308"/>
      <c r="S72" s="3308"/>
      <c r="T72" s="3402"/>
      <c r="U72" s="3308" t="s">
        <v>6746</v>
      </c>
      <c r="V72" s="3308"/>
      <c r="W72" s="3308"/>
      <c r="X72" s="3308"/>
      <c r="Y72" s="3308"/>
      <c r="Z72" s="3309"/>
    </row>
    <row r="73" spans="2:26" ht="16.5" customHeight="1">
      <c r="B73" s="3307"/>
      <c r="C73" s="3308"/>
      <c r="D73" s="3308"/>
      <c r="E73" s="3308"/>
      <c r="F73" s="3308"/>
      <c r="G73" s="3308"/>
      <c r="H73" s="3401"/>
      <c r="I73" s="3308"/>
      <c r="J73" s="3308"/>
      <c r="K73" s="3308"/>
      <c r="L73" s="3308"/>
      <c r="M73" s="3309"/>
      <c r="O73" s="3307"/>
      <c r="P73" s="3308"/>
      <c r="Q73" s="3308"/>
      <c r="R73" s="3308"/>
      <c r="S73" s="3308"/>
      <c r="T73" s="3402"/>
      <c r="U73" s="3308"/>
      <c r="V73" s="3308"/>
      <c r="W73" s="3308"/>
      <c r="X73" s="3308"/>
      <c r="Y73" s="3308"/>
      <c r="Z73" s="3309"/>
    </row>
    <row r="74" spans="2:26" ht="16.5" customHeight="1">
      <c r="B74" s="3307"/>
      <c r="C74" s="3308"/>
      <c r="D74" s="3308"/>
      <c r="E74" s="3308"/>
      <c r="F74" s="3308"/>
      <c r="G74" s="3308"/>
      <c r="H74" s="3401"/>
      <c r="I74" s="3308"/>
      <c r="J74" s="3308"/>
      <c r="K74" s="3308"/>
      <c r="L74" s="3308"/>
      <c r="M74" s="3309"/>
      <c r="O74" s="3307"/>
      <c r="P74" s="3308"/>
      <c r="Q74" s="3308"/>
      <c r="R74" s="3308"/>
      <c r="S74" s="3308"/>
      <c r="T74" s="3402"/>
      <c r="U74" s="3308"/>
      <c r="V74" s="3308"/>
      <c r="W74" s="3308"/>
      <c r="X74" s="3308"/>
      <c r="Y74" s="3308"/>
      <c r="Z74" s="3309"/>
    </row>
    <row r="75" spans="2:26" ht="16.5" customHeight="1">
      <c r="B75" s="3334" t="s">
        <v>6747</v>
      </c>
      <c r="C75" s="3329"/>
      <c r="D75" s="3329"/>
      <c r="E75" s="3329"/>
      <c r="F75" s="3329"/>
      <c r="G75" s="3329"/>
      <c r="H75" s="3328" t="s">
        <v>6748</v>
      </c>
      <c r="I75" s="3329"/>
      <c r="J75" s="3329"/>
      <c r="K75" s="3329"/>
      <c r="L75" s="3329"/>
      <c r="M75" s="3330"/>
      <c r="O75" s="3334" t="s">
        <v>6749</v>
      </c>
      <c r="P75" s="3329"/>
      <c r="Q75" s="3329"/>
      <c r="R75" s="3329"/>
      <c r="S75" s="3329"/>
      <c r="T75" s="3335"/>
      <c r="U75" s="3338" t="s">
        <v>6750</v>
      </c>
      <c r="V75" s="3329"/>
      <c r="W75" s="3329"/>
      <c r="X75" s="3329"/>
      <c r="Y75" s="3329"/>
      <c r="Z75" s="3330"/>
    </row>
    <row r="76" spans="2:26" ht="16.5" customHeight="1">
      <c r="B76" s="3336"/>
      <c r="C76" s="3332"/>
      <c r="D76" s="3332"/>
      <c r="E76" s="3332"/>
      <c r="F76" s="3332"/>
      <c r="G76" s="3332"/>
      <c r="H76" s="3331"/>
      <c r="I76" s="3332"/>
      <c r="J76" s="3332"/>
      <c r="K76" s="3332"/>
      <c r="L76" s="3332"/>
      <c r="M76" s="3333"/>
      <c r="O76" s="3336"/>
      <c r="P76" s="3332"/>
      <c r="Q76" s="3332"/>
      <c r="R76" s="3332"/>
      <c r="S76" s="3332"/>
      <c r="T76" s="3337"/>
      <c r="U76" s="3332"/>
      <c r="V76" s="3332"/>
      <c r="W76" s="3332"/>
      <c r="X76" s="3332"/>
      <c r="Y76" s="3332"/>
      <c r="Z76" s="3333"/>
    </row>
    <row r="77" spans="2:26" ht="16.5" customHeight="1">
      <c r="B77" s="3307" t="s">
        <v>6751</v>
      </c>
      <c r="C77" s="3308"/>
      <c r="D77" s="3308"/>
      <c r="E77" s="3308"/>
      <c r="F77" s="3308"/>
      <c r="G77" s="3308"/>
      <c r="H77" s="3308"/>
      <c r="I77" s="3308"/>
      <c r="J77" s="3308"/>
      <c r="K77" s="3308"/>
      <c r="L77" s="3308"/>
      <c r="M77" s="3309"/>
      <c r="O77" s="3307" t="s">
        <v>6752</v>
      </c>
      <c r="P77" s="3308"/>
      <c r="Q77" s="3308"/>
      <c r="R77" s="3308"/>
      <c r="S77" s="3308"/>
      <c r="T77" s="3308"/>
      <c r="U77" s="3308"/>
      <c r="V77" s="3308"/>
      <c r="W77" s="3308"/>
      <c r="X77" s="3308"/>
      <c r="Y77" s="3308"/>
      <c r="Z77" s="3309"/>
    </row>
    <row r="78" spans="2:26" ht="16.5" customHeight="1">
      <c r="B78" s="3307"/>
      <c r="C78" s="3308"/>
      <c r="D78" s="3308"/>
      <c r="E78" s="3308"/>
      <c r="F78" s="3308"/>
      <c r="G78" s="3308"/>
      <c r="H78" s="3308"/>
      <c r="I78" s="3308"/>
      <c r="J78" s="3308"/>
      <c r="K78" s="3308"/>
      <c r="L78" s="3308"/>
      <c r="M78" s="3309"/>
      <c r="O78" s="3307"/>
      <c r="P78" s="3308"/>
      <c r="Q78" s="3308"/>
      <c r="R78" s="3308"/>
      <c r="S78" s="3308"/>
      <c r="T78" s="3308"/>
      <c r="U78" s="3308"/>
      <c r="V78" s="3308"/>
      <c r="W78" s="3308"/>
      <c r="X78" s="3308"/>
      <c r="Y78" s="3308"/>
      <c r="Z78" s="3309"/>
    </row>
    <row r="79" spans="2:26" ht="16.5" customHeight="1">
      <c r="B79" s="3307"/>
      <c r="C79" s="3308"/>
      <c r="D79" s="3308"/>
      <c r="E79" s="3308"/>
      <c r="F79" s="3308"/>
      <c r="G79" s="3308"/>
      <c r="H79" s="3308"/>
      <c r="I79" s="3308"/>
      <c r="J79" s="3308"/>
      <c r="K79" s="3308"/>
      <c r="L79" s="3308"/>
      <c r="M79" s="3309"/>
      <c r="O79" s="3307"/>
      <c r="P79" s="3308"/>
      <c r="Q79" s="3308"/>
      <c r="R79" s="3308"/>
      <c r="S79" s="3308"/>
      <c r="T79" s="3308"/>
      <c r="U79" s="3308"/>
      <c r="V79" s="3308"/>
      <c r="W79" s="3308"/>
      <c r="X79" s="3308"/>
      <c r="Y79" s="3308"/>
      <c r="Z79" s="3309"/>
    </row>
    <row r="80" spans="2:26" ht="16.5" customHeight="1">
      <c r="B80" s="3339"/>
      <c r="C80" s="3340"/>
      <c r="D80" s="3340"/>
      <c r="E80" s="3340"/>
      <c r="F80" s="3340"/>
      <c r="G80" s="3340"/>
      <c r="H80" s="3340"/>
      <c r="I80" s="3340"/>
      <c r="J80" s="3340"/>
      <c r="K80" s="3340"/>
      <c r="L80" s="3340"/>
      <c r="M80" s="3341"/>
      <c r="O80" s="3339"/>
      <c r="P80" s="3340"/>
      <c r="Q80" s="3340"/>
      <c r="R80" s="3340"/>
      <c r="S80" s="3340"/>
      <c r="T80" s="3340"/>
      <c r="U80" s="3340"/>
      <c r="V80" s="3340"/>
      <c r="W80" s="3340"/>
      <c r="X80" s="3340"/>
      <c r="Y80" s="3340"/>
      <c r="Z80" s="3341"/>
    </row>
    <row r="81" spans="2:29" ht="16.5" customHeight="1">
      <c r="B81" s="3304" t="s">
        <v>6753</v>
      </c>
      <c r="C81" s="3305"/>
      <c r="D81" s="3305"/>
      <c r="E81" s="3305"/>
      <c r="F81" s="3305"/>
      <c r="G81" s="3305"/>
      <c r="H81" s="3305"/>
      <c r="I81" s="3305"/>
      <c r="J81" s="3306"/>
      <c r="K81" s="541"/>
      <c r="L81" s="541"/>
      <c r="M81" s="542"/>
      <c r="N81" s="542"/>
      <c r="O81" s="542"/>
      <c r="P81" s="542"/>
      <c r="Q81" s="542"/>
      <c r="R81" s="542"/>
      <c r="S81" s="542"/>
      <c r="T81" s="542"/>
      <c r="U81" s="542"/>
      <c r="V81" s="542"/>
      <c r="W81" s="542"/>
      <c r="X81" s="542"/>
      <c r="Y81" s="542"/>
      <c r="Z81" s="542"/>
    </row>
    <row r="82" spans="2:29" ht="16.5" customHeight="1">
      <c r="B82" s="3304"/>
      <c r="C82" s="3305"/>
      <c r="D82" s="3305"/>
      <c r="E82" s="3305"/>
      <c r="F82" s="3305"/>
      <c r="G82" s="3305"/>
      <c r="H82" s="3305"/>
      <c r="I82" s="3305"/>
      <c r="J82" s="3306"/>
      <c r="K82" s="541"/>
      <c r="L82" s="541"/>
      <c r="N82" s="10"/>
      <c r="O82" s="10"/>
      <c r="P82" s="10"/>
      <c r="Q82" s="10"/>
      <c r="R82" s="10"/>
      <c r="S82" s="10"/>
      <c r="T82" s="10"/>
      <c r="U82" s="10"/>
      <c r="V82" s="10"/>
      <c r="W82" s="10"/>
      <c r="X82" s="10"/>
      <c r="Y82" s="10"/>
      <c r="Z82" s="10"/>
      <c r="AA82" s="10"/>
    </row>
    <row r="83" spans="2:29" ht="16.5" customHeight="1">
      <c r="B83" s="3304"/>
      <c r="C83" s="3305"/>
      <c r="D83" s="3305"/>
      <c r="E83" s="3305"/>
      <c r="F83" s="3305"/>
      <c r="G83" s="3305"/>
      <c r="H83" s="3305"/>
      <c r="I83" s="3305"/>
      <c r="J83" s="3306"/>
      <c r="K83" s="541"/>
      <c r="L83" s="541"/>
      <c r="N83" s="10"/>
      <c r="O83" s="10"/>
      <c r="P83" s="10"/>
      <c r="Q83" s="10"/>
      <c r="R83" s="10"/>
      <c r="S83" s="10"/>
      <c r="T83" s="10"/>
      <c r="U83" s="10"/>
      <c r="V83" s="10"/>
      <c r="W83" s="10"/>
      <c r="X83" s="10"/>
      <c r="Y83" s="10"/>
      <c r="Z83" s="10"/>
      <c r="AA83" s="10"/>
    </row>
    <row r="84" spans="2:29" ht="16.5" customHeight="1">
      <c r="B84" s="3374" t="s">
        <v>6754</v>
      </c>
      <c r="C84" s="3375"/>
      <c r="D84" s="3375"/>
      <c r="E84" s="3375"/>
      <c r="F84" s="3375"/>
      <c r="G84" s="3375"/>
      <c r="H84" s="3375"/>
      <c r="I84" s="3375"/>
      <c r="J84" s="3376"/>
      <c r="K84" s="543"/>
      <c r="L84" s="543"/>
      <c r="M84" s="522"/>
      <c r="N84" s="522"/>
      <c r="O84" s="522"/>
      <c r="P84" s="522"/>
      <c r="Q84" s="522"/>
      <c r="R84" s="522"/>
      <c r="S84" s="522"/>
    </row>
    <row r="85" spans="2:29" ht="16.5" customHeight="1">
      <c r="B85" s="3088" t="s">
        <v>6755</v>
      </c>
      <c r="C85" s="3077"/>
      <c r="D85" s="3077"/>
      <c r="E85" s="3077"/>
      <c r="F85" s="3077"/>
      <c r="G85" s="3077"/>
      <c r="H85" s="3077"/>
      <c r="I85" s="3077"/>
      <c r="J85" s="3342"/>
      <c r="K85" s="520"/>
      <c r="L85" s="520"/>
      <c r="M85" s="11"/>
      <c r="N85" s="11"/>
      <c r="O85" s="11"/>
      <c r="P85" s="11"/>
      <c r="Q85" s="11"/>
      <c r="R85" s="11"/>
      <c r="S85" s="11"/>
    </row>
    <row r="86" spans="2:29" ht="16.5" customHeight="1">
      <c r="M86" s="11"/>
      <c r="N86" s="11"/>
      <c r="O86" s="11"/>
      <c r="P86" s="11"/>
      <c r="Q86" s="11"/>
      <c r="R86" s="11"/>
      <c r="S86" s="11"/>
    </row>
    <row r="87" spans="2:29" ht="16.5" customHeight="1">
      <c r="M87" s="11"/>
      <c r="N87" s="11"/>
      <c r="O87" s="11"/>
      <c r="P87" s="11"/>
      <c r="Q87" s="11"/>
      <c r="R87" s="11"/>
      <c r="S87" s="11"/>
    </row>
    <row r="88" spans="2:29" ht="16.5" customHeight="1">
      <c r="M88" s="11"/>
      <c r="N88" s="11"/>
      <c r="O88" s="11"/>
      <c r="P88" s="11"/>
      <c r="Q88" s="11"/>
      <c r="R88" s="11"/>
      <c r="S88" s="11"/>
    </row>
    <row r="89" spans="2:29" ht="16.5" customHeight="1">
      <c r="M89" s="11"/>
      <c r="N89" s="11"/>
      <c r="O89" s="11"/>
      <c r="P89" s="11"/>
      <c r="Q89" s="11"/>
      <c r="R89" s="11"/>
      <c r="S89" s="11"/>
    </row>
    <row r="90" spans="2:29" ht="16.5" customHeight="1">
      <c r="M90" s="11"/>
      <c r="N90" s="11"/>
      <c r="O90" s="11"/>
      <c r="P90" s="11"/>
      <c r="Q90" s="11"/>
      <c r="R90" s="11"/>
      <c r="S90" s="11"/>
    </row>
    <row r="91" spans="2:29" ht="16.5" customHeight="1">
      <c r="M91" s="11"/>
      <c r="N91" s="11"/>
      <c r="O91" s="11"/>
      <c r="P91" s="11"/>
      <c r="Q91" s="11"/>
      <c r="R91" s="11"/>
      <c r="S91" s="11"/>
    </row>
    <row r="92" spans="2:29" ht="16.5" customHeight="1">
      <c r="M92" s="11"/>
      <c r="N92" s="11"/>
      <c r="O92" s="11"/>
      <c r="P92" s="11"/>
      <c r="Q92" s="11"/>
      <c r="R92" s="11"/>
      <c r="S92" s="11"/>
      <c r="AB92" s="544"/>
      <c r="AC92" s="544"/>
    </row>
    <row r="93" spans="2:29" ht="16.5" customHeight="1">
      <c r="M93" s="11"/>
      <c r="N93" s="11"/>
      <c r="O93" s="11"/>
      <c r="P93" s="11"/>
      <c r="Q93" s="11"/>
      <c r="R93" s="11"/>
      <c r="S93" s="11"/>
      <c r="AB93" s="544"/>
      <c r="AC93" s="544"/>
    </row>
    <row r="94" spans="2:29" ht="16.5" customHeight="1">
      <c r="B94" s="3049" t="s">
        <v>6756</v>
      </c>
      <c r="C94" s="3050"/>
      <c r="D94" s="3050"/>
      <c r="E94" s="3050"/>
      <c r="F94" s="3050"/>
      <c r="G94" s="3050"/>
      <c r="H94" s="3050"/>
      <c r="I94" s="3050"/>
      <c r="J94" s="3051"/>
      <c r="K94" s="545"/>
      <c r="L94" s="545"/>
      <c r="O94" s="11"/>
      <c r="P94" s="11"/>
      <c r="Q94" s="11"/>
      <c r="R94" s="11"/>
      <c r="S94" s="11"/>
      <c r="T94" s="11"/>
      <c r="U94" s="11"/>
      <c r="V94" s="11"/>
      <c r="W94" s="11"/>
      <c r="X94" s="11"/>
      <c r="Y94" s="11"/>
      <c r="Z94" s="11"/>
    </row>
    <row r="95" spans="2:29" ht="16.5" customHeight="1">
      <c r="B95" s="3294"/>
      <c r="C95" s="3295"/>
      <c r="D95" s="3295"/>
      <c r="E95" s="3295"/>
      <c r="F95" s="3295"/>
      <c r="G95" s="3295"/>
      <c r="H95" s="3295"/>
      <c r="I95" s="3295"/>
      <c r="J95" s="3296"/>
      <c r="K95" s="545"/>
      <c r="L95" s="545"/>
    </row>
    <row r="96" spans="2:29" ht="16.5" customHeight="1">
      <c r="B96" s="3307" t="s">
        <v>6757</v>
      </c>
      <c r="C96" s="3308"/>
      <c r="D96" s="3308"/>
      <c r="E96" s="3308"/>
      <c r="F96" s="3308"/>
      <c r="G96" s="3308"/>
      <c r="H96" s="3308"/>
      <c r="I96" s="3308"/>
      <c r="J96" s="3309"/>
      <c r="K96" s="40"/>
      <c r="L96" s="40"/>
    </row>
    <row r="97" spans="1:28" ht="16.5" customHeight="1">
      <c r="B97" s="3307"/>
      <c r="C97" s="3308"/>
      <c r="D97" s="3308"/>
      <c r="E97" s="3308"/>
      <c r="F97" s="3308"/>
      <c r="G97" s="3308"/>
      <c r="H97" s="3308"/>
      <c r="I97" s="3308"/>
      <c r="J97" s="3309"/>
      <c r="K97" s="40"/>
      <c r="L97" s="40"/>
    </row>
    <row r="98" spans="1:28" ht="16.5" customHeight="1">
      <c r="B98" s="3307"/>
      <c r="C98" s="3308"/>
      <c r="D98" s="3308"/>
      <c r="E98" s="3308"/>
      <c r="F98" s="3308"/>
      <c r="G98" s="3308"/>
      <c r="H98" s="3308"/>
      <c r="I98" s="3308"/>
      <c r="J98" s="3309"/>
      <c r="K98" s="40"/>
      <c r="L98" s="40"/>
    </row>
    <row r="99" spans="1:28" ht="16.5" customHeight="1">
      <c r="B99" s="3307"/>
      <c r="C99" s="3308"/>
      <c r="D99" s="3308"/>
      <c r="E99" s="3308"/>
      <c r="F99" s="3308"/>
      <c r="G99" s="3308"/>
      <c r="H99" s="3308"/>
      <c r="I99" s="3308"/>
      <c r="J99" s="3309"/>
      <c r="K99" s="40"/>
      <c r="L99" s="40"/>
    </row>
    <row r="100" spans="1:28" ht="16.5" customHeight="1">
      <c r="B100" s="3307"/>
      <c r="C100" s="3308"/>
      <c r="D100" s="3308"/>
      <c r="E100" s="3308"/>
      <c r="F100" s="3308"/>
      <c r="G100" s="3308"/>
      <c r="H100" s="3308"/>
      <c r="I100" s="3308"/>
      <c r="J100" s="3309"/>
      <c r="K100" s="206"/>
      <c r="L100" s="206"/>
    </row>
    <row r="101" spans="1:28" ht="16.5" customHeight="1">
      <c r="B101" s="3307"/>
      <c r="C101" s="3308"/>
      <c r="D101" s="3308"/>
      <c r="E101" s="3308"/>
      <c r="F101" s="3308"/>
      <c r="G101" s="3308"/>
      <c r="H101" s="3308"/>
      <c r="I101" s="3308"/>
      <c r="J101" s="3309"/>
      <c r="K101" s="206"/>
      <c r="L101" s="206"/>
    </row>
    <row r="102" spans="1:28" ht="16.5" customHeight="1">
      <c r="B102" s="3310" t="s">
        <v>6758</v>
      </c>
      <c r="C102" s="3311"/>
      <c r="D102" s="3311"/>
      <c r="E102" s="3311"/>
      <c r="F102" s="3311"/>
      <c r="G102" s="3311"/>
      <c r="H102" s="3311"/>
      <c r="I102" s="3311"/>
      <c r="J102" s="3312"/>
      <c r="K102" s="206"/>
      <c r="L102" s="206"/>
    </row>
    <row r="103" spans="1:28" s="393" customFormat="1" ht="16.5" customHeight="1">
      <c r="A103" s="27"/>
      <c r="B103" s="3313"/>
      <c r="C103" s="3314"/>
      <c r="D103" s="3314"/>
      <c r="E103" s="3314"/>
      <c r="F103" s="3314"/>
      <c r="G103" s="3314"/>
      <c r="H103" s="3314"/>
      <c r="I103" s="3314"/>
      <c r="J103" s="3315"/>
      <c r="K103" s="206"/>
      <c r="L103" s="206"/>
      <c r="M103" s="27"/>
      <c r="N103" s="27"/>
      <c r="O103" s="27"/>
      <c r="P103" s="27"/>
      <c r="Q103" s="27"/>
      <c r="R103" s="27"/>
      <c r="S103" s="27"/>
      <c r="T103" s="27"/>
      <c r="U103" s="27"/>
      <c r="V103" s="27"/>
      <c r="W103" s="27"/>
      <c r="X103" s="27"/>
      <c r="Y103" s="27"/>
      <c r="Z103" s="27"/>
      <c r="AA103" s="27"/>
      <c r="AB103" s="27"/>
    </row>
    <row r="104" spans="1:28" ht="16.5" customHeight="1">
      <c r="B104" s="3313"/>
      <c r="C104" s="3314"/>
      <c r="D104" s="3314"/>
      <c r="E104" s="3314"/>
      <c r="F104" s="3314"/>
      <c r="G104" s="3314"/>
      <c r="H104" s="3314"/>
      <c r="I104" s="3314"/>
      <c r="J104" s="3315"/>
    </row>
    <row r="105" spans="1:28" ht="16.5" customHeight="1">
      <c r="B105" s="3316"/>
      <c r="C105" s="3317"/>
      <c r="D105" s="3317"/>
      <c r="E105" s="3317"/>
      <c r="F105" s="3317"/>
      <c r="G105" s="3317"/>
      <c r="H105" s="3317"/>
      <c r="I105" s="3317"/>
      <c r="J105" s="3318"/>
    </row>
    <row r="106" spans="1:28" ht="16.5" customHeight="1"/>
    <row r="107" spans="1:28" ht="16.5" customHeight="1"/>
    <row r="108" spans="1:28" ht="16.5" customHeight="1"/>
    <row r="109" spans="1:28" ht="16.5" customHeight="1"/>
    <row r="110" spans="1:28" ht="16.5" customHeight="1">
      <c r="M110" s="544"/>
      <c r="N110" s="544"/>
      <c r="O110" s="544"/>
      <c r="P110" s="544"/>
      <c r="Q110" s="544"/>
      <c r="R110" s="544"/>
      <c r="S110" s="544"/>
      <c r="T110" s="544"/>
      <c r="U110" s="544"/>
      <c r="V110" s="544"/>
      <c r="W110" s="544"/>
      <c r="X110" s="544"/>
      <c r="Y110" s="544"/>
      <c r="Z110" s="544"/>
      <c r="AA110" s="544"/>
    </row>
    <row r="111" spans="1:28" ht="16.5" customHeight="1">
      <c r="M111" s="544"/>
      <c r="N111" s="544"/>
      <c r="O111" s="544"/>
      <c r="P111" s="544"/>
      <c r="Q111" s="544"/>
      <c r="R111" s="544"/>
      <c r="S111" s="544"/>
      <c r="T111" s="544"/>
      <c r="U111" s="544"/>
      <c r="V111" s="544"/>
      <c r="W111" s="544"/>
      <c r="X111" s="544"/>
      <c r="Y111" s="544"/>
      <c r="Z111" s="544"/>
      <c r="AA111" s="544"/>
    </row>
    <row r="112" spans="1:28" ht="16.5" customHeight="1"/>
    <row r="113" spans="2:26" ht="16.5" customHeight="1">
      <c r="B113" s="3319" t="s">
        <v>6759</v>
      </c>
      <c r="C113" s="3320"/>
      <c r="D113" s="3320"/>
      <c r="E113" s="3320"/>
      <c r="F113" s="3320"/>
      <c r="G113" s="3320"/>
      <c r="H113" s="3320"/>
      <c r="I113" s="3320"/>
      <c r="J113" s="3320"/>
      <c r="K113" s="3320"/>
      <c r="L113" s="3320"/>
      <c r="M113" s="3320"/>
      <c r="N113" s="3320"/>
      <c r="O113" s="3320"/>
      <c r="P113" s="3320"/>
      <c r="Q113" s="3320"/>
      <c r="R113" s="3320"/>
      <c r="S113" s="3320"/>
      <c r="T113" s="3320"/>
      <c r="U113" s="3320"/>
      <c r="V113" s="3320"/>
      <c r="W113" s="3320"/>
      <c r="X113" s="3320"/>
      <c r="Y113" s="3320"/>
      <c r="Z113" s="3321"/>
    </row>
    <row r="114" spans="2:26" ht="16.5" customHeight="1">
      <c r="B114" s="3322"/>
      <c r="C114" s="3323"/>
      <c r="D114" s="3323"/>
      <c r="E114" s="3323"/>
      <c r="F114" s="3323"/>
      <c r="G114" s="3323"/>
      <c r="H114" s="3323"/>
      <c r="I114" s="3323"/>
      <c r="J114" s="3323"/>
      <c r="K114" s="3323"/>
      <c r="L114" s="3323"/>
      <c r="M114" s="3323"/>
      <c r="N114" s="3323"/>
      <c r="O114" s="3323"/>
      <c r="P114" s="3323"/>
      <c r="Q114" s="3323"/>
      <c r="R114" s="3323"/>
      <c r="S114" s="3323"/>
      <c r="T114" s="3323"/>
      <c r="U114" s="3323"/>
      <c r="V114" s="3323"/>
      <c r="W114" s="3323"/>
      <c r="X114" s="3323"/>
      <c r="Y114" s="3323"/>
      <c r="Z114" s="3324"/>
    </row>
    <row r="115" spans="2:26" ht="16.5" customHeight="1">
      <c r="B115" s="3325"/>
      <c r="C115" s="3326"/>
      <c r="D115" s="3326"/>
      <c r="E115" s="3326"/>
      <c r="F115" s="3326"/>
      <c r="G115" s="3326"/>
      <c r="H115" s="3326"/>
      <c r="I115" s="3326"/>
      <c r="J115" s="3326"/>
      <c r="K115" s="3326"/>
      <c r="L115" s="3326"/>
      <c r="M115" s="3326"/>
      <c r="N115" s="3326"/>
      <c r="O115" s="3326"/>
      <c r="P115" s="3326"/>
      <c r="Q115" s="3326"/>
      <c r="R115" s="3326"/>
      <c r="S115" s="3326"/>
      <c r="T115" s="3326"/>
      <c r="U115" s="3326"/>
      <c r="V115" s="3326"/>
      <c r="W115" s="3326"/>
      <c r="X115" s="3326"/>
      <c r="Y115" s="3326"/>
      <c r="Z115" s="3327"/>
    </row>
    <row r="116" spans="2:26" ht="27.15" customHeight="1">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row>
    <row r="117" spans="2:26" ht="16.5" customHeight="1">
      <c r="B117" s="3049" t="s">
        <v>6760</v>
      </c>
      <c r="C117" s="3050"/>
      <c r="D117" s="3050"/>
      <c r="E117" s="3051"/>
      <c r="F117" s="545"/>
      <c r="G117" s="3049" t="s">
        <v>6761</v>
      </c>
      <c r="H117" s="3050"/>
      <c r="I117" s="3050"/>
      <c r="J117" s="3051"/>
      <c r="K117" s="546"/>
      <c r="L117" s="3049" t="s">
        <v>6762</v>
      </c>
      <c r="M117" s="3050"/>
      <c r="N117" s="3050"/>
      <c r="O117" s="3050"/>
      <c r="P117" s="3050"/>
      <c r="Q117" s="3050"/>
      <c r="R117" s="3050"/>
      <c r="S117" s="3051"/>
      <c r="T117" s="208"/>
      <c r="U117" s="3049" t="s">
        <v>6763</v>
      </c>
      <c r="V117" s="3050"/>
      <c r="W117" s="3050"/>
      <c r="X117" s="3050"/>
      <c r="Y117" s="3050"/>
      <c r="Z117" s="3051"/>
    </row>
    <row r="118" spans="2:26" ht="16.5" customHeight="1">
      <c r="B118" s="3294"/>
      <c r="C118" s="3295"/>
      <c r="D118" s="3295"/>
      <c r="E118" s="3296"/>
      <c r="F118" s="545"/>
      <c r="G118" s="3294"/>
      <c r="H118" s="3295"/>
      <c r="I118" s="3295"/>
      <c r="J118" s="3296"/>
      <c r="K118" s="546"/>
      <c r="L118" s="3294"/>
      <c r="M118" s="3295"/>
      <c r="N118" s="3295"/>
      <c r="O118" s="3295"/>
      <c r="P118" s="3295"/>
      <c r="Q118" s="3295"/>
      <c r="R118" s="3295"/>
      <c r="S118" s="3296"/>
      <c r="T118" s="208"/>
      <c r="U118" s="3294"/>
      <c r="V118" s="3295"/>
      <c r="W118" s="3295"/>
      <c r="X118" s="3295"/>
      <c r="Y118" s="3295"/>
      <c r="Z118" s="3296"/>
    </row>
    <row r="119" spans="2:26" ht="16.5" customHeight="1">
      <c r="B119" s="3297" t="s">
        <v>6764</v>
      </c>
      <c r="C119" s="3288"/>
      <c r="D119" s="3288"/>
      <c r="E119" s="3289"/>
      <c r="F119" s="202"/>
      <c r="G119" s="3297" t="s">
        <v>6765</v>
      </c>
      <c r="H119" s="3288"/>
      <c r="I119" s="3288"/>
      <c r="J119" s="3289"/>
      <c r="K119" s="208"/>
      <c r="L119" s="3297" t="s">
        <v>6766</v>
      </c>
      <c r="M119" s="3288"/>
      <c r="N119" s="3288"/>
      <c r="O119" s="3288"/>
      <c r="P119" s="3288"/>
      <c r="Q119" s="3288"/>
      <c r="R119" s="3288"/>
      <c r="S119" s="3289"/>
      <c r="T119" s="208"/>
      <c r="U119" s="3297" t="s">
        <v>6767</v>
      </c>
      <c r="V119" s="3288"/>
      <c r="W119" s="3288"/>
      <c r="X119" s="3288"/>
      <c r="Y119" s="3288"/>
      <c r="Z119" s="3289"/>
    </row>
    <row r="120" spans="2:26" ht="16.5" customHeight="1">
      <c r="B120" s="3297"/>
      <c r="C120" s="3288"/>
      <c r="D120" s="3288"/>
      <c r="E120" s="3289"/>
      <c r="F120" s="202"/>
      <c r="G120" s="3297"/>
      <c r="H120" s="3288"/>
      <c r="I120" s="3288"/>
      <c r="J120" s="3289"/>
      <c r="K120" s="208"/>
      <c r="L120" s="3297"/>
      <c r="M120" s="3288"/>
      <c r="N120" s="3288"/>
      <c r="O120" s="3288"/>
      <c r="P120" s="3288"/>
      <c r="Q120" s="3288"/>
      <c r="R120" s="3288"/>
      <c r="S120" s="3289"/>
      <c r="T120" s="208"/>
      <c r="U120" s="3297"/>
      <c r="V120" s="3288"/>
      <c r="W120" s="3288"/>
      <c r="X120" s="3288"/>
      <c r="Y120" s="3288"/>
      <c r="Z120" s="3289"/>
    </row>
    <row r="121" spans="2:26" ht="16.5" customHeight="1">
      <c r="B121" s="3297"/>
      <c r="C121" s="3288"/>
      <c r="D121" s="3288"/>
      <c r="E121" s="3289"/>
      <c r="F121" s="202"/>
      <c r="G121" s="3297"/>
      <c r="H121" s="3288"/>
      <c r="I121" s="3288"/>
      <c r="J121" s="3289"/>
      <c r="K121" s="208"/>
      <c r="L121" s="3297"/>
      <c r="M121" s="3288"/>
      <c r="N121" s="3288"/>
      <c r="O121" s="3288"/>
      <c r="P121" s="3288"/>
      <c r="Q121" s="3288"/>
      <c r="R121" s="3288"/>
      <c r="S121" s="3289"/>
      <c r="T121" s="208"/>
      <c r="U121" s="3297"/>
      <c r="V121" s="3288"/>
      <c r="W121" s="3288"/>
      <c r="X121" s="3288"/>
      <c r="Y121" s="3288"/>
      <c r="Z121" s="3289"/>
    </row>
    <row r="122" spans="2:26" ht="16.5" customHeight="1">
      <c r="B122" s="3297"/>
      <c r="C122" s="3288"/>
      <c r="D122" s="3288"/>
      <c r="E122" s="3289"/>
      <c r="F122" s="202"/>
      <c r="G122" s="3297"/>
      <c r="H122" s="3288"/>
      <c r="I122" s="3288"/>
      <c r="J122" s="3289"/>
      <c r="K122" s="208"/>
      <c r="L122" s="3297"/>
      <c r="M122" s="3288"/>
      <c r="N122" s="3288"/>
      <c r="O122" s="3288"/>
      <c r="P122" s="3288"/>
      <c r="Q122" s="3288"/>
      <c r="R122" s="3288"/>
      <c r="S122" s="3289"/>
      <c r="T122" s="208"/>
      <c r="U122" s="3297"/>
      <c r="V122" s="3288"/>
      <c r="W122" s="3288"/>
      <c r="X122" s="3288"/>
      <c r="Y122" s="3288"/>
      <c r="Z122" s="3289"/>
    </row>
    <row r="123" spans="2:26" ht="24" customHeight="1">
      <c r="B123" s="3297"/>
      <c r="C123" s="3288"/>
      <c r="D123" s="3288"/>
      <c r="E123" s="3289"/>
      <c r="F123" s="202"/>
      <c r="G123" s="3297"/>
      <c r="H123" s="3288"/>
      <c r="I123" s="3288"/>
      <c r="J123" s="3289"/>
      <c r="K123" s="208"/>
      <c r="L123" s="3297"/>
      <c r="M123" s="3288"/>
      <c r="N123" s="3288"/>
      <c r="O123" s="3288"/>
      <c r="P123" s="3288"/>
      <c r="Q123" s="3288"/>
      <c r="R123" s="3288"/>
      <c r="S123" s="3289"/>
      <c r="T123" s="208"/>
      <c r="U123" s="3297"/>
      <c r="V123" s="3288"/>
      <c r="W123" s="3288"/>
      <c r="X123" s="3288"/>
      <c r="Y123" s="3288"/>
      <c r="Z123" s="3289"/>
    </row>
    <row r="124" spans="2:26" ht="16.5" customHeight="1">
      <c r="B124" s="3297"/>
      <c r="C124" s="3288"/>
      <c r="D124" s="3288"/>
      <c r="E124" s="3289"/>
      <c r="F124" s="202"/>
      <c r="G124" s="3297"/>
      <c r="H124" s="3288"/>
      <c r="I124" s="3288"/>
      <c r="J124" s="3289"/>
      <c r="K124" s="208"/>
      <c r="L124" s="3343" t="s">
        <v>6768</v>
      </c>
      <c r="M124" s="3344"/>
      <c r="N124" s="3344"/>
      <c r="O124" s="3344"/>
      <c r="P124" s="3344"/>
      <c r="Q124" s="3344"/>
      <c r="R124" s="3344"/>
      <c r="S124" s="3345"/>
      <c r="T124" s="208"/>
      <c r="U124" s="3297"/>
      <c r="V124" s="3288"/>
      <c r="W124" s="3288"/>
      <c r="X124" s="3288"/>
      <c r="Y124" s="3288"/>
      <c r="Z124" s="3289"/>
    </row>
    <row r="125" spans="2:26" ht="16.5" customHeight="1">
      <c r="B125" s="3298"/>
      <c r="C125" s="3292"/>
      <c r="D125" s="3292"/>
      <c r="E125" s="3293"/>
      <c r="F125" s="202"/>
      <c r="G125" s="3298"/>
      <c r="H125" s="3292"/>
      <c r="I125" s="3292"/>
      <c r="J125" s="3293"/>
      <c r="K125" s="208"/>
      <c r="L125" s="3297" t="s">
        <v>6769</v>
      </c>
      <c r="M125" s="3288"/>
      <c r="N125" s="3288"/>
      <c r="O125" s="3288"/>
      <c r="P125" s="3288"/>
      <c r="Q125" s="3288"/>
      <c r="R125" s="3288"/>
      <c r="S125" s="3289"/>
      <c r="T125" s="208"/>
      <c r="U125" s="3297"/>
      <c r="V125" s="3288"/>
      <c r="W125" s="3288"/>
      <c r="X125" s="3288"/>
      <c r="Y125" s="3288"/>
      <c r="Z125" s="3289"/>
    </row>
    <row r="126" spans="2:26" ht="16.5" customHeight="1">
      <c r="B126" s="208"/>
      <c r="C126" s="208"/>
      <c r="D126" s="208"/>
      <c r="E126" s="208"/>
      <c r="F126" s="208"/>
      <c r="G126" s="208"/>
      <c r="H126" s="208"/>
      <c r="I126" s="208"/>
      <c r="J126" s="208"/>
      <c r="K126" s="208"/>
      <c r="L126" s="3297"/>
      <c r="M126" s="3288"/>
      <c r="N126" s="3288"/>
      <c r="O126" s="3288"/>
      <c r="P126" s="3288"/>
      <c r="Q126" s="3288"/>
      <c r="R126" s="3288"/>
      <c r="S126" s="3289"/>
      <c r="T126" s="208"/>
      <c r="U126" s="3297"/>
      <c r="V126" s="3288"/>
      <c r="W126" s="3288"/>
      <c r="X126" s="3288"/>
      <c r="Y126" s="3288"/>
      <c r="Z126" s="3289"/>
    </row>
    <row r="127" spans="2:26" ht="16.5" customHeight="1">
      <c r="B127" s="208"/>
      <c r="C127" s="208"/>
      <c r="D127" s="208"/>
      <c r="E127" s="208"/>
      <c r="F127" s="208"/>
      <c r="G127" s="208"/>
      <c r="H127" s="208"/>
      <c r="I127" s="208"/>
      <c r="J127" s="208"/>
      <c r="K127" s="208"/>
      <c r="L127" s="3299" t="s">
        <v>6770</v>
      </c>
      <c r="M127" s="3300"/>
      <c r="N127" s="3300"/>
      <c r="O127" s="3300"/>
      <c r="P127" s="3302" t="s">
        <v>6771</v>
      </c>
      <c r="Q127" s="3300"/>
      <c r="R127" s="3302" t="s">
        <v>6772</v>
      </c>
      <c r="S127" s="3303"/>
      <c r="T127" s="208"/>
      <c r="U127" s="3298"/>
      <c r="V127" s="3292"/>
      <c r="W127" s="3292"/>
      <c r="X127" s="3292"/>
      <c r="Y127" s="3292"/>
      <c r="Z127" s="3293"/>
    </row>
    <row r="128" spans="2:26" ht="16.5" customHeight="1">
      <c r="B128" s="208"/>
      <c r="C128" s="208"/>
      <c r="D128" s="208"/>
      <c r="E128" s="208"/>
      <c r="F128" s="208"/>
      <c r="G128" s="208"/>
      <c r="H128" s="208"/>
      <c r="I128" s="208"/>
      <c r="J128" s="208"/>
      <c r="K128" s="208"/>
      <c r="L128" s="3301"/>
      <c r="M128" s="3300"/>
      <c r="N128" s="3300"/>
      <c r="O128" s="3300"/>
      <c r="P128" s="3300"/>
      <c r="Q128" s="3300"/>
      <c r="R128" s="3300"/>
      <c r="S128" s="3303"/>
      <c r="T128" s="208"/>
      <c r="U128" s="208"/>
      <c r="V128" s="208"/>
      <c r="W128" s="208"/>
      <c r="X128" s="208"/>
      <c r="Y128" s="208"/>
      <c r="Z128" s="208"/>
    </row>
    <row r="129" spans="2:26" ht="16.5" customHeight="1">
      <c r="B129" s="208"/>
      <c r="C129" s="208"/>
      <c r="D129" s="208"/>
      <c r="E129" s="208"/>
      <c r="F129" s="208"/>
      <c r="G129" s="208"/>
      <c r="H129" s="208"/>
      <c r="I129" s="208"/>
      <c r="J129" s="208"/>
      <c r="K129" s="208"/>
      <c r="L129" s="3301"/>
      <c r="M129" s="3300"/>
      <c r="N129" s="3300"/>
      <c r="O129" s="3300"/>
      <c r="P129" s="3302" t="s">
        <v>6773</v>
      </c>
      <c r="Q129" s="3300"/>
      <c r="R129" s="3302" t="s">
        <v>6774</v>
      </c>
      <c r="S129" s="3303"/>
      <c r="T129" s="208"/>
      <c r="U129" s="208"/>
      <c r="V129" s="208"/>
      <c r="W129" s="208"/>
      <c r="X129" s="208"/>
      <c r="Y129" s="208"/>
      <c r="Z129" s="208"/>
    </row>
    <row r="130" spans="2:26" ht="16.5" customHeight="1">
      <c r="B130" s="208"/>
      <c r="C130" s="208"/>
      <c r="D130" s="208"/>
      <c r="E130" s="208"/>
      <c r="F130" s="208"/>
      <c r="G130" s="208"/>
      <c r="H130" s="208"/>
      <c r="I130" s="208"/>
      <c r="J130" s="208"/>
      <c r="K130" s="208"/>
      <c r="L130" s="3301"/>
      <c r="M130" s="3300"/>
      <c r="N130" s="3300"/>
      <c r="O130" s="3300"/>
      <c r="P130" s="3300"/>
      <c r="Q130" s="3300"/>
      <c r="R130" s="3300"/>
      <c r="S130" s="3303"/>
      <c r="T130" s="208"/>
      <c r="U130" s="208"/>
      <c r="V130" s="208"/>
      <c r="W130" s="208"/>
      <c r="X130" s="208"/>
      <c r="Y130" s="208"/>
      <c r="Z130" s="208"/>
    </row>
    <row r="131" spans="2:26" ht="16.5" customHeight="1">
      <c r="B131" s="208"/>
      <c r="C131" s="208"/>
      <c r="D131" s="208"/>
      <c r="E131" s="208"/>
      <c r="F131" s="208"/>
      <c r="G131" s="208"/>
      <c r="H131" s="208"/>
      <c r="I131" s="208"/>
      <c r="J131" s="208"/>
      <c r="K131" s="208"/>
      <c r="L131" s="3346" t="s">
        <v>6775</v>
      </c>
      <c r="M131" s="3347"/>
      <c r="N131" s="3347"/>
      <c r="O131" s="3347"/>
      <c r="P131" s="3347"/>
      <c r="Q131" s="3347"/>
      <c r="R131" s="3347"/>
      <c r="S131" s="3348"/>
      <c r="T131" s="208"/>
      <c r="U131" s="208"/>
      <c r="V131" s="208"/>
      <c r="W131" s="208"/>
      <c r="X131" s="208"/>
      <c r="Y131" s="208"/>
      <c r="Z131" s="208"/>
    </row>
    <row r="132" spans="2:26" ht="25" customHeight="1">
      <c r="B132" s="208"/>
      <c r="C132" s="208"/>
      <c r="D132" s="208"/>
      <c r="E132" s="208"/>
      <c r="F132" s="208"/>
      <c r="G132" s="208"/>
      <c r="H132" s="208"/>
      <c r="I132" s="208"/>
      <c r="J132" s="208"/>
      <c r="K132" s="208"/>
      <c r="L132" s="547" t="s">
        <v>6776</v>
      </c>
      <c r="M132" s="3286" t="s">
        <v>6777</v>
      </c>
      <c r="N132" s="3286"/>
      <c r="O132" s="3286"/>
      <c r="P132" s="3286"/>
      <c r="Q132" s="3286"/>
      <c r="R132" s="3286"/>
      <c r="S132" s="3287"/>
      <c r="T132" s="208"/>
      <c r="U132" s="208"/>
      <c r="V132" s="208"/>
      <c r="W132" s="208"/>
      <c r="X132" s="208"/>
      <c r="Y132" s="208"/>
      <c r="Z132" s="208"/>
    </row>
    <row r="133" spans="2:26" ht="16.5" customHeight="1">
      <c r="B133" s="208"/>
      <c r="C133" s="208"/>
      <c r="D133" s="208"/>
      <c r="E133" s="208"/>
      <c r="F133" s="208"/>
      <c r="G133" s="208"/>
      <c r="H133" s="208"/>
      <c r="I133" s="208"/>
      <c r="J133" s="208"/>
      <c r="K133" s="208"/>
      <c r="L133" s="548"/>
      <c r="M133" s="3288"/>
      <c r="N133" s="3288"/>
      <c r="O133" s="3288"/>
      <c r="P133" s="3288"/>
      <c r="Q133" s="3288"/>
      <c r="R133" s="3288"/>
      <c r="S133" s="3289"/>
      <c r="T133" s="208"/>
      <c r="U133" s="208"/>
      <c r="V133" s="208"/>
      <c r="W133" s="208"/>
      <c r="X133" s="208"/>
      <c r="Y133" s="208"/>
      <c r="Z133" s="208"/>
    </row>
    <row r="134" spans="2:26" ht="16.5" customHeight="1">
      <c r="B134" s="208"/>
      <c r="C134" s="208"/>
      <c r="D134" s="208"/>
      <c r="E134" s="208"/>
      <c r="F134" s="208"/>
      <c r="G134" s="208"/>
      <c r="H134" s="208"/>
      <c r="I134" s="208"/>
      <c r="J134" s="208"/>
      <c r="K134" s="208"/>
      <c r="L134" s="548"/>
      <c r="M134" s="3288"/>
      <c r="N134" s="3288"/>
      <c r="O134" s="3288"/>
      <c r="P134" s="3288"/>
      <c r="Q134" s="3288"/>
      <c r="R134" s="3288"/>
      <c r="S134" s="3289"/>
      <c r="T134" s="208"/>
      <c r="U134" s="208"/>
      <c r="V134" s="208"/>
      <c r="W134" s="208"/>
      <c r="X134" s="208"/>
      <c r="Y134" s="208"/>
      <c r="Z134" s="208"/>
    </row>
    <row r="135" spans="2:26" ht="16.5" customHeight="1">
      <c r="B135" s="208"/>
      <c r="C135" s="208"/>
      <c r="D135" s="208"/>
      <c r="E135" s="208"/>
      <c r="F135" s="208"/>
      <c r="G135" s="208"/>
      <c r="H135" s="208"/>
      <c r="I135" s="208"/>
      <c r="J135" s="208"/>
      <c r="K135" s="208"/>
      <c r="L135" s="548"/>
      <c r="M135" s="3288"/>
      <c r="N135" s="3288"/>
      <c r="O135" s="3288"/>
      <c r="P135" s="3288"/>
      <c r="Q135" s="3288"/>
      <c r="R135" s="3288"/>
      <c r="S135" s="3289"/>
      <c r="T135" s="208"/>
      <c r="U135" s="208"/>
      <c r="V135" s="208"/>
      <c r="W135" s="208"/>
      <c r="X135" s="208"/>
      <c r="Y135" s="208"/>
      <c r="Z135" s="208"/>
    </row>
    <row r="136" spans="2:26" ht="16.5" customHeight="1">
      <c r="B136" s="208"/>
      <c r="C136" s="208"/>
      <c r="D136" s="208"/>
      <c r="E136" s="208"/>
      <c r="F136" s="208"/>
      <c r="G136" s="208"/>
      <c r="H136" s="208"/>
      <c r="I136" s="208"/>
      <c r="J136" s="208"/>
      <c r="K136" s="208"/>
      <c r="L136" s="548"/>
      <c r="M136" s="3288"/>
      <c r="N136" s="3288"/>
      <c r="O136" s="3288"/>
      <c r="P136" s="3288"/>
      <c r="Q136" s="3288"/>
      <c r="R136" s="3288"/>
      <c r="S136" s="3289"/>
      <c r="T136" s="208"/>
      <c r="U136" s="208"/>
      <c r="V136" s="208"/>
      <c r="W136" s="208"/>
      <c r="X136" s="208"/>
      <c r="Y136" s="208"/>
      <c r="Z136" s="208"/>
    </row>
    <row r="137" spans="2:26" ht="16.5" customHeight="1">
      <c r="B137" s="208"/>
      <c r="C137" s="208"/>
      <c r="D137" s="208"/>
      <c r="E137" s="208"/>
      <c r="F137" s="208"/>
      <c r="G137" s="208"/>
      <c r="H137" s="208"/>
      <c r="I137" s="208"/>
      <c r="J137" s="208"/>
      <c r="K137" s="208"/>
      <c r="L137" s="548"/>
      <c r="M137" s="3288"/>
      <c r="N137" s="3288"/>
      <c r="O137" s="3288"/>
      <c r="P137" s="3288"/>
      <c r="Q137" s="3288"/>
      <c r="R137" s="3288"/>
      <c r="S137" s="3289"/>
      <c r="T137" s="208"/>
      <c r="U137" s="208"/>
      <c r="V137" s="208"/>
      <c r="W137" s="208"/>
      <c r="X137" s="208"/>
      <c r="Y137" s="208"/>
      <c r="Z137" s="208"/>
    </row>
    <row r="138" spans="2:26" ht="16.5" customHeight="1">
      <c r="B138" s="208"/>
      <c r="C138" s="208"/>
      <c r="D138" s="208"/>
      <c r="E138" s="208"/>
      <c r="F138" s="208"/>
      <c r="G138" s="208"/>
      <c r="H138" s="208"/>
      <c r="I138" s="208"/>
      <c r="J138" s="208"/>
      <c r="K138" s="208"/>
      <c r="L138" s="548"/>
      <c r="M138" s="3288"/>
      <c r="N138" s="3288"/>
      <c r="O138" s="3288"/>
      <c r="P138" s="3288"/>
      <c r="Q138" s="3288"/>
      <c r="R138" s="3288"/>
      <c r="S138" s="3289"/>
      <c r="T138" s="208"/>
      <c r="U138" s="208"/>
      <c r="V138" s="208"/>
      <c r="W138" s="208"/>
      <c r="X138" s="208"/>
      <c r="Y138" s="208"/>
      <c r="Z138" s="208"/>
    </row>
    <row r="139" spans="2:26" ht="16.5" customHeight="1">
      <c r="B139" s="208"/>
      <c r="C139" s="208"/>
      <c r="D139" s="208"/>
      <c r="E139" s="208"/>
      <c r="F139" s="208"/>
      <c r="G139" s="208"/>
      <c r="H139" s="208"/>
      <c r="I139" s="208"/>
      <c r="J139" s="208"/>
      <c r="K139" s="208"/>
      <c r="L139" s="549"/>
      <c r="M139" s="3290"/>
      <c r="N139" s="3290"/>
      <c r="O139" s="3290"/>
      <c r="P139" s="3290"/>
      <c r="Q139" s="3290"/>
      <c r="R139" s="3290"/>
      <c r="S139" s="3291"/>
      <c r="T139" s="208"/>
      <c r="U139" s="208"/>
      <c r="V139" s="208"/>
      <c r="W139" s="208"/>
      <c r="X139" s="208"/>
      <c r="Y139" s="208"/>
      <c r="Z139" s="208"/>
    </row>
    <row r="140" spans="2:26" ht="16.5" customHeight="1">
      <c r="B140" s="208"/>
      <c r="C140" s="208"/>
      <c r="D140" s="208"/>
      <c r="E140" s="208"/>
      <c r="F140" s="208"/>
      <c r="G140" s="208"/>
      <c r="H140" s="208"/>
      <c r="I140" s="208"/>
      <c r="J140" s="208"/>
      <c r="K140" s="208"/>
      <c r="L140" s="548" t="s">
        <v>6778</v>
      </c>
      <c r="M140" s="3288" t="s">
        <v>6779</v>
      </c>
      <c r="N140" s="3288"/>
      <c r="O140" s="3288"/>
      <c r="P140" s="3288"/>
      <c r="Q140" s="3288"/>
      <c r="R140" s="3288"/>
      <c r="S140" s="3289"/>
      <c r="T140" s="208"/>
      <c r="U140" s="208"/>
      <c r="V140" s="208"/>
      <c r="W140" s="208"/>
      <c r="X140" s="208"/>
      <c r="Y140" s="208"/>
      <c r="Z140" s="208"/>
    </row>
    <row r="141" spans="2:26" ht="16.5" customHeight="1">
      <c r="B141" s="208"/>
      <c r="C141" s="208"/>
      <c r="D141" s="208"/>
      <c r="E141" s="208"/>
      <c r="F141" s="208"/>
      <c r="G141" s="208"/>
      <c r="H141" s="208"/>
      <c r="I141" s="208"/>
      <c r="J141" s="208"/>
      <c r="K141" s="208"/>
      <c r="L141" s="548"/>
      <c r="M141" s="3288"/>
      <c r="N141" s="3288"/>
      <c r="O141" s="3288"/>
      <c r="P141" s="3288"/>
      <c r="Q141" s="3288"/>
      <c r="R141" s="3288"/>
      <c r="S141" s="3289"/>
      <c r="T141" s="208"/>
      <c r="U141" s="208"/>
      <c r="V141" s="208"/>
      <c r="W141" s="208"/>
      <c r="X141" s="208"/>
      <c r="Y141" s="208"/>
      <c r="Z141" s="208"/>
    </row>
    <row r="142" spans="2:26" ht="16.5" customHeight="1">
      <c r="B142" s="208"/>
      <c r="C142" s="208"/>
      <c r="D142" s="208"/>
      <c r="E142" s="208"/>
      <c r="F142" s="208"/>
      <c r="G142" s="208"/>
      <c r="H142" s="208"/>
      <c r="I142" s="208"/>
      <c r="J142" s="208"/>
      <c r="K142" s="208"/>
      <c r="L142" s="548"/>
      <c r="M142" s="3288"/>
      <c r="N142" s="3288"/>
      <c r="O142" s="3288"/>
      <c r="P142" s="3288"/>
      <c r="Q142" s="3288"/>
      <c r="R142" s="3288"/>
      <c r="S142" s="3289"/>
      <c r="T142" s="208"/>
      <c r="U142" s="208"/>
      <c r="V142" s="208"/>
      <c r="W142" s="208"/>
      <c r="X142" s="208"/>
      <c r="Y142" s="208"/>
      <c r="Z142" s="208"/>
    </row>
    <row r="143" spans="2:26" ht="16.5" customHeight="1">
      <c r="B143" s="208"/>
      <c r="C143" s="208"/>
      <c r="D143" s="208"/>
      <c r="E143" s="208"/>
      <c r="F143" s="208"/>
      <c r="G143" s="208"/>
      <c r="H143" s="208"/>
      <c r="I143" s="208"/>
      <c r="J143" s="208"/>
      <c r="K143" s="208"/>
      <c r="L143" s="548"/>
      <c r="M143" s="3288"/>
      <c r="N143" s="3288"/>
      <c r="O143" s="3288"/>
      <c r="P143" s="3288"/>
      <c r="Q143" s="3288"/>
      <c r="R143" s="3288"/>
      <c r="S143" s="3289"/>
      <c r="T143" s="208"/>
      <c r="U143" s="208"/>
      <c r="V143" s="208"/>
      <c r="W143" s="208"/>
      <c r="X143" s="208"/>
      <c r="Y143" s="208"/>
      <c r="Z143" s="208"/>
    </row>
    <row r="144" spans="2:26" ht="16.5" customHeight="1">
      <c r="B144" s="208"/>
      <c r="C144" s="208"/>
      <c r="D144" s="208"/>
      <c r="E144" s="208"/>
      <c r="F144" s="208"/>
      <c r="G144" s="208"/>
      <c r="H144" s="208"/>
      <c r="I144" s="208"/>
      <c r="J144" s="208"/>
      <c r="K144" s="208"/>
      <c r="L144" s="548"/>
      <c r="M144" s="3288"/>
      <c r="N144" s="3288"/>
      <c r="O144" s="3288"/>
      <c r="P144" s="3288"/>
      <c r="Q144" s="3288"/>
      <c r="R144" s="3288"/>
      <c r="S144" s="3289"/>
      <c r="T144" s="208"/>
      <c r="U144" s="208"/>
      <c r="V144" s="208"/>
      <c r="W144" s="208"/>
      <c r="X144" s="208"/>
      <c r="Y144" s="208"/>
      <c r="Z144" s="208"/>
    </row>
    <row r="145" spans="2:26" ht="16.5" customHeight="1">
      <c r="B145" s="208"/>
      <c r="C145" s="208"/>
      <c r="D145" s="208"/>
      <c r="E145" s="208"/>
      <c r="F145" s="208"/>
      <c r="G145" s="208"/>
      <c r="H145" s="208"/>
      <c r="I145" s="208"/>
      <c r="J145" s="208"/>
      <c r="K145" s="208"/>
      <c r="L145" s="548"/>
      <c r="M145" s="3288"/>
      <c r="N145" s="3288"/>
      <c r="O145" s="3288"/>
      <c r="P145" s="3288"/>
      <c r="Q145" s="3288"/>
      <c r="R145" s="3288"/>
      <c r="S145" s="3289"/>
      <c r="T145" s="208"/>
      <c r="U145" s="208"/>
      <c r="V145" s="208"/>
      <c r="W145" s="208"/>
      <c r="X145" s="208"/>
      <c r="Y145" s="208"/>
      <c r="Z145" s="208"/>
    </row>
    <row r="146" spans="2:26" ht="16.5" customHeight="1">
      <c r="B146" s="208"/>
      <c r="C146" s="208"/>
      <c r="D146" s="208"/>
      <c r="E146" s="208"/>
      <c r="F146" s="208"/>
      <c r="G146" s="208"/>
      <c r="H146" s="208"/>
      <c r="I146" s="208"/>
      <c r="J146" s="208"/>
      <c r="K146" s="208"/>
      <c r="L146" s="548"/>
      <c r="M146" s="3288"/>
      <c r="N146" s="3288"/>
      <c r="O146" s="3288"/>
      <c r="P146" s="3288"/>
      <c r="Q146" s="3288"/>
      <c r="R146" s="3288"/>
      <c r="S146" s="3289"/>
      <c r="T146" s="208"/>
      <c r="U146" s="208"/>
      <c r="V146" s="208"/>
      <c r="W146" s="208"/>
      <c r="X146" s="208"/>
      <c r="Y146" s="208"/>
      <c r="Z146" s="208"/>
    </row>
    <row r="147" spans="2:26" ht="16.5" customHeight="1">
      <c r="B147" s="208"/>
      <c r="C147" s="208"/>
      <c r="D147" s="208"/>
      <c r="E147" s="208"/>
      <c r="F147" s="208"/>
      <c r="G147" s="208"/>
      <c r="H147" s="208"/>
      <c r="I147" s="208"/>
      <c r="J147" s="208"/>
      <c r="K147" s="208"/>
      <c r="L147" s="549"/>
      <c r="M147" s="3290"/>
      <c r="N147" s="3290"/>
      <c r="O147" s="3290"/>
      <c r="P147" s="3290"/>
      <c r="Q147" s="3290"/>
      <c r="R147" s="3290"/>
      <c r="S147" s="3291"/>
      <c r="T147" s="208"/>
      <c r="U147" s="208"/>
      <c r="V147" s="208"/>
      <c r="W147" s="208"/>
      <c r="X147" s="208"/>
      <c r="Y147" s="208"/>
      <c r="Z147" s="208"/>
    </row>
    <row r="148" spans="2:26" ht="16.5" customHeight="1">
      <c r="B148" s="208"/>
      <c r="C148" s="208"/>
      <c r="D148" s="208"/>
      <c r="E148" s="208"/>
      <c r="F148" s="208"/>
      <c r="G148" s="208"/>
      <c r="H148" s="208"/>
      <c r="I148" s="208"/>
      <c r="J148" s="208"/>
      <c r="K148" s="208"/>
      <c r="L148" s="548" t="s">
        <v>6780</v>
      </c>
      <c r="M148" s="3288" t="s">
        <v>6781</v>
      </c>
      <c r="N148" s="3288"/>
      <c r="O148" s="3288"/>
      <c r="P148" s="3288"/>
      <c r="Q148" s="3288"/>
      <c r="R148" s="3288"/>
      <c r="S148" s="3289"/>
      <c r="T148" s="208"/>
      <c r="U148" s="208"/>
      <c r="V148" s="208"/>
      <c r="W148" s="208"/>
      <c r="X148" s="208"/>
      <c r="Y148" s="208"/>
      <c r="Z148" s="208"/>
    </row>
    <row r="149" spans="2:26" ht="16.5" customHeight="1">
      <c r="B149" s="208"/>
      <c r="C149" s="208"/>
      <c r="D149" s="208"/>
      <c r="E149" s="208"/>
      <c r="F149" s="208"/>
      <c r="G149" s="208"/>
      <c r="H149" s="208"/>
      <c r="I149" s="208"/>
      <c r="J149" s="208"/>
      <c r="K149" s="208"/>
      <c r="L149" s="548"/>
      <c r="M149" s="3288"/>
      <c r="N149" s="3288"/>
      <c r="O149" s="3288"/>
      <c r="P149" s="3288"/>
      <c r="Q149" s="3288"/>
      <c r="R149" s="3288"/>
      <c r="S149" s="3289"/>
      <c r="T149" s="208"/>
      <c r="U149" s="208"/>
      <c r="V149" s="208"/>
      <c r="W149" s="208"/>
      <c r="X149" s="208"/>
      <c r="Y149" s="208"/>
      <c r="Z149" s="208"/>
    </row>
    <row r="150" spans="2:26" ht="16.5" customHeight="1">
      <c r="B150" s="208"/>
      <c r="C150" s="208"/>
      <c r="D150" s="208"/>
      <c r="E150" s="208"/>
      <c r="F150" s="208"/>
      <c r="G150" s="208"/>
      <c r="H150" s="208"/>
      <c r="I150" s="208"/>
      <c r="J150" s="208"/>
      <c r="K150" s="208"/>
      <c r="L150" s="548"/>
      <c r="M150" s="3288"/>
      <c r="N150" s="3288"/>
      <c r="O150" s="3288"/>
      <c r="P150" s="3288"/>
      <c r="Q150" s="3288"/>
      <c r="R150" s="3288"/>
      <c r="S150" s="3289"/>
      <c r="T150" s="208"/>
      <c r="U150" s="208"/>
      <c r="V150" s="208"/>
      <c r="W150" s="208"/>
      <c r="X150" s="208"/>
      <c r="Y150" s="208"/>
      <c r="Z150" s="208"/>
    </row>
    <row r="151" spans="2:26" ht="16.5" customHeight="1">
      <c r="B151" s="208"/>
      <c r="C151" s="208"/>
      <c r="D151" s="208"/>
      <c r="E151" s="208"/>
      <c r="F151" s="208"/>
      <c r="G151" s="208"/>
      <c r="H151" s="208"/>
      <c r="I151" s="208"/>
      <c r="J151" s="208"/>
      <c r="K151" s="208"/>
      <c r="L151" s="548"/>
      <c r="M151" s="3288"/>
      <c r="N151" s="3288"/>
      <c r="O151" s="3288"/>
      <c r="P151" s="3288"/>
      <c r="Q151" s="3288"/>
      <c r="R151" s="3288"/>
      <c r="S151" s="3289"/>
      <c r="T151" s="208"/>
      <c r="U151" s="208"/>
      <c r="V151" s="208"/>
      <c r="W151" s="208"/>
      <c r="X151" s="208"/>
      <c r="Y151" s="208"/>
      <c r="Z151" s="208"/>
    </row>
    <row r="152" spans="2:26">
      <c r="B152" s="208"/>
      <c r="C152" s="208"/>
      <c r="D152" s="208"/>
      <c r="E152" s="208"/>
      <c r="F152" s="208"/>
      <c r="G152" s="208"/>
      <c r="H152" s="208"/>
      <c r="I152" s="208"/>
      <c r="J152" s="208"/>
      <c r="K152" s="208"/>
      <c r="L152" s="548"/>
      <c r="M152" s="3288"/>
      <c r="N152" s="3288"/>
      <c r="O152" s="3288"/>
      <c r="P152" s="3288"/>
      <c r="Q152" s="3288"/>
      <c r="R152" s="3288"/>
      <c r="S152" s="3289"/>
      <c r="T152" s="208"/>
      <c r="U152" s="208"/>
      <c r="V152" s="208"/>
      <c r="W152" s="208"/>
      <c r="X152" s="208"/>
      <c r="Y152" s="208"/>
      <c r="Z152" s="208"/>
    </row>
    <row r="153" spans="2:26">
      <c r="B153" s="208"/>
      <c r="C153" s="208"/>
      <c r="D153" s="208"/>
      <c r="E153" s="208"/>
      <c r="F153" s="208"/>
      <c r="G153" s="208"/>
      <c r="H153" s="208"/>
      <c r="I153" s="208"/>
      <c r="J153" s="208"/>
      <c r="K153" s="208"/>
      <c r="L153" s="548"/>
      <c r="M153" s="3288"/>
      <c r="N153" s="3288"/>
      <c r="O153" s="3288"/>
      <c r="P153" s="3288"/>
      <c r="Q153" s="3288"/>
      <c r="R153" s="3288"/>
      <c r="S153" s="3289"/>
      <c r="T153" s="208"/>
      <c r="U153" s="208"/>
      <c r="V153" s="208"/>
      <c r="W153" s="208"/>
      <c r="X153" s="208"/>
      <c r="Y153" s="208"/>
      <c r="Z153" s="208"/>
    </row>
    <row r="154" spans="2:26">
      <c r="B154" s="208"/>
      <c r="C154" s="208"/>
      <c r="D154" s="208"/>
      <c r="E154" s="208"/>
      <c r="F154" s="208"/>
      <c r="G154" s="208"/>
      <c r="H154" s="208"/>
      <c r="I154" s="208"/>
      <c r="J154" s="208"/>
      <c r="K154" s="208"/>
      <c r="L154" s="550"/>
      <c r="M154" s="3292"/>
      <c r="N154" s="3292"/>
      <c r="O154" s="3292"/>
      <c r="P154" s="3292"/>
      <c r="Q154" s="3292"/>
      <c r="R154" s="3292"/>
      <c r="S154" s="3293"/>
      <c r="T154" s="551" t="s">
        <v>6782</v>
      </c>
      <c r="U154" s="208"/>
      <c r="V154" s="208"/>
      <c r="W154" s="208"/>
      <c r="X154" s="208"/>
      <c r="Y154" s="208"/>
      <c r="Z154" s="208"/>
    </row>
  </sheetData>
  <protectedRanges>
    <protectedRange sqref="AU41:AV44 AX37:AY40" name="技能表以上_1"/>
  </protectedRanges>
  <mergeCells count="92">
    <mergeCell ref="O4:Z4"/>
    <mergeCell ref="O6:Z6"/>
    <mergeCell ref="O8:Z8"/>
    <mergeCell ref="B10:H10"/>
    <mergeCell ref="I10:J10"/>
    <mergeCell ref="K10:L10"/>
    <mergeCell ref="O10:Z10"/>
    <mergeCell ref="O12:Z12"/>
    <mergeCell ref="O23:Z23"/>
    <mergeCell ref="B24:G24"/>
    <mergeCell ref="H24:L24"/>
    <mergeCell ref="O28:Z28"/>
    <mergeCell ref="I11:J23"/>
    <mergeCell ref="K11:L23"/>
    <mergeCell ref="O14:Z15"/>
    <mergeCell ref="O17:Z18"/>
    <mergeCell ref="O20:Z21"/>
    <mergeCell ref="B25:G38"/>
    <mergeCell ref="H25:L38"/>
    <mergeCell ref="O25:Z26"/>
    <mergeCell ref="O30:Z30"/>
    <mergeCell ref="O32:Z32"/>
    <mergeCell ref="O34:Z34"/>
    <mergeCell ref="N35:Z35"/>
    <mergeCell ref="N38:Z38"/>
    <mergeCell ref="O36:Z37"/>
    <mergeCell ref="N41:Z41"/>
    <mergeCell ref="O43:Z43"/>
    <mergeCell ref="O45:Y45"/>
    <mergeCell ref="B84:J84"/>
    <mergeCell ref="O39:Z40"/>
    <mergeCell ref="B40:L60"/>
    <mergeCell ref="B64:Z66"/>
    <mergeCell ref="B68:Z69"/>
    <mergeCell ref="B70:M71"/>
    <mergeCell ref="O70:Z71"/>
    <mergeCell ref="B72:G74"/>
    <mergeCell ref="H72:M74"/>
    <mergeCell ref="O72:T74"/>
    <mergeCell ref="U72:Z74"/>
    <mergeCell ref="B75:G76"/>
    <mergeCell ref="N25:N26"/>
    <mergeCell ref="N36:N37"/>
    <mergeCell ref="N39:N40"/>
    <mergeCell ref="B4:D9"/>
    <mergeCell ref="E4:F9"/>
    <mergeCell ref="G4:H9"/>
    <mergeCell ref="I4:L9"/>
    <mergeCell ref="B11:H23"/>
    <mergeCell ref="B39:L39"/>
    <mergeCell ref="A2:A23"/>
    <mergeCell ref="M2:M24"/>
    <mergeCell ref="N14:N15"/>
    <mergeCell ref="N17:N18"/>
    <mergeCell ref="N20:N21"/>
    <mergeCell ref="B2:L2"/>
    <mergeCell ref="N2:Z2"/>
    <mergeCell ref="B3:D3"/>
    <mergeCell ref="E3:F3"/>
    <mergeCell ref="G3:H3"/>
    <mergeCell ref="I3:L3"/>
    <mergeCell ref="O3:Z3"/>
    <mergeCell ref="H75:M76"/>
    <mergeCell ref="O75:T76"/>
    <mergeCell ref="U75:Z76"/>
    <mergeCell ref="B77:M80"/>
    <mergeCell ref="O77:Z80"/>
    <mergeCell ref="B81:J83"/>
    <mergeCell ref="B94:J95"/>
    <mergeCell ref="B96:J101"/>
    <mergeCell ref="B102:J105"/>
    <mergeCell ref="B113:Z115"/>
    <mergeCell ref="B85:J85"/>
    <mergeCell ref="U117:Z118"/>
    <mergeCell ref="B119:E125"/>
    <mergeCell ref="G119:J125"/>
    <mergeCell ref="L119:S123"/>
    <mergeCell ref="U119:Z127"/>
    <mergeCell ref="L125:S126"/>
    <mergeCell ref="L127:O130"/>
    <mergeCell ref="P127:Q128"/>
    <mergeCell ref="R127:S128"/>
    <mergeCell ref="P129:Q130"/>
    <mergeCell ref="R129:S130"/>
    <mergeCell ref="L124:S124"/>
    <mergeCell ref="M132:S139"/>
    <mergeCell ref="M140:S147"/>
    <mergeCell ref="M148:S154"/>
    <mergeCell ref="B117:E118"/>
    <mergeCell ref="G117:J118"/>
    <mergeCell ref="L117:S118"/>
    <mergeCell ref="L131:S131"/>
  </mergeCells>
  <phoneticPr fontId="282"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0000000}">
          <x14:formula1>
            <xm:f>附表!$B$95:$B$214</xm:f>
          </x14:formula1>
          <xm:sqref>B4:D9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U192"/>
  <sheetViews>
    <sheetView showGridLines="0" showRowColHeaders="0" topLeftCell="A50" zoomScale="85" zoomScaleNormal="85" workbookViewId="0">
      <selection activeCell="P129" sqref="P129"/>
    </sheetView>
  </sheetViews>
  <sheetFormatPr defaultColWidth="4" defaultRowHeight="16.5"/>
  <cols>
    <col min="1" max="1" width="4" style="470" customWidth="1"/>
    <col min="2" max="2" width="4.36328125" style="471" customWidth="1"/>
    <col min="3" max="7" width="4" style="471" customWidth="1"/>
    <col min="8" max="8" width="4.36328125" style="471" customWidth="1"/>
    <col min="9" max="19" width="4" style="471" customWidth="1"/>
    <col min="20" max="20" width="4.36328125" style="471" customWidth="1"/>
    <col min="21" max="21" width="4" style="471" customWidth="1"/>
    <col min="22" max="16384" width="4" style="471"/>
  </cols>
  <sheetData>
    <row r="1" spans="1:49">
      <c r="A1" s="391"/>
    </row>
    <row r="2" spans="1:49">
      <c r="A2" s="470">
        <f ca="1">RANDBETWEEN(1,6)</f>
        <v>5</v>
      </c>
      <c r="B2" s="3614" t="s">
        <v>6783</v>
      </c>
      <c r="C2" s="3615"/>
      <c r="D2" s="3615"/>
      <c r="E2" s="3615"/>
      <c r="F2" s="3615"/>
      <c r="G2" s="3615"/>
      <c r="H2" s="3615"/>
      <c r="I2" s="3615"/>
      <c r="J2" s="3615"/>
      <c r="K2" s="3615"/>
      <c r="L2" s="3615"/>
      <c r="M2" s="3615"/>
      <c r="N2" s="3615"/>
      <c r="O2" s="3615"/>
      <c r="P2" s="3615"/>
      <c r="Q2" s="3615"/>
      <c r="R2" s="3615"/>
      <c r="S2" s="3615"/>
      <c r="T2" s="3615"/>
      <c r="U2" s="3615"/>
      <c r="V2" s="3615"/>
      <c r="W2" s="3615"/>
      <c r="X2" s="3615"/>
      <c r="Y2" s="3615"/>
      <c r="Z2" s="3615"/>
      <c r="AA2" s="3615"/>
      <c r="AB2" s="3615"/>
      <c r="AC2" s="3615"/>
      <c r="AD2" s="3615"/>
      <c r="AE2" s="3615"/>
      <c r="AF2" s="3615"/>
      <c r="AG2" s="3615"/>
      <c r="AH2" s="3615"/>
      <c r="AI2" s="3615"/>
      <c r="AJ2" s="3615"/>
      <c r="AK2" s="3615"/>
      <c r="AL2" s="3615"/>
      <c r="AM2" s="3615"/>
      <c r="AN2" s="3615"/>
      <c r="AO2" s="3615"/>
      <c r="AP2" s="3615"/>
      <c r="AQ2" s="3615"/>
      <c r="AR2" s="3615"/>
      <c r="AS2" s="3615"/>
      <c r="AT2" s="3615"/>
      <c r="AU2" s="3615"/>
      <c r="AV2" s="3615"/>
      <c r="AW2" s="3616"/>
    </row>
    <row r="3" spans="1:49">
      <c r="A3" s="471"/>
      <c r="B3" s="3621" t="s">
        <v>6784</v>
      </c>
      <c r="C3" s="3622"/>
      <c r="D3" s="3622"/>
      <c r="E3" s="3622"/>
      <c r="F3" s="3622"/>
      <c r="G3" s="3622"/>
      <c r="H3" s="3623" t="s">
        <v>6785</v>
      </c>
      <c r="I3" s="3623"/>
      <c r="J3" s="3623"/>
      <c r="K3" s="3623"/>
      <c r="L3" s="3623"/>
      <c r="M3" s="3623"/>
      <c r="N3" s="3623" t="s">
        <v>6786</v>
      </c>
      <c r="O3" s="3623"/>
      <c r="P3" s="3623"/>
      <c r="Q3" s="3623"/>
      <c r="R3" s="3623"/>
      <c r="S3" s="3623"/>
      <c r="T3" s="3623" t="s">
        <v>6787</v>
      </c>
      <c r="U3" s="3623"/>
      <c r="V3" s="3623"/>
      <c r="W3" s="3623"/>
      <c r="X3" s="3623"/>
      <c r="Y3" s="3623"/>
      <c r="Z3" s="3623" t="s">
        <v>6788</v>
      </c>
      <c r="AA3" s="3623"/>
      <c r="AB3" s="3623"/>
      <c r="AC3" s="3623"/>
      <c r="AD3" s="3623"/>
      <c r="AE3" s="3623"/>
      <c r="AF3" s="3623" t="s">
        <v>6789</v>
      </c>
      <c r="AG3" s="3623"/>
      <c r="AH3" s="3623"/>
      <c r="AI3" s="3623"/>
      <c r="AJ3" s="3623"/>
      <c r="AK3" s="3623"/>
      <c r="AL3" s="3623" t="s">
        <v>6790</v>
      </c>
      <c r="AM3" s="3623"/>
      <c r="AN3" s="3623"/>
      <c r="AO3" s="3623"/>
      <c r="AP3" s="3623"/>
      <c r="AQ3" s="3623"/>
      <c r="AR3" s="3623" t="s">
        <v>6791</v>
      </c>
      <c r="AS3" s="3623"/>
      <c r="AT3" s="3623"/>
      <c r="AU3" s="3623"/>
      <c r="AV3" s="3623"/>
      <c r="AW3" s="3624"/>
    </row>
    <row r="4" spans="1:49">
      <c r="A4" s="471"/>
      <c r="B4" s="3561" t="s">
        <v>6792</v>
      </c>
      <c r="C4" s="3558"/>
      <c r="D4" s="3558"/>
      <c r="E4" s="3558"/>
      <c r="F4" s="3558"/>
      <c r="G4" s="3558"/>
      <c r="H4" s="3564" t="s">
        <v>6792</v>
      </c>
      <c r="I4" s="3558"/>
      <c r="J4" s="3558"/>
      <c r="K4" s="3558"/>
      <c r="L4" s="3558"/>
      <c r="M4" s="3558"/>
      <c r="N4" s="3566" t="s">
        <v>6793</v>
      </c>
      <c r="O4" s="3501"/>
      <c r="P4" s="3501"/>
      <c r="Q4" s="3501"/>
      <c r="R4" s="3501"/>
      <c r="S4" s="3567"/>
      <c r="T4" s="3558" t="s">
        <v>6792</v>
      </c>
      <c r="U4" s="3558"/>
      <c r="V4" s="3558"/>
      <c r="W4" s="3558"/>
      <c r="X4" s="3558"/>
      <c r="Y4" s="3558"/>
      <c r="Z4" s="3571" t="s">
        <v>6792</v>
      </c>
      <c r="AA4" s="3558"/>
      <c r="AB4" s="3558"/>
      <c r="AC4" s="3558"/>
      <c r="AD4" s="3558"/>
      <c r="AE4" s="3558"/>
      <c r="AF4" s="3566" t="s">
        <v>6793</v>
      </c>
      <c r="AG4" s="3501"/>
      <c r="AH4" s="3501"/>
      <c r="AI4" s="3501"/>
      <c r="AJ4" s="3501"/>
      <c r="AK4" s="3501"/>
      <c r="AL4" s="3573" t="s">
        <v>6792</v>
      </c>
      <c r="AM4" s="3558"/>
      <c r="AN4" s="3558"/>
      <c r="AO4" s="3558"/>
      <c r="AP4" s="3558"/>
      <c r="AQ4" s="3558"/>
      <c r="AR4" s="3566" t="s">
        <v>6793</v>
      </c>
      <c r="AS4" s="3501"/>
      <c r="AT4" s="3501"/>
      <c r="AU4" s="3501"/>
      <c r="AV4" s="3501"/>
      <c r="AW4" s="3574"/>
    </row>
    <row r="5" spans="1:49">
      <c r="A5" s="471"/>
      <c r="B5" s="3562"/>
      <c r="C5" s="3563"/>
      <c r="D5" s="3563"/>
      <c r="E5" s="3563"/>
      <c r="F5" s="3563"/>
      <c r="G5" s="3563"/>
      <c r="H5" s="3565"/>
      <c r="I5" s="3563"/>
      <c r="J5" s="3563"/>
      <c r="K5" s="3563"/>
      <c r="L5" s="3563"/>
      <c r="M5" s="3563"/>
      <c r="N5" s="3568"/>
      <c r="O5" s="3569"/>
      <c r="P5" s="3569"/>
      <c r="Q5" s="3569"/>
      <c r="R5" s="3569"/>
      <c r="S5" s="3570"/>
      <c r="T5" s="3563"/>
      <c r="U5" s="3563"/>
      <c r="V5" s="3563"/>
      <c r="W5" s="3563"/>
      <c r="X5" s="3563"/>
      <c r="Y5" s="3563"/>
      <c r="Z5" s="3572"/>
      <c r="AA5" s="3563"/>
      <c r="AB5" s="3563"/>
      <c r="AC5" s="3563"/>
      <c r="AD5" s="3563"/>
      <c r="AE5" s="3563"/>
      <c r="AF5" s="3568"/>
      <c r="AG5" s="3569"/>
      <c r="AH5" s="3569"/>
      <c r="AI5" s="3569"/>
      <c r="AJ5" s="3569"/>
      <c r="AK5" s="3569"/>
      <c r="AL5" s="3565"/>
      <c r="AM5" s="3563"/>
      <c r="AN5" s="3563"/>
      <c r="AO5" s="3563"/>
      <c r="AP5" s="3563"/>
      <c r="AQ5" s="3563"/>
      <c r="AR5" s="3568"/>
      <c r="AS5" s="3569"/>
      <c r="AT5" s="3569"/>
      <c r="AU5" s="3569"/>
      <c r="AV5" s="3569"/>
      <c r="AW5" s="3575"/>
    </row>
    <row r="6" spans="1:49">
      <c r="A6" s="471"/>
    </row>
    <row r="7" spans="1:49">
      <c r="A7" s="470">
        <f t="shared" ref="A7:A10" ca="1" si="0">RANDBETWEEN(1,6)</f>
        <v>4</v>
      </c>
      <c r="B7" s="3614" t="s">
        <v>6794</v>
      </c>
      <c r="C7" s="3615"/>
      <c r="D7" s="3615"/>
      <c r="E7" s="3615"/>
      <c r="F7" s="3615"/>
      <c r="G7" s="3615"/>
      <c r="H7" s="3615"/>
      <c r="I7" s="3615"/>
      <c r="J7" s="3615"/>
      <c r="K7" s="3615"/>
      <c r="L7" s="3615"/>
      <c r="M7" s="3615"/>
      <c r="N7" s="3615"/>
      <c r="O7" s="3615"/>
      <c r="P7" s="3615"/>
      <c r="Q7" s="3615"/>
      <c r="R7" s="3615"/>
      <c r="S7" s="3615"/>
      <c r="T7" s="3615"/>
      <c r="U7" s="3615"/>
      <c r="V7" s="3615"/>
      <c r="W7" s="3615"/>
      <c r="X7" s="3615"/>
      <c r="Y7" s="3615"/>
      <c r="Z7" s="3615"/>
      <c r="AA7" s="3615"/>
      <c r="AB7" s="3615"/>
      <c r="AC7" s="3615"/>
      <c r="AD7" s="3615"/>
      <c r="AE7" s="3615"/>
      <c r="AF7" s="3615"/>
      <c r="AG7" s="3615"/>
      <c r="AH7" s="3615"/>
      <c r="AI7" s="3615"/>
      <c r="AJ7" s="3615"/>
      <c r="AK7" s="3615"/>
      <c r="AL7" s="3615"/>
      <c r="AM7" s="3615"/>
      <c r="AN7" s="3615"/>
      <c r="AO7" s="3615"/>
      <c r="AP7" s="3615"/>
      <c r="AQ7" s="3615"/>
      <c r="AR7" s="3615"/>
      <c r="AS7" s="3615"/>
      <c r="AT7" s="3615"/>
      <c r="AU7" s="3615"/>
      <c r="AV7" s="3615"/>
      <c r="AW7" s="3616"/>
    </row>
    <row r="8" spans="1:49">
      <c r="A8" s="470">
        <f t="shared" ca="1" si="0"/>
        <v>4</v>
      </c>
      <c r="B8" s="3617" t="s">
        <v>6784</v>
      </c>
      <c r="C8" s="3618"/>
      <c r="D8" s="3618"/>
      <c r="E8" s="3618"/>
      <c r="F8" s="3618"/>
      <c r="G8" s="3618"/>
      <c r="H8" s="3619" t="s">
        <v>6785</v>
      </c>
      <c r="I8" s="3619"/>
      <c r="J8" s="3619"/>
      <c r="K8" s="3619"/>
      <c r="L8" s="3619"/>
      <c r="M8" s="3619"/>
      <c r="N8" s="3619" t="s">
        <v>6786</v>
      </c>
      <c r="O8" s="3619"/>
      <c r="P8" s="3619"/>
      <c r="Q8" s="3619"/>
      <c r="R8" s="3619"/>
      <c r="S8" s="3619"/>
      <c r="T8" s="3619" t="s">
        <v>6787</v>
      </c>
      <c r="U8" s="3619"/>
      <c r="V8" s="3619"/>
      <c r="W8" s="3619"/>
      <c r="X8" s="3619"/>
      <c r="Y8" s="3619"/>
      <c r="Z8" s="3619" t="s">
        <v>6788</v>
      </c>
      <c r="AA8" s="3619"/>
      <c r="AB8" s="3619"/>
      <c r="AC8" s="3619"/>
      <c r="AD8" s="3619"/>
      <c r="AE8" s="3619"/>
      <c r="AF8" s="3619" t="s">
        <v>6789</v>
      </c>
      <c r="AG8" s="3619"/>
      <c r="AH8" s="3619"/>
      <c r="AI8" s="3619"/>
      <c r="AJ8" s="3619"/>
      <c r="AK8" s="3619"/>
      <c r="AL8" s="3619" t="s">
        <v>6790</v>
      </c>
      <c r="AM8" s="3619"/>
      <c r="AN8" s="3619"/>
      <c r="AO8" s="3619"/>
      <c r="AP8" s="3619"/>
      <c r="AQ8" s="3619"/>
      <c r="AR8" s="3619" t="s">
        <v>6791</v>
      </c>
      <c r="AS8" s="3619"/>
      <c r="AT8" s="3619"/>
      <c r="AU8" s="3619"/>
      <c r="AV8" s="3619"/>
      <c r="AW8" s="3620"/>
    </row>
    <row r="9" spans="1:49">
      <c r="A9" s="470">
        <f t="shared" ca="1" si="0"/>
        <v>5</v>
      </c>
      <c r="B9" s="3577">
        <v>0</v>
      </c>
      <c r="C9" s="3021" t="s">
        <v>6795</v>
      </c>
      <c r="D9" s="3021"/>
      <c r="E9" s="3021"/>
      <c r="F9" s="3021"/>
      <c r="G9" s="3021"/>
      <c r="H9" s="3554">
        <v>0</v>
      </c>
      <c r="I9" s="3554" t="s">
        <v>6796</v>
      </c>
      <c r="J9" s="3554"/>
      <c r="K9" s="3554"/>
      <c r="L9" s="3554"/>
      <c r="M9" s="3554"/>
      <c r="N9" s="3554">
        <v>0</v>
      </c>
      <c r="O9" s="3554" t="s">
        <v>6797</v>
      </c>
      <c r="P9" s="3554"/>
      <c r="Q9" s="3554"/>
      <c r="R9" s="3554"/>
      <c r="S9" s="3554"/>
      <c r="T9" s="3554">
        <v>0</v>
      </c>
      <c r="U9" s="3554" t="s">
        <v>6798</v>
      </c>
      <c r="V9" s="3554"/>
      <c r="W9" s="3554"/>
      <c r="X9" s="3554"/>
      <c r="Y9" s="3554"/>
      <c r="Z9" s="3554">
        <v>0</v>
      </c>
      <c r="AA9" s="3021" t="s">
        <v>6799</v>
      </c>
      <c r="AB9" s="3021"/>
      <c r="AC9" s="3021"/>
      <c r="AD9" s="3021"/>
      <c r="AE9" s="3021"/>
      <c r="AF9" s="3554">
        <v>0</v>
      </c>
      <c r="AG9" s="3021" t="s">
        <v>6800</v>
      </c>
      <c r="AH9" s="3021"/>
      <c r="AI9" s="3021"/>
      <c r="AJ9" s="3021"/>
      <c r="AK9" s="3021"/>
      <c r="AL9" s="3554">
        <v>0</v>
      </c>
      <c r="AM9" s="3021" t="s">
        <v>6801</v>
      </c>
      <c r="AN9" s="3021"/>
      <c r="AO9" s="3021"/>
      <c r="AP9" s="3021"/>
      <c r="AQ9" s="3021"/>
      <c r="AR9" s="3554">
        <v>0</v>
      </c>
      <c r="AS9" s="3554" t="s">
        <v>6802</v>
      </c>
      <c r="AT9" s="3554"/>
      <c r="AU9" s="3554"/>
      <c r="AV9" s="3554"/>
      <c r="AW9" s="3576"/>
    </row>
    <row r="10" spans="1:49">
      <c r="A10" s="470">
        <f t="shared" ca="1" si="0"/>
        <v>5</v>
      </c>
      <c r="B10" s="3577"/>
      <c r="C10" s="3021"/>
      <c r="D10" s="3021"/>
      <c r="E10" s="3021"/>
      <c r="F10" s="3021"/>
      <c r="G10" s="3021"/>
      <c r="H10" s="3554"/>
      <c r="I10" s="3554"/>
      <c r="J10" s="3554"/>
      <c r="K10" s="3554"/>
      <c r="L10" s="3554"/>
      <c r="M10" s="3554"/>
      <c r="N10" s="3554"/>
      <c r="O10" s="3554"/>
      <c r="P10" s="3554"/>
      <c r="Q10" s="3554"/>
      <c r="R10" s="3554"/>
      <c r="S10" s="3554"/>
      <c r="T10" s="3554"/>
      <c r="U10" s="3554"/>
      <c r="V10" s="3554"/>
      <c r="W10" s="3554"/>
      <c r="X10" s="3554"/>
      <c r="Y10" s="3554"/>
      <c r="Z10" s="3554"/>
      <c r="AA10" s="3021"/>
      <c r="AB10" s="3021"/>
      <c r="AC10" s="3021"/>
      <c r="AD10" s="3021"/>
      <c r="AE10" s="3021"/>
      <c r="AF10" s="3554"/>
      <c r="AG10" s="3021"/>
      <c r="AH10" s="3021"/>
      <c r="AI10" s="3021"/>
      <c r="AJ10" s="3021"/>
      <c r="AK10" s="3021"/>
      <c r="AL10" s="3554"/>
      <c r="AM10" s="3021"/>
      <c r="AN10" s="3021"/>
      <c r="AO10" s="3021"/>
      <c r="AP10" s="3021"/>
      <c r="AQ10" s="3021"/>
      <c r="AR10" s="3554"/>
      <c r="AS10" s="3554"/>
      <c r="AT10" s="3554"/>
      <c r="AU10" s="3554"/>
      <c r="AV10" s="3554"/>
      <c r="AW10" s="3576"/>
    </row>
    <row r="11" spans="1:49">
      <c r="B11" s="3578"/>
      <c r="C11" s="3058"/>
      <c r="D11" s="3058"/>
      <c r="E11" s="3058"/>
      <c r="F11" s="3058"/>
      <c r="G11" s="3058"/>
      <c r="H11" s="3559">
        <v>1</v>
      </c>
      <c r="I11" s="3058" t="s">
        <v>6803</v>
      </c>
      <c r="J11" s="3058"/>
      <c r="K11" s="3058"/>
      <c r="L11" s="3058"/>
      <c r="M11" s="3058"/>
      <c r="N11" s="3559">
        <v>1</v>
      </c>
      <c r="O11" s="3559" t="s">
        <v>6804</v>
      </c>
      <c r="P11" s="3559"/>
      <c r="Q11" s="3559"/>
      <c r="R11" s="3559"/>
      <c r="S11" s="3559"/>
      <c r="T11" s="3559"/>
      <c r="U11" s="3559"/>
      <c r="V11" s="3559"/>
      <c r="W11" s="3559"/>
      <c r="X11" s="3559"/>
      <c r="Y11" s="3559"/>
      <c r="Z11" s="3559"/>
      <c r="AA11" s="3058"/>
      <c r="AB11" s="3058"/>
      <c r="AC11" s="3058"/>
      <c r="AD11" s="3058"/>
      <c r="AE11" s="3058"/>
      <c r="AF11" s="3559"/>
      <c r="AG11" s="3058"/>
      <c r="AH11" s="3058"/>
      <c r="AI11" s="3058"/>
      <c r="AJ11" s="3058"/>
      <c r="AK11" s="3058"/>
      <c r="AL11" s="3558"/>
      <c r="AM11" s="3558"/>
      <c r="AN11" s="3558"/>
      <c r="AO11" s="3558"/>
      <c r="AP11" s="3558"/>
      <c r="AQ11" s="3558"/>
      <c r="AR11" s="3559">
        <v>15</v>
      </c>
      <c r="AS11" s="3559" t="s">
        <v>6805</v>
      </c>
      <c r="AT11" s="3559"/>
      <c r="AU11" s="3559"/>
      <c r="AV11" s="3559"/>
      <c r="AW11" s="3560"/>
    </row>
    <row r="12" spans="1:49">
      <c r="A12" s="470">
        <f t="shared" ref="A12:A17" ca="1" si="1">RANDBETWEEN(1,6)</f>
        <v>5</v>
      </c>
      <c r="B12" s="3578"/>
      <c r="C12" s="3058"/>
      <c r="D12" s="3058"/>
      <c r="E12" s="3058"/>
      <c r="F12" s="3058"/>
      <c r="G12" s="3058"/>
      <c r="H12" s="3559"/>
      <c r="I12" s="3058"/>
      <c r="J12" s="3058"/>
      <c r="K12" s="3058"/>
      <c r="L12" s="3058"/>
      <c r="M12" s="3058"/>
      <c r="N12" s="3559"/>
      <c r="O12" s="3559"/>
      <c r="P12" s="3559"/>
      <c r="Q12" s="3559"/>
      <c r="R12" s="3559"/>
      <c r="S12" s="3559"/>
      <c r="T12" s="3559"/>
      <c r="U12" s="3559"/>
      <c r="V12" s="3559"/>
      <c r="W12" s="3559"/>
      <c r="X12" s="3559"/>
      <c r="Y12" s="3559"/>
      <c r="Z12" s="3559"/>
      <c r="AA12" s="3058"/>
      <c r="AB12" s="3058"/>
      <c r="AC12" s="3058"/>
      <c r="AD12" s="3058"/>
      <c r="AE12" s="3058"/>
      <c r="AF12" s="3559"/>
      <c r="AG12" s="3058"/>
      <c r="AH12" s="3058"/>
      <c r="AI12" s="3058"/>
      <c r="AJ12" s="3058"/>
      <c r="AK12" s="3058"/>
      <c r="AL12" s="3558"/>
      <c r="AM12" s="3558"/>
      <c r="AN12" s="3558"/>
      <c r="AO12" s="3558"/>
      <c r="AP12" s="3558"/>
      <c r="AQ12" s="3558"/>
      <c r="AR12" s="3559"/>
      <c r="AS12" s="3559"/>
      <c r="AT12" s="3559"/>
      <c r="AU12" s="3559"/>
      <c r="AV12" s="3559"/>
      <c r="AW12" s="3560"/>
    </row>
    <row r="13" spans="1:49">
      <c r="A13" s="470">
        <f t="shared" ca="1" si="1"/>
        <v>4</v>
      </c>
      <c r="B13" s="3577">
        <v>15</v>
      </c>
      <c r="C13" s="3021" t="s">
        <v>6806</v>
      </c>
      <c r="D13" s="3021"/>
      <c r="E13" s="3021"/>
      <c r="F13" s="3021"/>
      <c r="G13" s="3021"/>
      <c r="H13" s="3554">
        <v>15</v>
      </c>
      <c r="I13" s="3021" t="s">
        <v>6807</v>
      </c>
      <c r="J13" s="3021"/>
      <c r="K13" s="3021"/>
      <c r="L13" s="3021"/>
      <c r="M13" s="3021"/>
      <c r="N13" s="3554">
        <v>15</v>
      </c>
      <c r="O13" s="3021" t="s">
        <v>6808</v>
      </c>
      <c r="P13" s="3021"/>
      <c r="Q13" s="3021"/>
      <c r="R13" s="3021"/>
      <c r="S13" s="3021"/>
      <c r="T13" s="3554">
        <v>15</v>
      </c>
      <c r="U13" s="3021" t="s">
        <v>6809</v>
      </c>
      <c r="V13" s="3021"/>
      <c r="W13" s="3021"/>
      <c r="X13" s="3021"/>
      <c r="Y13" s="3021"/>
      <c r="Z13" s="3554">
        <v>15</v>
      </c>
      <c r="AA13" s="3021" t="s">
        <v>6810</v>
      </c>
      <c r="AB13" s="3021"/>
      <c r="AC13" s="3021"/>
      <c r="AD13" s="3021"/>
      <c r="AE13" s="3021"/>
      <c r="AF13" s="3554">
        <v>15</v>
      </c>
      <c r="AG13" s="3021" t="s">
        <v>6811</v>
      </c>
      <c r="AH13" s="3021"/>
      <c r="AI13" s="3021"/>
      <c r="AJ13" s="3021"/>
      <c r="AK13" s="3021"/>
      <c r="AL13" s="3554">
        <v>15</v>
      </c>
      <c r="AM13" s="3021" t="s">
        <v>6812</v>
      </c>
      <c r="AN13" s="3021"/>
      <c r="AO13" s="3021"/>
      <c r="AP13" s="3021"/>
      <c r="AQ13" s="3021"/>
      <c r="AR13" s="3554">
        <v>60</v>
      </c>
      <c r="AS13" s="3021" t="s">
        <v>6813</v>
      </c>
      <c r="AT13" s="3021"/>
      <c r="AU13" s="3021"/>
      <c r="AV13" s="3021"/>
      <c r="AW13" s="3556"/>
    </row>
    <row r="14" spans="1:49">
      <c r="A14" s="470">
        <f t="shared" ca="1" si="1"/>
        <v>3</v>
      </c>
      <c r="B14" s="3577"/>
      <c r="C14" s="3021"/>
      <c r="D14" s="3021"/>
      <c r="E14" s="3021"/>
      <c r="F14" s="3021"/>
      <c r="G14" s="3021"/>
      <c r="H14" s="3554"/>
      <c r="I14" s="3021"/>
      <c r="J14" s="3021"/>
      <c r="K14" s="3021"/>
      <c r="L14" s="3021"/>
      <c r="M14" s="3021"/>
      <c r="N14" s="3554"/>
      <c r="O14" s="3021"/>
      <c r="P14" s="3021"/>
      <c r="Q14" s="3021"/>
      <c r="R14" s="3021"/>
      <c r="S14" s="3021"/>
      <c r="T14" s="3554"/>
      <c r="U14" s="3021"/>
      <c r="V14" s="3021"/>
      <c r="W14" s="3021"/>
      <c r="X14" s="3021"/>
      <c r="Y14" s="3021"/>
      <c r="Z14" s="3554"/>
      <c r="AA14" s="3021"/>
      <c r="AB14" s="3021"/>
      <c r="AC14" s="3021"/>
      <c r="AD14" s="3021"/>
      <c r="AE14" s="3021"/>
      <c r="AF14" s="3554"/>
      <c r="AG14" s="3021"/>
      <c r="AH14" s="3021"/>
      <c r="AI14" s="3021"/>
      <c r="AJ14" s="3021"/>
      <c r="AK14" s="3021"/>
      <c r="AL14" s="3554"/>
      <c r="AM14" s="3021"/>
      <c r="AN14" s="3021"/>
      <c r="AO14" s="3021"/>
      <c r="AP14" s="3021"/>
      <c r="AQ14" s="3021"/>
      <c r="AR14" s="3554"/>
      <c r="AS14" s="3021"/>
      <c r="AT14" s="3021"/>
      <c r="AU14" s="3021"/>
      <c r="AV14" s="3021"/>
      <c r="AW14" s="3556"/>
    </row>
    <row r="15" spans="1:49">
      <c r="A15" s="470">
        <f t="shared" ca="1" si="1"/>
        <v>1</v>
      </c>
      <c r="B15" s="3578">
        <v>50</v>
      </c>
      <c r="C15" s="3058" t="s">
        <v>6814</v>
      </c>
      <c r="D15" s="3058"/>
      <c r="E15" s="3058"/>
      <c r="F15" s="3058"/>
      <c r="G15" s="3058"/>
      <c r="H15" s="3559">
        <v>50</v>
      </c>
      <c r="I15" s="3058" t="s">
        <v>6815</v>
      </c>
      <c r="J15" s="3058"/>
      <c r="K15" s="3058"/>
      <c r="L15" s="3058"/>
      <c r="M15" s="3058"/>
      <c r="N15" s="3559">
        <v>65</v>
      </c>
      <c r="O15" s="3058" t="s">
        <v>6816</v>
      </c>
      <c r="P15" s="3058"/>
      <c r="Q15" s="3058"/>
      <c r="R15" s="3058"/>
      <c r="S15" s="3058"/>
      <c r="T15" s="3559">
        <v>50</v>
      </c>
      <c r="U15" s="3058" t="s">
        <v>6815</v>
      </c>
      <c r="V15" s="3058"/>
      <c r="W15" s="3058"/>
      <c r="X15" s="3058"/>
      <c r="Y15" s="3058"/>
      <c r="Z15" s="3559">
        <v>50</v>
      </c>
      <c r="AA15" s="3058" t="s">
        <v>6814</v>
      </c>
      <c r="AB15" s="3058"/>
      <c r="AC15" s="3058"/>
      <c r="AD15" s="3058"/>
      <c r="AE15" s="3058"/>
      <c r="AF15" s="3559">
        <v>50</v>
      </c>
      <c r="AG15" s="3058" t="s">
        <v>6814</v>
      </c>
      <c r="AH15" s="3058"/>
      <c r="AI15" s="3058"/>
      <c r="AJ15" s="3058"/>
      <c r="AK15" s="3058"/>
      <c r="AL15" s="3559">
        <v>50</v>
      </c>
      <c r="AM15" s="3058" t="s">
        <v>6817</v>
      </c>
      <c r="AN15" s="3058"/>
      <c r="AO15" s="3058"/>
      <c r="AP15" s="3058"/>
      <c r="AQ15" s="3058"/>
      <c r="AR15" s="3559">
        <v>70</v>
      </c>
      <c r="AS15" s="3058" t="s">
        <v>6818</v>
      </c>
      <c r="AT15" s="3058"/>
      <c r="AU15" s="3058"/>
      <c r="AV15" s="3058"/>
      <c r="AW15" s="3553"/>
    </row>
    <row r="16" spans="1:49">
      <c r="A16" s="470">
        <f t="shared" ca="1" si="1"/>
        <v>1</v>
      </c>
      <c r="B16" s="3578"/>
      <c r="C16" s="3058"/>
      <c r="D16" s="3058"/>
      <c r="E16" s="3058"/>
      <c r="F16" s="3058"/>
      <c r="G16" s="3058"/>
      <c r="H16" s="3559"/>
      <c r="I16" s="3058"/>
      <c r="J16" s="3058"/>
      <c r="K16" s="3058"/>
      <c r="L16" s="3058"/>
      <c r="M16" s="3058"/>
      <c r="N16" s="3559"/>
      <c r="O16" s="3058"/>
      <c r="P16" s="3058"/>
      <c r="Q16" s="3058"/>
      <c r="R16" s="3058"/>
      <c r="S16" s="3058"/>
      <c r="T16" s="3559"/>
      <c r="U16" s="3058"/>
      <c r="V16" s="3058"/>
      <c r="W16" s="3058"/>
      <c r="X16" s="3058"/>
      <c r="Y16" s="3058"/>
      <c r="Z16" s="3559"/>
      <c r="AA16" s="3058"/>
      <c r="AB16" s="3058"/>
      <c r="AC16" s="3058"/>
      <c r="AD16" s="3058"/>
      <c r="AE16" s="3058"/>
      <c r="AF16" s="3559"/>
      <c r="AG16" s="3058"/>
      <c r="AH16" s="3058"/>
      <c r="AI16" s="3058"/>
      <c r="AJ16" s="3058"/>
      <c r="AK16" s="3058"/>
      <c r="AL16" s="3559"/>
      <c r="AM16" s="3058"/>
      <c r="AN16" s="3058"/>
      <c r="AO16" s="3058"/>
      <c r="AP16" s="3058"/>
      <c r="AQ16" s="3058"/>
      <c r="AR16" s="3559"/>
      <c r="AS16" s="3058"/>
      <c r="AT16" s="3058"/>
      <c r="AU16" s="3058"/>
      <c r="AV16" s="3058"/>
      <c r="AW16" s="3553"/>
    </row>
    <row r="17" spans="1:63">
      <c r="A17" s="470">
        <f t="shared" ca="1" si="1"/>
        <v>5</v>
      </c>
      <c r="B17" s="3577">
        <v>90</v>
      </c>
      <c r="C17" s="3021" t="s">
        <v>6819</v>
      </c>
      <c r="D17" s="3021"/>
      <c r="E17" s="3021"/>
      <c r="F17" s="3021"/>
      <c r="G17" s="3021"/>
      <c r="H17" s="3554">
        <v>90</v>
      </c>
      <c r="I17" s="3021" t="s">
        <v>6820</v>
      </c>
      <c r="J17" s="3021"/>
      <c r="K17" s="3021"/>
      <c r="L17" s="3021"/>
      <c r="M17" s="3021"/>
      <c r="N17" s="3554">
        <v>80</v>
      </c>
      <c r="O17" s="3021" t="s">
        <v>6821</v>
      </c>
      <c r="P17" s="3021"/>
      <c r="Q17" s="3021"/>
      <c r="R17" s="3021"/>
      <c r="S17" s="3021"/>
      <c r="T17" s="3554">
        <v>90</v>
      </c>
      <c r="U17" s="3021" t="s">
        <v>6822</v>
      </c>
      <c r="V17" s="3021"/>
      <c r="W17" s="3021"/>
      <c r="X17" s="3021"/>
      <c r="Y17" s="3021"/>
      <c r="Z17" s="3554">
        <v>90</v>
      </c>
      <c r="AA17" s="3021" t="s">
        <v>6823</v>
      </c>
      <c r="AB17" s="3021"/>
      <c r="AC17" s="3021"/>
      <c r="AD17" s="3021"/>
      <c r="AE17" s="3021"/>
      <c r="AF17" s="3554">
        <v>90</v>
      </c>
      <c r="AG17" s="3021" t="s">
        <v>6824</v>
      </c>
      <c r="AH17" s="3021"/>
      <c r="AI17" s="3021"/>
      <c r="AJ17" s="3021"/>
      <c r="AK17" s="3021"/>
      <c r="AL17" s="3554">
        <v>90</v>
      </c>
      <c r="AM17" s="3021" t="s">
        <v>6825</v>
      </c>
      <c r="AN17" s="3021"/>
      <c r="AO17" s="3021"/>
      <c r="AP17" s="3021"/>
      <c r="AQ17" s="3021"/>
      <c r="AR17" s="3554">
        <v>80</v>
      </c>
      <c r="AS17" s="3021" t="s">
        <v>6826</v>
      </c>
      <c r="AT17" s="3021"/>
      <c r="AU17" s="3021"/>
      <c r="AV17" s="3021"/>
      <c r="AW17" s="3556"/>
    </row>
    <row r="18" spans="1:63">
      <c r="B18" s="3577"/>
      <c r="C18" s="3021"/>
      <c r="D18" s="3021"/>
      <c r="E18" s="3021"/>
      <c r="F18" s="3021"/>
      <c r="G18" s="3021"/>
      <c r="H18" s="3554"/>
      <c r="I18" s="3021"/>
      <c r="J18" s="3021"/>
      <c r="K18" s="3021"/>
      <c r="L18" s="3021"/>
      <c r="M18" s="3021"/>
      <c r="N18" s="3554"/>
      <c r="O18" s="3021"/>
      <c r="P18" s="3021"/>
      <c r="Q18" s="3021"/>
      <c r="R18" s="3021"/>
      <c r="S18" s="3021"/>
      <c r="T18" s="3554"/>
      <c r="U18" s="3021"/>
      <c r="V18" s="3021"/>
      <c r="W18" s="3021"/>
      <c r="X18" s="3021"/>
      <c r="Y18" s="3021"/>
      <c r="Z18" s="3554"/>
      <c r="AA18" s="3021"/>
      <c r="AB18" s="3021"/>
      <c r="AC18" s="3021"/>
      <c r="AD18" s="3021"/>
      <c r="AE18" s="3021"/>
      <c r="AF18" s="3554"/>
      <c r="AG18" s="3021"/>
      <c r="AH18" s="3021"/>
      <c r="AI18" s="3021"/>
      <c r="AJ18" s="3021"/>
      <c r="AK18" s="3021"/>
      <c r="AL18" s="3554"/>
      <c r="AM18" s="3021"/>
      <c r="AN18" s="3021"/>
      <c r="AO18" s="3021"/>
      <c r="AP18" s="3021"/>
      <c r="AQ18" s="3021"/>
      <c r="AR18" s="3554"/>
      <c r="AS18" s="3021"/>
      <c r="AT18" s="3021"/>
      <c r="AU18" s="3021"/>
      <c r="AV18" s="3021"/>
      <c r="AW18" s="3556"/>
    </row>
    <row r="19" spans="1:63">
      <c r="B19" s="3578">
        <v>99</v>
      </c>
      <c r="C19" s="3058" t="s">
        <v>6827</v>
      </c>
      <c r="D19" s="3058"/>
      <c r="E19" s="3058"/>
      <c r="F19" s="3058"/>
      <c r="G19" s="3058"/>
      <c r="H19" s="3559">
        <v>99</v>
      </c>
      <c r="I19" s="3058" t="s">
        <v>6828</v>
      </c>
      <c r="J19" s="3058"/>
      <c r="K19" s="3058"/>
      <c r="L19" s="3058"/>
      <c r="M19" s="3058"/>
      <c r="N19" s="3559">
        <v>99</v>
      </c>
      <c r="O19" s="3058" t="s">
        <v>6829</v>
      </c>
      <c r="P19" s="3058"/>
      <c r="Q19" s="3058"/>
      <c r="R19" s="3058"/>
      <c r="S19" s="3058"/>
      <c r="T19" s="3559">
        <v>99</v>
      </c>
      <c r="U19" s="3058" t="s">
        <v>6830</v>
      </c>
      <c r="V19" s="3058"/>
      <c r="W19" s="3058"/>
      <c r="X19" s="3058"/>
      <c r="Y19" s="3058"/>
      <c r="Z19" s="3559">
        <v>99</v>
      </c>
      <c r="AA19" s="3058" t="s">
        <v>6831</v>
      </c>
      <c r="AB19" s="3058"/>
      <c r="AC19" s="3058"/>
      <c r="AD19" s="3058"/>
      <c r="AE19" s="3058"/>
      <c r="AF19" s="3559">
        <v>99</v>
      </c>
      <c r="AG19" s="3058" t="s">
        <v>6832</v>
      </c>
      <c r="AH19" s="3058"/>
      <c r="AI19" s="3058"/>
      <c r="AJ19" s="3058"/>
      <c r="AK19" s="3058"/>
      <c r="AL19" s="3559">
        <v>100</v>
      </c>
      <c r="AM19" s="3058" t="s">
        <v>6833</v>
      </c>
      <c r="AN19" s="3058"/>
      <c r="AO19" s="3058"/>
      <c r="AP19" s="3058"/>
      <c r="AQ19" s="3058"/>
      <c r="AR19" s="3559">
        <v>90</v>
      </c>
      <c r="AS19" s="3058" t="s">
        <v>6834</v>
      </c>
      <c r="AT19" s="3058"/>
      <c r="AU19" s="3058"/>
      <c r="AV19" s="3058"/>
      <c r="AW19" s="3553"/>
    </row>
    <row r="20" spans="1:63">
      <c r="B20" s="3578"/>
      <c r="C20" s="3058"/>
      <c r="D20" s="3058"/>
      <c r="E20" s="3058"/>
      <c r="F20" s="3058"/>
      <c r="G20" s="3058"/>
      <c r="H20" s="3559"/>
      <c r="I20" s="3058"/>
      <c r="J20" s="3058"/>
      <c r="K20" s="3058"/>
      <c r="L20" s="3058"/>
      <c r="M20" s="3058"/>
      <c r="N20" s="3559"/>
      <c r="O20" s="3058"/>
      <c r="P20" s="3058"/>
      <c r="Q20" s="3058"/>
      <c r="R20" s="3058"/>
      <c r="S20" s="3058"/>
      <c r="T20" s="3559"/>
      <c r="U20" s="3058"/>
      <c r="V20" s="3058"/>
      <c r="W20" s="3058"/>
      <c r="X20" s="3058"/>
      <c r="Y20" s="3058"/>
      <c r="Z20" s="3559"/>
      <c r="AA20" s="3058"/>
      <c r="AB20" s="3058"/>
      <c r="AC20" s="3058"/>
      <c r="AD20" s="3058"/>
      <c r="AE20" s="3058"/>
      <c r="AF20" s="3559"/>
      <c r="AG20" s="3058"/>
      <c r="AH20" s="3058"/>
      <c r="AI20" s="3058"/>
      <c r="AJ20" s="3058"/>
      <c r="AK20" s="3058"/>
      <c r="AL20" s="3559"/>
      <c r="AM20" s="3058"/>
      <c r="AN20" s="3058"/>
      <c r="AO20" s="3058"/>
      <c r="AP20" s="3058"/>
      <c r="AQ20" s="3058"/>
      <c r="AR20" s="3559"/>
      <c r="AS20" s="3058"/>
      <c r="AT20" s="3058"/>
      <c r="AU20" s="3058"/>
      <c r="AV20" s="3058"/>
      <c r="AW20" s="3553"/>
    </row>
    <row r="21" spans="1:63">
      <c r="B21" s="3577">
        <v>140</v>
      </c>
      <c r="C21" s="3021" t="s">
        <v>6835</v>
      </c>
      <c r="D21" s="3021"/>
      <c r="E21" s="3021"/>
      <c r="F21" s="3021"/>
      <c r="G21" s="3021"/>
      <c r="H21" s="3554">
        <v>140</v>
      </c>
      <c r="I21" s="3021" t="s">
        <v>6836</v>
      </c>
      <c r="J21" s="3021"/>
      <c r="K21" s="3021"/>
      <c r="L21" s="3021"/>
      <c r="M21" s="3021"/>
      <c r="N21" s="3554">
        <v>150</v>
      </c>
      <c r="O21" s="3021" t="s">
        <v>6837</v>
      </c>
      <c r="P21" s="3021"/>
      <c r="Q21" s="3021"/>
      <c r="R21" s="3021"/>
      <c r="S21" s="3021"/>
      <c r="T21" s="3554">
        <v>120</v>
      </c>
      <c r="U21" s="3554" t="s">
        <v>6838</v>
      </c>
      <c r="V21" s="3554"/>
      <c r="W21" s="3554"/>
      <c r="X21" s="3554"/>
      <c r="Y21" s="3554"/>
      <c r="Z21" s="3554"/>
      <c r="AA21" s="3021"/>
      <c r="AB21" s="3021"/>
      <c r="AC21" s="3021"/>
      <c r="AD21" s="3021"/>
      <c r="AE21" s="3021"/>
      <c r="AF21" s="3554">
        <v>140</v>
      </c>
      <c r="AG21" s="3554" t="s">
        <v>6839</v>
      </c>
      <c r="AH21" s="3554"/>
      <c r="AI21" s="3554"/>
      <c r="AJ21" s="3554"/>
      <c r="AK21" s="3554"/>
      <c r="AL21" s="3554">
        <v>140</v>
      </c>
      <c r="AM21" s="3021" t="s">
        <v>6840</v>
      </c>
      <c r="AN21" s="3021"/>
      <c r="AO21" s="3021"/>
      <c r="AP21" s="3021"/>
      <c r="AQ21" s="3021"/>
      <c r="AR21" s="3554">
        <v>96</v>
      </c>
      <c r="AS21" s="3021" t="s">
        <v>6841</v>
      </c>
      <c r="AT21" s="3021"/>
      <c r="AU21" s="3021"/>
      <c r="AV21" s="3021"/>
      <c r="AW21" s="3556"/>
    </row>
    <row r="22" spans="1:63">
      <c r="B22" s="3577"/>
      <c r="C22" s="3021"/>
      <c r="D22" s="3021"/>
      <c r="E22" s="3021"/>
      <c r="F22" s="3021"/>
      <c r="G22" s="3021"/>
      <c r="H22" s="3554"/>
      <c r="I22" s="3021"/>
      <c r="J22" s="3021"/>
      <c r="K22" s="3021"/>
      <c r="L22" s="3021"/>
      <c r="M22" s="3021"/>
      <c r="N22" s="3554"/>
      <c r="O22" s="3021"/>
      <c r="P22" s="3021"/>
      <c r="Q22" s="3021"/>
      <c r="R22" s="3021"/>
      <c r="S22" s="3021"/>
      <c r="T22" s="3554"/>
      <c r="U22" s="3554"/>
      <c r="V22" s="3554"/>
      <c r="W22" s="3554"/>
      <c r="X22" s="3554"/>
      <c r="Y22" s="3554"/>
      <c r="Z22" s="3554"/>
      <c r="AA22" s="3021"/>
      <c r="AB22" s="3021"/>
      <c r="AC22" s="3021"/>
      <c r="AD22" s="3021"/>
      <c r="AE22" s="3021"/>
      <c r="AF22" s="3554"/>
      <c r="AG22" s="3554"/>
      <c r="AH22" s="3554"/>
      <c r="AI22" s="3554"/>
      <c r="AJ22" s="3554"/>
      <c r="AK22" s="3554"/>
      <c r="AL22" s="3554"/>
      <c r="AM22" s="3021"/>
      <c r="AN22" s="3021"/>
      <c r="AO22" s="3021"/>
      <c r="AP22" s="3021"/>
      <c r="AQ22" s="3021"/>
      <c r="AR22" s="3554"/>
      <c r="AS22" s="3021"/>
      <c r="AT22" s="3021"/>
      <c r="AU22" s="3021"/>
      <c r="AV22" s="3021"/>
      <c r="AW22" s="3556"/>
    </row>
    <row r="23" spans="1:63">
      <c r="B23" s="472"/>
      <c r="C23" s="473"/>
      <c r="D23" s="473"/>
      <c r="E23" s="473"/>
      <c r="F23" s="473"/>
      <c r="G23" s="473"/>
      <c r="H23" s="3559"/>
      <c r="I23" s="3058"/>
      <c r="J23" s="3058"/>
      <c r="K23" s="3058"/>
      <c r="L23" s="3058"/>
      <c r="M23" s="3058"/>
      <c r="N23" s="3559">
        <v>180</v>
      </c>
      <c r="O23" s="3058" t="s">
        <v>6842</v>
      </c>
      <c r="P23" s="3058"/>
      <c r="Q23" s="3058"/>
      <c r="R23" s="3058"/>
      <c r="S23" s="3058"/>
      <c r="T23" s="3559"/>
      <c r="U23" s="3058"/>
      <c r="V23" s="3058"/>
      <c r="W23" s="3058"/>
      <c r="X23" s="3058"/>
      <c r="Y23" s="3058"/>
      <c r="Z23" s="3559"/>
      <c r="AA23" s="3058"/>
      <c r="AB23" s="3058"/>
      <c r="AC23" s="3058"/>
      <c r="AD23" s="3058"/>
      <c r="AE23" s="3058"/>
      <c r="AF23" s="3559"/>
      <c r="AG23" s="3058"/>
      <c r="AH23" s="3058"/>
      <c r="AI23" s="3058"/>
      <c r="AJ23" s="3058"/>
      <c r="AK23" s="3058"/>
      <c r="AL23" s="3559"/>
      <c r="AM23" s="3058"/>
      <c r="AN23" s="3058"/>
      <c r="AO23" s="3058"/>
      <c r="AP23" s="3058"/>
      <c r="AQ23" s="3058"/>
      <c r="AR23" s="3559">
        <v>99</v>
      </c>
      <c r="AS23" s="3058" t="s">
        <v>6843</v>
      </c>
      <c r="AT23" s="3058"/>
      <c r="AU23" s="3058"/>
      <c r="AV23" s="3058"/>
      <c r="AW23" s="3553"/>
    </row>
    <row r="24" spans="1:63">
      <c r="B24" s="472"/>
      <c r="C24" s="473"/>
      <c r="D24" s="473"/>
      <c r="E24" s="473"/>
      <c r="F24" s="473"/>
      <c r="G24" s="473"/>
      <c r="H24" s="3559"/>
      <c r="I24" s="3058"/>
      <c r="J24" s="3058"/>
      <c r="K24" s="3058"/>
      <c r="L24" s="3058"/>
      <c r="M24" s="3058"/>
      <c r="N24" s="3559"/>
      <c r="O24" s="3058"/>
      <c r="P24" s="3058"/>
      <c r="Q24" s="3058"/>
      <c r="R24" s="3058"/>
      <c r="S24" s="3058"/>
      <c r="T24" s="3559"/>
      <c r="U24" s="3058"/>
      <c r="V24" s="3058"/>
      <c r="W24" s="3058"/>
      <c r="X24" s="3058"/>
      <c r="Y24" s="3058"/>
      <c r="Z24" s="3559"/>
      <c r="AA24" s="3058"/>
      <c r="AB24" s="3058"/>
      <c r="AC24" s="3058"/>
      <c r="AD24" s="3058"/>
      <c r="AE24" s="3058"/>
      <c r="AF24" s="3559"/>
      <c r="AG24" s="3058"/>
      <c r="AH24" s="3058"/>
      <c r="AI24" s="3058"/>
      <c r="AJ24" s="3058"/>
      <c r="AK24" s="3058"/>
      <c r="AL24" s="3559"/>
      <c r="AM24" s="3058"/>
      <c r="AN24" s="3058"/>
      <c r="AO24" s="3058"/>
      <c r="AP24" s="3058"/>
      <c r="AQ24" s="3058"/>
      <c r="AR24" s="3559"/>
      <c r="AS24" s="3058"/>
      <c r="AT24" s="3058"/>
      <c r="AU24" s="3058"/>
      <c r="AV24" s="3058"/>
      <c r="AW24" s="3553"/>
    </row>
    <row r="25" spans="1:63">
      <c r="B25" s="3577" t="s">
        <v>6844</v>
      </c>
      <c r="C25" s="3554" t="s">
        <v>6845</v>
      </c>
      <c r="D25" s="3554"/>
      <c r="E25" s="3554"/>
      <c r="F25" s="3554"/>
      <c r="G25" s="3554"/>
      <c r="H25" s="3554" t="s">
        <v>6844</v>
      </c>
      <c r="I25" s="3021" t="s">
        <v>6846</v>
      </c>
      <c r="J25" s="3021"/>
      <c r="K25" s="3021"/>
      <c r="L25" s="3021"/>
      <c r="M25" s="3021"/>
      <c r="N25" s="3554" t="s">
        <v>6844</v>
      </c>
      <c r="O25" s="3021" t="s">
        <v>6847</v>
      </c>
      <c r="P25" s="3021"/>
      <c r="Q25" s="3021"/>
      <c r="R25" s="3021"/>
      <c r="S25" s="3021"/>
      <c r="T25" s="3554" t="s">
        <v>6844</v>
      </c>
      <c r="U25" s="3021" t="s">
        <v>6848</v>
      </c>
      <c r="V25" s="3021"/>
      <c r="W25" s="3021"/>
      <c r="X25" s="3021"/>
      <c r="Y25" s="3021"/>
      <c r="Z25" s="3554"/>
      <c r="AA25" s="3021"/>
      <c r="AB25" s="3021"/>
      <c r="AC25" s="3021"/>
      <c r="AD25" s="3021"/>
      <c r="AE25" s="3021"/>
      <c r="AF25" s="3554" t="s">
        <v>6849</v>
      </c>
      <c r="AG25" s="3021" t="s">
        <v>6850</v>
      </c>
      <c r="AH25" s="3021"/>
      <c r="AI25" s="3021"/>
      <c r="AJ25" s="3021"/>
      <c r="AK25" s="3021"/>
      <c r="AL25" s="3554" t="s">
        <v>6849</v>
      </c>
      <c r="AM25" s="3021" t="s">
        <v>6851</v>
      </c>
      <c r="AN25" s="3021"/>
      <c r="AO25" s="3021"/>
      <c r="AP25" s="3021"/>
      <c r="AQ25" s="3021"/>
      <c r="AR25" s="3554"/>
      <c r="AS25" s="3021"/>
      <c r="AT25" s="3021"/>
      <c r="AU25" s="3021"/>
      <c r="AV25" s="3021"/>
      <c r="AW25" s="3556"/>
    </row>
    <row r="26" spans="1:63">
      <c r="B26" s="3579"/>
      <c r="C26" s="3555"/>
      <c r="D26" s="3555"/>
      <c r="E26" s="3555"/>
      <c r="F26" s="3555"/>
      <c r="G26" s="3555"/>
      <c r="H26" s="3555"/>
      <c r="I26" s="3023"/>
      <c r="J26" s="3023"/>
      <c r="K26" s="3023"/>
      <c r="L26" s="3023"/>
      <c r="M26" s="3023"/>
      <c r="N26" s="3555"/>
      <c r="O26" s="3023"/>
      <c r="P26" s="3023"/>
      <c r="Q26" s="3023"/>
      <c r="R26" s="3023"/>
      <c r="S26" s="3023"/>
      <c r="T26" s="3555"/>
      <c r="U26" s="3023"/>
      <c r="V26" s="3023"/>
      <c r="W26" s="3023"/>
      <c r="X26" s="3023"/>
      <c r="Y26" s="3023"/>
      <c r="Z26" s="3555"/>
      <c r="AA26" s="3023"/>
      <c r="AB26" s="3023"/>
      <c r="AC26" s="3023"/>
      <c r="AD26" s="3023"/>
      <c r="AE26" s="3023"/>
      <c r="AF26" s="3555"/>
      <c r="AG26" s="3023"/>
      <c r="AH26" s="3023"/>
      <c r="AI26" s="3023"/>
      <c r="AJ26" s="3023"/>
      <c r="AK26" s="3023"/>
      <c r="AL26" s="3555"/>
      <c r="AM26" s="3023"/>
      <c r="AN26" s="3023"/>
      <c r="AO26" s="3023"/>
      <c r="AP26" s="3023"/>
      <c r="AQ26" s="3023"/>
      <c r="AR26" s="3555"/>
      <c r="AS26" s="3023"/>
      <c r="AT26" s="3023"/>
      <c r="AU26" s="3023"/>
      <c r="AV26" s="3023"/>
      <c r="AW26" s="3557"/>
    </row>
    <row r="27" spans="1:63">
      <c r="A27" s="3591" t="s">
        <v>6852</v>
      </c>
      <c r="B27" s="3543" t="s">
        <v>6853</v>
      </c>
      <c r="C27" s="3500"/>
      <c r="D27" s="3500"/>
      <c r="E27" s="3500"/>
      <c r="F27" s="3500"/>
      <c r="G27" s="3596"/>
      <c r="H27" s="3543" t="s">
        <v>6854</v>
      </c>
      <c r="I27" s="3500"/>
      <c r="J27" s="3500"/>
      <c r="K27" s="3500"/>
      <c r="L27" s="3500"/>
      <c r="M27" s="3596"/>
      <c r="N27" s="3543" t="s">
        <v>6855</v>
      </c>
      <c r="O27" s="3500"/>
      <c r="P27" s="3500"/>
      <c r="Q27" s="3500"/>
      <c r="R27" s="3500"/>
      <c r="S27" s="3596"/>
      <c r="T27" s="3543" t="s">
        <v>6856</v>
      </c>
      <c r="U27" s="3500"/>
      <c r="V27" s="3500"/>
      <c r="W27" s="3500"/>
      <c r="X27" s="3500"/>
      <c r="Y27" s="3596"/>
      <c r="Z27" s="3543" t="s">
        <v>6857</v>
      </c>
      <c r="AA27" s="3500"/>
      <c r="AB27" s="3500"/>
      <c r="AC27" s="3500"/>
      <c r="AD27" s="3500"/>
      <c r="AE27" s="3596"/>
      <c r="AF27" s="3543" t="s">
        <v>6858</v>
      </c>
      <c r="AG27" s="3500"/>
      <c r="AH27" s="3500"/>
      <c r="AI27" s="3500"/>
      <c r="AJ27" s="3500"/>
      <c r="AK27" s="3596"/>
      <c r="AL27" s="3543" t="s">
        <v>6859</v>
      </c>
      <c r="AM27" s="3500"/>
      <c r="AN27" s="3500"/>
      <c r="AO27" s="3500"/>
      <c r="AP27" s="3500"/>
      <c r="AQ27" s="3596"/>
      <c r="AR27" s="3543" t="s">
        <v>6860</v>
      </c>
      <c r="AS27" s="3500"/>
      <c r="AT27" s="3500"/>
      <c r="AU27" s="3500"/>
      <c r="AV27" s="3500"/>
      <c r="AW27" s="3596"/>
    </row>
    <row r="28" spans="1:63">
      <c r="A28" s="3591"/>
      <c r="B28" s="3543"/>
      <c r="C28" s="3500"/>
      <c r="D28" s="3500"/>
      <c r="E28" s="3500"/>
      <c r="F28" s="3500"/>
      <c r="G28" s="3596"/>
      <c r="H28" s="3543"/>
      <c r="I28" s="3500"/>
      <c r="J28" s="3500"/>
      <c r="K28" s="3500"/>
      <c r="L28" s="3500"/>
      <c r="M28" s="3596"/>
      <c r="N28" s="3543"/>
      <c r="O28" s="3500"/>
      <c r="P28" s="3500"/>
      <c r="Q28" s="3500"/>
      <c r="R28" s="3500"/>
      <c r="S28" s="3596"/>
      <c r="T28" s="3543"/>
      <c r="U28" s="3500"/>
      <c r="V28" s="3500"/>
      <c r="W28" s="3500"/>
      <c r="X28" s="3500"/>
      <c r="Y28" s="3596"/>
      <c r="Z28" s="3543"/>
      <c r="AA28" s="3500"/>
      <c r="AB28" s="3500"/>
      <c r="AC28" s="3500"/>
      <c r="AD28" s="3500"/>
      <c r="AE28" s="3596"/>
      <c r="AF28" s="3543"/>
      <c r="AG28" s="3500"/>
      <c r="AH28" s="3500"/>
      <c r="AI28" s="3500"/>
      <c r="AJ28" s="3500"/>
      <c r="AK28" s="3596"/>
      <c r="AL28" s="3543"/>
      <c r="AM28" s="3500"/>
      <c r="AN28" s="3500"/>
      <c r="AO28" s="3500"/>
      <c r="AP28" s="3500"/>
      <c r="AQ28" s="3596"/>
      <c r="AR28" s="3543"/>
      <c r="AS28" s="3500"/>
      <c r="AT28" s="3500"/>
      <c r="AU28" s="3500"/>
      <c r="AV28" s="3500"/>
      <c r="AW28" s="3596"/>
    </row>
    <row r="29" spans="1:63">
      <c r="A29" s="3591"/>
      <c r="B29" s="3543"/>
      <c r="C29" s="3500"/>
      <c r="D29" s="3500"/>
      <c r="E29" s="3500"/>
      <c r="F29" s="3500"/>
      <c r="G29" s="3596"/>
      <c r="H29" s="3543"/>
      <c r="I29" s="3500"/>
      <c r="J29" s="3500"/>
      <c r="K29" s="3500"/>
      <c r="L29" s="3500"/>
      <c r="M29" s="3596"/>
      <c r="N29" s="3543"/>
      <c r="O29" s="3500"/>
      <c r="P29" s="3500"/>
      <c r="Q29" s="3500"/>
      <c r="R29" s="3500"/>
      <c r="S29" s="3596"/>
      <c r="T29" s="3543"/>
      <c r="U29" s="3500"/>
      <c r="V29" s="3500"/>
      <c r="W29" s="3500"/>
      <c r="X29" s="3500"/>
      <c r="Y29" s="3596"/>
      <c r="Z29" s="3543"/>
      <c r="AA29" s="3500"/>
      <c r="AB29" s="3500"/>
      <c r="AC29" s="3500"/>
      <c r="AD29" s="3500"/>
      <c r="AE29" s="3596"/>
      <c r="AF29" s="3543"/>
      <c r="AG29" s="3500"/>
      <c r="AH29" s="3500"/>
      <c r="AI29" s="3500"/>
      <c r="AJ29" s="3500"/>
      <c r="AK29" s="3596"/>
      <c r="AL29" s="3543"/>
      <c r="AM29" s="3500"/>
      <c r="AN29" s="3500"/>
      <c r="AO29" s="3500"/>
      <c r="AP29" s="3500"/>
      <c r="AQ29" s="3596"/>
      <c r="AR29" s="3543"/>
      <c r="AS29" s="3500"/>
      <c r="AT29" s="3500"/>
      <c r="AU29" s="3500"/>
      <c r="AV29" s="3500"/>
      <c r="AW29" s="3596"/>
    </row>
    <row r="30" spans="1:63">
      <c r="A30" s="3591"/>
      <c r="B30" s="3543"/>
      <c r="C30" s="3500"/>
      <c r="D30" s="3500"/>
      <c r="E30" s="3500"/>
      <c r="F30" s="3500"/>
      <c r="G30" s="3596"/>
      <c r="H30" s="3543"/>
      <c r="I30" s="3500"/>
      <c r="J30" s="3500"/>
      <c r="K30" s="3500"/>
      <c r="L30" s="3500"/>
      <c r="M30" s="3596"/>
      <c r="N30" s="3543"/>
      <c r="O30" s="3500"/>
      <c r="P30" s="3500"/>
      <c r="Q30" s="3500"/>
      <c r="R30" s="3500"/>
      <c r="S30" s="3596"/>
      <c r="T30" s="3543"/>
      <c r="U30" s="3500"/>
      <c r="V30" s="3500"/>
      <c r="W30" s="3500"/>
      <c r="X30" s="3500"/>
      <c r="Y30" s="3596"/>
      <c r="Z30" s="3543"/>
      <c r="AA30" s="3500"/>
      <c r="AB30" s="3500"/>
      <c r="AC30" s="3500"/>
      <c r="AD30" s="3500"/>
      <c r="AE30" s="3596"/>
      <c r="AF30" s="3543"/>
      <c r="AG30" s="3500"/>
      <c r="AH30" s="3500"/>
      <c r="AI30" s="3500"/>
      <c r="AJ30" s="3500"/>
      <c r="AK30" s="3596"/>
      <c r="AL30" s="3543"/>
      <c r="AM30" s="3500"/>
      <c r="AN30" s="3500"/>
      <c r="AO30" s="3500"/>
      <c r="AP30" s="3500"/>
      <c r="AQ30" s="3596"/>
      <c r="AR30" s="3543"/>
      <c r="AS30" s="3500"/>
      <c r="AT30" s="3500"/>
      <c r="AU30" s="3500"/>
      <c r="AV30" s="3500"/>
      <c r="AW30" s="3596"/>
    </row>
    <row r="31" spans="1:63">
      <c r="A31" s="3591"/>
      <c r="B31" s="3544"/>
      <c r="C31" s="3545"/>
      <c r="D31" s="3545"/>
      <c r="E31" s="3545"/>
      <c r="F31" s="3545"/>
      <c r="G31" s="3597"/>
      <c r="H31" s="3544"/>
      <c r="I31" s="3545"/>
      <c r="J31" s="3545"/>
      <c r="K31" s="3545"/>
      <c r="L31" s="3545"/>
      <c r="M31" s="3597"/>
      <c r="N31" s="3544"/>
      <c r="O31" s="3545"/>
      <c r="P31" s="3545"/>
      <c r="Q31" s="3545"/>
      <c r="R31" s="3545"/>
      <c r="S31" s="3597"/>
      <c r="T31" s="3544"/>
      <c r="U31" s="3545"/>
      <c r="V31" s="3545"/>
      <c r="W31" s="3545"/>
      <c r="X31" s="3545"/>
      <c r="Y31" s="3597"/>
      <c r="Z31" s="3544"/>
      <c r="AA31" s="3545"/>
      <c r="AB31" s="3545"/>
      <c r="AC31" s="3545"/>
      <c r="AD31" s="3545"/>
      <c r="AE31" s="3597"/>
      <c r="AF31" s="3544"/>
      <c r="AG31" s="3545"/>
      <c r="AH31" s="3545"/>
      <c r="AI31" s="3545"/>
      <c r="AJ31" s="3545"/>
      <c r="AK31" s="3597"/>
      <c r="AL31" s="3544"/>
      <c r="AM31" s="3545"/>
      <c r="AN31" s="3545"/>
      <c r="AO31" s="3545"/>
      <c r="AP31" s="3545"/>
      <c r="AQ31" s="3597"/>
      <c r="AR31" s="3544"/>
      <c r="AS31" s="3545"/>
      <c r="AT31" s="3545"/>
      <c r="AU31" s="3545"/>
      <c r="AV31" s="3545"/>
      <c r="AW31" s="3597"/>
    </row>
    <row r="32" spans="1:63" ht="25">
      <c r="A32" s="3592" t="s">
        <v>6861</v>
      </c>
      <c r="B32" s="3550" t="s">
        <v>6862</v>
      </c>
      <c r="C32" s="3550"/>
      <c r="D32" s="3550"/>
      <c r="E32" s="3550"/>
      <c r="F32" s="3550"/>
      <c r="G32" s="3550"/>
      <c r="H32" s="3550" t="s">
        <v>6863</v>
      </c>
      <c r="I32" s="3550"/>
      <c r="J32" s="3550"/>
      <c r="K32" s="3550"/>
      <c r="L32" s="3550"/>
      <c r="M32" s="3550"/>
      <c r="N32" s="3550" t="s">
        <v>6864</v>
      </c>
      <c r="O32" s="3550"/>
      <c r="P32" s="3550"/>
      <c r="Q32" s="3550"/>
      <c r="R32" s="3550"/>
      <c r="S32" s="3550"/>
      <c r="T32" s="3550" t="s">
        <v>6865</v>
      </c>
      <c r="U32" s="3550"/>
      <c r="V32" s="3550"/>
      <c r="W32" s="3550"/>
      <c r="X32" s="3550"/>
      <c r="Y32" s="3550"/>
      <c r="Z32" s="3550" t="s">
        <v>6866</v>
      </c>
      <c r="AA32" s="3550"/>
      <c r="AB32" s="3550"/>
      <c r="AC32" s="3550"/>
      <c r="AD32" s="3550"/>
      <c r="AE32" s="3550"/>
      <c r="AF32" s="3550" t="s">
        <v>6867</v>
      </c>
      <c r="AG32" s="3550"/>
      <c r="AH32" s="3550"/>
      <c r="AI32" s="3550"/>
      <c r="AJ32" s="3550"/>
      <c r="AK32" s="3550"/>
      <c r="AL32" s="3550"/>
      <c r="AM32" s="3550"/>
      <c r="AN32" s="3550"/>
      <c r="AO32" s="3550"/>
      <c r="AP32" s="3550"/>
      <c r="AQ32" s="3550"/>
      <c r="AR32" s="3550" t="s">
        <v>6868</v>
      </c>
      <c r="AS32" s="3550"/>
      <c r="AT32" s="3550"/>
      <c r="AU32" s="3550"/>
      <c r="AV32" s="3550"/>
      <c r="AW32" s="3550"/>
      <c r="BJ32" s="474"/>
      <c r="BK32" s="474"/>
    </row>
    <row r="33" spans="1:73">
      <c r="A33" s="3592"/>
      <c r="B33" s="3550"/>
      <c r="C33" s="3550"/>
      <c r="D33" s="3550"/>
      <c r="E33" s="3550"/>
      <c r="F33" s="3550"/>
      <c r="G33" s="3550"/>
      <c r="H33" s="3550"/>
      <c r="I33" s="3550"/>
      <c r="J33" s="3550"/>
      <c r="K33" s="3550"/>
      <c r="L33" s="3550"/>
      <c r="M33" s="3550"/>
      <c r="N33" s="3550"/>
      <c r="O33" s="3550"/>
      <c r="P33" s="3550"/>
      <c r="Q33" s="3550"/>
      <c r="R33" s="3550"/>
      <c r="S33" s="3550"/>
      <c r="T33" s="3550"/>
      <c r="U33" s="3550"/>
      <c r="V33" s="3550"/>
      <c r="W33" s="3550"/>
      <c r="X33" s="3550"/>
      <c r="Y33" s="3550"/>
      <c r="Z33" s="3550"/>
      <c r="AA33" s="3550"/>
      <c r="AB33" s="3550"/>
      <c r="AC33" s="3550"/>
      <c r="AD33" s="3550"/>
      <c r="AE33" s="3550"/>
      <c r="AF33" s="3550"/>
      <c r="AG33" s="3550"/>
      <c r="AH33" s="3550"/>
      <c r="AI33" s="3550"/>
      <c r="AJ33" s="3550"/>
      <c r="AK33" s="3550"/>
      <c r="AL33" s="3550"/>
      <c r="AM33" s="3550"/>
      <c r="AN33" s="3550"/>
      <c r="AO33" s="3550"/>
      <c r="AP33" s="3550"/>
      <c r="AQ33" s="3550"/>
      <c r="AR33" s="3550"/>
      <c r="AS33" s="3550"/>
      <c r="AT33" s="3550"/>
      <c r="AU33" s="3550"/>
      <c r="AV33" s="3550"/>
      <c r="AW33" s="3550"/>
    </row>
    <row r="34" spans="1:73">
      <c r="A34" s="3592"/>
      <c r="B34" s="3550"/>
      <c r="C34" s="3550"/>
      <c r="D34" s="3550"/>
      <c r="E34" s="3550"/>
      <c r="F34" s="3550"/>
      <c r="G34" s="3550"/>
      <c r="H34" s="3550"/>
      <c r="I34" s="3550"/>
      <c r="J34" s="3550"/>
      <c r="K34" s="3550"/>
      <c r="L34" s="3550"/>
      <c r="M34" s="3550"/>
      <c r="N34" s="3550"/>
      <c r="O34" s="3550"/>
      <c r="P34" s="3550"/>
      <c r="Q34" s="3550"/>
      <c r="R34" s="3550"/>
      <c r="S34" s="3550"/>
      <c r="T34" s="3550"/>
      <c r="U34" s="3550"/>
      <c r="V34" s="3550"/>
      <c r="W34" s="3550"/>
      <c r="X34" s="3550"/>
      <c r="Y34" s="3550"/>
      <c r="Z34" s="3550"/>
      <c r="AA34" s="3550"/>
      <c r="AB34" s="3550"/>
      <c r="AC34" s="3550"/>
      <c r="AD34" s="3550"/>
      <c r="AE34" s="3550"/>
      <c r="AF34" s="3550"/>
      <c r="AG34" s="3550"/>
      <c r="AH34" s="3550"/>
      <c r="AI34" s="3550"/>
      <c r="AJ34" s="3550"/>
      <c r="AK34" s="3550"/>
      <c r="AL34" s="3550"/>
      <c r="AM34" s="3550"/>
      <c r="AN34" s="3550"/>
      <c r="AO34" s="3550"/>
      <c r="AP34" s="3550"/>
      <c r="AQ34" s="3550"/>
      <c r="AR34" s="3550"/>
      <c r="AS34" s="3550"/>
      <c r="AT34" s="3550"/>
      <c r="AU34" s="3550"/>
      <c r="AV34" s="3550"/>
      <c r="AW34" s="3550"/>
    </row>
    <row r="35" spans="1:73">
      <c r="A35" s="3592"/>
      <c r="B35" s="3550"/>
      <c r="C35" s="3550"/>
      <c r="D35" s="3550"/>
      <c r="E35" s="3550"/>
      <c r="F35" s="3550"/>
      <c r="G35" s="3550"/>
      <c r="H35" s="3550"/>
      <c r="I35" s="3550"/>
      <c r="J35" s="3550"/>
      <c r="K35" s="3550"/>
      <c r="L35" s="3550"/>
      <c r="M35" s="3550"/>
      <c r="N35" s="3550"/>
      <c r="O35" s="3550"/>
      <c r="P35" s="3550"/>
      <c r="Q35" s="3550"/>
      <c r="R35" s="3550"/>
      <c r="S35" s="3550"/>
      <c r="T35" s="3550"/>
      <c r="U35" s="3550"/>
      <c r="V35" s="3550"/>
      <c r="W35" s="3550"/>
      <c r="X35" s="3550"/>
      <c r="Y35" s="3550"/>
      <c r="Z35" s="3550"/>
      <c r="AA35" s="3550"/>
      <c r="AB35" s="3550"/>
      <c r="AC35" s="3550"/>
      <c r="AD35" s="3550"/>
      <c r="AE35" s="3550"/>
      <c r="AF35" s="3550"/>
      <c r="AG35" s="3550"/>
      <c r="AH35" s="3550"/>
      <c r="AI35" s="3550"/>
      <c r="AJ35" s="3550"/>
      <c r="AK35" s="3550"/>
      <c r="AL35" s="3550"/>
      <c r="AM35" s="3550"/>
      <c r="AN35" s="3550"/>
      <c r="AO35" s="3550"/>
      <c r="AP35" s="3550"/>
      <c r="AQ35" s="3550"/>
      <c r="AR35" s="3551"/>
      <c r="AS35" s="3551"/>
      <c r="AT35" s="3551"/>
      <c r="AU35" s="3551"/>
      <c r="AV35" s="3551"/>
      <c r="AW35" s="3551"/>
    </row>
    <row r="36" spans="1:73" ht="17.25" customHeight="1">
      <c r="A36" s="3592" t="s">
        <v>6869</v>
      </c>
      <c r="B36" s="3550" t="s">
        <v>6870</v>
      </c>
      <c r="C36" s="3550"/>
      <c r="D36" s="3550"/>
      <c r="E36" s="3550"/>
      <c r="F36" s="3550"/>
      <c r="G36" s="3550"/>
      <c r="H36" s="3550" t="s">
        <v>6871</v>
      </c>
      <c r="I36" s="3550"/>
      <c r="J36" s="3550"/>
      <c r="K36" s="3550"/>
      <c r="L36" s="3550"/>
      <c r="M36" s="3550"/>
      <c r="N36" s="3550" t="s">
        <v>6872</v>
      </c>
      <c r="O36" s="3550"/>
      <c r="P36" s="3550"/>
      <c r="Q36" s="3550"/>
      <c r="R36" s="3550"/>
      <c r="S36" s="3550"/>
      <c r="T36" s="3550" t="s">
        <v>6873</v>
      </c>
      <c r="U36" s="3550"/>
      <c r="V36" s="3550"/>
      <c r="W36" s="3550"/>
      <c r="X36" s="3550"/>
      <c r="Y36" s="3550"/>
      <c r="Z36" s="3550" t="s">
        <v>6874</v>
      </c>
      <c r="AA36" s="3550"/>
      <c r="AB36" s="3550"/>
      <c r="AC36" s="3550"/>
      <c r="AD36" s="3550"/>
      <c r="AE36" s="3550"/>
      <c r="AF36" s="3550" t="s">
        <v>6875</v>
      </c>
      <c r="AG36" s="3550"/>
      <c r="AH36" s="3550"/>
      <c r="AI36" s="3550"/>
      <c r="AJ36" s="3550"/>
      <c r="AK36" s="3550"/>
      <c r="AL36" s="3550"/>
      <c r="AM36" s="3550"/>
      <c r="AN36" s="3550"/>
      <c r="AO36" s="3550"/>
      <c r="AP36" s="3550"/>
      <c r="AQ36" s="3552"/>
      <c r="AR36" s="3536"/>
      <c r="AS36" s="3537"/>
      <c r="AT36" s="3537"/>
      <c r="AU36" s="3537"/>
      <c r="AV36" s="3537"/>
      <c r="AW36" s="3546"/>
    </row>
    <row r="37" spans="1:73" ht="17.25" customHeight="1">
      <c r="A37" s="3592"/>
      <c r="B37" s="3550"/>
      <c r="C37" s="3550"/>
      <c r="D37" s="3550"/>
      <c r="E37" s="3550"/>
      <c r="F37" s="3550"/>
      <c r="G37" s="3550"/>
      <c r="H37" s="3550"/>
      <c r="I37" s="3550"/>
      <c r="J37" s="3550"/>
      <c r="K37" s="3550"/>
      <c r="L37" s="3550"/>
      <c r="M37" s="3550"/>
      <c r="N37" s="3550"/>
      <c r="O37" s="3550"/>
      <c r="P37" s="3550"/>
      <c r="Q37" s="3550"/>
      <c r="R37" s="3550"/>
      <c r="S37" s="3550"/>
      <c r="T37" s="3550"/>
      <c r="U37" s="3550"/>
      <c r="V37" s="3550"/>
      <c r="W37" s="3550"/>
      <c r="X37" s="3550"/>
      <c r="Y37" s="3550"/>
      <c r="Z37" s="3550"/>
      <c r="AA37" s="3550"/>
      <c r="AB37" s="3550"/>
      <c r="AC37" s="3550"/>
      <c r="AD37" s="3550"/>
      <c r="AE37" s="3550"/>
      <c r="AF37" s="3550"/>
      <c r="AG37" s="3550"/>
      <c r="AH37" s="3550"/>
      <c r="AI37" s="3550"/>
      <c r="AJ37" s="3550"/>
      <c r="AK37" s="3550"/>
      <c r="AL37" s="3550"/>
      <c r="AM37" s="3550"/>
      <c r="AN37" s="3550"/>
      <c r="AO37" s="3550"/>
      <c r="AP37" s="3550"/>
      <c r="AQ37" s="3552"/>
      <c r="AR37" s="3538"/>
      <c r="AS37" s="3536"/>
      <c r="AT37" s="3536"/>
      <c r="AU37" s="3536"/>
      <c r="AV37" s="3536"/>
      <c r="AW37" s="3547"/>
    </row>
    <row r="38" spans="1:73" ht="17.25" customHeight="1">
      <c r="A38" s="3592"/>
      <c r="B38" s="3550"/>
      <c r="C38" s="3550"/>
      <c r="D38" s="3550"/>
      <c r="E38" s="3550"/>
      <c r="F38" s="3550"/>
      <c r="G38" s="3550"/>
      <c r="H38" s="3550"/>
      <c r="I38" s="3550"/>
      <c r="J38" s="3550"/>
      <c r="K38" s="3550"/>
      <c r="L38" s="3550"/>
      <c r="M38" s="3550"/>
      <c r="N38" s="3550"/>
      <c r="O38" s="3550"/>
      <c r="P38" s="3550"/>
      <c r="Q38" s="3550"/>
      <c r="R38" s="3550"/>
      <c r="S38" s="3550"/>
      <c r="T38" s="3550"/>
      <c r="U38" s="3550"/>
      <c r="V38" s="3550"/>
      <c r="W38" s="3550"/>
      <c r="X38" s="3550"/>
      <c r="Y38" s="3550"/>
      <c r="Z38" s="3550"/>
      <c r="AA38" s="3550"/>
      <c r="AB38" s="3550"/>
      <c r="AC38" s="3550"/>
      <c r="AD38" s="3550"/>
      <c r="AE38" s="3550"/>
      <c r="AF38" s="3550"/>
      <c r="AG38" s="3550"/>
      <c r="AH38" s="3550"/>
      <c r="AI38" s="3550"/>
      <c r="AJ38" s="3550"/>
      <c r="AK38" s="3550"/>
      <c r="AL38" s="3550"/>
      <c r="AM38" s="3550"/>
      <c r="AN38" s="3550"/>
      <c r="AO38" s="3550"/>
      <c r="AP38" s="3550"/>
      <c r="AQ38" s="3552"/>
      <c r="AR38" s="3538"/>
      <c r="AS38" s="3536"/>
      <c r="AT38" s="3536"/>
      <c r="AU38" s="3536"/>
      <c r="AV38" s="3536"/>
      <c r="AW38" s="3547"/>
      <c r="BD38" s="3534"/>
      <c r="BE38" s="3534"/>
      <c r="BF38" s="3534"/>
      <c r="BG38" s="3534"/>
      <c r="BH38" s="3534"/>
      <c r="BI38" s="3534"/>
      <c r="BJ38" s="3534"/>
      <c r="BK38" s="3534"/>
      <c r="BL38" s="3534"/>
      <c r="BM38" s="3534"/>
      <c r="BN38" s="3534"/>
      <c r="BO38" s="3534"/>
      <c r="BP38" s="3534"/>
      <c r="BQ38" s="3534"/>
      <c r="BR38" s="3534"/>
      <c r="BS38" s="3534"/>
      <c r="BT38" s="3534"/>
      <c r="BU38" s="3534"/>
    </row>
    <row r="39" spans="1:73" ht="17.25" customHeight="1">
      <c r="A39" s="3592"/>
      <c r="B39" s="3550"/>
      <c r="C39" s="3550"/>
      <c r="D39" s="3550"/>
      <c r="E39" s="3550"/>
      <c r="F39" s="3550"/>
      <c r="G39" s="3550"/>
      <c r="H39" s="3550"/>
      <c r="I39" s="3550"/>
      <c r="J39" s="3550"/>
      <c r="K39" s="3550"/>
      <c r="L39" s="3550"/>
      <c r="M39" s="3550"/>
      <c r="N39" s="3550"/>
      <c r="O39" s="3550"/>
      <c r="P39" s="3550"/>
      <c r="Q39" s="3550"/>
      <c r="R39" s="3550"/>
      <c r="S39" s="3550"/>
      <c r="T39" s="3550"/>
      <c r="U39" s="3550"/>
      <c r="V39" s="3550"/>
      <c r="W39" s="3550"/>
      <c r="X39" s="3550"/>
      <c r="Y39" s="3550"/>
      <c r="Z39" s="3550"/>
      <c r="AA39" s="3550"/>
      <c r="AB39" s="3550"/>
      <c r="AC39" s="3550"/>
      <c r="AD39" s="3550"/>
      <c r="AE39" s="3550"/>
      <c r="AF39" s="3550"/>
      <c r="AG39" s="3550"/>
      <c r="AH39" s="3550"/>
      <c r="AI39" s="3550"/>
      <c r="AJ39" s="3550"/>
      <c r="AK39" s="3550"/>
      <c r="AL39" s="3550"/>
      <c r="AM39" s="3550"/>
      <c r="AN39" s="3550"/>
      <c r="AO39" s="3550"/>
      <c r="AP39" s="3550"/>
      <c r="AQ39" s="3552"/>
      <c r="AR39" s="3539"/>
      <c r="AS39" s="3540"/>
      <c r="AT39" s="3540"/>
      <c r="AU39" s="3540"/>
      <c r="AV39" s="3540"/>
      <c r="AW39" s="3549"/>
      <c r="BD39" s="3534"/>
      <c r="BE39" s="3534"/>
      <c r="BF39" s="3534"/>
      <c r="BG39" s="3534"/>
      <c r="BH39" s="3534"/>
      <c r="BI39" s="3534"/>
      <c r="BJ39" s="3534"/>
      <c r="BK39" s="3534"/>
      <c r="BL39" s="3534"/>
      <c r="BM39" s="3534"/>
      <c r="BN39" s="3534"/>
      <c r="BO39" s="3534"/>
      <c r="BP39" s="3534"/>
      <c r="BQ39" s="3534"/>
      <c r="BR39" s="3534"/>
      <c r="BS39" s="3534"/>
      <c r="BT39" s="3534"/>
      <c r="BU39" s="3534"/>
    </row>
    <row r="40" spans="1:73" ht="17.25" customHeight="1">
      <c r="A40" s="3591" t="s">
        <v>321</v>
      </c>
      <c r="B40" s="3536"/>
      <c r="C40" s="3537"/>
      <c r="D40" s="3537"/>
      <c r="E40" s="3537"/>
      <c r="F40" s="3537"/>
      <c r="G40" s="3537"/>
      <c r="H40" s="3536"/>
      <c r="I40" s="3537"/>
      <c r="J40" s="3537"/>
      <c r="K40" s="3537"/>
      <c r="L40" s="3537"/>
      <c r="M40" s="3537"/>
      <c r="N40" s="3536"/>
      <c r="O40" s="3537"/>
      <c r="P40" s="3537"/>
      <c r="Q40" s="3537"/>
      <c r="R40" s="3537"/>
      <c r="S40" s="3537"/>
      <c r="T40" s="3541" t="s">
        <v>6876</v>
      </c>
      <c r="U40" s="3542"/>
      <c r="V40" s="3542"/>
      <c r="W40" s="3542"/>
      <c r="X40" s="3542"/>
      <c r="Y40" s="3542"/>
      <c r="Z40" s="3541" t="s">
        <v>6877</v>
      </c>
      <c r="AA40" s="3537"/>
      <c r="AB40" s="3537"/>
      <c r="AC40" s="3537"/>
      <c r="AD40" s="3537"/>
      <c r="AE40" s="3546"/>
      <c r="AF40" s="3537"/>
      <c r="AG40" s="3537"/>
      <c r="AH40" s="3537"/>
      <c r="AI40" s="3537"/>
      <c r="AJ40" s="3537"/>
      <c r="AK40" s="3546"/>
      <c r="AL40" s="3542" t="s">
        <v>6878</v>
      </c>
      <c r="AM40" s="3537"/>
      <c r="AN40" s="3537"/>
      <c r="AO40" s="3537"/>
      <c r="AP40" s="3537"/>
      <c r="AQ40" s="3546"/>
      <c r="AR40" s="3542" t="s">
        <v>6879</v>
      </c>
      <c r="AS40" s="3537"/>
      <c r="AT40" s="3537"/>
      <c r="AU40" s="3537"/>
      <c r="AV40" s="3537"/>
      <c r="AW40" s="3546"/>
      <c r="BD40" s="3534"/>
      <c r="BE40" s="3534"/>
      <c r="BF40" s="3534"/>
      <c r="BG40" s="3534"/>
      <c r="BH40" s="3534"/>
      <c r="BI40" s="3534"/>
      <c r="BJ40" s="3534"/>
      <c r="BK40" s="3534"/>
      <c r="BL40" s="3534"/>
      <c r="BM40" s="3534"/>
      <c r="BN40" s="3534"/>
      <c r="BO40" s="3534"/>
      <c r="BP40" s="3534"/>
      <c r="BQ40" s="3534"/>
      <c r="BR40" s="3534"/>
      <c r="BS40" s="3534"/>
      <c r="BT40" s="3534"/>
      <c r="BU40" s="3534"/>
    </row>
    <row r="41" spans="1:73" ht="17.25" customHeight="1">
      <c r="A41" s="3591"/>
      <c r="B41" s="3538"/>
      <c r="C41" s="3536"/>
      <c r="D41" s="3536"/>
      <c r="E41" s="3536"/>
      <c r="F41" s="3536"/>
      <c r="G41" s="3536"/>
      <c r="H41" s="3538"/>
      <c r="I41" s="3536"/>
      <c r="J41" s="3536"/>
      <c r="K41" s="3536"/>
      <c r="L41" s="3536"/>
      <c r="M41" s="3536"/>
      <c r="N41" s="3538"/>
      <c r="O41" s="3536"/>
      <c r="P41" s="3536"/>
      <c r="Q41" s="3536"/>
      <c r="R41" s="3536"/>
      <c r="S41" s="3536"/>
      <c r="T41" s="3543"/>
      <c r="U41" s="3500"/>
      <c r="V41" s="3500"/>
      <c r="W41" s="3500"/>
      <c r="X41" s="3500"/>
      <c r="Y41" s="3500"/>
      <c r="Z41" s="3538"/>
      <c r="AA41" s="3541"/>
      <c r="AB41" s="3541"/>
      <c r="AC41" s="3541"/>
      <c r="AD41" s="3541"/>
      <c r="AE41" s="3547"/>
      <c r="AF41" s="3537"/>
      <c r="AG41" s="3537"/>
      <c r="AH41" s="3537"/>
      <c r="AI41" s="3537"/>
      <c r="AJ41" s="3537"/>
      <c r="AK41" s="3547"/>
      <c r="AL41" s="3542"/>
      <c r="AM41" s="3542"/>
      <c r="AN41" s="3542"/>
      <c r="AO41" s="3542"/>
      <c r="AP41" s="3542"/>
      <c r="AQ41" s="3547"/>
      <c r="AR41" s="3542"/>
      <c r="AS41" s="3542"/>
      <c r="AT41" s="3542"/>
      <c r="AU41" s="3542"/>
      <c r="AV41" s="3542"/>
      <c r="AW41" s="3547"/>
      <c r="BD41" s="3534"/>
      <c r="BE41" s="3534"/>
      <c r="BF41" s="3534"/>
      <c r="BG41" s="3534"/>
      <c r="BH41" s="3534"/>
      <c r="BI41" s="3534"/>
      <c r="BJ41" s="3534"/>
      <c r="BK41" s="3534"/>
      <c r="BL41" s="3534"/>
      <c r="BM41" s="3534"/>
      <c r="BN41" s="3534"/>
      <c r="BO41" s="3534"/>
      <c r="BP41" s="3534"/>
      <c r="BQ41" s="3534"/>
      <c r="BR41" s="3534"/>
      <c r="BS41" s="3534"/>
      <c r="BT41" s="3534"/>
      <c r="BU41" s="3534"/>
    </row>
    <row r="42" spans="1:73" ht="17.25" customHeight="1">
      <c r="A42" s="3591"/>
      <c r="B42" s="3538"/>
      <c r="C42" s="3536"/>
      <c r="D42" s="3536"/>
      <c r="E42" s="3536"/>
      <c r="F42" s="3536"/>
      <c r="G42" s="3536"/>
      <c r="H42" s="3538"/>
      <c r="I42" s="3536"/>
      <c r="J42" s="3536"/>
      <c r="K42" s="3536"/>
      <c r="L42" s="3536"/>
      <c r="M42" s="3536"/>
      <c r="N42" s="3538"/>
      <c r="O42" s="3536"/>
      <c r="P42" s="3536"/>
      <c r="Q42" s="3536"/>
      <c r="R42" s="3536"/>
      <c r="S42" s="3536"/>
      <c r="T42" s="3543"/>
      <c r="U42" s="3500"/>
      <c r="V42" s="3500"/>
      <c r="W42" s="3500"/>
      <c r="X42" s="3500"/>
      <c r="Y42" s="3500"/>
      <c r="Z42" s="3538"/>
      <c r="AA42" s="3541"/>
      <c r="AB42" s="3541"/>
      <c r="AC42" s="3541"/>
      <c r="AD42" s="3541"/>
      <c r="AE42" s="3547"/>
      <c r="AF42" s="3537"/>
      <c r="AG42" s="3537"/>
      <c r="AH42" s="3537"/>
      <c r="AI42" s="3537"/>
      <c r="AJ42" s="3537"/>
      <c r="AK42" s="3547"/>
      <c r="AL42" s="3542"/>
      <c r="AM42" s="3542"/>
      <c r="AN42" s="3542"/>
      <c r="AO42" s="3542"/>
      <c r="AP42" s="3542"/>
      <c r="AQ42" s="3547"/>
      <c r="AR42" s="3542"/>
      <c r="AS42" s="3542"/>
      <c r="AT42" s="3542"/>
      <c r="AU42" s="3542"/>
      <c r="AV42" s="3542"/>
      <c r="AW42" s="3547"/>
      <c r="BD42" s="3534"/>
      <c r="BE42" s="3534"/>
      <c r="BF42" s="3534"/>
      <c r="BG42" s="3534"/>
      <c r="BH42" s="3534"/>
      <c r="BI42" s="3534"/>
      <c r="BJ42" s="3534"/>
      <c r="BK42" s="3534"/>
      <c r="BL42" s="3534"/>
      <c r="BM42" s="3534"/>
      <c r="BN42" s="3534"/>
      <c r="BO42" s="3534"/>
      <c r="BP42" s="3534"/>
      <c r="BQ42" s="3535"/>
      <c r="BR42" s="3534"/>
      <c r="BS42" s="3534"/>
      <c r="BT42" s="3534"/>
      <c r="BU42" s="3534"/>
    </row>
    <row r="43" spans="1:73" ht="17.25" customHeight="1">
      <c r="A43" s="3591"/>
      <c r="B43" s="3539"/>
      <c r="C43" s="3540"/>
      <c r="D43" s="3540"/>
      <c r="E43" s="3540"/>
      <c r="F43" s="3540"/>
      <c r="G43" s="3540"/>
      <c r="H43" s="3539"/>
      <c r="I43" s="3540"/>
      <c r="J43" s="3540"/>
      <c r="K43" s="3540"/>
      <c r="L43" s="3540"/>
      <c r="M43" s="3540"/>
      <c r="N43" s="3539"/>
      <c r="O43" s="3540"/>
      <c r="P43" s="3540"/>
      <c r="Q43" s="3540"/>
      <c r="R43" s="3540"/>
      <c r="S43" s="3540"/>
      <c r="T43" s="3544"/>
      <c r="U43" s="3545"/>
      <c r="V43" s="3545"/>
      <c r="W43" s="3545"/>
      <c r="X43" s="3545"/>
      <c r="Y43" s="3545"/>
      <c r="Z43" s="3539"/>
      <c r="AA43" s="3540"/>
      <c r="AB43" s="3540"/>
      <c r="AC43" s="3540"/>
      <c r="AD43" s="3540"/>
      <c r="AE43" s="3548"/>
      <c r="AF43" s="3540"/>
      <c r="AG43" s="3540"/>
      <c r="AH43" s="3540"/>
      <c r="AI43" s="3540"/>
      <c r="AJ43" s="3540"/>
      <c r="AK43" s="3549"/>
      <c r="AL43" s="3540"/>
      <c r="AM43" s="3540"/>
      <c r="AN43" s="3540"/>
      <c r="AO43" s="3540"/>
      <c r="AP43" s="3540"/>
      <c r="AQ43" s="3549"/>
      <c r="AR43" s="3540"/>
      <c r="AS43" s="3540"/>
      <c r="AT43" s="3540"/>
      <c r="AU43" s="3540"/>
      <c r="AV43" s="3540"/>
      <c r="AW43" s="3549"/>
      <c r="BD43" s="3534"/>
      <c r="BE43" s="3534"/>
      <c r="BF43" s="3534"/>
      <c r="BG43" s="3534"/>
      <c r="BH43" s="3534"/>
      <c r="BI43" s="3534"/>
      <c r="BJ43" s="3534"/>
      <c r="BK43" s="3534"/>
      <c r="BL43" s="3534"/>
      <c r="BM43" s="3534"/>
      <c r="BN43" s="3534"/>
      <c r="BO43" s="3534"/>
      <c r="BP43" s="3534"/>
      <c r="BQ43" s="3534"/>
      <c r="BR43" s="3534"/>
      <c r="BS43" s="3534"/>
      <c r="BT43" s="3534"/>
      <c r="BU43" s="3534"/>
    </row>
    <row r="44" spans="1:73" ht="17.25" customHeight="1">
      <c r="A44" s="3593" t="s">
        <v>6880</v>
      </c>
      <c r="B44" s="3521" t="s">
        <v>6784</v>
      </c>
      <c r="C44" s="3521"/>
      <c r="D44" s="3521"/>
      <c r="E44" s="3521"/>
      <c r="F44" s="3521"/>
      <c r="G44" s="3521"/>
      <c r="H44" s="3522" t="s">
        <v>6785</v>
      </c>
      <c r="I44" s="3522"/>
      <c r="J44" s="3522"/>
      <c r="K44" s="3522"/>
      <c r="L44" s="3522"/>
      <c r="M44" s="3522"/>
      <c r="N44" s="3523" t="s">
        <v>6786</v>
      </c>
      <c r="O44" s="3523"/>
      <c r="P44" s="3523"/>
      <c r="Q44" s="3523"/>
      <c r="R44" s="3523"/>
      <c r="S44" s="3523"/>
      <c r="T44" s="3524" t="s">
        <v>6787</v>
      </c>
      <c r="U44" s="3524"/>
      <c r="V44" s="3524"/>
      <c r="W44" s="3524"/>
      <c r="X44" s="3524"/>
      <c r="Y44" s="3524"/>
      <c r="Z44" s="3525" t="s">
        <v>6788</v>
      </c>
      <c r="AA44" s="3525"/>
      <c r="AB44" s="3525"/>
      <c r="AC44" s="3525"/>
      <c r="AD44" s="3525"/>
      <c r="AE44" s="3525"/>
      <c r="AF44" s="3526" t="s">
        <v>6789</v>
      </c>
      <c r="AG44" s="3526"/>
      <c r="AH44" s="3526"/>
      <c r="AI44" s="3526"/>
      <c r="AJ44" s="3526"/>
      <c r="AK44" s="3526"/>
      <c r="AL44" s="3527" t="s">
        <v>6790</v>
      </c>
      <c r="AM44" s="3527"/>
      <c r="AN44" s="3527"/>
      <c r="AO44" s="3527"/>
      <c r="AP44" s="3527"/>
      <c r="AQ44" s="3527"/>
      <c r="AR44" s="3528" t="s">
        <v>6791</v>
      </c>
      <c r="AS44" s="3528"/>
      <c r="AT44" s="3528"/>
      <c r="AU44" s="3528"/>
      <c r="AV44" s="3528"/>
      <c r="AW44" s="3528"/>
    </row>
    <row r="45" spans="1:73" ht="17.25" customHeight="1">
      <c r="A45" s="3594"/>
      <c r="B45" s="3521"/>
      <c r="C45" s="3521"/>
      <c r="D45" s="3521"/>
      <c r="E45" s="3521"/>
      <c r="F45" s="3521"/>
      <c r="G45" s="3521"/>
      <c r="H45" s="3522"/>
      <c r="I45" s="3522"/>
      <c r="J45" s="3522"/>
      <c r="K45" s="3522"/>
      <c r="L45" s="3522"/>
      <c r="M45" s="3522"/>
      <c r="N45" s="3523"/>
      <c r="O45" s="3523"/>
      <c r="P45" s="3523"/>
      <c r="Q45" s="3523"/>
      <c r="R45" s="3523"/>
      <c r="S45" s="3523"/>
      <c r="T45" s="3524"/>
      <c r="U45" s="3524"/>
      <c r="V45" s="3524"/>
      <c r="W45" s="3524"/>
      <c r="X45" s="3524"/>
      <c r="Y45" s="3524"/>
      <c r="Z45" s="3525"/>
      <c r="AA45" s="3525"/>
      <c r="AB45" s="3525"/>
      <c r="AC45" s="3525"/>
      <c r="AD45" s="3525"/>
      <c r="AE45" s="3525"/>
      <c r="AF45" s="3526"/>
      <c r="AG45" s="3526"/>
      <c r="AH45" s="3526"/>
      <c r="AI45" s="3526"/>
      <c r="AJ45" s="3526"/>
      <c r="AK45" s="3526"/>
      <c r="AL45" s="3527"/>
      <c r="AM45" s="3527"/>
      <c r="AN45" s="3527"/>
      <c r="AO45" s="3527"/>
      <c r="AP45" s="3527"/>
      <c r="AQ45" s="3527"/>
      <c r="AR45" s="3528"/>
      <c r="AS45" s="3528"/>
      <c r="AT45" s="3528"/>
      <c r="AU45" s="3528"/>
      <c r="AV45" s="3528"/>
      <c r="AW45" s="3528"/>
    </row>
    <row r="46" spans="1:73" ht="17.25" customHeight="1">
      <c r="A46" s="3594"/>
      <c r="B46" s="3521"/>
      <c r="C46" s="3521"/>
      <c r="D46" s="3521"/>
      <c r="E46" s="3521"/>
      <c r="F46" s="3521"/>
      <c r="G46" s="3521"/>
      <c r="H46" s="3522"/>
      <c r="I46" s="3522"/>
      <c r="J46" s="3522"/>
      <c r="K46" s="3522"/>
      <c r="L46" s="3522"/>
      <c r="M46" s="3522"/>
      <c r="N46" s="3523"/>
      <c r="O46" s="3523"/>
      <c r="P46" s="3523"/>
      <c r="Q46" s="3523"/>
      <c r="R46" s="3523"/>
      <c r="S46" s="3523"/>
      <c r="T46" s="3524"/>
      <c r="U46" s="3524"/>
      <c r="V46" s="3524"/>
      <c r="W46" s="3524"/>
      <c r="X46" s="3524"/>
      <c r="Y46" s="3524"/>
      <c r="Z46" s="3525"/>
      <c r="AA46" s="3525"/>
      <c r="AB46" s="3525"/>
      <c r="AC46" s="3525"/>
      <c r="AD46" s="3525"/>
      <c r="AE46" s="3525"/>
      <c r="AF46" s="3526"/>
      <c r="AG46" s="3526"/>
      <c r="AH46" s="3526"/>
      <c r="AI46" s="3526"/>
      <c r="AJ46" s="3526"/>
      <c r="AK46" s="3526"/>
      <c r="AL46" s="3527"/>
      <c r="AM46" s="3527"/>
      <c r="AN46" s="3527"/>
      <c r="AO46" s="3527"/>
      <c r="AP46" s="3527"/>
      <c r="AQ46" s="3527"/>
      <c r="AR46" s="3528"/>
      <c r="AS46" s="3528"/>
      <c r="AT46" s="3528"/>
      <c r="AU46" s="3528"/>
      <c r="AV46" s="3528"/>
      <c r="AW46" s="3528"/>
    </row>
    <row r="47" spans="1:73" ht="17.25" customHeight="1">
      <c r="A47" s="3594"/>
      <c r="E47" s="475"/>
      <c r="L47" s="476"/>
      <c r="N47" s="477"/>
      <c r="R47" s="478"/>
      <c r="W47" s="479"/>
      <c r="AH47" s="480"/>
      <c r="AN47" s="481"/>
      <c r="AU47" s="482"/>
    </row>
    <row r="48" spans="1:73" ht="17.25" customHeight="1">
      <c r="A48" s="3594"/>
      <c r="E48" s="475"/>
      <c r="L48" s="476"/>
      <c r="N48" s="477"/>
      <c r="R48" s="478"/>
      <c r="W48" s="479"/>
      <c r="AH48" s="480"/>
      <c r="AN48" s="481"/>
      <c r="AU48" s="482"/>
    </row>
    <row r="49" spans="1:49" ht="17.25" customHeight="1">
      <c r="A49" s="3594"/>
      <c r="E49" s="475"/>
      <c r="K49" s="3529" t="s">
        <v>6881</v>
      </c>
      <c r="L49" s="3530"/>
      <c r="M49" s="3530"/>
      <c r="N49" s="3530"/>
      <c r="O49" s="3530"/>
      <c r="P49" s="3530"/>
      <c r="R49" s="478"/>
      <c r="T49" s="3524" t="s">
        <v>6882</v>
      </c>
      <c r="U49" s="3524"/>
      <c r="V49" s="3524"/>
      <c r="W49" s="3524"/>
      <c r="X49" s="3524"/>
      <c r="Y49" s="3524"/>
      <c r="AF49" s="3532" t="s">
        <v>6883</v>
      </c>
      <c r="AG49" s="3532"/>
      <c r="AH49" s="3532"/>
      <c r="AI49" s="3532"/>
      <c r="AJ49" s="3532"/>
      <c r="AK49" s="3532"/>
      <c r="AL49" s="3512" t="s">
        <v>6884</v>
      </c>
      <c r="AM49" s="3512"/>
      <c r="AN49" s="3512"/>
      <c r="AO49" s="3512"/>
      <c r="AP49" s="3512"/>
      <c r="AQ49" s="3512"/>
      <c r="AR49" s="3533" t="s">
        <v>6885</v>
      </c>
      <c r="AS49" s="3533"/>
      <c r="AT49" s="3533"/>
      <c r="AU49" s="3533"/>
      <c r="AV49" s="3533"/>
      <c r="AW49" s="3533"/>
    </row>
    <row r="50" spans="1:49" ht="17.25" customHeight="1">
      <c r="A50" s="3594"/>
      <c r="E50" s="475"/>
      <c r="K50" s="3530"/>
      <c r="L50" s="3530"/>
      <c r="M50" s="3530"/>
      <c r="N50" s="3530"/>
      <c r="O50" s="3530"/>
      <c r="P50" s="3530"/>
      <c r="R50" s="478"/>
      <c r="T50" s="3524"/>
      <c r="U50" s="3524"/>
      <c r="V50" s="3524"/>
      <c r="W50" s="3524"/>
      <c r="X50" s="3524"/>
      <c r="Y50" s="3524"/>
      <c r="AF50" s="3532"/>
      <c r="AG50" s="3532"/>
      <c r="AH50" s="3532"/>
      <c r="AI50" s="3532"/>
      <c r="AJ50" s="3532"/>
      <c r="AK50" s="3532"/>
      <c r="AL50" s="3512"/>
      <c r="AM50" s="3512"/>
      <c r="AN50" s="3512"/>
      <c r="AO50" s="3512"/>
      <c r="AP50" s="3512"/>
      <c r="AQ50" s="3512"/>
      <c r="AR50" s="3533"/>
      <c r="AS50" s="3533"/>
      <c r="AT50" s="3533"/>
      <c r="AU50" s="3533"/>
      <c r="AV50" s="3533"/>
      <c r="AW50" s="3533"/>
    </row>
    <row r="51" spans="1:49" ht="17.25" customHeight="1">
      <c r="A51" s="3594"/>
      <c r="E51" s="475"/>
      <c r="K51" s="3530"/>
      <c r="L51" s="3530"/>
      <c r="M51" s="3530"/>
      <c r="N51" s="3530"/>
      <c r="O51" s="3530"/>
      <c r="P51" s="3530"/>
      <c r="R51" s="478"/>
      <c r="T51" s="3524"/>
      <c r="U51" s="3524"/>
      <c r="V51" s="3531"/>
      <c r="W51" s="3524"/>
      <c r="X51" s="3524"/>
      <c r="Y51" s="3524"/>
      <c r="AF51" s="3532"/>
      <c r="AG51" s="3532"/>
      <c r="AH51" s="3532"/>
      <c r="AI51" s="3532"/>
      <c r="AJ51" s="3532"/>
      <c r="AK51" s="3532"/>
      <c r="AL51" s="3512"/>
      <c r="AM51" s="3512"/>
      <c r="AN51" s="3512"/>
      <c r="AO51" s="3512"/>
      <c r="AP51" s="3512"/>
      <c r="AQ51" s="3512"/>
      <c r="AR51" s="3533"/>
      <c r="AS51" s="3533"/>
      <c r="AT51" s="3533"/>
      <c r="AU51" s="3533"/>
      <c r="AV51" s="3533"/>
      <c r="AW51" s="3533"/>
    </row>
    <row r="52" spans="1:49" ht="17.25" customHeight="1">
      <c r="A52" s="3594"/>
      <c r="E52" s="475"/>
      <c r="R52" s="478"/>
      <c r="T52" s="483"/>
      <c r="U52" s="483"/>
      <c r="V52" s="484"/>
      <c r="W52" s="483"/>
      <c r="X52" s="483"/>
      <c r="Y52" s="483"/>
      <c r="AL52" s="485"/>
      <c r="AM52" s="485"/>
      <c r="AN52" s="486"/>
      <c r="AO52" s="485"/>
      <c r="AP52" s="485"/>
      <c r="AQ52" s="485"/>
    </row>
    <row r="53" spans="1:49" ht="17.25" customHeight="1">
      <c r="A53" s="3594"/>
      <c r="E53" s="475"/>
      <c r="N53" s="487"/>
      <c r="O53" s="488"/>
      <c r="P53" s="488"/>
      <c r="Q53" s="488"/>
      <c r="R53" s="489"/>
      <c r="V53" s="490"/>
      <c r="AN53" s="481"/>
      <c r="AO53" s="491"/>
      <c r="AP53" s="491"/>
      <c r="AQ53" s="491"/>
      <c r="AR53" s="492"/>
      <c r="AS53" s="485"/>
      <c r="AT53" s="485"/>
      <c r="AU53" s="485"/>
      <c r="AV53" s="485"/>
      <c r="AW53" s="485"/>
    </row>
    <row r="54" spans="1:49" ht="17.25" customHeight="1">
      <c r="A54" s="3594"/>
      <c r="B54" s="493"/>
      <c r="C54" s="493"/>
      <c r="D54" s="493"/>
      <c r="E54" s="494"/>
      <c r="F54" s="493"/>
      <c r="G54" s="493"/>
      <c r="H54" s="3509" t="s">
        <v>6886</v>
      </c>
      <c r="I54" s="3509"/>
      <c r="J54" s="3509"/>
      <c r="K54" s="3509"/>
      <c r="L54" s="3509"/>
      <c r="M54" s="3509"/>
      <c r="N54" s="3510" t="s">
        <v>6887</v>
      </c>
      <c r="O54" s="3510"/>
      <c r="P54" s="3510"/>
      <c r="Q54" s="495"/>
      <c r="R54" s="496"/>
      <c r="S54" s="495"/>
      <c r="T54" s="495"/>
      <c r="U54" s="495"/>
      <c r="V54" s="497"/>
      <c r="W54" s="493"/>
      <c r="Y54" s="3511" t="s">
        <v>6888</v>
      </c>
      <c r="Z54" s="3511"/>
      <c r="AA54" s="3511"/>
      <c r="AB54" s="3511"/>
      <c r="AC54" s="3511"/>
      <c r="AD54" s="3511"/>
      <c r="AE54" s="3511"/>
      <c r="AF54" s="3511"/>
      <c r="AL54" s="3512" t="s">
        <v>6889</v>
      </c>
      <c r="AM54" s="3512"/>
      <c r="AN54" s="3512"/>
      <c r="AO54" s="3512"/>
      <c r="AP54" s="3512"/>
      <c r="AQ54" s="3512"/>
      <c r="AR54" s="498"/>
    </row>
    <row r="55" spans="1:49" ht="17.25" customHeight="1">
      <c r="A55" s="3594"/>
      <c r="B55" s="493"/>
      <c r="C55" s="493"/>
      <c r="D55" s="493"/>
      <c r="E55" s="499"/>
      <c r="F55" s="499"/>
      <c r="G55" s="500"/>
      <c r="H55" s="3509"/>
      <c r="I55" s="3509"/>
      <c r="J55" s="3509"/>
      <c r="K55" s="3509"/>
      <c r="L55" s="3509"/>
      <c r="M55" s="3509"/>
      <c r="N55" s="3510"/>
      <c r="O55" s="3510"/>
      <c r="P55" s="3510"/>
      <c r="Q55" s="501"/>
      <c r="R55" s="502"/>
      <c r="S55" s="493"/>
      <c r="T55" s="493"/>
      <c r="U55" s="493"/>
      <c r="V55" s="493"/>
      <c r="W55" s="493"/>
      <c r="Y55" s="3511"/>
      <c r="Z55" s="3511"/>
      <c r="AA55" s="3511"/>
      <c r="AB55" s="3511"/>
      <c r="AC55" s="3511"/>
      <c r="AD55" s="3511"/>
      <c r="AE55" s="3511"/>
      <c r="AF55" s="3511"/>
      <c r="AG55" s="503"/>
      <c r="AH55" s="503"/>
      <c r="AI55" s="503"/>
      <c r="AJ55" s="503"/>
      <c r="AK55" s="503"/>
      <c r="AL55" s="3512"/>
      <c r="AM55" s="3512"/>
      <c r="AN55" s="3512"/>
      <c r="AO55" s="3512"/>
      <c r="AP55" s="3512"/>
      <c r="AQ55" s="3512"/>
      <c r="AR55" s="498"/>
    </row>
    <row r="56" spans="1:49" ht="17.25" customHeight="1">
      <c r="A56" s="3594"/>
      <c r="B56" s="493"/>
      <c r="C56" s="493"/>
      <c r="D56" s="493"/>
      <c r="E56" s="493"/>
      <c r="F56" s="493"/>
      <c r="G56" s="494"/>
      <c r="H56" s="3509"/>
      <c r="I56" s="3509"/>
      <c r="J56" s="3509"/>
      <c r="K56" s="3509"/>
      <c r="L56" s="3509"/>
      <c r="M56" s="3509"/>
      <c r="N56" s="3510"/>
      <c r="O56" s="3510"/>
      <c r="P56" s="3510"/>
      <c r="Q56" s="501"/>
      <c r="R56" s="502"/>
      <c r="S56" s="504"/>
      <c r="T56" s="504"/>
      <c r="U56" s="504"/>
      <c r="V56" s="504"/>
      <c r="W56" s="504"/>
      <c r="X56" s="505"/>
      <c r="Y56" s="3511"/>
      <c r="Z56" s="3511"/>
      <c r="AA56" s="3511"/>
      <c r="AB56" s="3511"/>
      <c r="AC56" s="3511"/>
      <c r="AD56" s="3511"/>
      <c r="AE56" s="3511"/>
      <c r="AF56" s="3511"/>
      <c r="AL56" s="3512"/>
      <c r="AM56" s="3512"/>
      <c r="AN56" s="3512"/>
      <c r="AO56" s="3512"/>
      <c r="AP56" s="3512"/>
      <c r="AQ56" s="3512"/>
      <c r="AR56" s="498"/>
    </row>
    <row r="57" spans="1:49" ht="17.25" customHeight="1">
      <c r="A57" s="3594"/>
      <c r="B57" s="493"/>
      <c r="C57" s="493"/>
      <c r="D57" s="493"/>
      <c r="E57" s="493"/>
      <c r="F57" s="493"/>
      <c r="G57" s="494"/>
      <c r="H57" s="3509"/>
      <c r="I57" s="3509"/>
      <c r="J57" s="3509"/>
      <c r="K57" s="3509"/>
      <c r="L57" s="3509"/>
      <c r="M57" s="3509"/>
      <c r="N57" s="3510"/>
      <c r="O57" s="3510"/>
      <c r="P57" s="3510"/>
      <c r="Q57" s="501"/>
      <c r="R57" s="502"/>
      <c r="S57" s="493"/>
      <c r="T57" s="493"/>
      <c r="U57" s="493"/>
      <c r="V57" s="493"/>
      <c r="W57" s="493"/>
      <c r="Y57" s="3511"/>
      <c r="Z57" s="3511"/>
      <c r="AA57" s="3511"/>
      <c r="AB57" s="3511"/>
      <c r="AC57" s="3511"/>
      <c r="AD57" s="3511"/>
      <c r="AE57" s="3511"/>
      <c r="AF57" s="3511"/>
      <c r="AO57" s="506"/>
      <c r="AR57" s="498"/>
    </row>
    <row r="58" spans="1:49" ht="17.25" customHeight="1">
      <c r="A58" s="3594"/>
      <c r="B58" s="507"/>
      <c r="C58" s="507"/>
      <c r="D58" s="507"/>
      <c r="E58" s="507"/>
      <c r="F58" s="507"/>
      <c r="G58" s="508"/>
      <c r="H58" s="3513" t="s">
        <v>6890</v>
      </c>
      <c r="I58" s="3513"/>
      <c r="J58" s="3513"/>
      <c r="K58" s="3513"/>
      <c r="L58" s="3513"/>
      <c r="M58" s="3513"/>
      <c r="N58" s="3514" t="s">
        <v>6891</v>
      </c>
      <c r="O58" s="3514"/>
      <c r="P58" s="3514"/>
      <c r="Q58" s="501"/>
      <c r="R58" s="502"/>
      <c r="S58" s="493"/>
      <c r="T58" s="493"/>
      <c r="U58" s="493"/>
      <c r="V58" s="493"/>
      <c r="W58" s="493"/>
      <c r="AE58" s="483"/>
      <c r="AN58" s="509"/>
      <c r="AR58" s="498"/>
    </row>
    <row r="59" spans="1:49" ht="17.25" customHeight="1">
      <c r="A59" s="3594"/>
      <c r="B59" s="507"/>
      <c r="C59" s="507"/>
      <c r="D59" s="507"/>
      <c r="E59" s="507"/>
      <c r="F59" s="510"/>
      <c r="G59" s="511"/>
      <c r="H59" s="3513"/>
      <c r="I59" s="3513"/>
      <c r="J59" s="3513"/>
      <c r="K59" s="3513"/>
      <c r="L59" s="3513"/>
      <c r="M59" s="3513"/>
      <c r="N59" s="3514"/>
      <c r="O59" s="3514"/>
      <c r="P59" s="3514"/>
      <c r="Q59" s="497"/>
      <c r="R59" s="502"/>
      <c r="S59" s="493"/>
      <c r="T59" s="493"/>
      <c r="U59" s="493"/>
      <c r="V59" s="493"/>
      <c r="W59" s="493"/>
      <c r="AE59" s="483"/>
      <c r="AL59" s="3515" t="s">
        <v>6892</v>
      </c>
      <c r="AM59" s="3515"/>
      <c r="AN59" s="3515"/>
      <c r="AO59" s="3515"/>
      <c r="AP59" s="3515"/>
      <c r="AQ59" s="3515"/>
      <c r="AR59" s="498"/>
    </row>
    <row r="60" spans="1:49" ht="17.25" customHeight="1">
      <c r="A60" s="3594"/>
      <c r="B60" s="507"/>
      <c r="C60" s="507"/>
      <c r="D60" s="507"/>
      <c r="E60" s="507"/>
      <c r="F60" s="510"/>
      <c r="G60" s="507"/>
      <c r="H60" s="3513"/>
      <c r="I60" s="3513"/>
      <c r="J60" s="3513"/>
      <c r="K60" s="3513"/>
      <c r="L60" s="3513"/>
      <c r="M60" s="3513"/>
      <c r="N60" s="3514"/>
      <c r="O60" s="3514"/>
      <c r="P60" s="3514"/>
      <c r="Q60" s="493"/>
      <c r="R60" s="502"/>
      <c r="S60" s="493"/>
      <c r="T60" s="493"/>
      <c r="U60" s="493"/>
      <c r="V60" s="493"/>
      <c r="W60" s="493"/>
      <c r="AL60" s="3515"/>
      <c r="AM60" s="3515"/>
      <c r="AN60" s="3515"/>
      <c r="AO60" s="3515"/>
      <c r="AP60" s="3515"/>
      <c r="AQ60" s="3515"/>
      <c r="AR60" s="498"/>
    </row>
    <row r="61" spans="1:49" ht="17.25" customHeight="1">
      <c r="A61" s="3594"/>
      <c r="B61" s="507"/>
      <c r="C61" s="507"/>
      <c r="D61" s="507"/>
      <c r="E61" s="507"/>
      <c r="F61" s="510"/>
      <c r="G61" s="507"/>
      <c r="H61" s="3513"/>
      <c r="I61" s="3513"/>
      <c r="J61" s="3513"/>
      <c r="K61" s="3513"/>
      <c r="L61" s="3513"/>
      <c r="M61" s="3513"/>
      <c r="N61" s="3514"/>
      <c r="O61" s="3514"/>
      <c r="P61" s="3514"/>
      <c r="Q61" s="493"/>
      <c r="R61" s="502"/>
      <c r="S61" s="493"/>
      <c r="T61" s="493"/>
      <c r="U61" s="493"/>
      <c r="V61" s="493"/>
      <c r="W61" s="493"/>
      <c r="AL61" s="3515"/>
      <c r="AM61" s="3515"/>
      <c r="AN61" s="3515"/>
      <c r="AO61" s="3515"/>
      <c r="AP61" s="3515"/>
      <c r="AQ61" s="3515"/>
      <c r="AR61" s="498"/>
    </row>
    <row r="62" spans="1:49" ht="17.25" customHeight="1">
      <c r="A62" s="3594"/>
      <c r="B62" s="507"/>
      <c r="C62" s="507"/>
      <c r="D62" s="507"/>
      <c r="E62" s="507"/>
      <c r="F62" s="510"/>
      <c r="G62" s="512"/>
      <c r="H62" s="512"/>
      <c r="I62" s="513"/>
      <c r="J62" s="513"/>
      <c r="K62" s="513"/>
      <c r="L62" s="513"/>
      <c r="M62" s="513"/>
      <c r="N62" s="513"/>
      <c r="O62" s="513"/>
      <c r="P62" s="513"/>
      <c r="Q62" s="513"/>
      <c r="R62" s="514"/>
      <c r="S62" s="493"/>
      <c r="T62" s="493"/>
      <c r="U62" s="493"/>
      <c r="V62" s="493"/>
      <c r="W62" s="493"/>
      <c r="AL62" s="515"/>
      <c r="AM62" s="515"/>
      <c r="AN62" s="515"/>
      <c r="AO62" s="515"/>
      <c r="AP62" s="515"/>
      <c r="AQ62" s="515"/>
      <c r="AR62" s="498"/>
    </row>
    <row r="63" spans="1:49" ht="17.25" customHeight="1">
      <c r="A63" s="3594"/>
      <c r="B63" s="507"/>
      <c r="C63" s="507"/>
      <c r="D63" s="507"/>
      <c r="E63" s="507"/>
      <c r="F63" s="510"/>
      <c r="G63" s="512"/>
      <c r="H63" s="512"/>
      <c r="I63" s="516"/>
      <c r="J63" s="512"/>
      <c r="K63" s="512"/>
      <c r="L63" s="512"/>
      <c r="M63" s="512"/>
      <c r="N63" s="512"/>
      <c r="O63" s="512"/>
      <c r="P63" s="512"/>
      <c r="Q63" s="512"/>
      <c r="R63" s="512"/>
      <c r="S63" s="493"/>
      <c r="T63" s="493"/>
      <c r="U63" s="493"/>
      <c r="V63" s="493"/>
      <c r="W63" s="493"/>
      <c r="AR63" s="498"/>
    </row>
    <row r="64" spans="1:49" ht="17.25" customHeight="1">
      <c r="A64" s="3594"/>
      <c r="B64" s="507"/>
      <c r="C64" s="507"/>
      <c r="D64" s="507"/>
      <c r="E64" s="507"/>
      <c r="F64" s="510"/>
      <c r="G64" s="512"/>
      <c r="H64" s="512"/>
      <c r="I64" s="516"/>
      <c r="J64" s="512"/>
      <c r="K64" s="512"/>
      <c r="L64" s="512"/>
      <c r="M64" s="512"/>
      <c r="N64" s="512"/>
      <c r="O64" s="512"/>
      <c r="P64" s="512"/>
      <c r="Q64" s="512"/>
      <c r="R64" s="512"/>
      <c r="S64" s="493"/>
      <c r="T64" s="493"/>
      <c r="U64" s="3516" t="s">
        <v>6893</v>
      </c>
      <c r="V64" s="3517"/>
      <c r="W64" s="3518" t="s">
        <v>6894</v>
      </c>
      <c r="X64" s="3517"/>
      <c r="Y64" s="3517"/>
      <c r="Z64" s="3517"/>
      <c r="AA64" s="3517"/>
      <c r="AB64" s="3517"/>
      <c r="AC64" s="3517"/>
      <c r="AD64" s="3517"/>
      <c r="AE64" s="3517"/>
      <c r="AF64" s="3517"/>
      <c r="AG64" s="3517"/>
      <c r="AH64" s="3517"/>
      <c r="AI64" s="3517"/>
      <c r="AJ64" s="3519"/>
      <c r="AN64" s="3520" t="s">
        <v>6895</v>
      </c>
      <c r="AO64" s="3520"/>
      <c r="AP64" s="3520"/>
      <c r="AQ64" s="3520"/>
      <c r="AR64" s="3520"/>
      <c r="AS64" s="3520"/>
      <c r="AT64" s="3520"/>
      <c r="AU64" s="3520"/>
      <c r="AV64" s="3520"/>
      <c r="AW64" s="3520"/>
    </row>
    <row r="65" spans="1:59" ht="17.25" customHeight="1">
      <c r="A65" s="3594"/>
      <c r="F65" s="3494" t="s">
        <v>6896</v>
      </c>
      <c r="G65" s="3495"/>
      <c r="H65" s="3610" t="s">
        <v>6897</v>
      </c>
      <c r="I65" s="3610"/>
      <c r="J65" s="3610"/>
      <c r="K65" s="3610" t="s">
        <v>6898</v>
      </c>
      <c r="L65" s="3610"/>
      <c r="M65" s="3610" t="s">
        <v>5631</v>
      </c>
      <c r="N65" s="3610"/>
      <c r="O65" s="3611" t="s">
        <v>6899</v>
      </c>
      <c r="P65" s="3612"/>
      <c r="Q65" s="3612"/>
      <c r="R65" s="3613"/>
      <c r="T65" s="493"/>
      <c r="U65" s="3463"/>
      <c r="V65" s="3464"/>
      <c r="W65" s="3464"/>
      <c r="X65" s="3464"/>
      <c r="Y65" s="3464"/>
      <c r="Z65" s="3464"/>
      <c r="AA65" s="3464"/>
      <c r="AB65" s="3464"/>
      <c r="AC65" s="3464"/>
      <c r="AD65" s="3464"/>
      <c r="AE65" s="3464"/>
      <c r="AF65" s="3464"/>
      <c r="AG65" s="3464"/>
      <c r="AH65" s="3464"/>
      <c r="AI65" s="3464"/>
      <c r="AJ65" s="3466"/>
      <c r="AN65" s="3520"/>
      <c r="AO65" s="3520"/>
      <c r="AP65" s="3520"/>
      <c r="AQ65" s="3520"/>
      <c r="AR65" s="3520"/>
      <c r="AS65" s="3520"/>
      <c r="AT65" s="3520"/>
      <c r="AU65" s="3520"/>
      <c r="AV65" s="3520"/>
      <c r="AW65" s="3520"/>
      <c r="AX65" s="517"/>
      <c r="AY65" s="517"/>
      <c r="AZ65" s="517"/>
      <c r="BA65" s="517"/>
      <c r="BB65" s="517"/>
      <c r="BC65" s="517"/>
      <c r="BD65" s="517"/>
      <c r="BE65" s="517"/>
      <c r="BF65" s="517"/>
      <c r="BG65" s="483"/>
    </row>
    <row r="66" spans="1:59" ht="17.25" customHeight="1">
      <c r="A66" s="3594"/>
      <c r="F66" s="3496"/>
      <c r="G66" s="3497"/>
      <c r="H66" s="3601" t="s">
        <v>6900</v>
      </c>
      <c r="I66" s="3601"/>
      <c r="J66" s="3601"/>
      <c r="K66" s="3601">
        <v>-2</v>
      </c>
      <c r="L66" s="3601"/>
      <c r="M66" s="3601">
        <v>-2</v>
      </c>
      <c r="N66" s="3601"/>
      <c r="O66" s="3602" t="s">
        <v>6901</v>
      </c>
      <c r="P66" s="3603"/>
      <c r="Q66" s="3603"/>
      <c r="R66" s="518">
        <v>-3</v>
      </c>
      <c r="T66" s="493"/>
      <c r="U66" s="3463"/>
      <c r="V66" s="3464"/>
      <c r="W66" s="3464"/>
      <c r="X66" s="3464"/>
      <c r="Y66" s="3464"/>
      <c r="Z66" s="3464"/>
      <c r="AA66" s="3464"/>
      <c r="AB66" s="3464"/>
      <c r="AC66" s="3464"/>
      <c r="AD66" s="3464"/>
      <c r="AE66" s="3464"/>
      <c r="AF66" s="3464"/>
      <c r="AG66" s="3464"/>
      <c r="AH66" s="3464"/>
      <c r="AI66" s="3464"/>
      <c r="AJ66" s="3466"/>
      <c r="AN66" s="3500" t="s">
        <v>6902</v>
      </c>
      <c r="AO66" s="3501"/>
      <c r="AP66" s="3501"/>
      <c r="AQ66" s="3501"/>
      <c r="AR66" s="3501"/>
      <c r="AS66" s="3501"/>
      <c r="AT66" s="3501"/>
      <c r="AU66" s="3501"/>
      <c r="AV66" s="3501"/>
      <c r="AW66" s="3501"/>
      <c r="AX66" s="517"/>
      <c r="AY66" s="517"/>
      <c r="AZ66" s="517"/>
      <c r="BA66" s="517"/>
      <c r="BB66" s="517"/>
      <c r="BC66" s="517"/>
      <c r="BD66" s="517"/>
      <c r="BE66" s="517"/>
      <c r="BF66" s="517"/>
      <c r="BG66" s="483"/>
    </row>
    <row r="67" spans="1:59" ht="17.25" customHeight="1">
      <c r="A67" s="3594"/>
      <c r="F67" s="3496"/>
      <c r="G67" s="3497"/>
      <c r="H67" s="3598" t="s">
        <v>6903</v>
      </c>
      <c r="I67" s="3598"/>
      <c r="J67" s="3598"/>
      <c r="K67" s="3598">
        <v>-1</v>
      </c>
      <c r="L67" s="3598"/>
      <c r="M67" s="3598">
        <v>-1</v>
      </c>
      <c r="N67" s="3598"/>
      <c r="O67" s="3599" t="s">
        <v>6904</v>
      </c>
      <c r="P67" s="3600"/>
      <c r="Q67" s="3600"/>
      <c r="R67" s="169">
        <v>-2</v>
      </c>
      <c r="U67" s="3467" t="s">
        <v>6905</v>
      </c>
      <c r="V67" s="3468"/>
      <c r="W67" s="3502" t="s">
        <v>6906</v>
      </c>
      <c r="X67" s="3503"/>
      <c r="Y67" s="3503"/>
      <c r="Z67" s="3503"/>
      <c r="AA67" s="3503"/>
      <c r="AB67" s="3503"/>
      <c r="AC67" s="3503"/>
      <c r="AD67" s="3503"/>
      <c r="AE67" s="3503"/>
      <c r="AF67" s="3503"/>
      <c r="AG67" s="3503"/>
      <c r="AH67" s="3503"/>
      <c r="AI67" s="3503"/>
      <c r="AJ67" s="3504"/>
      <c r="AN67" s="3501"/>
      <c r="AO67" s="3501"/>
      <c r="AP67" s="3501"/>
      <c r="AQ67" s="3501"/>
      <c r="AR67" s="3501"/>
      <c r="AS67" s="3501"/>
      <c r="AT67" s="3501"/>
      <c r="AU67" s="3501"/>
      <c r="AV67" s="3501"/>
      <c r="AW67" s="3501"/>
      <c r="AX67" s="517"/>
      <c r="AY67" s="517"/>
      <c r="AZ67" s="517"/>
      <c r="BA67" s="517"/>
      <c r="BB67" s="517"/>
      <c r="BC67" s="517"/>
      <c r="BD67" s="517"/>
      <c r="BE67" s="517"/>
      <c r="BF67" s="517"/>
      <c r="BG67" s="483"/>
    </row>
    <row r="68" spans="1:59" ht="17.25" customHeight="1">
      <c r="A68" s="3594"/>
      <c r="F68" s="3496"/>
      <c r="G68" s="3497"/>
      <c r="H68" s="3607" t="s">
        <v>6907</v>
      </c>
      <c r="I68" s="3607"/>
      <c r="J68" s="3607"/>
      <c r="K68" s="3607">
        <v>0</v>
      </c>
      <c r="L68" s="3607"/>
      <c r="M68" s="3607">
        <v>0</v>
      </c>
      <c r="N68" s="3607"/>
      <c r="O68" s="3602" t="s">
        <v>6908</v>
      </c>
      <c r="P68" s="3603"/>
      <c r="Q68" s="3603"/>
      <c r="R68" s="518">
        <v>-1</v>
      </c>
      <c r="U68" s="3467"/>
      <c r="V68" s="3468"/>
      <c r="W68" s="3503"/>
      <c r="X68" s="3503"/>
      <c r="Y68" s="3503"/>
      <c r="Z68" s="3503"/>
      <c r="AA68" s="3503"/>
      <c r="AB68" s="3503"/>
      <c r="AC68" s="3503"/>
      <c r="AD68" s="3503"/>
      <c r="AE68" s="3503"/>
      <c r="AF68" s="3503"/>
      <c r="AG68" s="3503"/>
      <c r="AH68" s="3503"/>
      <c r="AI68" s="3503"/>
      <c r="AJ68" s="3504"/>
      <c r="AN68" s="3501"/>
      <c r="AO68" s="3501"/>
      <c r="AP68" s="3501"/>
      <c r="AQ68" s="3501"/>
      <c r="AR68" s="3501"/>
      <c r="AS68" s="3501"/>
      <c r="AT68" s="3501"/>
      <c r="AU68" s="3501"/>
      <c r="AV68" s="3501"/>
      <c r="AW68" s="3501"/>
      <c r="AX68" s="517"/>
      <c r="AY68" s="517"/>
      <c r="AZ68" s="517"/>
      <c r="BA68" s="517"/>
      <c r="BB68" s="517"/>
      <c r="BC68" s="517"/>
      <c r="BD68" s="517"/>
      <c r="BE68" s="517"/>
      <c r="BF68" s="517"/>
      <c r="BG68" s="483"/>
    </row>
    <row r="69" spans="1:59" ht="17.25" customHeight="1">
      <c r="A69" s="3594"/>
      <c r="F69" s="3496"/>
      <c r="G69" s="3497"/>
      <c r="H69" s="3598" t="s">
        <v>6909</v>
      </c>
      <c r="I69" s="3598"/>
      <c r="J69" s="3598"/>
      <c r="K69" s="3598" t="s">
        <v>6910</v>
      </c>
      <c r="L69" s="3598"/>
      <c r="M69" s="3598">
        <v>1</v>
      </c>
      <c r="N69" s="3598"/>
      <c r="O69" s="3608" t="s">
        <v>6911</v>
      </c>
      <c r="P69" s="3609"/>
      <c r="Q69" s="3609"/>
      <c r="R69" s="519">
        <v>0</v>
      </c>
      <c r="U69" s="3467"/>
      <c r="V69" s="3468"/>
      <c r="W69" s="3503"/>
      <c r="X69" s="3503"/>
      <c r="Y69" s="3503"/>
      <c r="Z69" s="3503"/>
      <c r="AA69" s="3503"/>
      <c r="AB69" s="3503"/>
      <c r="AC69" s="3503"/>
      <c r="AD69" s="3503"/>
      <c r="AE69" s="3503"/>
      <c r="AF69" s="3503"/>
      <c r="AG69" s="3503"/>
      <c r="AH69" s="3503"/>
      <c r="AI69" s="3503"/>
      <c r="AJ69" s="3504"/>
      <c r="AN69" s="3501"/>
      <c r="AO69" s="3501"/>
      <c r="AP69" s="3501"/>
      <c r="AQ69" s="3501"/>
      <c r="AR69" s="3501"/>
      <c r="AS69" s="3501"/>
      <c r="AT69" s="3501"/>
      <c r="AU69" s="3501"/>
      <c r="AV69" s="3501"/>
      <c r="AW69" s="3501"/>
      <c r="AX69" s="517"/>
      <c r="AY69" s="517"/>
      <c r="AZ69" s="517"/>
      <c r="BA69" s="517"/>
      <c r="BB69" s="517"/>
      <c r="BC69" s="517"/>
      <c r="BD69" s="517"/>
      <c r="BE69" s="517"/>
      <c r="BF69" s="517"/>
      <c r="BG69" s="483"/>
    </row>
    <row r="70" spans="1:59" ht="17.25" customHeight="1">
      <c r="A70" s="3594"/>
      <c r="F70" s="3496"/>
      <c r="G70" s="3497"/>
      <c r="H70" s="3601" t="s">
        <v>6912</v>
      </c>
      <c r="I70" s="3601"/>
      <c r="J70" s="3601"/>
      <c r="K70" s="3601" t="s">
        <v>6913</v>
      </c>
      <c r="L70" s="3601"/>
      <c r="M70" s="3601">
        <v>2</v>
      </c>
      <c r="N70" s="3601"/>
      <c r="O70" s="3602" t="s">
        <v>6914</v>
      </c>
      <c r="P70" s="3603"/>
      <c r="Q70" s="3603"/>
      <c r="R70" s="1258" t="s">
        <v>6915</v>
      </c>
      <c r="U70" s="3463" t="s">
        <v>6916</v>
      </c>
      <c r="V70" s="3464"/>
      <c r="W70" s="3465" t="s">
        <v>6917</v>
      </c>
      <c r="X70" s="3464"/>
      <c r="Y70" s="3464"/>
      <c r="Z70" s="3464"/>
      <c r="AA70" s="3464"/>
      <c r="AB70" s="3464"/>
      <c r="AC70" s="3464"/>
      <c r="AD70" s="3464"/>
      <c r="AE70" s="3464"/>
      <c r="AF70" s="3464"/>
      <c r="AG70" s="3464"/>
      <c r="AH70" s="3464"/>
      <c r="AI70" s="3464"/>
      <c r="AJ70" s="3466"/>
      <c r="AN70" s="3505" t="s">
        <v>6918</v>
      </c>
      <c r="AO70" s="3506"/>
      <c r="AP70" s="3506"/>
      <c r="AQ70" s="3506"/>
      <c r="AR70" s="3506"/>
      <c r="AS70" s="3506"/>
      <c r="AT70" s="3506"/>
      <c r="AU70" s="3506"/>
      <c r="AV70" s="3506"/>
      <c r="AW70" s="3506"/>
      <c r="AX70" s="517"/>
      <c r="AY70" s="517"/>
      <c r="AZ70" s="517"/>
      <c r="BA70" s="517"/>
      <c r="BB70" s="517"/>
      <c r="BC70" s="517"/>
      <c r="BD70" s="517"/>
      <c r="BE70" s="517"/>
      <c r="BF70" s="517"/>
      <c r="BG70" s="483"/>
    </row>
    <row r="71" spans="1:59">
      <c r="A71" s="3594"/>
      <c r="F71" s="3496"/>
      <c r="G71" s="3497"/>
      <c r="H71" s="3598" t="s">
        <v>6919</v>
      </c>
      <c r="I71" s="3598"/>
      <c r="J71" s="3598"/>
      <c r="K71" s="3598" t="s">
        <v>6920</v>
      </c>
      <c r="L71" s="3598"/>
      <c r="M71" s="3598">
        <v>3</v>
      </c>
      <c r="N71" s="3598"/>
      <c r="O71" s="3599" t="s">
        <v>6921</v>
      </c>
      <c r="P71" s="3600"/>
      <c r="Q71" s="3600"/>
      <c r="R71" s="1259" t="s">
        <v>6922</v>
      </c>
      <c r="U71" s="3463"/>
      <c r="V71" s="3464"/>
      <c r="W71" s="3464"/>
      <c r="X71" s="3464"/>
      <c r="Y71" s="3464"/>
      <c r="Z71" s="3464"/>
      <c r="AA71" s="3464"/>
      <c r="AB71" s="3464"/>
      <c r="AC71" s="3464"/>
      <c r="AD71" s="3464"/>
      <c r="AE71" s="3464"/>
      <c r="AF71" s="3464"/>
      <c r="AG71" s="3464"/>
      <c r="AH71" s="3464"/>
      <c r="AI71" s="3464"/>
      <c r="AJ71" s="3466"/>
      <c r="AN71" s="3506"/>
      <c r="AO71" s="3506"/>
      <c r="AP71" s="3506"/>
      <c r="AQ71" s="3506"/>
      <c r="AR71" s="3506"/>
      <c r="AS71" s="3506"/>
      <c r="AT71" s="3506"/>
      <c r="AU71" s="3506"/>
      <c r="AV71" s="3506"/>
      <c r="AW71" s="3506"/>
    </row>
    <row r="72" spans="1:59">
      <c r="A72" s="3594"/>
      <c r="F72" s="3496"/>
      <c r="G72" s="3497"/>
      <c r="H72" s="3601" t="s">
        <v>6923</v>
      </c>
      <c r="I72" s="3601"/>
      <c r="J72" s="3601"/>
      <c r="K72" s="3601" t="s">
        <v>6924</v>
      </c>
      <c r="L72" s="3601"/>
      <c r="M72" s="3601">
        <v>4</v>
      </c>
      <c r="N72" s="3601"/>
      <c r="O72" s="3602" t="s">
        <v>6925</v>
      </c>
      <c r="P72" s="3603"/>
      <c r="Q72" s="3603"/>
      <c r="R72" s="1258" t="s">
        <v>6926</v>
      </c>
      <c r="U72" s="3463"/>
      <c r="V72" s="3464"/>
      <c r="W72" s="3464"/>
      <c r="X72" s="3464"/>
      <c r="Y72" s="3464"/>
      <c r="Z72" s="3464"/>
      <c r="AA72" s="3464"/>
      <c r="AB72" s="3464"/>
      <c r="AC72" s="3464"/>
      <c r="AD72" s="3464"/>
      <c r="AE72" s="3464"/>
      <c r="AF72" s="3464"/>
      <c r="AG72" s="3464"/>
      <c r="AH72" s="3464"/>
      <c r="AI72" s="3464"/>
      <c r="AJ72" s="3466"/>
      <c r="AN72" s="3506"/>
      <c r="AO72" s="3506"/>
      <c r="AP72" s="3506"/>
      <c r="AQ72" s="3506"/>
      <c r="AR72" s="3506"/>
      <c r="AS72" s="3506"/>
      <c r="AT72" s="3506"/>
      <c r="AU72" s="3506"/>
      <c r="AV72" s="3506"/>
      <c r="AW72" s="3506"/>
    </row>
    <row r="73" spans="1:59">
      <c r="A73" s="3594"/>
      <c r="F73" s="3498"/>
      <c r="G73" s="3499"/>
      <c r="H73" s="3604" t="s">
        <v>6927</v>
      </c>
      <c r="I73" s="3604"/>
      <c r="J73" s="3604"/>
      <c r="K73" s="3604" t="s">
        <v>6928</v>
      </c>
      <c r="L73" s="3604"/>
      <c r="M73" s="3604">
        <v>5</v>
      </c>
      <c r="N73" s="3604"/>
      <c r="O73" s="3605" t="s">
        <v>6929</v>
      </c>
      <c r="P73" s="3606"/>
      <c r="Q73" s="3606"/>
      <c r="R73" s="1260" t="s">
        <v>6930</v>
      </c>
      <c r="U73" s="3467" t="s">
        <v>6931</v>
      </c>
      <c r="V73" s="3468"/>
      <c r="W73" s="3469" t="s">
        <v>6932</v>
      </c>
      <c r="X73" s="3468"/>
      <c r="Y73" s="3468"/>
      <c r="Z73" s="3468"/>
      <c r="AA73" s="3468"/>
      <c r="AB73" s="3468"/>
      <c r="AC73" s="3468"/>
      <c r="AD73" s="3468"/>
      <c r="AE73" s="3468"/>
      <c r="AF73" s="3468"/>
      <c r="AG73" s="3468"/>
      <c r="AH73" s="3468"/>
      <c r="AI73" s="3468"/>
      <c r="AJ73" s="3470"/>
      <c r="AN73" s="3506"/>
      <c r="AO73" s="3506"/>
      <c r="AP73" s="3506"/>
      <c r="AQ73" s="3506"/>
      <c r="AR73" s="3506"/>
      <c r="AS73" s="3506"/>
      <c r="AT73" s="3506"/>
      <c r="AU73" s="3506"/>
      <c r="AV73" s="3506"/>
      <c r="AW73" s="3506"/>
    </row>
    <row r="74" spans="1:59">
      <c r="A74" s="3594"/>
      <c r="F74" s="3508" t="s">
        <v>6933</v>
      </c>
      <c r="G74" s="3508"/>
      <c r="H74" s="3508"/>
      <c r="I74" s="3508"/>
      <c r="J74" s="3508"/>
      <c r="K74" s="3508"/>
      <c r="L74" s="3508"/>
      <c r="M74" s="3508"/>
      <c r="N74" s="3508"/>
      <c r="U74" s="3507"/>
      <c r="V74" s="3468"/>
      <c r="W74" s="3468"/>
      <c r="X74" s="3468"/>
      <c r="Y74" s="3468"/>
      <c r="Z74" s="3468"/>
      <c r="AA74" s="3468"/>
      <c r="AB74" s="3468"/>
      <c r="AC74" s="3468"/>
      <c r="AD74" s="3468"/>
      <c r="AE74" s="3468"/>
      <c r="AF74" s="3468"/>
      <c r="AG74" s="3468"/>
      <c r="AH74" s="3468"/>
      <c r="AI74" s="3468"/>
      <c r="AJ74" s="3470"/>
      <c r="AN74" s="483"/>
      <c r="AO74" s="483"/>
      <c r="AP74" s="483"/>
      <c r="AQ74" s="483"/>
      <c r="AR74" s="483"/>
      <c r="AS74" s="483"/>
      <c r="AT74" s="483"/>
      <c r="AU74" s="483"/>
      <c r="AV74" s="483"/>
      <c r="AW74" s="483"/>
    </row>
    <row r="75" spans="1:59">
      <c r="A75" s="3594"/>
      <c r="F75" s="3508"/>
      <c r="G75" s="3508"/>
      <c r="H75" s="3508"/>
      <c r="I75" s="3508"/>
      <c r="J75" s="3508"/>
      <c r="K75" s="3508"/>
      <c r="L75" s="3508"/>
      <c r="M75" s="3508"/>
      <c r="N75" s="3508"/>
      <c r="U75" s="3467"/>
      <c r="V75" s="3468"/>
      <c r="W75" s="3468"/>
      <c r="X75" s="3468"/>
      <c r="Y75" s="3468"/>
      <c r="Z75" s="3468"/>
      <c r="AA75" s="3468"/>
      <c r="AB75" s="3468"/>
      <c r="AC75" s="3468"/>
      <c r="AD75" s="3468"/>
      <c r="AE75" s="3468"/>
      <c r="AF75" s="3468"/>
      <c r="AG75" s="3468"/>
      <c r="AH75" s="3468"/>
      <c r="AI75" s="3468"/>
      <c r="AJ75" s="3470"/>
      <c r="AO75" s="517"/>
      <c r="AP75" s="517"/>
      <c r="AQ75" s="517"/>
      <c r="AR75" s="517"/>
      <c r="AS75" s="517"/>
      <c r="AT75" s="517"/>
      <c r="AU75" s="517"/>
      <c r="AV75" s="517"/>
      <c r="AW75" s="517"/>
    </row>
    <row r="76" spans="1:59">
      <c r="A76" s="3594"/>
      <c r="G76" s="483"/>
      <c r="H76" s="483"/>
      <c r="U76" s="3463" t="s">
        <v>6934</v>
      </c>
      <c r="V76" s="3464"/>
      <c r="W76" s="3465" t="s">
        <v>6935</v>
      </c>
      <c r="X76" s="3464"/>
      <c r="Y76" s="3464"/>
      <c r="Z76" s="3464"/>
      <c r="AA76" s="3464"/>
      <c r="AB76" s="3464"/>
      <c r="AC76" s="3464"/>
      <c r="AD76" s="3464"/>
      <c r="AE76" s="3464"/>
      <c r="AF76" s="3464"/>
      <c r="AG76" s="3464"/>
      <c r="AH76" s="3464"/>
      <c r="AI76" s="3464"/>
      <c r="AJ76" s="3466"/>
      <c r="AO76" s="517"/>
      <c r="AP76" s="517"/>
      <c r="AQ76" s="517"/>
      <c r="AR76" s="517"/>
      <c r="AS76" s="517"/>
      <c r="AT76" s="517"/>
      <c r="AU76" s="517"/>
      <c r="AV76" s="517"/>
      <c r="AW76" s="517"/>
    </row>
    <row r="77" spans="1:59">
      <c r="A77" s="3594"/>
      <c r="U77" s="3463"/>
      <c r="V77" s="3464"/>
      <c r="W77" s="3464"/>
      <c r="X77" s="3464"/>
      <c r="Y77" s="3464"/>
      <c r="Z77" s="3464"/>
      <c r="AA77" s="3464"/>
      <c r="AB77" s="3464"/>
      <c r="AC77" s="3464"/>
      <c r="AD77" s="3464"/>
      <c r="AE77" s="3464"/>
      <c r="AF77" s="3464"/>
      <c r="AG77" s="3464"/>
      <c r="AH77" s="3464"/>
      <c r="AI77" s="3464"/>
      <c r="AJ77" s="3466"/>
      <c r="AO77" s="517"/>
      <c r="AP77" s="517"/>
      <c r="AQ77" s="517"/>
      <c r="AR77" s="517"/>
      <c r="AS77" s="517"/>
      <c r="AT77" s="517"/>
      <c r="AU77" s="517"/>
      <c r="AV77" s="517"/>
      <c r="AW77" s="517"/>
    </row>
    <row r="78" spans="1:59">
      <c r="A78" s="3594"/>
      <c r="U78" s="3463"/>
      <c r="V78" s="3464"/>
      <c r="W78" s="3464"/>
      <c r="X78" s="3464"/>
      <c r="Y78" s="3464"/>
      <c r="Z78" s="3464"/>
      <c r="AA78" s="3464"/>
      <c r="AB78" s="3464"/>
      <c r="AC78" s="3464"/>
      <c r="AD78" s="3464"/>
      <c r="AE78" s="3464"/>
      <c r="AF78" s="3464"/>
      <c r="AG78" s="3464"/>
      <c r="AH78" s="3464"/>
      <c r="AI78" s="3464"/>
      <c r="AJ78" s="3466"/>
      <c r="AO78" s="517"/>
      <c r="AP78" s="517"/>
      <c r="AQ78" s="517"/>
      <c r="AR78" s="517"/>
      <c r="AS78" s="517"/>
      <c r="AT78" s="517"/>
      <c r="AU78" s="517"/>
      <c r="AV78" s="517"/>
      <c r="AW78" s="517"/>
    </row>
    <row r="79" spans="1:59">
      <c r="A79" s="3594"/>
      <c r="U79" s="3467" t="s">
        <v>6936</v>
      </c>
      <c r="V79" s="3468"/>
      <c r="W79" s="3469" t="s">
        <v>6937</v>
      </c>
      <c r="X79" s="3468"/>
      <c r="Y79" s="3468"/>
      <c r="Z79" s="3468"/>
      <c r="AA79" s="3468"/>
      <c r="AB79" s="3468"/>
      <c r="AC79" s="3468"/>
      <c r="AD79" s="3468"/>
      <c r="AE79" s="3468"/>
      <c r="AF79" s="3468"/>
      <c r="AG79" s="3468"/>
      <c r="AH79" s="3468"/>
      <c r="AI79" s="3468"/>
      <c r="AJ79" s="3470"/>
    </row>
    <row r="80" spans="1:59">
      <c r="A80" s="3594"/>
      <c r="U80" s="3467"/>
      <c r="V80" s="3468"/>
      <c r="W80" s="3468"/>
      <c r="X80" s="3468"/>
      <c r="Y80" s="3468"/>
      <c r="Z80" s="3468"/>
      <c r="AA80" s="3468"/>
      <c r="AB80" s="3468"/>
      <c r="AC80" s="3468"/>
      <c r="AD80" s="3468"/>
      <c r="AE80" s="3468"/>
      <c r="AF80" s="3468"/>
      <c r="AG80" s="3468"/>
      <c r="AH80" s="3468"/>
      <c r="AI80" s="3468"/>
      <c r="AJ80" s="3470"/>
    </row>
    <row r="81" spans="1:52">
      <c r="A81" s="3594"/>
      <c r="U81" s="3467"/>
      <c r="V81" s="3468"/>
      <c r="W81" s="3468"/>
      <c r="X81" s="3468"/>
      <c r="Y81" s="3468"/>
      <c r="Z81" s="3468"/>
      <c r="AA81" s="3468"/>
      <c r="AB81" s="3468"/>
      <c r="AC81" s="3468"/>
      <c r="AD81" s="3468"/>
      <c r="AE81" s="3468"/>
      <c r="AF81" s="3468"/>
      <c r="AG81" s="3468"/>
      <c r="AH81" s="3468"/>
      <c r="AI81" s="3468"/>
      <c r="AJ81" s="3470"/>
    </row>
    <row r="82" spans="1:52">
      <c r="A82" s="3594"/>
      <c r="U82" s="3463" t="s">
        <v>6938</v>
      </c>
      <c r="V82" s="3464"/>
      <c r="W82" s="3464"/>
      <c r="X82" s="3464"/>
      <c r="Y82" s="3464"/>
      <c r="Z82" s="3464"/>
      <c r="AA82" s="3464"/>
      <c r="AB82" s="3464"/>
      <c r="AC82" s="3464"/>
      <c r="AD82" s="3464"/>
      <c r="AE82" s="3464"/>
      <c r="AF82" s="3464"/>
      <c r="AG82" s="3464"/>
      <c r="AH82" s="3464"/>
      <c r="AI82" s="3464"/>
      <c r="AJ82" s="3466"/>
    </row>
    <row r="83" spans="1:52">
      <c r="A83" s="3594"/>
      <c r="U83" s="3463"/>
      <c r="V83" s="3464"/>
      <c r="W83" s="3464"/>
      <c r="X83" s="3464"/>
      <c r="Y83" s="3464"/>
      <c r="Z83" s="3464"/>
      <c r="AA83" s="3464"/>
      <c r="AB83" s="3464"/>
      <c r="AC83" s="3464"/>
      <c r="AD83" s="3464"/>
      <c r="AE83" s="3464"/>
      <c r="AF83" s="3464"/>
      <c r="AG83" s="3464"/>
      <c r="AH83" s="3464"/>
      <c r="AI83" s="3464"/>
      <c r="AJ83" s="3466"/>
    </row>
    <row r="84" spans="1:52">
      <c r="A84" s="3595"/>
      <c r="U84" s="3471"/>
      <c r="V84" s="3472"/>
      <c r="W84" s="3472"/>
      <c r="X84" s="3472"/>
      <c r="Y84" s="3472"/>
      <c r="Z84" s="3472"/>
      <c r="AA84" s="3472"/>
      <c r="AB84" s="3472"/>
      <c r="AC84" s="3472"/>
      <c r="AD84" s="3472"/>
      <c r="AE84" s="3472"/>
      <c r="AF84" s="3472"/>
      <c r="AG84" s="3472"/>
      <c r="AH84" s="3472"/>
      <c r="AI84" s="3472"/>
      <c r="AJ84" s="3473"/>
    </row>
    <row r="86" spans="1:52">
      <c r="B86" s="3319" t="s">
        <v>6939</v>
      </c>
      <c r="C86" s="3320"/>
      <c r="D86" s="3320"/>
      <c r="E86" s="3320"/>
      <c r="F86" s="3320"/>
      <c r="G86" s="3320"/>
      <c r="H86" s="3320"/>
      <c r="I86" s="3320"/>
      <c r="J86" s="3320"/>
      <c r="K86" s="3320"/>
      <c r="L86" s="3320"/>
      <c r="M86" s="3320"/>
      <c r="N86" s="3320"/>
      <c r="O86" s="3320"/>
      <c r="P86" s="3320"/>
      <c r="Q86" s="3320"/>
      <c r="R86" s="3320"/>
      <c r="S86" s="3320"/>
      <c r="T86" s="3320"/>
      <c r="U86" s="3320"/>
      <c r="V86" s="3320"/>
      <c r="W86" s="3320"/>
      <c r="X86" s="3320"/>
      <c r="Y86" s="3320"/>
      <c r="Z86" s="3320"/>
      <c r="AA86" s="3320"/>
      <c r="AB86" s="3320"/>
      <c r="AC86" s="3320"/>
      <c r="AD86" s="3320"/>
      <c r="AE86" s="3320"/>
      <c r="AF86" s="3320"/>
      <c r="AG86" s="3320"/>
      <c r="AH86" s="3320"/>
      <c r="AI86" s="3320"/>
      <c r="AJ86" s="3320"/>
      <c r="AK86" s="3320"/>
      <c r="AL86" s="3320"/>
      <c r="AM86" s="3320"/>
      <c r="AN86" s="3320"/>
      <c r="AO86" s="3320"/>
      <c r="AP86" s="3320"/>
      <c r="AQ86" s="3320"/>
      <c r="AR86" s="3320"/>
      <c r="AS86" s="3320"/>
      <c r="AT86" s="3320"/>
      <c r="AU86" s="3321"/>
    </row>
    <row r="87" spans="1:52">
      <c r="B87" s="3322"/>
      <c r="C87" s="3323"/>
      <c r="D87" s="3323"/>
      <c r="E87" s="3323"/>
      <c r="F87" s="3323"/>
      <c r="G87" s="3323"/>
      <c r="H87" s="3323"/>
      <c r="I87" s="3323"/>
      <c r="J87" s="3323"/>
      <c r="K87" s="3323"/>
      <c r="L87" s="3323"/>
      <c r="M87" s="3323"/>
      <c r="N87" s="3323"/>
      <c r="O87" s="3323"/>
      <c r="P87" s="3323"/>
      <c r="Q87" s="3323"/>
      <c r="R87" s="3323"/>
      <c r="S87" s="3323"/>
      <c r="T87" s="3323"/>
      <c r="U87" s="3323"/>
      <c r="V87" s="3323"/>
      <c r="W87" s="3323"/>
      <c r="X87" s="3323"/>
      <c r="Y87" s="3323"/>
      <c r="Z87" s="3323"/>
      <c r="AA87" s="3323"/>
      <c r="AB87" s="3323"/>
      <c r="AC87" s="3323"/>
      <c r="AD87" s="3323"/>
      <c r="AE87" s="3323"/>
      <c r="AF87" s="3323"/>
      <c r="AG87" s="3323"/>
      <c r="AH87" s="3323"/>
      <c r="AI87" s="3323"/>
      <c r="AJ87" s="3323"/>
      <c r="AK87" s="3323"/>
      <c r="AL87" s="3323"/>
      <c r="AM87" s="3323"/>
      <c r="AN87" s="3323"/>
      <c r="AO87" s="3323"/>
      <c r="AP87" s="3323"/>
      <c r="AQ87" s="3323"/>
      <c r="AR87" s="3323"/>
      <c r="AS87" s="3323"/>
      <c r="AT87" s="3323"/>
      <c r="AU87" s="3324"/>
    </row>
    <row r="88" spans="1:52">
      <c r="B88" s="3325"/>
      <c r="C88" s="3326"/>
      <c r="D88" s="3326"/>
      <c r="E88" s="3326"/>
      <c r="F88" s="3326"/>
      <c r="G88" s="3326"/>
      <c r="H88" s="3326"/>
      <c r="I88" s="3326"/>
      <c r="J88" s="3326"/>
      <c r="K88" s="3326"/>
      <c r="L88" s="3326"/>
      <c r="M88" s="3326"/>
      <c r="N88" s="3326"/>
      <c r="O88" s="3326"/>
      <c r="P88" s="3326"/>
      <c r="Q88" s="3326"/>
      <c r="R88" s="3326"/>
      <c r="S88" s="3326"/>
      <c r="T88" s="3326"/>
      <c r="U88" s="3326"/>
      <c r="V88" s="3326"/>
      <c r="W88" s="3326"/>
      <c r="X88" s="3326"/>
      <c r="Y88" s="3326"/>
      <c r="Z88" s="3326"/>
      <c r="AA88" s="3326"/>
      <c r="AB88" s="3326"/>
      <c r="AC88" s="3326"/>
      <c r="AD88" s="3326"/>
      <c r="AE88" s="3326"/>
      <c r="AF88" s="3326"/>
      <c r="AG88" s="3326"/>
      <c r="AH88" s="3326"/>
      <c r="AI88" s="3326"/>
      <c r="AJ88" s="3326"/>
      <c r="AK88" s="3326"/>
      <c r="AL88" s="3326"/>
      <c r="AM88" s="3326"/>
      <c r="AN88" s="3326"/>
      <c r="AO88" s="3326"/>
      <c r="AP88" s="3326"/>
      <c r="AQ88" s="3326"/>
      <c r="AR88" s="3326"/>
      <c r="AS88" s="3326"/>
      <c r="AT88" s="3326"/>
      <c r="AU88" s="3327"/>
    </row>
    <row r="89" spans="1:52">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c r="AA89" s="200"/>
      <c r="AB89" s="200"/>
      <c r="AC89" s="200"/>
      <c r="AD89" s="200"/>
      <c r="AE89" s="200"/>
      <c r="AF89" s="200"/>
      <c r="AG89" s="200"/>
      <c r="AH89" s="200"/>
      <c r="AI89" s="200"/>
      <c r="AJ89" s="200"/>
      <c r="AK89" s="200"/>
      <c r="AL89" s="200"/>
      <c r="AM89" s="200"/>
      <c r="AN89" s="200"/>
      <c r="AO89" s="200"/>
      <c r="AP89" s="200"/>
      <c r="AQ89" s="200"/>
      <c r="AR89" s="200"/>
      <c r="AS89" s="200"/>
      <c r="AT89" s="200"/>
      <c r="AU89" s="200"/>
    </row>
    <row r="90" spans="1:52" ht="18" customHeight="1">
      <c r="B90" s="3426" t="s">
        <v>6940</v>
      </c>
      <c r="C90" s="3427"/>
      <c r="D90" s="3427"/>
      <c r="E90" s="3427"/>
      <c r="F90" s="3427"/>
      <c r="G90" s="3427"/>
      <c r="H90" s="3427"/>
      <c r="I90" s="3427"/>
      <c r="J90" s="3427"/>
      <c r="K90" s="3427"/>
      <c r="L90" s="3427"/>
      <c r="M90" s="3427"/>
      <c r="N90" s="3427"/>
      <c r="O90" s="3427"/>
      <c r="P90" s="3427"/>
      <c r="Q90" s="3427"/>
      <c r="R90" s="3427"/>
      <c r="S90" s="3427"/>
      <c r="T90" s="3427"/>
      <c r="U90" s="3427"/>
      <c r="V90" s="3427"/>
      <c r="W90" s="3428"/>
      <c r="X90" s="200"/>
      <c r="Y90" s="200"/>
      <c r="Z90" s="3426" t="s">
        <v>6941</v>
      </c>
      <c r="AA90" s="3427"/>
      <c r="AB90" s="3427"/>
      <c r="AC90" s="3427"/>
      <c r="AD90" s="3427"/>
      <c r="AE90" s="3427"/>
      <c r="AF90" s="3427"/>
      <c r="AG90" s="3427"/>
      <c r="AH90" s="3427"/>
      <c r="AI90" s="3427"/>
      <c r="AJ90" s="3427"/>
      <c r="AK90" s="3427"/>
      <c r="AL90" s="3427"/>
      <c r="AM90" s="3427"/>
      <c r="AN90" s="3427"/>
      <c r="AO90" s="3427"/>
      <c r="AP90" s="3427"/>
      <c r="AQ90" s="3427"/>
      <c r="AR90" s="3427"/>
      <c r="AS90" s="3427"/>
      <c r="AT90" s="3427"/>
      <c r="AU90" s="3428"/>
    </row>
    <row r="91" spans="1:52" ht="18" customHeight="1">
      <c r="B91" s="3429"/>
      <c r="C91" s="3430"/>
      <c r="D91" s="3430"/>
      <c r="E91" s="3430"/>
      <c r="F91" s="3430"/>
      <c r="G91" s="3430"/>
      <c r="H91" s="3430"/>
      <c r="I91" s="3430"/>
      <c r="J91" s="3430"/>
      <c r="K91" s="3430"/>
      <c r="L91" s="3430"/>
      <c r="M91" s="3430"/>
      <c r="N91" s="3430"/>
      <c r="O91" s="3430"/>
      <c r="P91" s="3430"/>
      <c r="Q91" s="3430"/>
      <c r="R91" s="3430"/>
      <c r="S91" s="3430"/>
      <c r="T91" s="3430"/>
      <c r="U91" s="3430"/>
      <c r="V91" s="3430"/>
      <c r="W91" s="3431"/>
      <c r="X91" s="200"/>
      <c r="Y91" s="200"/>
      <c r="Z91" s="3429"/>
      <c r="AA91" s="3430"/>
      <c r="AB91" s="3430"/>
      <c r="AC91" s="3430"/>
      <c r="AD91" s="3430"/>
      <c r="AE91" s="3430"/>
      <c r="AF91" s="3430"/>
      <c r="AG91" s="3430"/>
      <c r="AH91" s="3430"/>
      <c r="AI91" s="3430"/>
      <c r="AJ91" s="3430"/>
      <c r="AK91" s="3430"/>
      <c r="AL91" s="3430"/>
      <c r="AM91" s="3430"/>
      <c r="AN91" s="3430"/>
      <c r="AO91" s="3430"/>
      <c r="AP91" s="3430"/>
      <c r="AQ91" s="3430"/>
      <c r="AR91" s="3430"/>
      <c r="AS91" s="3430"/>
      <c r="AT91" s="3430"/>
      <c r="AU91" s="3431"/>
    </row>
    <row r="92" spans="1:52">
      <c r="B92" s="3310" t="s">
        <v>6942</v>
      </c>
      <c r="C92" s="3311"/>
      <c r="D92" s="3311"/>
      <c r="E92" s="3311"/>
      <c r="F92" s="3311"/>
      <c r="G92" s="3311"/>
      <c r="H92" s="3311"/>
      <c r="I92" s="3311"/>
      <c r="J92" s="3311"/>
      <c r="K92" s="3311"/>
      <c r="L92" s="3311"/>
      <c r="M92" s="3474" t="s">
        <v>6943</v>
      </c>
      <c r="N92" s="3475"/>
      <c r="O92" s="3475"/>
      <c r="P92" s="3475"/>
      <c r="Q92" s="3475"/>
      <c r="R92" s="3475"/>
      <c r="S92" s="3475"/>
      <c r="T92" s="3475"/>
      <c r="U92" s="3475"/>
      <c r="V92" s="3475"/>
      <c r="W92" s="3476"/>
      <c r="X92" s="200"/>
      <c r="Y92" s="200"/>
      <c r="Z92" s="3580" t="s">
        <v>6944</v>
      </c>
      <c r="AA92" s="3581"/>
      <c r="AB92" s="3581"/>
      <c r="AC92" s="3581"/>
      <c r="AD92" s="3581"/>
      <c r="AE92" s="3581"/>
      <c r="AF92" s="3581"/>
      <c r="AG92" s="3581"/>
      <c r="AH92" s="3581"/>
      <c r="AI92" s="3581"/>
      <c r="AJ92" s="3581"/>
      <c r="AK92" s="3582"/>
      <c r="AL92" s="3582"/>
      <c r="AM92" s="3581"/>
      <c r="AN92" s="3581"/>
      <c r="AO92" s="3581"/>
      <c r="AP92" s="3583"/>
      <c r="AQ92" s="3581"/>
      <c r="AR92" s="3581"/>
      <c r="AS92" s="3581"/>
      <c r="AT92" s="3583"/>
      <c r="AU92" s="3584"/>
      <c r="AX92" s="483"/>
      <c r="AY92" s="483"/>
      <c r="AZ92" s="483"/>
    </row>
    <row r="93" spans="1:52">
      <c r="B93" s="3313"/>
      <c r="C93" s="3314"/>
      <c r="D93" s="3314"/>
      <c r="E93" s="3314"/>
      <c r="F93" s="3314"/>
      <c r="G93" s="3314"/>
      <c r="H93" s="3314"/>
      <c r="I93" s="3314"/>
      <c r="J93" s="3314"/>
      <c r="K93" s="3314"/>
      <c r="L93" s="3314"/>
      <c r="M93" s="3477"/>
      <c r="N93" s="3478"/>
      <c r="O93" s="3478"/>
      <c r="P93" s="3478"/>
      <c r="Q93" s="3478"/>
      <c r="R93" s="3478"/>
      <c r="S93" s="3478"/>
      <c r="T93" s="3478"/>
      <c r="U93" s="3478"/>
      <c r="V93" s="3478"/>
      <c r="W93" s="3479"/>
      <c r="X93" s="200"/>
      <c r="Y93" s="200"/>
      <c r="Z93" s="3310" t="s">
        <v>6945</v>
      </c>
      <c r="AA93" s="3475"/>
      <c r="AB93" s="3475"/>
      <c r="AC93" s="3475"/>
      <c r="AD93" s="3475"/>
      <c r="AE93" s="3475"/>
      <c r="AF93" s="3475"/>
      <c r="AG93" s="3475"/>
      <c r="AH93" s="3475"/>
      <c r="AI93" s="3475"/>
      <c r="AJ93" s="3475"/>
      <c r="AK93" s="3474" t="s">
        <v>6946</v>
      </c>
      <c r="AL93" s="3475"/>
      <c r="AM93" s="3475"/>
      <c r="AN93" s="3475"/>
      <c r="AO93" s="3475"/>
      <c r="AP93" s="3475"/>
      <c r="AQ93" s="3475"/>
      <c r="AR93" s="3475"/>
      <c r="AS93" s="3475"/>
      <c r="AT93" s="3475"/>
      <c r="AU93" s="3476"/>
      <c r="AX93" s="483"/>
      <c r="AY93" s="483"/>
      <c r="AZ93" s="483"/>
    </row>
    <row r="94" spans="1:52">
      <c r="B94" s="3313"/>
      <c r="C94" s="3314"/>
      <c r="D94" s="3314"/>
      <c r="E94" s="3314"/>
      <c r="F94" s="3314"/>
      <c r="G94" s="3314"/>
      <c r="H94" s="3314"/>
      <c r="I94" s="3314"/>
      <c r="J94" s="3314"/>
      <c r="K94" s="3314"/>
      <c r="L94" s="3314"/>
      <c r="M94" s="3474" t="s">
        <v>6947</v>
      </c>
      <c r="N94" s="3475"/>
      <c r="O94" s="3475"/>
      <c r="P94" s="3475"/>
      <c r="Q94" s="3475"/>
      <c r="R94" s="3475"/>
      <c r="S94" s="3475"/>
      <c r="T94" s="3475"/>
      <c r="U94" s="3475"/>
      <c r="V94" s="3475"/>
      <c r="W94" s="3476"/>
      <c r="X94" s="200"/>
      <c r="Y94" s="200"/>
      <c r="Z94" s="3087"/>
      <c r="AA94" s="3076"/>
      <c r="AB94" s="3076"/>
      <c r="AC94" s="3076"/>
      <c r="AD94" s="3076"/>
      <c r="AE94" s="3076"/>
      <c r="AF94" s="3076"/>
      <c r="AG94" s="3076"/>
      <c r="AH94" s="3076"/>
      <c r="AI94" s="3076"/>
      <c r="AJ94" s="3076"/>
      <c r="AK94" s="3483"/>
      <c r="AL94" s="3076"/>
      <c r="AM94" s="3076"/>
      <c r="AN94" s="3076"/>
      <c r="AO94" s="3076"/>
      <c r="AP94" s="3076"/>
      <c r="AQ94" s="3076"/>
      <c r="AR94" s="3076"/>
      <c r="AS94" s="3076"/>
      <c r="AT94" s="3076"/>
      <c r="AU94" s="3484"/>
      <c r="AX94" s="483"/>
      <c r="AY94" s="483"/>
      <c r="AZ94" s="483"/>
    </row>
    <row r="95" spans="1:52">
      <c r="B95" s="3313"/>
      <c r="C95" s="3314"/>
      <c r="D95" s="3314"/>
      <c r="E95" s="3314"/>
      <c r="F95" s="3314"/>
      <c r="G95" s="3314"/>
      <c r="H95" s="3314"/>
      <c r="I95" s="3314"/>
      <c r="J95" s="3314"/>
      <c r="K95" s="3314"/>
      <c r="L95" s="3314"/>
      <c r="M95" s="3477"/>
      <c r="N95" s="3478"/>
      <c r="O95" s="3478"/>
      <c r="P95" s="3478"/>
      <c r="Q95" s="3478"/>
      <c r="R95" s="3478"/>
      <c r="S95" s="3478"/>
      <c r="T95" s="3478"/>
      <c r="U95" s="3478"/>
      <c r="V95" s="3478"/>
      <c r="W95" s="3479"/>
      <c r="X95" s="200"/>
      <c r="Y95" s="200"/>
      <c r="Z95" s="3087"/>
      <c r="AA95" s="3076"/>
      <c r="AB95" s="3076"/>
      <c r="AC95" s="3076"/>
      <c r="AD95" s="3076"/>
      <c r="AE95" s="3076"/>
      <c r="AF95" s="3076"/>
      <c r="AG95" s="3076"/>
      <c r="AH95" s="3076"/>
      <c r="AI95" s="3076"/>
      <c r="AJ95" s="3076"/>
      <c r="AK95" s="3483"/>
      <c r="AL95" s="3076"/>
      <c r="AM95" s="3076"/>
      <c r="AN95" s="3076"/>
      <c r="AO95" s="3076"/>
      <c r="AP95" s="3076"/>
      <c r="AQ95" s="3076"/>
      <c r="AR95" s="3076"/>
      <c r="AS95" s="3076"/>
      <c r="AT95" s="3076"/>
      <c r="AU95" s="3484"/>
      <c r="AX95" s="483"/>
      <c r="AY95" s="483"/>
      <c r="AZ95" s="483"/>
    </row>
    <row r="96" spans="1:52">
      <c r="B96" s="3313"/>
      <c r="C96" s="3314"/>
      <c r="D96" s="3314"/>
      <c r="E96" s="3314"/>
      <c r="F96" s="3314"/>
      <c r="G96" s="3314"/>
      <c r="H96" s="3314"/>
      <c r="I96" s="3314"/>
      <c r="J96" s="3314"/>
      <c r="K96" s="3314"/>
      <c r="L96" s="3314"/>
      <c r="M96" s="3486" t="s">
        <v>6948</v>
      </c>
      <c r="N96" s="3487"/>
      <c r="O96" s="3487"/>
      <c r="P96" s="3487"/>
      <c r="Q96" s="3487"/>
      <c r="R96" s="3487"/>
      <c r="S96" s="3487"/>
      <c r="T96" s="3487"/>
      <c r="U96" s="3487"/>
      <c r="V96" s="3487"/>
      <c r="W96" s="3488"/>
      <c r="X96" s="200"/>
      <c r="Y96" s="200"/>
      <c r="Z96" s="3480"/>
      <c r="AA96" s="3481"/>
      <c r="AB96" s="3481"/>
      <c r="AC96" s="3481"/>
      <c r="AD96" s="3481"/>
      <c r="AE96" s="3481"/>
      <c r="AF96" s="3481"/>
      <c r="AG96" s="3481"/>
      <c r="AH96" s="3481"/>
      <c r="AI96" s="3481"/>
      <c r="AJ96" s="3482"/>
      <c r="AK96" s="3485"/>
      <c r="AL96" s="3077"/>
      <c r="AM96" s="3077"/>
      <c r="AN96" s="3077"/>
      <c r="AO96" s="3077"/>
      <c r="AP96" s="3077"/>
      <c r="AQ96" s="3077"/>
      <c r="AR96" s="3077"/>
      <c r="AS96" s="3077"/>
      <c r="AT96" s="3077"/>
      <c r="AU96" s="3342"/>
      <c r="AX96" s="483"/>
      <c r="AY96" s="483"/>
      <c r="AZ96" s="483"/>
    </row>
    <row r="97" spans="2:52">
      <c r="B97" s="3313"/>
      <c r="C97" s="3314"/>
      <c r="D97" s="3314"/>
      <c r="E97" s="3314"/>
      <c r="F97" s="3314"/>
      <c r="G97" s="3314"/>
      <c r="H97" s="3314"/>
      <c r="I97" s="3314"/>
      <c r="J97" s="3314"/>
      <c r="K97" s="3314"/>
      <c r="L97" s="3314"/>
      <c r="M97" s="3489"/>
      <c r="N97" s="3490"/>
      <c r="O97" s="3490"/>
      <c r="P97" s="3490"/>
      <c r="Q97" s="3490"/>
      <c r="R97" s="3490"/>
      <c r="S97" s="3490"/>
      <c r="T97" s="3490"/>
      <c r="U97" s="3490"/>
      <c r="V97" s="3490"/>
      <c r="W97" s="3491"/>
      <c r="X97" s="200"/>
      <c r="Y97" s="200"/>
      <c r="Z97" s="520"/>
      <c r="AA97" s="520"/>
      <c r="AB97" s="520"/>
      <c r="AC97" s="520"/>
      <c r="AD97" s="520"/>
      <c r="AE97" s="520"/>
      <c r="AF97" s="520"/>
      <c r="AG97" s="520"/>
      <c r="AH97" s="520"/>
      <c r="AI97" s="520"/>
      <c r="AJ97" s="520"/>
      <c r="AK97" s="520"/>
      <c r="AL97" s="520"/>
      <c r="AM97" s="520"/>
      <c r="AN97" s="520"/>
      <c r="AO97" s="520"/>
      <c r="AP97" s="520"/>
      <c r="AQ97" s="520"/>
      <c r="AR97" s="520"/>
      <c r="AS97" s="520"/>
      <c r="AT97" s="520"/>
      <c r="AU97" s="520"/>
      <c r="AX97" s="483"/>
      <c r="AY97" s="483"/>
      <c r="AZ97" s="483"/>
    </row>
    <row r="98" spans="2:52" ht="27.5">
      <c r="B98" s="3313"/>
      <c r="C98" s="3314"/>
      <c r="D98" s="3314"/>
      <c r="E98" s="3314"/>
      <c r="F98" s="3314"/>
      <c r="G98" s="3314"/>
      <c r="H98" s="3314"/>
      <c r="I98" s="3314"/>
      <c r="J98" s="3314"/>
      <c r="K98" s="3314"/>
      <c r="L98" s="3314"/>
      <c r="M98" s="3474" t="s">
        <v>6949</v>
      </c>
      <c r="N98" s="3475"/>
      <c r="O98" s="3475"/>
      <c r="P98" s="3475"/>
      <c r="Q98" s="3475"/>
      <c r="R98" s="3475"/>
      <c r="S98" s="3475"/>
      <c r="T98" s="3475"/>
      <c r="U98" s="3475"/>
      <c r="V98" s="3475"/>
      <c r="W98" s="3476"/>
      <c r="X98" s="200"/>
      <c r="Y98" s="200"/>
      <c r="Z98" s="3492"/>
      <c r="AA98" s="3492"/>
      <c r="AB98" s="3492"/>
      <c r="AC98" s="3492"/>
      <c r="AD98" s="3492"/>
      <c r="AE98" s="3492"/>
      <c r="AF98" s="3492"/>
      <c r="AG98" s="3492"/>
      <c r="AH98" s="201"/>
      <c r="AI98" s="3492"/>
      <c r="AJ98" s="3492"/>
      <c r="AK98" s="3492"/>
      <c r="AL98" s="3492"/>
      <c r="AM98" s="3492"/>
      <c r="AN98" s="3492"/>
      <c r="AO98" s="3492"/>
      <c r="AP98" s="3492"/>
      <c r="AQ98" s="3492"/>
      <c r="AR98" s="3492"/>
      <c r="AS98" s="3492"/>
      <c r="AT98" s="3492"/>
      <c r="AU98" s="3492"/>
      <c r="AV98" s="521"/>
      <c r="AW98" s="521"/>
      <c r="AX98" s="483"/>
      <c r="AY98" s="483"/>
      <c r="AZ98" s="483"/>
    </row>
    <row r="99" spans="2:52" ht="16" customHeight="1">
      <c r="B99" s="3313"/>
      <c r="C99" s="3314"/>
      <c r="D99" s="3314"/>
      <c r="E99" s="3314"/>
      <c r="F99" s="3314"/>
      <c r="G99" s="3314"/>
      <c r="H99" s="3314"/>
      <c r="I99" s="3314"/>
      <c r="J99" s="3314"/>
      <c r="K99" s="3314"/>
      <c r="L99" s="3314"/>
      <c r="M99" s="3477"/>
      <c r="N99" s="3478"/>
      <c r="O99" s="3478"/>
      <c r="P99" s="3478"/>
      <c r="Q99" s="3478"/>
      <c r="R99" s="3478"/>
      <c r="S99" s="3478"/>
      <c r="T99" s="3478"/>
      <c r="U99" s="3478"/>
      <c r="V99" s="3478"/>
      <c r="W99" s="3479"/>
      <c r="X99" s="200"/>
      <c r="Y99" s="200"/>
      <c r="Z99" s="3492"/>
      <c r="AA99" s="3492"/>
      <c r="AB99" s="3492"/>
      <c r="AC99" s="3492"/>
      <c r="AD99" s="3492"/>
      <c r="AE99" s="3492"/>
      <c r="AF99" s="3492"/>
      <c r="AG99" s="3492"/>
      <c r="AH99" s="201"/>
      <c r="AI99" s="3492"/>
      <c r="AJ99" s="3492"/>
      <c r="AK99" s="3492"/>
      <c r="AL99" s="3492"/>
      <c r="AM99" s="3492"/>
      <c r="AN99" s="3492"/>
      <c r="AO99" s="3492"/>
      <c r="AP99" s="3492"/>
      <c r="AQ99" s="3492"/>
      <c r="AR99" s="3492"/>
      <c r="AS99" s="3492"/>
      <c r="AT99" s="3492"/>
      <c r="AU99" s="3492"/>
      <c r="AV99" s="521"/>
      <c r="AW99" s="521"/>
      <c r="AX99" s="522"/>
      <c r="AY99" s="522"/>
      <c r="AZ99" s="522"/>
    </row>
    <row r="100" spans="2:52" ht="17" customHeight="1">
      <c r="B100" s="3313"/>
      <c r="C100" s="3314"/>
      <c r="D100" s="3314"/>
      <c r="E100" s="3314"/>
      <c r="F100" s="3314"/>
      <c r="G100" s="3314"/>
      <c r="H100" s="3314"/>
      <c r="I100" s="3314"/>
      <c r="J100" s="3314"/>
      <c r="K100" s="3314"/>
      <c r="L100" s="3314"/>
      <c r="M100" s="3493" t="s">
        <v>6950</v>
      </c>
      <c r="N100" s="3475"/>
      <c r="O100" s="3475"/>
      <c r="P100" s="3475"/>
      <c r="Q100" s="3475"/>
      <c r="R100" s="3475"/>
      <c r="S100" s="3475"/>
      <c r="T100" s="3475"/>
      <c r="U100" s="3475"/>
      <c r="V100" s="3475"/>
      <c r="W100" s="3476"/>
      <c r="X100" s="520"/>
      <c r="Y100" s="520"/>
      <c r="Z100" s="202"/>
      <c r="AA100" s="202"/>
      <c r="AB100" s="202"/>
      <c r="AC100" s="202"/>
      <c r="AD100" s="202"/>
      <c r="AE100" s="202"/>
      <c r="AF100" s="202"/>
      <c r="AG100" s="202"/>
      <c r="AH100" s="202"/>
      <c r="AI100" s="202"/>
      <c r="AJ100" s="202"/>
      <c r="AK100" s="202"/>
      <c r="AL100" s="202"/>
      <c r="AM100" s="202"/>
      <c r="AN100" s="202"/>
      <c r="AO100" s="202"/>
      <c r="AP100" s="202"/>
      <c r="AQ100" s="202"/>
      <c r="AR100" s="202"/>
      <c r="AS100" s="202"/>
      <c r="AT100" s="202"/>
      <c r="AU100" s="202"/>
      <c r="AV100" s="493"/>
      <c r="AW100" s="493"/>
      <c r="AX100" s="522"/>
      <c r="AY100" s="522"/>
      <c r="AZ100" s="522"/>
    </row>
    <row r="101" spans="2:52">
      <c r="B101" s="3316"/>
      <c r="C101" s="3317"/>
      <c r="D101" s="3317"/>
      <c r="E101" s="3317"/>
      <c r="F101" s="3317"/>
      <c r="G101" s="3317"/>
      <c r="H101" s="3317"/>
      <c r="I101" s="3317"/>
      <c r="J101" s="3317"/>
      <c r="K101" s="3317"/>
      <c r="L101" s="3317"/>
      <c r="M101" s="3485"/>
      <c r="N101" s="3077"/>
      <c r="O101" s="3077"/>
      <c r="P101" s="3077"/>
      <c r="Q101" s="3077"/>
      <c r="R101" s="3077"/>
      <c r="S101" s="3077"/>
      <c r="T101" s="3077"/>
      <c r="U101" s="3077"/>
      <c r="V101" s="3077"/>
      <c r="W101" s="3342"/>
      <c r="X101" s="520"/>
      <c r="Y101" s="520"/>
      <c r="Z101" s="202"/>
      <c r="AA101" s="202"/>
      <c r="AB101" s="202"/>
      <c r="AC101" s="202"/>
      <c r="AD101" s="202"/>
      <c r="AE101" s="202"/>
      <c r="AF101" s="202"/>
      <c r="AG101" s="202"/>
      <c r="AH101" s="202"/>
      <c r="AI101" s="202"/>
      <c r="AJ101" s="202"/>
      <c r="AK101" s="202"/>
      <c r="AL101" s="202"/>
      <c r="AM101" s="202"/>
      <c r="AN101" s="202"/>
      <c r="AO101" s="202"/>
      <c r="AP101" s="202"/>
      <c r="AQ101" s="202"/>
      <c r="AR101" s="202"/>
      <c r="AS101" s="202"/>
      <c r="AT101" s="202"/>
      <c r="AU101" s="202"/>
      <c r="AV101" s="493"/>
      <c r="AW101" s="493"/>
      <c r="AX101" s="15"/>
      <c r="AY101" s="15"/>
      <c r="AZ101" s="15"/>
    </row>
    <row r="102" spans="2:52">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520"/>
      <c r="Y102" s="520"/>
      <c r="Z102" s="202"/>
      <c r="AA102" s="202"/>
      <c r="AB102" s="202"/>
      <c r="AC102" s="202"/>
      <c r="AD102" s="202"/>
      <c r="AE102" s="202"/>
      <c r="AF102" s="202"/>
      <c r="AG102" s="202"/>
      <c r="AH102" s="202"/>
      <c r="AI102" s="202"/>
      <c r="AJ102" s="202"/>
      <c r="AK102" s="202"/>
      <c r="AL102" s="202"/>
      <c r="AM102" s="202"/>
      <c r="AN102" s="202"/>
      <c r="AO102" s="202"/>
      <c r="AP102" s="202"/>
      <c r="AQ102" s="202"/>
      <c r="AR102" s="202"/>
      <c r="AS102" s="202"/>
      <c r="AT102" s="202"/>
      <c r="AU102" s="202"/>
      <c r="AV102" s="493"/>
      <c r="AW102" s="493"/>
      <c r="AX102" s="15"/>
      <c r="AY102" s="15"/>
      <c r="AZ102" s="15"/>
    </row>
    <row r="103" spans="2:52">
      <c r="B103" s="3319" t="s">
        <v>6951</v>
      </c>
      <c r="C103" s="3320"/>
      <c r="D103" s="3320"/>
      <c r="E103" s="3320"/>
      <c r="F103" s="3320"/>
      <c r="G103" s="3320"/>
      <c r="H103" s="3320"/>
      <c r="I103" s="3320"/>
      <c r="J103" s="3320"/>
      <c r="K103" s="3320"/>
      <c r="L103" s="3320"/>
      <c r="M103" s="3320"/>
      <c r="N103" s="3320"/>
      <c r="O103" s="3320"/>
      <c r="P103" s="3320"/>
      <c r="Q103" s="3320"/>
      <c r="R103" s="3320"/>
      <c r="S103" s="3320"/>
      <c r="T103" s="3320"/>
      <c r="U103" s="3320"/>
      <c r="V103" s="3320"/>
      <c r="W103" s="3320"/>
      <c r="X103" s="3320"/>
      <c r="Y103" s="3320"/>
      <c r="Z103" s="3320"/>
      <c r="AA103" s="3320"/>
      <c r="AB103" s="3320"/>
      <c r="AC103" s="3320"/>
      <c r="AD103" s="3320"/>
      <c r="AE103" s="3320"/>
      <c r="AF103" s="3320"/>
      <c r="AG103" s="3320"/>
      <c r="AH103" s="3320"/>
      <c r="AI103" s="3320"/>
      <c r="AJ103" s="3320"/>
      <c r="AK103" s="3320"/>
      <c r="AL103" s="3320"/>
      <c r="AM103" s="3320"/>
      <c r="AN103" s="3320"/>
      <c r="AO103" s="3320"/>
      <c r="AP103" s="3320"/>
      <c r="AQ103" s="3320"/>
      <c r="AR103" s="3320"/>
      <c r="AS103" s="3320"/>
      <c r="AT103" s="3320"/>
      <c r="AU103" s="3321"/>
      <c r="AV103" s="208"/>
      <c r="AW103" s="493"/>
      <c r="AX103" s="483"/>
      <c r="AY103" s="483"/>
      <c r="AZ103" s="483"/>
    </row>
    <row r="104" spans="2:52">
      <c r="B104" s="3322"/>
      <c r="C104" s="3323"/>
      <c r="D104" s="3323"/>
      <c r="E104" s="3323"/>
      <c r="F104" s="3323"/>
      <c r="G104" s="3323"/>
      <c r="H104" s="3323"/>
      <c r="I104" s="3323"/>
      <c r="J104" s="3323"/>
      <c r="K104" s="3323"/>
      <c r="L104" s="3323"/>
      <c r="M104" s="3323"/>
      <c r="N104" s="3323"/>
      <c r="O104" s="3323"/>
      <c r="P104" s="3323"/>
      <c r="Q104" s="3323"/>
      <c r="R104" s="3323"/>
      <c r="S104" s="3323"/>
      <c r="T104" s="3323"/>
      <c r="U104" s="3323"/>
      <c r="V104" s="3323"/>
      <c r="W104" s="3323"/>
      <c r="X104" s="3323"/>
      <c r="Y104" s="3323"/>
      <c r="Z104" s="3323"/>
      <c r="AA104" s="3323"/>
      <c r="AB104" s="3323"/>
      <c r="AC104" s="3323"/>
      <c r="AD104" s="3323"/>
      <c r="AE104" s="3323"/>
      <c r="AF104" s="3323"/>
      <c r="AG104" s="3323"/>
      <c r="AH104" s="3323"/>
      <c r="AI104" s="3323"/>
      <c r="AJ104" s="3323"/>
      <c r="AK104" s="3323"/>
      <c r="AL104" s="3323"/>
      <c r="AM104" s="3323"/>
      <c r="AN104" s="3323"/>
      <c r="AO104" s="3323"/>
      <c r="AP104" s="3323"/>
      <c r="AQ104" s="3323"/>
      <c r="AR104" s="3323"/>
      <c r="AS104" s="3323"/>
      <c r="AT104" s="3323"/>
      <c r="AU104" s="3324"/>
      <c r="AV104" s="208"/>
      <c r="AW104" s="493"/>
      <c r="AX104" s="483"/>
      <c r="AY104" s="483"/>
      <c r="AZ104" s="483"/>
    </row>
    <row r="105" spans="2:52">
      <c r="B105" s="3325"/>
      <c r="C105" s="3326"/>
      <c r="D105" s="3326"/>
      <c r="E105" s="3326"/>
      <c r="F105" s="3326"/>
      <c r="G105" s="3326"/>
      <c r="H105" s="3326"/>
      <c r="I105" s="3326"/>
      <c r="J105" s="3326"/>
      <c r="K105" s="3326"/>
      <c r="L105" s="3326"/>
      <c r="M105" s="3326"/>
      <c r="N105" s="3326"/>
      <c r="O105" s="3326"/>
      <c r="P105" s="3326"/>
      <c r="Q105" s="3326"/>
      <c r="R105" s="3326"/>
      <c r="S105" s="3326"/>
      <c r="T105" s="3326"/>
      <c r="U105" s="3326"/>
      <c r="V105" s="3326"/>
      <c r="W105" s="3326"/>
      <c r="X105" s="3326"/>
      <c r="Y105" s="3326"/>
      <c r="Z105" s="3326"/>
      <c r="AA105" s="3326"/>
      <c r="AB105" s="3326"/>
      <c r="AC105" s="3326"/>
      <c r="AD105" s="3326"/>
      <c r="AE105" s="3326"/>
      <c r="AF105" s="3326"/>
      <c r="AG105" s="3326"/>
      <c r="AH105" s="3326"/>
      <c r="AI105" s="3326"/>
      <c r="AJ105" s="3326"/>
      <c r="AK105" s="3326"/>
      <c r="AL105" s="3326"/>
      <c r="AM105" s="3326"/>
      <c r="AN105" s="3326"/>
      <c r="AO105" s="3326"/>
      <c r="AP105" s="3326"/>
      <c r="AQ105" s="3326"/>
      <c r="AR105" s="3326"/>
      <c r="AS105" s="3326"/>
      <c r="AT105" s="3326"/>
      <c r="AU105" s="3327"/>
      <c r="AV105" s="208"/>
      <c r="AW105" s="493"/>
      <c r="AX105" s="483"/>
      <c r="AY105" s="483"/>
      <c r="AZ105" s="483"/>
    </row>
    <row r="106" spans="2:52">
      <c r="B106" s="27"/>
      <c r="C106" s="27"/>
      <c r="D106" s="27"/>
      <c r="E106" s="27"/>
      <c r="F106" s="27"/>
      <c r="G106" s="27"/>
      <c r="H106" s="27"/>
      <c r="I106" s="27"/>
      <c r="J106" s="27"/>
      <c r="K106" s="27"/>
      <c r="L106" s="27"/>
      <c r="M106" s="27"/>
      <c r="N106" s="27"/>
      <c r="O106" s="27"/>
      <c r="P106" s="27"/>
      <c r="Q106" s="27"/>
      <c r="R106" s="27"/>
      <c r="S106" s="27"/>
      <c r="T106" s="202"/>
      <c r="U106" s="202"/>
      <c r="V106" s="202"/>
      <c r="W106" s="202"/>
      <c r="X106" s="483"/>
      <c r="Y106" s="520"/>
      <c r="Z106" s="202"/>
      <c r="AA106" s="202"/>
      <c r="AB106" s="202"/>
      <c r="AC106" s="202"/>
      <c r="AD106" s="202"/>
      <c r="AE106" s="202"/>
      <c r="AF106" s="202"/>
      <c r="AG106" s="202"/>
      <c r="AH106" s="202"/>
      <c r="AI106" s="202"/>
      <c r="AJ106" s="202"/>
      <c r="AK106" s="202"/>
      <c r="AL106" s="202"/>
      <c r="AM106" s="202"/>
      <c r="AN106" s="202"/>
      <c r="AO106" s="202"/>
      <c r="AP106" s="202"/>
      <c r="AQ106" s="202"/>
      <c r="AR106" s="202"/>
      <c r="AS106" s="202"/>
      <c r="AT106" s="202"/>
      <c r="AU106" s="202"/>
      <c r="AV106" s="208"/>
      <c r="AW106" s="493"/>
      <c r="AX106" s="483"/>
      <c r="AY106" s="483"/>
      <c r="AZ106" s="483"/>
    </row>
    <row r="107" spans="2:52" ht="18" customHeight="1">
      <c r="B107" s="3426" t="s">
        <v>6952</v>
      </c>
      <c r="C107" s="3427"/>
      <c r="D107" s="3427"/>
      <c r="E107" s="3427"/>
      <c r="F107" s="3427"/>
      <c r="G107" s="3427"/>
      <c r="H107" s="3427"/>
      <c r="I107" s="3427"/>
      <c r="J107" s="3427"/>
      <c r="K107" s="3427"/>
      <c r="L107" s="3427"/>
      <c r="M107" s="3427"/>
      <c r="N107" s="3427"/>
      <c r="O107" s="3427"/>
      <c r="P107" s="3428"/>
      <c r="R107" s="3426" t="s">
        <v>6953</v>
      </c>
      <c r="S107" s="3427"/>
      <c r="T107" s="3427"/>
      <c r="U107" s="3427"/>
      <c r="V107" s="3427"/>
      <c r="W107" s="3427"/>
      <c r="X107" s="3427"/>
      <c r="Y107" s="3427"/>
      <c r="Z107" s="3427"/>
      <c r="AA107" s="3428"/>
      <c r="AB107" s="522"/>
      <c r="AC107" s="3426" t="s">
        <v>6954</v>
      </c>
      <c r="AD107" s="3427"/>
      <c r="AE107" s="3427"/>
      <c r="AF107" s="3427"/>
      <c r="AG107" s="3427"/>
      <c r="AH107" s="3427"/>
      <c r="AI107" s="3427"/>
      <c r="AJ107" s="3427"/>
      <c r="AK107" s="3427"/>
      <c r="AL107" s="3427"/>
      <c r="AM107" s="3428"/>
      <c r="AO107" s="3426" t="s">
        <v>6955</v>
      </c>
      <c r="AP107" s="3427"/>
      <c r="AQ107" s="3427"/>
      <c r="AR107" s="3427"/>
      <c r="AS107" s="3427"/>
      <c r="AT107" s="3427"/>
      <c r="AU107" s="3428"/>
      <c r="AV107" s="522"/>
      <c r="AW107" s="522"/>
      <c r="AX107" s="523"/>
      <c r="AY107" s="523"/>
      <c r="AZ107" s="523"/>
    </row>
    <row r="108" spans="2:52" ht="18" customHeight="1">
      <c r="B108" s="3429"/>
      <c r="C108" s="3430"/>
      <c r="D108" s="3430"/>
      <c r="E108" s="3430"/>
      <c r="F108" s="3430"/>
      <c r="G108" s="3430"/>
      <c r="H108" s="3430"/>
      <c r="I108" s="3430"/>
      <c r="J108" s="3430"/>
      <c r="K108" s="3430"/>
      <c r="L108" s="3430"/>
      <c r="M108" s="3430"/>
      <c r="N108" s="3430"/>
      <c r="O108" s="3430"/>
      <c r="P108" s="3431"/>
      <c r="R108" s="3432"/>
      <c r="S108" s="3433"/>
      <c r="T108" s="3433"/>
      <c r="U108" s="3433"/>
      <c r="V108" s="3433"/>
      <c r="W108" s="3433"/>
      <c r="X108" s="3433"/>
      <c r="Y108" s="3433"/>
      <c r="Z108" s="3433"/>
      <c r="AA108" s="3434"/>
      <c r="AB108" s="522"/>
      <c r="AC108" s="3432"/>
      <c r="AD108" s="3433"/>
      <c r="AE108" s="3433"/>
      <c r="AF108" s="3433"/>
      <c r="AG108" s="3433"/>
      <c r="AH108" s="3433"/>
      <c r="AI108" s="3433"/>
      <c r="AJ108" s="3433"/>
      <c r="AK108" s="3433"/>
      <c r="AL108" s="3433"/>
      <c r="AM108" s="3434"/>
      <c r="AO108" s="3429"/>
      <c r="AP108" s="3430"/>
      <c r="AQ108" s="3430"/>
      <c r="AR108" s="3430"/>
      <c r="AS108" s="3430"/>
      <c r="AT108" s="3430"/>
      <c r="AU108" s="3431"/>
      <c r="AV108" s="522"/>
      <c r="AW108" s="522"/>
      <c r="AX108" s="523"/>
      <c r="AY108" s="523"/>
      <c r="AZ108" s="523"/>
    </row>
    <row r="109" spans="2:52" ht="18" customHeight="1">
      <c r="B109" s="3435" t="s">
        <v>6956</v>
      </c>
      <c r="C109" s="3436"/>
      <c r="D109" s="3436"/>
      <c r="E109" s="3436"/>
      <c r="F109" s="3436"/>
      <c r="G109" s="3436"/>
      <c r="H109" s="3436"/>
      <c r="I109" s="3436"/>
      <c r="J109" s="3436"/>
      <c r="K109" s="3436"/>
      <c r="L109" s="3436"/>
      <c r="M109" s="3436"/>
      <c r="N109" s="3439" t="s">
        <v>6957</v>
      </c>
      <c r="O109" s="3440"/>
      <c r="P109" s="3441"/>
      <c r="R109" s="1332" t="s">
        <v>6958</v>
      </c>
      <c r="S109" s="3440"/>
      <c r="T109" s="3440"/>
      <c r="U109" s="3440"/>
      <c r="V109" s="3440"/>
      <c r="W109" s="3440"/>
      <c r="X109" s="3585" t="s">
        <v>6959</v>
      </c>
      <c r="Y109" s="3586"/>
      <c r="Z109" s="3586"/>
      <c r="AA109" s="3587"/>
      <c r="AC109" s="1332" t="s">
        <v>6960</v>
      </c>
      <c r="AD109" s="3439"/>
      <c r="AE109" s="3440"/>
      <c r="AF109" s="3440"/>
      <c r="AG109" s="3440"/>
      <c r="AH109" s="3440"/>
      <c r="AI109" s="1333"/>
      <c r="AJ109" s="3586" t="s">
        <v>6959</v>
      </c>
      <c r="AK109" s="3586"/>
      <c r="AL109" s="3586"/>
      <c r="AM109" s="3587"/>
      <c r="AO109" s="1332" t="s">
        <v>6961</v>
      </c>
      <c r="AP109" s="3440"/>
      <c r="AQ109" s="3440"/>
      <c r="AR109" s="3440"/>
      <c r="AS109" s="3440"/>
      <c r="AT109" s="3440"/>
      <c r="AU109" s="3441"/>
      <c r="AV109" s="15"/>
      <c r="AW109" s="15"/>
      <c r="AX109" s="523"/>
      <c r="AY109" s="523"/>
      <c r="AZ109" s="523"/>
    </row>
    <row r="110" spans="2:52" ht="18" customHeight="1">
      <c r="B110" s="3435"/>
      <c r="C110" s="3436"/>
      <c r="D110" s="3436"/>
      <c r="E110" s="3436"/>
      <c r="F110" s="3436"/>
      <c r="G110" s="3436"/>
      <c r="H110" s="3436"/>
      <c r="I110" s="3436"/>
      <c r="J110" s="3436"/>
      <c r="K110" s="3436"/>
      <c r="L110" s="3436"/>
      <c r="M110" s="3436"/>
      <c r="N110" s="3439"/>
      <c r="O110" s="3440"/>
      <c r="P110" s="3441"/>
      <c r="R110" s="1332"/>
      <c r="S110" s="3440"/>
      <c r="T110" s="3440"/>
      <c r="U110" s="3440"/>
      <c r="V110" s="3440"/>
      <c r="W110" s="3440"/>
      <c r="X110" s="3446" t="s">
        <v>6962</v>
      </c>
      <c r="Y110" s="2781"/>
      <c r="Z110" s="2781"/>
      <c r="AA110" s="3447"/>
      <c r="AC110" s="1332"/>
      <c r="AD110" s="3439"/>
      <c r="AE110" s="3440"/>
      <c r="AF110" s="3440"/>
      <c r="AG110" s="3440"/>
      <c r="AH110" s="3440"/>
      <c r="AI110" s="1333"/>
      <c r="AJ110" s="3440" t="s">
        <v>6963</v>
      </c>
      <c r="AK110" s="3440"/>
      <c r="AL110" s="3440"/>
      <c r="AM110" s="3441"/>
      <c r="AO110" s="1332"/>
      <c r="AP110" s="3440"/>
      <c r="AQ110" s="3440"/>
      <c r="AR110" s="3440"/>
      <c r="AS110" s="3440"/>
      <c r="AT110" s="3440"/>
      <c r="AU110" s="3441"/>
      <c r="AV110" s="15"/>
      <c r="AW110" s="15"/>
      <c r="AX110" s="523"/>
      <c r="AY110" s="523"/>
      <c r="AZ110" s="523"/>
    </row>
    <row r="111" spans="2:52" ht="18" customHeight="1">
      <c r="B111" s="3435"/>
      <c r="C111" s="3436"/>
      <c r="D111" s="3436"/>
      <c r="E111" s="3436"/>
      <c r="F111" s="3436"/>
      <c r="G111" s="3436"/>
      <c r="H111" s="3436"/>
      <c r="I111" s="3436"/>
      <c r="J111" s="3436"/>
      <c r="K111" s="3436"/>
      <c r="L111" s="3436"/>
      <c r="M111" s="3436"/>
      <c r="N111" s="3439"/>
      <c r="O111" s="3440"/>
      <c r="P111" s="3441"/>
      <c r="R111" s="1332"/>
      <c r="S111" s="3440"/>
      <c r="T111" s="3440"/>
      <c r="U111" s="3440"/>
      <c r="V111" s="3440"/>
      <c r="W111" s="3440"/>
      <c r="X111" s="3446"/>
      <c r="Y111" s="2781"/>
      <c r="Z111" s="2781"/>
      <c r="AA111" s="3447"/>
      <c r="AC111" s="1332"/>
      <c r="AD111" s="3439"/>
      <c r="AE111" s="3440"/>
      <c r="AF111" s="3440"/>
      <c r="AG111" s="3440"/>
      <c r="AH111" s="3440"/>
      <c r="AI111" s="1333"/>
      <c r="AJ111" s="2105"/>
      <c r="AK111" s="2105"/>
      <c r="AL111" s="2105"/>
      <c r="AM111" s="3448"/>
      <c r="AO111" s="1332"/>
      <c r="AP111" s="3440"/>
      <c r="AQ111" s="3440"/>
      <c r="AR111" s="3440"/>
      <c r="AS111" s="3440"/>
      <c r="AT111" s="3440"/>
      <c r="AU111" s="3441"/>
      <c r="AV111" s="483"/>
      <c r="AW111" s="483"/>
      <c r="AX111" s="523"/>
      <c r="AY111" s="523"/>
      <c r="AZ111" s="523"/>
    </row>
    <row r="112" spans="2:52" ht="18" customHeight="1">
      <c r="B112" s="3435"/>
      <c r="C112" s="3436"/>
      <c r="D112" s="3436"/>
      <c r="E112" s="3436"/>
      <c r="F112" s="3436"/>
      <c r="G112" s="3436"/>
      <c r="H112" s="3436"/>
      <c r="I112" s="3436"/>
      <c r="J112" s="3436"/>
      <c r="K112" s="3436"/>
      <c r="L112" s="3436"/>
      <c r="M112" s="3436"/>
      <c r="N112" s="3439"/>
      <c r="O112" s="3440"/>
      <c r="P112" s="3441"/>
      <c r="R112" s="1332"/>
      <c r="S112" s="3440"/>
      <c r="T112" s="3440"/>
      <c r="U112" s="3440"/>
      <c r="V112" s="3440"/>
      <c r="W112" s="3440"/>
      <c r="X112" s="3588" t="s">
        <v>6964</v>
      </c>
      <c r="Y112" s="3589"/>
      <c r="Z112" s="3589"/>
      <c r="AA112" s="3590"/>
      <c r="AC112" s="1332"/>
      <c r="AD112" s="3439"/>
      <c r="AE112" s="3440"/>
      <c r="AF112" s="3440"/>
      <c r="AG112" s="3440"/>
      <c r="AH112" s="3440"/>
      <c r="AI112" s="1333"/>
      <c r="AJ112" s="3586" t="s">
        <v>6964</v>
      </c>
      <c r="AK112" s="3586"/>
      <c r="AL112" s="3586"/>
      <c r="AM112" s="3587"/>
      <c r="AO112" s="3449" t="s">
        <v>6965</v>
      </c>
      <c r="AP112" s="3450"/>
      <c r="AQ112" s="3450"/>
      <c r="AR112" s="3450"/>
      <c r="AS112" s="3450"/>
      <c r="AT112" s="3450"/>
      <c r="AU112" s="3451"/>
      <c r="AV112" s="483"/>
      <c r="AW112" s="483"/>
      <c r="AX112" s="523"/>
      <c r="AY112" s="523"/>
      <c r="AZ112" s="523"/>
    </row>
    <row r="113" spans="1:52" ht="18" customHeight="1">
      <c r="B113" s="3435"/>
      <c r="C113" s="3436"/>
      <c r="D113" s="3436"/>
      <c r="E113" s="3436"/>
      <c r="F113" s="3436"/>
      <c r="G113" s="3436"/>
      <c r="H113" s="3436"/>
      <c r="I113" s="3436"/>
      <c r="J113" s="3436"/>
      <c r="K113" s="3436"/>
      <c r="L113" s="3436"/>
      <c r="M113" s="3436"/>
      <c r="N113" s="3439"/>
      <c r="O113" s="3440"/>
      <c r="P113" s="3441"/>
      <c r="R113" s="1332"/>
      <c r="S113" s="3440"/>
      <c r="T113" s="3440"/>
      <c r="U113" s="3440"/>
      <c r="V113" s="3440"/>
      <c r="W113" s="3440"/>
      <c r="X113" s="3446" t="s">
        <v>6966</v>
      </c>
      <c r="Y113" s="2781"/>
      <c r="Z113" s="2781"/>
      <c r="AA113" s="3447"/>
      <c r="AC113" s="1332"/>
      <c r="AD113" s="3439"/>
      <c r="AE113" s="3440"/>
      <c r="AF113" s="3440"/>
      <c r="AG113" s="3440"/>
      <c r="AH113" s="3440"/>
      <c r="AI113" s="1333"/>
      <c r="AJ113" s="2781" t="s">
        <v>6967</v>
      </c>
      <c r="AK113" s="2781"/>
      <c r="AL113" s="2781"/>
      <c r="AM113" s="3447"/>
      <c r="AO113" s="3449"/>
      <c r="AP113" s="3450"/>
      <c r="AQ113" s="3450"/>
      <c r="AR113" s="3450"/>
      <c r="AS113" s="3450"/>
      <c r="AT113" s="3450"/>
      <c r="AU113" s="3451"/>
      <c r="AV113" s="483"/>
      <c r="AW113" s="483"/>
      <c r="AX113" s="523"/>
      <c r="AY113" s="523"/>
      <c r="AZ113" s="523"/>
    </row>
    <row r="114" spans="1:52" ht="18" customHeight="1">
      <c r="B114" s="3435"/>
      <c r="C114" s="3436"/>
      <c r="D114" s="3436"/>
      <c r="E114" s="3436"/>
      <c r="F114" s="3436"/>
      <c r="G114" s="3436"/>
      <c r="H114" s="3436"/>
      <c r="I114" s="3436"/>
      <c r="J114" s="3436"/>
      <c r="K114" s="3436"/>
      <c r="L114" s="3436"/>
      <c r="M114" s="3436"/>
      <c r="N114" s="3439"/>
      <c r="O114" s="3440"/>
      <c r="P114" s="3441"/>
      <c r="R114" s="1334"/>
      <c r="S114" s="2105"/>
      <c r="T114" s="2105"/>
      <c r="U114" s="2105"/>
      <c r="V114" s="2105"/>
      <c r="W114" s="2105"/>
      <c r="X114" s="3455"/>
      <c r="Y114" s="3456"/>
      <c r="Z114" s="3457"/>
      <c r="AA114" s="3458"/>
      <c r="AC114" s="1334"/>
      <c r="AD114" s="3445"/>
      <c r="AE114" s="2105"/>
      <c r="AF114" s="2105"/>
      <c r="AG114" s="2105"/>
      <c r="AH114" s="2105"/>
      <c r="AI114" s="1335"/>
      <c r="AJ114" s="3459"/>
      <c r="AK114" s="3459"/>
      <c r="AL114" s="3459"/>
      <c r="AM114" s="3460"/>
      <c r="AO114" s="3449"/>
      <c r="AP114" s="3450"/>
      <c r="AQ114" s="3450"/>
      <c r="AR114" s="3450"/>
      <c r="AS114" s="3450"/>
      <c r="AT114" s="3450"/>
      <c r="AU114" s="3451"/>
      <c r="AV114" s="483"/>
      <c r="AW114" s="483"/>
    </row>
    <row r="115" spans="1:52" ht="18" customHeight="1">
      <c r="A115" s="524"/>
      <c r="B115" s="3437"/>
      <c r="C115" s="3438"/>
      <c r="D115" s="3438"/>
      <c r="E115" s="3438"/>
      <c r="F115" s="3438"/>
      <c r="G115" s="3438"/>
      <c r="H115" s="3438"/>
      <c r="I115" s="3438"/>
      <c r="J115" s="3438"/>
      <c r="K115" s="3438"/>
      <c r="L115" s="3438"/>
      <c r="M115" s="3438"/>
      <c r="N115" s="3439"/>
      <c r="O115" s="3440"/>
      <c r="P115" s="3441"/>
      <c r="R115" s="3449" t="s">
        <v>6968</v>
      </c>
      <c r="S115" s="3450"/>
      <c r="T115" s="3450"/>
      <c r="U115" s="3450"/>
      <c r="V115" s="3450"/>
      <c r="W115" s="3450"/>
      <c r="X115" s="3450"/>
      <c r="Y115" s="3450"/>
      <c r="Z115" s="3450"/>
      <c r="AA115" s="3451"/>
      <c r="AB115" s="523"/>
      <c r="AC115" s="3449" t="s">
        <v>6969</v>
      </c>
      <c r="AD115" s="3450"/>
      <c r="AE115" s="3450"/>
      <c r="AF115" s="3450"/>
      <c r="AG115" s="3450"/>
      <c r="AH115" s="3450"/>
      <c r="AI115" s="3450"/>
      <c r="AJ115" s="3450"/>
      <c r="AK115" s="3450"/>
      <c r="AL115" s="3450"/>
      <c r="AM115" s="3451"/>
      <c r="AO115" s="3449"/>
      <c r="AP115" s="3450"/>
      <c r="AQ115" s="3450"/>
      <c r="AR115" s="3450"/>
      <c r="AS115" s="3450"/>
      <c r="AT115" s="3450"/>
      <c r="AU115" s="3451"/>
      <c r="AV115" s="523"/>
      <c r="AW115" s="523"/>
    </row>
    <row r="116" spans="1:52" ht="18" customHeight="1">
      <c r="B116" s="3435" t="s">
        <v>6970</v>
      </c>
      <c r="C116" s="3436"/>
      <c r="D116" s="3436"/>
      <c r="E116" s="3436"/>
      <c r="F116" s="3436"/>
      <c r="G116" s="3436"/>
      <c r="H116" s="3436"/>
      <c r="I116" s="3436"/>
      <c r="J116" s="3436"/>
      <c r="K116" s="3436"/>
      <c r="L116" s="3436"/>
      <c r="M116" s="3436"/>
      <c r="N116" s="3439"/>
      <c r="O116" s="3440"/>
      <c r="P116" s="3441"/>
      <c r="R116" s="3449"/>
      <c r="S116" s="3450"/>
      <c r="T116" s="3450"/>
      <c r="U116" s="3450"/>
      <c r="V116" s="3450"/>
      <c r="W116" s="3450"/>
      <c r="X116" s="3450"/>
      <c r="Y116" s="3450"/>
      <c r="Z116" s="3450"/>
      <c r="AA116" s="3451"/>
      <c r="AB116" s="523"/>
      <c r="AC116" s="3449"/>
      <c r="AD116" s="3450"/>
      <c r="AE116" s="3450"/>
      <c r="AF116" s="3450"/>
      <c r="AG116" s="3450"/>
      <c r="AH116" s="3450"/>
      <c r="AI116" s="3450"/>
      <c r="AJ116" s="3450"/>
      <c r="AK116" s="3450"/>
      <c r="AL116" s="3450"/>
      <c r="AM116" s="3451"/>
      <c r="AO116" s="3449"/>
      <c r="AP116" s="3450"/>
      <c r="AQ116" s="3450"/>
      <c r="AR116" s="3450"/>
      <c r="AS116" s="3450"/>
      <c r="AT116" s="3450"/>
      <c r="AU116" s="3451"/>
      <c r="AV116" s="523"/>
      <c r="AW116" s="523"/>
    </row>
    <row r="117" spans="1:52" ht="18" customHeight="1">
      <c r="B117" s="3435"/>
      <c r="C117" s="3436"/>
      <c r="D117" s="3436"/>
      <c r="E117" s="3436"/>
      <c r="F117" s="3436"/>
      <c r="G117" s="3436"/>
      <c r="H117" s="3436"/>
      <c r="I117" s="3436"/>
      <c r="J117" s="3436"/>
      <c r="K117" s="3436"/>
      <c r="L117" s="3436"/>
      <c r="M117" s="3436"/>
      <c r="N117" s="3439"/>
      <c r="O117" s="3440"/>
      <c r="P117" s="3441"/>
      <c r="R117" s="3449"/>
      <c r="S117" s="3450"/>
      <c r="T117" s="3450"/>
      <c r="U117" s="3450"/>
      <c r="V117" s="3450"/>
      <c r="W117" s="3450"/>
      <c r="X117" s="3450"/>
      <c r="Y117" s="3450"/>
      <c r="Z117" s="3450"/>
      <c r="AA117" s="3451"/>
      <c r="AB117" s="523"/>
      <c r="AC117" s="3449"/>
      <c r="AD117" s="3450"/>
      <c r="AE117" s="3450"/>
      <c r="AF117" s="3450"/>
      <c r="AG117" s="3450"/>
      <c r="AH117" s="3450"/>
      <c r="AI117" s="3450"/>
      <c r="AJ117" s="3450"/>
      <c r="AK117" s="3450"/>
      <c r="AL117" s="3450"/>
      <c r="AM117" s="3451"/>
      <c r="AO117" s="3449"/>
      <c r="AP117" s="3450"/>
      <c r="AQ117" s="3450"/>
      <c r="AR117" s="3450"/>
      <c r="AS117" s="3450"/>
      <c r="AT117" s="3450"/>
      <c r="AU117" s="3451"/>
      <c r="AV117" s="523"/>
      <c r="AW117" s="523"/>
    </row>
    <row r="118" spans="1:52" ht="18" customHeight="1">
      <c r="B118" s="3435"/>
      <c r="C118" s="3436"/>
      <c r="D118" s="3436"/>
      <c r="E118" s="3436"/>
      <c r="F118" s="3436"/>
      <c r="G118" s="3436"/>
      <c r="H118" s="3436"/>
      <c r="I118" s="3436"/>
      <c r="J118" s="3436"/>
      <c r="K118" s="3436"/>
      <c r="L118" s="3436"/>
      <c r="M118" s="3436"/>
      <c r="N118" s="3439"/>
      <c r="O118" s="3440"/>
      <c r="P118" s="3441"/>
      <c r="R118" s="3449"/>
      <c r="S118" s="3450"/>
      <c r="T118" s="3450"/>
      <c r="U118" s="3450"/>
      <c r="V118" s="3450"/>
      <c r="W118" s="3450"/>
      <c r="X118" s="3450"/>
      <c r="Y118" s="3450"/>
      <c r="Z118" s="3450"/>
      <c r="AA118" s="3451"/>
      <c r="AB118" s="523"/>
      <c r="AC118" s="3449"/>
      <c r="AD118" s="3450"/>
      <c r="AE118" s="3450"/>
      <c r="AF118" s="3450"/>
      <c r="AG118" s="3450"/>
      <c r="AH118" s="3450"/>
      <c r="AI118" s="3450"/>
      <c r="AJ118" s="3450"/>
      <c r="AK118" s="3450"/>
      <c r="AL118" s="3450"/>
      <c r="AM118" s="3451"/>
      <c r="AO118" s="3449"/>
      <c r="AP118" s="3450"/>
      <c r="AQ118" s="3450"/>
      <c r="AR118" s="3450"/>
      <c r="AS118" s="3450"/>
      <c r="AT118" s="3450"/>
      <c r="AU118" s="3451"/>
      <c r="AV118" s="523"/>
      <c r="AW118" s="523"/>
    </row>
    <row r="119" spans="1:52" ht="18" customHeight="1">
      <c r="B119" s="3435"/>
      <c r="C119" s="3436"/>
      <c r="D119" s="3436"/>
      <c r="E119" s="3436"/>
      <c r="F119" s="3436"/>
      <c r="G119" s="3436"/>
      <c r="H119" s="3436"/>
      <c r="I119" s="3436"/>
      <c r="J119" s="3436"/>
      <c r="K119" s="3436"/>
      <c r="L119" s="3436"/>
      <c r="M119" s="3436"/>
      <c r="N119" s="3439"/>
      <c r="O119" s="3440"/>
      <c r="P119" s="3441"/>
      <c r="R119" s="3449"/>
      <c r="S119" s="3450"/>
      <c r="T119" s="3450"/>
      <c r="U119" s="3450"/>
      <c r="V119" s="3450"/>
      <c r="W119" s="3450"/>
      <c r="X119" s="3450"/>
      <c r="Y119" s="3450"/>
      <c r="Z119" s="3450"/>
      <c r="AA119" s="3451"/>
      <c r="AB119" s="523"/>
      <c r="AC119" s="3449"/>
      <c r="AD119" s="3450"/>
      <c r="AE119" s="3450"/>
      <c r="AF119" s="3450"/>
      <c r="AG119" s="3450"/>
      <c r="AH119" s="3450"/>
      <c r="AI119" s="3450"/>
      <c r="AJ119" s="3450"/>
      <c r="AK119" s="3450"/>
      <c r="AL119" s="3450"/>
      <c r="AM119" s="3451"/>
      <c r="AO119" s="3449"/>
      <c r="AP119" s="3450"/>
      <c r="AQ119" s="3450"/>
      <c r="AR119" s="3450"/>
      <c r="AS119" s="3450"/>
      <c r="AT119" s="3450"/>
      <c r="AU119" s="3451"/>
      <c r="AV119" s="523"/>
      <c r="AW119" s="523"/>
    </row>
    <row r="120" spans="1:52" ht="18" customHeight="1">
      <c r="B120" s="3435"/>
      <c r="C120" s="3436"/>
      <c r="D120" s="3436"/>
      <c r="E120" s="3436"/>
      <c r="F120" s="3436"/>
      <c r="G120" s="3436"/>
      <c r="H120" s="3436"/>
      <c r="I120" s="3436"/>
      <c r="J120" s="3436"/>
      <c r="K120" s="3436"/>
      <c r="L120" s="3436"/>
      <c r="M120" s="3436"/>
      <c r="N120" s="3439"/>
      <c r="O120" s="3440"/>
      <c r="P120" s="3441"/>
      <c r="R120" s="3449"/>
      <c r="S120" s="3450"/>
      <c r="T120" s="3450"/>
      <c r="U120" s="3450"/>
      <c r="V120" s="3450"/>
      <c r="W120" s="3450"/>
      <c r="X120" s="3450"/>
      <c r="Y120" s="3450"/>
      <c r="Z120" s="3450"/>
      <c r="AA120" s="3451"/>
      <c r="AB120" s="11"/>
      <c r="AC120" s="3449"/>
      <c r="AD120" s="3450"/>
      <c r="AE120" s="3450"/>
      <c r="AF120" s="3450"/>
      <c r="AG120" s="3450"/>
      <c r="AH120" s="3450"/>
      <c r="AI120" s="3450"/>
      <c r="AJ120" s="3450"/>
      <c r="AK120" s="3450"/>
      <c r="AL120" s="3450"/>
      <c r="AM120" s="3451"/>
      <c r="AO120" s="3449"/>
      <c r="AP120" s="3450"/>
      <c r="AQ120" s="3450"/>
      <c r="AR120" s="3450"/>
      <c r="AS120" s="3450"/>
      <c r="AT120" s="3450"/>
      <c r="AU120" s="3451"/>
      <c r="AV120" s="523"/>
      <c r="AW120" s="523"/>
    </row>
    <row r="121" spans="1:52" ht="18" customHeight="1">
      <c r="B121" s="3461"/>
      <c r="C121" s="3462"/>
      <c r="D121" s="3462"/>
      <c r="E121" s="3462"/>
      <c r="F121" s="3462"/>
      <c r="G121" s="3462"/>
      <c r="H121" s="3462"/>
      <c r="I121" s="3462"/>
      <c r="J121" s="3462"/>
      <c r="K121" s="3462"/>
      <c r="L121" s="3462"/>
      <c r="M121" s="3462"/>
      <c r="N121" s="3442"/>
      <c r="O121" s="3443"/>
      <c r="P121" s="3444"/>
      <c r="R121" s="3452"/>
      <c r="S121" s="3453"/>
      <c r="T121" s="3453"/>
      <c r="U121" s="3453"/>
      <c r="V121" s="3453"/>
      <c r="W121" s="3453"/>
      <c r="X121" s="3453"/>
      <c r="Y121" s="3453"/>
      <c r="Z121" s="3453"/>
      <c r="AA121" s="3454"/>
      <c r="AB121" s="483"/>
      <c r="AC121" s="3452"/>
      <c r="AD121" s="3453"/>
      <c r="AE121" s="3453"/>
      <c r="AF121" s="3453"/>
      <c r="AG121" s="3453"/>
      <c r="AH121" s="3453"/>
      <c r="AI121" s="3453"/>
      <c r="AJ121" s="3453"/>
      <c r="AK121" s="3453"/>
      <c r="AL121" s="3453"/>
      <c r="AM121" s="3454"/>
      <c r="AO121" s="3452"/>
      <c r="AP121" s="3453"/>
      <c r="AQ121" s="3453"/>
      <c r="AR121" s="3453"/>
      <c r="AS121" s="3453"/>
      <c r="AT121" s="3453"/>
      <c r="AU121" s="3454"/>
      <c r="AV121" s="523"/>
      <c r="AW121" s="523"/>
    </row>
    <row r="122" spans="1:52" ht="18" customHeight="1">
      <c r="B122" s="198"/>
      <c r="C122" s="198"/>
      <c r="D122" s="198"/>
      <c r="E122" s="198"/>
      <c r="F122" s="198"/>
      <c r="G122" s="198"/>
      <c r="H122" s="198"/>
      <c r="I122" s="198"/>
      <c r="J122" s="198"/>
      <c r="K122" s="198"/>
    </row>
    <row r="123" spans="1:52" ht="18" customHeight="1">
      <c r="B123" s="213"/>
      <c r="C123" s="391"/>
      <c r="D123" s="391"/>
      <c r="E123" s="391"/>
      <c r="F123" s="391"/>
      <c r="G123" s="391"/>
      <c r="H123" s="391"/>
      <c r="I123" s="391"/>
      <c r="J123" s="391"/>
      <c r="K123" s="211"/>
    </row>
    <row r="124" spans="1:52" ht="18" customHeight="1">
      <c r="B124" s="198"/>
      <c r="C124" s="198"/>
      <c r="D124" s="198"/>
      <c r="E124" s="198"/>
      <c r="F124" s="198"/>
      <c r="G124" s="198"/>
      <c r="H124" s="198"/>
      <c r="I124" s="198"/>
      <c r="J124" s="198"/>
      <c r="K124" s="198"/>
      <c r="T124" s="391"/>
      <c r="U124" s="391"/>
    </row>
    <row r="125" spans="1:52" ht="18" customHeight="1">
      <c r="B125" s="198"/>
      <c r="C125" s="198"/>
      <c r="D125" s="198"/>
      <c r="E125" s="198"/>
      <c r="F125" s="198"/>
      <c r="G125" s="198"/>
      <c r="H125" s="198"/>
      <c r="I125" s="198"/>
      <c r="J125" s="198"/>
      <c r="K125" s="198"/>
      <c r="T125" s="391"/>
      <c r="U125" s="391"/>
    </row>
    <row r="126" spans="1:52" ht="18" customHeight="1">
      <c r="B126" s="198"/>
      <c r="C126" s="198"/>
      <c r="D126" s="198"/>
      <c r="E126" s="198"/>
      <c r="F126" s="198"/>
      <c r="G126" s="198"/>
      <c r="H126" s="198"/>
      <c r="I126" s="198"/>
      <c r="J126" s="198"/>
      <c r="K126" s="198"/>
      <c r="T126" s="391"/>
      <c r="U126" s="391"/>
      <c r="AL126" s="391"/>
      <c r="AM126" s="391"/>
      <c r="AN126" s="391"/>
      <c r="AO126" s="391"/>
    </row>
    <row r="127" spans="1:52" ht="18" customHeight="1">
      <c r="B127" s="198"/>
      <c r="C127" s="198"/>
      <c r="D127" s="198"/>
      <c r="E127" s="198"/>
      <c r="F127" s="198"/>
      <c r="G127" s="198"/>
      <c r="H127" s="198"/>
      <c r="I127" s="198"/>
      <c r="J127" s="198"/>
      <c r="K127" s="198"/>
      <c r="T127" s="391"/>
      <c r="U127" s="391"/>
      <c r="AL127" s="391"/>
      <c r="AM127" s="391"/>
      <c r="AN127" s="391"/>
      <c r="AO127" s="391"/>
    </row>
    <row r="128" spans="1:52" ht="18" customHeight="1">
      <c r="B128" s="198"/>
      <c r="C128" s="198"/>
      <c r="D128" s="198"/>
      <c r="E128" s="198"/>
      <c r="F128" s="198"/>
      <c r="G128" s="198"/>
      <c r="H128" s="198"/>
      <c r="I128" s="198"/>
      <c r="J128" s="198"/>
      <c r="K128" s="198"/>
      <c r="T128" s="391"/>
      <c r="U128" s="391"/>
      <c r="AL128" s="391"/>
      <c r="AM128" s="391"/>
      <c r="AN128" s="391"/>
      <c r="AO128" s="391"/>
    </row>
    <row r="129" spans="1:47" ht="18" customHeight="1">
      <c r="B129" s="198"/>
      <c r="C129" s="198"/>
      <c r="D129" s="198"/>
      <c r="E129" s="198"/>
      <c r="F129" s="198"/>
      <c r="G129" s="198"/>
      <c r="H129" s="198"/>
      <c r="I129" s="198"/>
      <c r="J129" s="198"/>
      <c r="K129" s="198"/>
      <c r="T129" s="391"/>
      <c r="U129" s="391"/>
      <c r="AL129" s="391"/>
      <c r="AM129" s="391"/>
      <c r="AN129" s="391"/>
      <c r="AO129" s="391"/>
      <c r="AP129" s="391"/>
      <c r="AQ129" s="391"/>
      <c r="AR129" s="391"/>
      <c r="AS129" s="391"/>
      <c r="AT129" s="391"/>
      <c r="AU129" s="391"/>
    </row>
    <row r="130" spans="1:47" ht="18" customHeight="1">
      <c r="B130" s="198"/>
      <c r="C130" s="198"/>
      <c r="D130" s="198"/>
      <c r="E130" s="198"/>
      <c r="F130" s="198"/>
      <c r="G130" s="198"/>
      <c r="H130" s="198"/>
      <c r="I130" s="198"/>
      <c r="J130" s="198"/>
      <c r="K130" s="198"/>
      <c r="T130" s="391"/>
      <c r="U130" s="391"/>
      <c r="AL130" s="391"/>
      <c r="AM130" s="391"/>
      <c r="AN130" s="391"/>
      <c r="AO130" s="391"/>
      <c r="AP130" s="391"/>
      <c r="AQ130" s="391"/>
      <c r="AR130" s="391"/>
      <c r="AS130" s="391"/>
      <c r="AT130" s="391"/>
      <c r="AU130" s="391"/>
    </row>
    <row r="131" spans="1:47" ht="18" customHeight="1">
      <c r="B131" s="198"/>
      <c r="C131" s="198"/>
      <c r="D131" s="198"/>
      <c r="E131" s="198"/>
      <c r="F131" s="198"/>
      <c r="G131" s="198"/>
      <c r="H131" s="198"/>
      <c r="I131" s="198"/>
      <c r="J131" s="198"/>
      <c r="K131" s="198"/>
      <c r="T131" s="391"/>
      <c r="U131" s="391"/>
      <c r="AL131" s="391"/>
      <c r="AM131" s="391"/>
      <c r="AN131" s="391"/>
      <c r="AO131" s="391"/>
      <c r="AP131" s="391"/>
      <c r="AQ131" s="391"/>
      <c r="AR131" s="391"/>
      <c r="AS131" s="391"/>
      <c r="AT131" s="391"/>
      <c r="AU131" s="391"/>
    </row>
    <row r="132" spans="1:47" ht="18" customHeight="1">
      <c r="B132" s="198"/>
      <c r="C132" s="198"/>
      <c r="D132" s="198"/>
      <c r="E132" s="198"/>
      <c r="F132" s="198"/>
      <c r="G132" s="198"/>
      <c r="H132" s="198"/>
      <c r="I132" s="198"/>
      <c r="J132" s="198"/>
      <c r="K132" s="198"/>
      <c r="T132" s="391"/>
      <c r="U132" s="391"/>
      <c r="AL132" s="391"/>
      <c r="AM132" s="391"/>
      <c r="AN132" s="391"/>
      <c r="AO132" s="391"/>
      <c r="AP132" s="391"/>
      <c r="AQ132" s="391"/>
      <c r="AR132" s="391"/>
      <c r="AS132" s="391"/>
      <c r="AT132" s="391"/>
      <c r="AU132" s="391"/>
    </row>
    <row r="133" spans="1:47" ht="18" customHeight="1">
      <c r="B133" s="198"/>
      <c r="C133" s="198"/>
      <c r="D133" s="198"/>
      <c r="E133" s="198"/>
      <c r="F133" s="198"/>
      <c r="G133" s="198"/>
      <c r="H133" s="198"/>
      <c r="I133" s="198"/>
      <c r="J133" s="198"/>
      <c r="K133" s="198"/>
      <c r="T133" s="391"/>
      <c r="U133" s="391"/>
      <c r="AL133" s="391"/>
      <c r="AM133" s="391"/>
      <c r="AN133" s="391"/>
      <c r="AO133" s="391"/>
      <c r="AP133" s="391"/>
      <c r="AQ133" s="391"/>
      <c r="AR133" s="391"/>
      <c r="AS133" s="391"/>
      <c r="AT133" s="391"/>
      <c r="AU133" s="391"/>
    </row>
    <row r="134" spans="1:47" ht="18" customHeight="1">
      <c r="B134" s="198"/>
      <c r="C134" s="198"/>
      <c r="D134" s="198"/>
      <c r="E134" s="198"/>
      <c r="F134" s="198"/>
      <c r="G134" s="198"/>
      <c r="H134" s="198"/>
      <c r="I134" s="198"/>
      <c r="J134" s="198"/>
      <c r="K134" s="198"/>
      <c r="T134" s="391"/>
      <c r="U134" s="391"/>
      <c r="AL134" s="391"/>
      <c r="AM134" s="391"/>
      <c r="AN134" s="391"/>
      <c r="AO134" s="391"/>
      <c r="AP134" s="391"/>
      <c r="AQ134" s="391"/>
      <c r="AR134" s="391"/>
      <c r="AS134" s="391"/>
      <c r="AT134" s="391"/>
      <c r="AU134" s="391"/>
    </row>
    <row r="135" spans="1:47" ht="18" customHeight="1">
      <c r="B135" s="198"/>
      <c r="C135" s="198"/>
      <c r="D135" s="198"/>
      <c r="E135" s="198"/>
      <c r="F135" s="198"/>
      <c r="G135" s="198"/>
      <c r="H135" s="198"/>
      <c r="I135" s="198"/>
      <c r="J135" s="198"/>
      <c r="K135" s="198"/>
      <c r="T135" s="391"/>
      <c r="U135" s="391"/>
      <c r="AD135" s="391"/>
      <c r="AE135" s="391"/>
      <c r="AF135" s="391"/>
      <c r="AG135" s="391"/>
      <c r="AH135" s="391"/>
      <c r="AI135" s="391"/>
      <c r="AJ135" s="391"/>
      <c r="AK135" s="391"/>
      <c r="AL135" s="391"/>
      <c r="AM135" s="391"/>
      <c r="AN135" s="391"/>
      <c r="AO135" s="391"/>
      <c r="AP135" s="391"/>
      <c r="AQ135" s="391"/>
      <c r="AR135" s="391"/>
      <c r="AS135" s="391"/>
      <c r="AT135" s="391"/>
      <c r="AU135" s="391"/>
    </row>
    <row r="136" spans="1:47" ht="18" customHeight="1">
      <c r="B136" s="198"/>
      <c r="C136" s="198"/>
      <c r="D136" s="198"/>
      <c r="E136" s="198"/>
      <c r="F136" s="198"/>
      <c r="G136" s="198"/>
      <c r="H136" s="198"/>
      <c r="I136" s="198"/>
      <c r="J136" s="198"/>
      <c r="K136" s="198"/>
      <c r="T136" s="391"/>
      <c r="U136" s="391"/>
      <c r="AD136" s="391"/>
      <c r="AE136" s="391"/>
      <c r="AF136" s="391"/>
      <c r="AG136" s="391"/>
      <c r="AH136" s="391"/>
      <c r="AI136" s="391"/>
      <c r="AJ136" s="391"/>
      <c r="AK136" s="391"/>
      <c r="AL136" s="391"/>
      <c r="AM136" s="391"/>
      <c r="AN136" s="391"/>
      <c r="AO136" s="391"/>
      <c r="AP136" s="391"/>
      <c r="AQ136" s="391"/>
      <c r="AR136" s="391"/>
      <c r="AS136" s="391"/>
      <c r="AT136" s="391"/>
      <c r="AU136" s="391"/>
    </row>
    <row r="137" spans="1:47" ht="18" customHeight="1">
      <c r="B137" s="198"/>
      <c r="C137" s="198"/>
      <c r="D137" s="198"/>
      <c r="E137" s="198"/>
      <c r="F137" s="198"/>
      <c r="G137" s="198"/>
      <c r="H137" s="198"/>
      <c r="I137" s="198"/>
      <c r="J137" s="198"/>
      <c r="K137" s="198"/>
      <c r="T137" s="391"/>
      <c r="U137" s="391"/>
      <c r="AD137" s="391"/>
      <c r="AE137" s="391"/>
      <c r="AF137" s="391"/>
      <c r="AG137" s="391"/>
      <c r="AH137" s="391"/>
      <c r="AI137" s="391"/>
      <c r="AJ137" s="391"/>
      <c r="AK137" s="391"/>
      <c r="AL137" s="391"/>
      <c r="AM137" s="391"/>
      <c r="AN137" s="391"/>
      <c r="AO137" s="391"/>
      <c r="AP137" s="391"/>
      <c r="AQ137" s="391"/>
      <c r="AR137" s="391"/>
      <c r="AS137" s="391"/>
      <c r="AT137" s="391"/>
      <c r="AU137" s="391"/>
    </row>
    <row r="138" spans="1:47" ht="18" customHeight="1">
      <c r="B138" s="391"/>
      <c r="C138" s="391"/>
      <c r="D138" s="391"/>
      <c r="E138" s="391"/>
      <c r="F138" s="391"/>
      <c r="G138" s="391"/>
      <c r="H138" s="391"/>
      <c r="I138" s="391"/>
      <c r="J138" s="391"/>
      <c r="K138" s="391"/>
      <c r="L138" s="391"/>
      <c r="M138" s="391"/>
      <c r="N138" s="391"/>
      <c r="O138" s="391"/>
      <c r="P138" s="391"/>
      <c r="Q138" s="391"/>
      <c r="R138" s="391"/>
      <c r="S138" s="391"/>
      <c r="T138" s="391"/>
      <c r="U138" s="391"/>
      <c r="V138" s="391"/>
      <c r="W138" s="391"/>
      <c r="X138" s="391"/>
      <c r="Y138" s="391"/>
      <c r="Z138" s="391"/>
      <c r="AA138" s="391"/>
      <c r="AB138" s="391"/>
      <c r="AC138" s="391"/>
      <c r="AD138" s="391"/>
      <c r="AE138" s="391"/>
      <c r="AF138" s="391"/>
      <c r="AG138" s="391"/>
      <c r="AH138" s="391"/>
      <c r="AI138" s="391"/>
      <c r="AJ138" s="391"/>
      <c r="AK138" s="391"/>
      <c r="AL138" s="391"/>
      <c r="AM138" s="391"/>
      <c r="AN138" s="391"/>
      <c r="AO138" s="391"/>
      <c r="AP138" s="391"/>
      <c r="AQ138" s="391"/>
      <c r="AR138" s="391"/>
      <c r="AS138" s="391"/>
      <c r="AT138" s="391"/>
      <c r="AU138" s="391"/>
    </row>
    <row r="139" spans="1:47" ht="18" customHeight="1">
      <c r="B139" s="391"/>
      <c r="C139" s="391"/>
      <c r="D139" s="391"/>
      <c r="E139" s="391"/>
      <c r="F139" s="391"/>
      <c r="G139" s="391"/>
      <c r="H139" s="391"/>
      <c r="I139" s="391"/>
      <c r="J139" s="391"/>
      <c r="K139" s="391"/>
      <c r="L139" s="391"/>
      <c r="M139" s="391"/>
      <c r="N139" s="391"/>
      <c r="O139" s="391"/>
      <c r="P139" s="391"/>
      <c r="Q139" s="391"/>
      <c r="R139" s="391"/>
      <c r="S139" s="391"/>
      <c r="T139" s="391"/>
      <c r="U139" s="391"/>
      <c r="V139" s="391"/>
      <c r="W139" s="391"/>
      <c r="X139" s="391"/>
      <c r="Y139" s="391"/>
      <c r="Z139" s="391"/>
      <c r="AA139" s="391"/>
      <c r="AB139" s="391"/>
      <c r="AC139" s="391"/>
      <c r="AD139" s="391"/>
      <c r="AE139" s="391"/>
      <c r="AF139" s="391"/>
      <c r="AG139" s="391"/>
      <c r="AH139" s="391"/>
      <c r="AI139" s="391"/>
      <c r="AJ139" s="391"/>
      <c r="AK139" s="391"/>
      <c r="AL139" s="391"/>
      <c r="AM139" s="391"/>
      <c r="AN139" s="391"/>
      <c r="AO139" s="391"/>
      <c r="AP139" s="391"/>
      <c r="AQ139" s="391"/>
      <c r="AR139" s="391"/>
      <c r="AS139" s="391"/>
      <c r="AT139" s="391"/>
      <c r="AU139" s="391"/>
    </row>
    <row r="140" spans="1:47">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c r="AE140" s="200"/>
      <c r="AF140" s="200"/>
      <c r="AG140" s="200"/>
      <c r="AH140" s="200"/>
      <c r="AI140" s="200"/>
      <c r="AJ140" s="200"/>
      <c r="AK140" s="200"/>
      <c r="AL140" s="200"/>
      <c r="AM140" s="200"/>
      <c r="AN140" s="200"/>
      <c r="AO140" s="200"/>
      <c r="AP140" s="200"/>
      <c r="AQ140" s="200"/>
      <c r="AR140" s="200"/>
      <c r="AS140" s="200"/>
      <c r="AT140" s="200"/>
      <c r="AU140" s="200"/>
    </row>
    <row r="141" spans="1:47">
      <c r="A141" s="524"/>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c r="AE141" s="200"/>
      <c r="AF141" s="200"/>
      <c r="AG141" s="200"/>
      <c r="AH141" s="200"/>
      <c r="AI141" s="200"/>
      <c r="AJ141" s="200"/>
      <c r="AK141" s="200"/>
      <c r="AL141" s="200"/>
      <c r="AM141" s="200"/>
      <c r="AN141" s="200"/>
      <c r="AO141" s="200"/>
      <c r="AP141" s="200"/>
      <c r="AQ141" s="200"/>
      <c r="AR141" s="200"/>
      <c r="AS141" s="200"/>
      <c r="AT141" s="200"/>
      <c r="AU141" s="200"/>
    </row>
    <row r="142" spans="1:47">
      <c r="A142" s="524"/>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c r="AE142" s="200"/>
      <c r="AF142" s="200"/>
      <c r="AG142" s="200"/>
      <c r="AH142" s="200"/>
      <c r="AI142" s="200"/>
      <c r="AJ142" s="200"/>
      <c r="AK142" s="200"/>
      <c r="AL142" s="200"/>
      <c r="AM142" s="200"/>
      <c r="AN142" s="200"/>
      <c r="AO142" s="200"/>
      <c r="AP142" s="200"/>
      <c r="AQ142" s="200"/>
      <c r="AR142" s="200"/>
      <c r="AS142" s="200"/>
      <c r="AT142" s="200"/>
      <c r="AU142" s="200"/>
    </row>
    <row r="143" spans="1:47">
      <c r="A143" s="524"/>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c r="AE143" s="200"/>
      <c r="AF143" s="200"/>
      <c r="AG143" s="200"/>
      <c r="AH143" s="200"/>
      <c r="AI143" s="200"/>
      <c r="AJ143" s="200"/>
      <c r="AK143" s="200"/>
      <c r="AL143" s="200"/>
      <c r="AM143" s="200"/>
      <c r="AN143" s="200"/>
      <c r="AO143" s="200"/>
      <c r="AP143" s="200"/>
      <c r="AQ143" s="200"/>
      <c r="AR143" s="200"/>
      <c r="AS143" s="200"/>
      <c r="AT143" s="200"/>
      <c r="AU143" s="200"/>
    </row>
    <row r="144" spans="1:47">
      <c r="A144" s="524"/>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c r="AE144" s="200"/>
      <c r="AF144" s="200"/>
      <c r="AG144" s="200"/>
      <c r="AH144" s="200"/>
      <c r="AI144" s="200"/>
      <c r="AJ144" s="200"/>
      <c r="AK144" s="200"/>
      <c r="AL144" s="200"/>
      <c r="AM144" s="200"/>
      <c r="AN144" s="200"/>
      <c r="AO144" s="200"/>
      <c r="AP144" s="200"/>
      <c r="AQ144" s="200"/>
      <c r="AR144" s="200"/>
      <c r="AS144" s="200"/>
      <c r="AT144" s="200"/>
      <c r="AU144" s="200"/>
    </row>
    <row r="145" spans="1:47">
      <c r="A145" s="524"/>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c r="AA145" s="200"/>
      <c r="AB145" s="200"/>
      <c r="AC145" s="200"/>
      <c r="AD145" s="200"/>
      <c r="AE145" s="200"/>
      <c r="AF145" s="200"/>
      <c r="AG145" s="200"/>
      <c r="AH145" s="200"/>
      <c r="AI145" s="200"/>
      <c r="AJ145" s="200"/>
      <c r="AK145" s="200"/>
      <c r="AL145" s="200"/>
      <c r="AM145" s="200"/>
      <c r="AN145" s="200"/>
      <c r="AO145" s="200"/>
      <c r="AP145" s="200"/>
      <c r="AQ145" s="200"/>
      <c r="AR145" s="200"/>
      <c r="AS145" s="200"/>
      <c r="AT145" s="200"/>
      <c r="AU145" s="200"/>
    </row>
    <row r="146" spans="1:47">
      <c r="A146" s="524"/>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c r="AE146" s="200"/>
      <c r="AF146" s="200"/>
      <c r="AG146" s="200"/>
      <c r="AH146" s="200"/>
      <c r="AI146" s="200"/>
      <c r="AJ146" s="200"/>
      <c r="AK146" s="200"/>
      <c r="AL146" s="200"/>
      <c r="AM146" s="200"/>
      <c r="AN146" s="200"/>
      <c r="AO146" s="200"/>
      <c r="AP146" s="200"/>
      <c r="AQ146" s="200"/>
      <c r="AR146" s="200"/>
      <c r="AS146" s="200"/>
      <c r="AT146" s="200"/>
      <c r="AU146" s="200"/>
    </row>
    <row r="147" spans="1:47">
      <c r="A147" s="524"/>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c r="AA147" s="200"/>
      <c r="AB147" s="200"/>
      <c r="AC147" s="200"/>
      <c r="AD147" s="200"/>
      <c r="AE147" s="200"/>
      <c r="AF147" s="200"/>
      <c r="AG147" s="200"/>
      <c r="AH147" s="200"/>
      <c r="AI147" s="200"/>
      <c r="AJ147" s="200"/>
      <c r="AK147" s="200"/>
      <c r="AL147" s="200"/>
      <c r="AM147" s="200"/>
      <c r="AN147" s="200"/>
      <c r="AO147" s="200"/>
      <c r="AP147" s="200"/>
      <c r="AQ147" s="200"/>
      <c r="AR147" s="200"/>
      <c r="AS147" s="200"/>
      <c r="AT147" s="200"/>
      <c r="AU147" s="200"/>
    </row>
    <row r="148" spans="1:47">
      <c r="A148" s="524"/>
      <c r="B148" s="200"/>
      <c r="C148" s="200"/>
      <c r="D148" s="200"/>
    </row>
    <row r="149" spans="1:47">
      <c r="A149" s="524"/>
      <c r="B149" s="200"/>
      <c r="C149" s="200"/>
      <c r="D149" s="200"/>
    </row>
    <row r="150" spans="1:47">
      <c r="A150" s="524"/>
      <c r="B150" s="200"/>
      <c r="C150" s="200"/>
      <c r="D150" s="200"/>
    </row>
    <row r="151" spans="1:47">
      <c r="A151" s="524"/>
      <c r="B151" s="200"/>
      <c r="C151" s="200"/>
      <c r="D151" s="200"/>
    </row>
    <row r="152" spans="1:47">
      <c r="B152" s="200"/>
      <c r="C152" s="200"/>
      <c r="D152" s="200"/>
    </row>
    <row r="153" spans="1:47">
      <c r="B153" s="200"/>
      <c r="C153" s="200"/>
      <c r="D153" s="200"/>
    </row>
    <row r="154" spans="1:47">
      <c r="B154" s="200"/>
      <c r="C154" s="200"/>
      <c r="D154" s="200"/>
    </row>
    <row r="155" spans="1:47">
      <c r="B155" s="200"/>
      <c r="C155" s="200"/>
      <c r="D155" s="200"/>
    </row>
    <row r="156" spans="1:47">
      <c r="B156" s="200"/>
      <c r="C156" s="200"/>
      <c r="D156" s="200"/>
    </row>
    <row r="157" spans="1:47">
      <c r="B157" s="200"/>
      <c r="C157" s="200"/>
      <c r="D157" s="200"/>
    </row>
    <row r="158" spans="1:47">
      <c r="B158" s="200"/>
      <c r="C158" s="200"/>
      <c r="D158" s="200"/>
    </row>
    <row r="159" spans="1:47">
      <c r="B159" s="200"/>
      <c r="C159" s="200"/>
      <c r="D159" s="200"/>
    </row>
    <row r="160" spans="1:47">
      <c r="B160" s="200"/>
      <c r="C160" s="200"/>
      <c r="D160" s="200"/>
    </row>
    <row r="161" spans="2:4">
      <c r="B161" s="200"/>
      <c r="C161" s="200"/>
      <c r="D161" s="200"/>
    </row>
    <row r="162" spans="2:4">
      <c r="B162" s="200"/>
      <c r="C162" s="200"/>
      <c r="D162" s="200"/>
    </row>
    <row r="163" spans="2:4">
      <c r="B163" s="200"/>
      <c r="C163" s="200"/>
      <c r="D163" s="200"/>
    </row>
    <row r="164" spans="2:4">
      <c r="B164" s="200"/>
      <c r="C164" s="200"/>
      <c r="D164" s="200"/>
    </row>
    <row r="165" spans="2:4">
      <c r="B165" s="200"/>
      <c r="C165" s="200"/>
      <c r="D165" s="200"/>
    </row>
    <row r="166" spans="2:4">
      <c r="B166" s="200"/>
      <c r="C166" s="200"/>
      <c r="D166" s="200"/>
    </row>
    <row r="167" spans="2:4">
      <c r="B167" s="200"/>
      <c r="C167" s="200"/>
      <c r="D167" s="200"/>
    </row>
    <row r="168" spans="2:4">
      <c r="B168" s="200"/>
      <c r="C168" s="200"/>
      <c r="D168" s="200"/>
    </row>
    <row r="169" spans="2:4">
      <c r="B169" s="200"/>
      <c r="C169" s="200"/>
      <c r="D169" s="200"/>
    </row>
    <row r="170" spans="2:4">
      <c r="B170" s="200"/>
      <c r="C170" s="200"/>
      <c r="D170" s="200"/>
    </row>
    <row r="171" spans="2:4">
      <c r="B171" s="200"/>
      <c r="C171" s="200"/>
      <c r="D171" s="200"/>
    </row>
    <row r="180" spans="47:47">
      <c r="AU180" s="200"/>
    </row>
    <row r="181" spans="47:47">
      <c r="AU181" s="200"/>
    </row>
    <row r="182" spans="47:47">
      <c r="AU182" s="200"/>
    </row>
    <row r="183" spans="47:47">
      <c r="AU183" s="200"/>
    </row>
    <row r="184" spans="47:47">
      <c r="AU184" s="200"/>
    </row>
    <row r="185" spans="47:47">
      <c r="AU185" s="200"/>
    </row>
    <row r="186" spans="47:47">
      <c r="AU186" s="200"/>
    </row>
    <row r="187" spans="47:47">
      <c r="AU187" s="200"/>
    </row>
    <row r="188" spans="47:47">
      <c r="AU188" s="200"/>
    </row>
    <row r="189" spans="47:47">
      <c r="AU189" s="200"/>
    </row>
    <row r="190" spans="47:47">
      <c r="AU190" s="200"/>
    </row>
    <row r="191" spans="47:47">
      <c r="AU191" s="200"/>
    </row>
    <row r="192" spans="47:47">
      <c r="AU192" s="200"/>
    </row>
  </sheetData>
  <sheetProtection password="D857" sheet="1" objects="1"/>
  <mergeCells count="316">
    <mergeCell ref="H8:M8"/>
    <mergeCell ref="N8:S8"/>
    <mergeCell ref="T8:Y8"/>
    <mergeCell ref="Z8:AE8"/>
    <mergeCell ref="AF8:AK8"/>
    <mergeCell ref="AL8:AQ8"/>
    <mergeCell ref="AR8:AW8"/>
    <mergeCell ref="B2:AW2"/>
    <mergeCell ref="B3:G3"/>
    <mergeCell ref="H3:M3"/>
    <mergeCell ref="N3:S3"/>
    <mergeCell ref="T3:Y3"/>
    <mergeCell ref="Z3:AE3"/>
    <mergeCell ref="AF3:AK3"/>
    <mergeCell ref="AL3:AQ3"/>
    <mergeCell ref="AR3:AW3"/>
    <mergeCell ref="Z27:AE31"/>
    <mergeCell ref="AF27:AK31"/>
    <mergeCell ref="AL27:AQ31"/>
    <mergeCell ref="AR27:AW31"/>
    <mergeCell ref="B32:G35"/>
    <mergeCell ref="H32:M35"/>
    <mergeCell ref="N32:S35"/>
    <mergeCell ref="T32:Y35"/>
    <mergeCell ref="Z32:AE35"/>
    <mergeCell ref="AF32:AK35"/>
    <mergeCell ref="A27:A31"/>
    <mergeCell ref="A32:A35"/>
    <mergeCell ref="A36:A39"/>
    <mergeCell ref="A40:A43"/>
    <mergeCell ref="A44:A84"/>
    <mergeCell ref="B27:G31"/>
    <mergeCell ref="H27:M31"/>
    <mergeCell ref="N27:S31"/>
    <mergeCell ref="T27:Y31"/>
    <mergeCell ref="H71:J71"/>
    <mergeCell ref="K71:L71"/>
    <mergeCell ref="M71:N71"/>
    <mergeCell ref="O71:Q71"/>
    <mergeCell ref="H72:J72"/>
    <mergeCell ref="K72:L72"/>
    <mergeCell ref="M72:N72"/>
    <mergeCell ref="O72:Q72"/>
    <mergeCell ref="H73:J73"/>
    <mergeCell ref="K73:L73"/>
    <mergeCell ref="M73:N73"/>
    <mergeCell ref="O73:Q73"/>
    <mergeCell ref="H68:J68"/>
    <mergeCell ref="K68:L68"/>
    <mergeCell ref="M68:N68"/>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1:G12"/>
    <mergeCell ref="C15:G16"/>
    <mergeCell ref="C19:G20"/>
    <mergeCell ref="T13:T14"/>
    <mergeCell ref="T15:T16"/>
    <mergeCell ref="T17:T18"/>
    <mergeCell ref="T19:T20"/>
    <mergeCell ref="T21:T22"/>
    <mergeCell ref="T23:T24"/>
    <mergeCell ref="T25:T26"/>
    <mergeCell ref="N9:N10"/>
    <mergeCell ref="N11:N12"/>
    <mergeCell ref="N13:N14"/>
    <mergeCell ref="N15:N16"/>
    <mergeCell ref="N17:N18"/>
    <mergeCell ref="N19:N20"/>
    <mergeCell ref="N21:N22"/>
    <mergeCell ref="N23:N24"/>
    <mergeCell ref="N25:N26"/>
    <mergeCell ref="B4:G5"/>
    <mergeCell ref="H4:M5"/>
    <mergeCell ref="N4:S5"/>
    <mergeCell ref="T4:Y5"/>
    <mergeCell ref="Z4:AE5"/>
    <mergeCell ref="AF4:AK5"/>
    <mergeCell ref="AL4:AQ5"/>
    <mergeCell ref="AR4:AW5"/>
    <mergeCell ref="C9:G10"/>
    <mergeCell ref="AG9:AK10"/>
    <mergeCell ref="I9:M10"/>
    <mergeCell ref="AM9:AQ10"/>
    <mergeCell ref="O9:S10"/>
    <mergeCell ref="AS9:AW10"/>
    <mergeCell ref="U9:Y10"/>
    <mergeCell ref="AA9:AE10"/>
    <mergeCell ref="AR9:AR10"/>
    <mergeCell ref="AL9:AL10"/>
    <mergeCell ref="AF9:AF10"/>
    <mergeCell ref="Z9:Z10"/>
    <mergeCell ref="T9:T10"/>
    <mergeCell ref="B9:B10"/>
    <mergeCell ref="B7:AW7"/>
    <mergeCell ref="B8:G8"/>
    <mergeCell ref="AG11:AK12"/>
    <mergeCell ref="I11:M12"/>
    <mergeCell ref="AM11:AQ12"/>
    <mergeCell ref="O11:S12"/>
    <mergeCell ref="AS11:AW12"/>
    <mergeCell ref="U11:Y12"/>
    <mergeCell ref="AA11:AE12"/>
    <mergeCell ref="C13:G14"/>
    <mergeCell ref="AG13:AK14"/>
    <mergeCell ref="I13:M14"/>
    <mergeCell ref="AM13:AQ14"/>
    <mergeCell ref="O13:S14"/>
    <mergeCell ref="AS13:AW14"/>
    <mergeCell ref="U13:Y14"/>
    <mergeCell ref="AA13:AE14"/>
    <mergeCell ref="AR11:AR12"/>
    <mergeCell ref="AR13:AR14"/>
    <mergeCell ref="AL11:AL12"/>
    <mergeCell ref="AL13:AL14"/>
    <mergeCell ref="AF11:AF12"/>
    <mergeCell ref="AF13:AF14"/>
    <mergeCell ref="Z11:Z12"/>
    <mergeCell ref="Z13:Z14"/>
    <mergeCell ref="T11:T12"/>
    <mergeCell ref="AG15:AK16"/>
    <mergeCell ref="I15:M16"/>
    <mergeCell ref="AM15:AQ16"/>
    <mergeCell ref="O15:S16"/>
    <mergeCell ref="AS15:AW16"/>
    <mergeCell ref="U15:Y16"/>
    <mergeCell ref="AA15:AE16"/>
    <mergeCell ref="C17:G18"/>
    <mergeCell ref="AG17:AK18"/>
    <mergeCell ref="I17:M18"/>
    <mergeCell ref="AM17:AQ18"/>
    <mergeCell ref="O17:S18"/>
    <mergeCell ref="AS17:AW18"/>
    <mergeCell ref="U17:Y18"/>
    <mergeCell ref="AA17:AE18"/>
    <mergeCell ref="AR15:AR16"/>
    <mergeCell ref="AR17:AR18"/>
    <mergeCell ref="AL15:AL16"/>
    <mergeCell ref="AL17:AL18"/>
    <mergeCell ref="AF15:AF16"/>
    <mergeCell ref="AF17:AF18"/>
    <mergeCell ref="Z15:Z16"/>
    <mergeCell ref="Z17:Z18"/>
    <mergeCell ref="AG19:AK20"/>
    <mergeCell ref="I19:M20"/>
    <mergeCell ref="AM19:AQ20"/>
    <mergeCell ref="O19:S20"/>
    <mergeCell ref="AS19:AW20"/>
    <mergeCell ref="U19:Y20"/>
    <mergeCell ref="AA19:AE20"/>
    <mergeCell ref="C21:G22"/>
    <mergeCell ref="AG21:AK22"/>
    <mergeCell ref="I21:M22"/>
    <mergeCell ref="AM21:AQ22"/>
    <mergeCell ref="O21:S22"/>
    <mergeCell ref="AS21:AW22"/>
    <mergeCell ref="U21:Y22"/>
    <mergeCell ref="AA21:AE22"/>
    <mergeCell ref="AR19:AR20"/>
    <mergeCell ref="AR21:AR22"/>
    <mergeCell ref="AL19:AL20"/>
    <mergeCell ref="AL21:AL22"/>
    <mergeCell ref="AF19:AF20"/>
    <mergeCell ref="AF21:AF22"/>
    <mergeCell ref="Z19:Z20"/>
    <mergeCell ref="Z21:Z22"/>
    <mergeCell ref="I23:M24"/>
    <mergeCell ref="AM23:AQ24"/>
    <mergeCell ref="O23:S24"/>
    <mergeCell ref="AS23:AW24"/>
    <mergeCell ref="U23:Y24"/>
    <mergeCell ref="AA23:AE24"/>
    <mergeCell ref="AG23:AK24"/>
    <mergeCell ref="C25:G26"/>
    <mergeCell ref="AG25:AK26"/>
    <mergeCell ref="I25:M26"/>
    <mergeCell ref="AM25:AQ26"/>
    <mergeCell ref="O25:S26"/>
    <mergeCell ref="AS25:AW26"/>
    <mergeCell ref="U25:Y26"/>
    <mergeCell ref="AA25:AE26"/>
    <mergeCell ref="AR23:AR24"/>
    <mergeCell ref="AR25:AR26"/>
    <mergeCell ref="AL23:AL24"/>
    <mergeCell ref="AL25:AL26"/>
    <mergeCell ref="AF23:AF24"/>
    <mergeCell ref="AF25:AF26"/>
    <mergeCell ref="Z23:Z24"/>
    <mergeCell ref="Z25:Z26"/>
    <mergeCell ref="AL32:AQ35"/>
    <mergeCell ref="AR32:AW35"/>
    <mergeCell ref="B36:G39"/>
    <mergeCell ref="H36:M39"/>
    <mergeCell ref="N36:S39"/>
    <mergeCell ref="T36:Y39"/>
    <mergeCell ref="Z36:AE39"/>
    <mergeCell ref="AF36:AK39"/>
    <mergeCell ref="AL36:AQ39"/>
    <mergeCell ref="AR36:AW39"/>
    <mergeCell ref="BD38:BU43"/>
    <mergeCell ref="B40:G43"/>
    <mergeCell ref="H40:M43"/>
    <mergeCell ref="N40:S43"/>
    <mergeCell ref="T40:Y43"/>
    <mergeCell ref="Z40:AE43"/>
    <mergeCell ref="AF40:AK43"/>
    <mergeCell ref="AL40:AQ43"/>
    <mergeCell ref="AR40:AW43"/>
    <mergeCell ref="B44:G46"/>
    <mergeCell ref="H44:M46"/>
    <mergeCell ref="N44:S46"/>
    <mergeCell ref="T44:Y46"/>
    <mergeCell ref="Z44:AE46"/>
    <mergeCell ref="AF44:AK46"/>
    <mergeCell ref="AL44:AQ46"/>
    <mergeCell ref="AR44:AW46"/>
    <mergeCell ref="K49:P51"/>
    <mergeCell ref="T49:Y51"/>
    <mergeCell ref="AF49:AK51"/>
    <mergeCell ref="AL49:AQ51"/>
    <mergeCell ref="AR49:AW51"/>
    <mergeCell ref="H54:M57"/>
    <mergeCell ref="N54:P57"/>
    <mergeCell ref="Y54:AF57"/>
    <mergeCell ref="AL54:AQ56"/>
    <mergeCell ref="H58:M61"/>
    <mergeCell ref="N58:P61"/>
    <mergeCell ref="AL59:AQ61"/>
    <mergeCell ref="U64:V66"/>
    <mergeCell ref="W64:AJ66"/>
    <mergeCell ref="AN64:AW65"/>
    <mergeCell ref="H65:J65"/>
    <mergeCell ref="K65:L65"/>
    <mergeCell ref="M65:N65"/>
    <mergeCell ref="O65:R65"/>
    <mergeCell ref="H66:J66"/>
    <mergeCell ref="K66:L66"/>
    <mergeCell ref="M66:N66"/>
    <mergeCell ref="O66:Q66"/>
    <mergeCell ref="F65:G73"/>
    <mergeCell ref="AN66:AW69"/>
    <mergeCell ref="U67:V69"/>
    <mergeCell ref="W67:AJ69"/>
    <mergeCell ref="U70:V72"/>
    <mergeCell ref="W70:AJ72"/>
    <mergeCell ref="AN70:AW73"/>
    <mergeCell ref="U73:V75"/>
    <mergeCell ref="W73:AJ75"/>
    <mergeCell ref="F74:N75"/>
    <mergeCell ref="O68:Q68"/>
    <mergeCell ref="H69:J69"/>
    <mergeCell ref="K69:L69"/>
    <mergeCell ref="M69:N69"/>
    <mergeCell ref="O69:Q69"/>
    <mergeCell ref="H70:J70"/>
    <mergeCell ref="K70:L70"/>
    <mergeCell ref="M70:N70"/>
    <mergeCell ref="O70:Q70"/>
    <mergeCell ref="H67:J67"/>
    <mergeCell ref="K67:L67"/>
    <mergeCell ref="M67:N67"/>
    <mergeCell ref="O67:Q67"/>
    <mergeCell ref="U76:V78"/>
    <mergeCell ref="W76:AJ78"/>
    <mergeCell ref="U79:V81"/>
    <mergeCell ref="W79:AJ81"/>
    <mergeCell ref="U82:AJ84"/>
    <mergeCell ref="B86:AU88"/>
    <mergeCell ref="B90:W91"/>
    <mergeCell ref="Z90:AU91"/>
    <mergeCell ref="B92:L101"/>
    <mergeCell ref="M92:W93"/>
    <mergeCell ref="Z93:AJ96"/>
    <mergeCell ref="AK93:AU96"/>
    <mergeCell ref="M94:W95"/>
    <mergeCell ref="M96:W97"/>
    <mergeCell ref="M98:W99"/>
    <mergeCell ref="Z98:AG99"/>
    <mergeCell ref="AI98:AU99"/>
    <mergeCell ref="M100:W101"/>
    <mergeCell ref="Z92:AU92"/>
    <mergeCell ref="B103:AU105"/>
    <mergeCell ref="B107:P108"/>
    <mergeCell ref="R107:AA108"/>
    <mergeCell ref="AC107:AM108"/>
    <mergeCell ref="AO107:AU108"/>
    <mergeCell ref="B109:M115"/>
    <mergeCell ref="N109:P121"/>
    <mergeCell ref="R109:W114"/>
    <mergeCell ref="AC109:AI114"/>
    <mergeCell ref="AO109:AU111"/>
    <mergeCell ref="X110:AA111"/>
    <mergeCell ref="AJ110:AM111"/>
    <mergeCell ref="AO112:AU121"/>
    <mergeCell ref="X113:AA114"/>
    <mergeCell ref="AJ113:AM114"/>
    <mergeCell ref="R115:AA121"/>
    <mergeCell ref="AC115:AM121"/>
    <mergeCell ref="B116:M121"/>
    <mergeCell ref="X109:AA109"/>
    <mergeCell ref="AJ109:AM109"/>
    <mergeCell ref="X112:AA112"/>
    <mergeCell ref="AJ112:AM112"/>
  </mergeCells>
  <phoneticPr fontId="282" type="noConversion"/>
  <pageMargins left="0.75" right="0.75" top="1" bottom="1" header="0.50902777777777797" footer="0.50902777777777797"/>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235"/>
  <sheetViews>
    <sheetView showGridLines="0" topLeftCell="A132" zoomScale="115" zoomScaleNormal="115" workbookViewId="0">
      <selection activeCell="M152" sqref="M152:O152"/>
    </sheetView>
  </sheetViews>
  <sheetFormatPr defaultColWidth="9" defaultRowHeight="14"/>
  <cols>
    <col min="1" max="1" width="5.81640625" style="391" customWidth="1"/>
    <col min="2" max="4" width="9" style="391" customWidth="1"/>
    <col min="5" max="5" width="8.08984375" style="391" customWidth="1"/>
    <col min="6" max="6" width="8" style="391" customWidth="1"/>
    <col min="7" max="8" width="6.6328125" style="391" customWidth="1"/>
    <col min="9" max="10" width="7.6328125" style="391" customWidth="1"/>
    <col min="11" max="13" width="9" style="391" customWidth="1"/>
    <col min="14" max="14" width="8" style="391" customWidth="1"/>
    <col min="15" max="16" width="6.6328125" style="391" customWidth="1"/>
    <col min="17" max="18" width="7.6328125" style="391" customWidth="1"/>
    <col min="19" max="21" width="9" style="391" customWidth="1"/>
    <col min="22" max="22" width="8" style="391" customWidth="1"/>
    <col min="23" max="23" width="8.08984375" style="391" customWidth="1"/>
    <col min="24" max="24" width="6.6328125" style="391" customWidth="1"/>
    <col min="25" max="25" width="8" style="391" customWidth="1"/>
    <col min="26" max="26" width="7.6328125" style="391" customWidth="1"/>
    <col min="27" max="27" width="9" style="391" customWidth="1"/>
    <col min="28" max="16384" width="9" style="391"/>
  </cols>
  <sheetData>
    <row r="1" spans="1:28" ht="21" customHeight="1"/>
    <row r="2" spans="1:28" s="27" customFormat="1" ht="12" customHeight="1">
      <c r="B2" s="3319" t="s">
        <v>6971</v>
      </c>
      <c r="C2" s="3320"/>
      <c r="D2" s="3320"/>
      <c r="E2" s="3320"/>
      <c r="F2" s="3320"/>
      <c r="G2" s="3320"/>
      <c r="H2" s="3320"/>
      <c r="I2" s="3320"/>
      <c r="J2" s="3320"/>
      <c r="K2" s="3320"/>
      <c r="L2" s="3320"/>
      <c r="M2" s="3320"/>
      <c r="N2" s="3320"/>
      <c r="O2" s="3320"/>
      <c r="P2" s="3320"/>
      <c r="Q2" s="3320"/>
      <c r="R2" s="3320"/>
      <c r="S2" s="3320"/>
      <c r="T2" s="3320"/>
      <c r="U2" s="3320"/>
      <c r="V2" s="3320"/>
      <c r="W2" s="3320"/>
      <c r="X2" s="3320"/>
      <c r="Y2" s="3320"/>
      <c r="Z2" s="3320"/>
      <c r="AA2" s="3321"/>
      <c r="AB2" s="392"/>
    </row>
    <row r="3" spans="1:28" s="27" customFormat="1" ht="13" customHeight="1">
      <c r="B3" s="3322"/>
      <c r="C3" s="3323"/>
      <c r="D3" s="3323"/>
      <c r="E3" s="3323"/>
      <c r="F3" s="3323"/>
      <c r="G3" s="3323"/>
      <c r="H3" s="3323"/>
      <c r="I3" s="3323"/>
      <c r="J3" s="3323"/>
      <c r="K3" s="3323"/>
      <c r="L3" s="3323"/>
      <c r="M3" s="3323"/>
      <c r="N3" s="3323"/>
      <c r="O3" s="3323"/>
      <c r="P3" s="3323"/>
      <c r="Q3" s="3323"/>
      <c r="R3" s="3323"/>
      <c r="S3" s="3323"/>
      <c r="T3" s="3323"/>
      <c r="U3" s="3323"/>
      <c r="V3" s="3323"/>
      <c r="W3" s="3323"/>
      <c r="X3" s="3323"/>
      <c r="Y3" s="3323"/>
      <c r="Z3" s="3323"/>
      <c r="AA3" s="3324"/>
      <c r="AB3" s="392"/>
    </row>
    <row r="4" spans="1:28" s="27" customFormat="1" ht="18" customHeight="1">
      <c r="A4" s="393"/>
      <c r="B4" s="3325"/>
      <c r="C4" s="3326"/>
      <c r="D4" s="3326"/>
      <c r="E4" s="3326"/>
      <c r="F4" s="3326"/>
      <c r="G4" s="3326"/>
      <c r="H4" s="3326"/>
      <c r="I4" s="3326"/>
      <c r="J4" s="3326"/>
      <c r="K4" s="3326"/>
      <c r="L4" s="3326"/>
      <c r="M4" s="3326"/>
      <c r="N4" s="3326"/>
      <c r="O4" s="3326"/>
      <c r="P4" s="3326"/>
      <c r="Q4" s="3326"/>
      <c r="R4" s="3326"/>
      <c r="S4" s="3326"/>
      <c r="T4" s="3326"/>
      <c r="U4" s="3326"/>
      <c r="V4" s="3326"/>
      <c r="W4" s="3326"/>
      <c r="X4" s="3326"/>
      <c r="Y4" s="3326"/>
      <c r="Z4" s="3326"/>
      <c r="AA4" s="3327"/>
      <c r="AB4" s="392"/>
    </row>
    <row r="5" spans="1:28" s="27" customFormat="1" ht="16.5">
      <c r="B5" s="394"/>
      <c r="C5" s="394"/>
      <c r="D5" s="394"/>
      <c r="E5" s="394"/>
      <c r="F5" s="394"/>
      <c r="G5" s="394"/>
      <c r="H5" s="394"/>
      <c r="I5" s="394"/>
      <c r="J5" s="394"/>
      <c r="K5" s="394"/>
      <c r="L5" s="394"/>
      <c r="M5" s="394"/>
      <c r="N5" s="394"/>
      <c r="O5" s="394"/>
      <c r="P5" s="394"/>
      <c r="Q5" s="394"/>
      <c r="R5" s="394"/>
      <c r="S5" s="394"/>
      <c r="T5" s="394"/>
      <c r="V5" s="3759"/>
      <c r="W5" s="3759"/>
      <c r="X5" s="3759"/>
      <c r="Y5" s="3759"/>
      <c r="Z5" s="3759"/>
      <c r="AA5" s="3759"/>
      <c r="AB5" s="3760"/>
    </row>
    <row r="6" spans="1:28" s="27" customFormat="1" ht="16.5">
      <c r="A6" s="3635" t="s">
        <v>6972</v>
      </c>
      <c r="B6" s="3635"/>
      <c r="C6" s="3635"/>
      <c r="D6" s="3635"/>
      <c r="E6" s="3756" t="s">
        <v>6973</v>
      </c>
      <c r="F6" s="3757"/>
      <c r="G6" s="3757"/>
      <c r="H6" s="3757"/>
      <c r="I6" s="3757"/>
      <c r="J6" s="3757"/>
      <c r="K6" s="3758"/>
      <c r="L6" s="395"/>
      <c r="M6" s="3756" t="s">
        <v>6974</v>
      </c>
      <c r="N6" s="3757"/>
      <c r="O6" s="3757"/>
      <c r="P6" s="3757"/>
      <c r="Q6" s="3757"/>
      <c r="R6" s="3757"/>
      <c r="S6" s="3758"/>
      <c r="T6" s="395"/>
      <c r="U6" s="3756" t="s">
        <v>6975</v>
      </c>
      <c r="V6" s="3757"/>
      <c r="W6" s="3757"/>
      <c r="X6" s="3757"/>
      <c r="Y6" s="3757"/>
      <c r="Z6" s="3757"/>
      <c r="AA6" s="3758"/>
    </row>
    <row r="7" spans="1:28" s="27" customFormat="1" ht="16.5">
      <c r="A7" s="3635"/>
      <c r="B7" s="3635"/>
      <c r="C7" s="3635"/>
      <c r="D7" s="3635"/>
      <c r="E7" s="396" t="s">
        <v>248</v>
      </c>
      <c r="F7" s="397" t="s">
        <v>150</v>
      </c>
      <c r="G7" s="3744" t="s">
        <v>6976</v>
      </c>
      <c r="H7" s="3744"/>
      <c r="I7" s="3744" t="s">
        <v>250</v>
      </c>
      <c r="J7" s="3744"/>
      <c r="K7" s="398" t="s">
        <v>249</v>
      </c>
      <c r="L7" s="395"/>
      <c r="M7" s="396" t="s">
        <v>248</v>
      </c>
      <c r="N7" s="397" t="s">
        <v>150</v>
      </c>
      <c r="O7" s="3744" t="s">
        <v>6976</v>
      </c>
      <c r="P7" s="3744"/>
      <c r="Q7" s="3744" t="s">
        <v>250</v>
      </c>
      <c r="R7" s="3744"/>
      <c r="S7" s="398" t="s">
        <v>249</v>
      </c>
      <c r="T7" s="395"/>
      <c r="U7" s="396" t="s">
        <v>248</v>
      </c>
      <c r="V7" s="397" t="s">
        <v>150</v>
      </c>
      <c r="W7" s="3744" t="s">
        <v>6976</v>
      </c>
      <c r="X7" s="3744"/>
      <c r="Y7" s="3744" t="s">
        <v>250</v>
      </c>
      <c r="Z7" s="3744"/>
      <c r="AA7" s="398" t="s">
        <v>249</v>
      </c>
    </row>
    <row r="8" spans="1:28" s="27" customFormat="1" ht="39.9" customHeight="1">
      <c r="A8" s="3635"/>
      <c r="B8" s="3635"/>
      <c r="C8" s="3635"/>
      <c r="D8" s="3635"/>
      <c r="E8" s="399" t="s">
        <v>6977</v>
      </c>
      <c r="F8" s="395">
        <v>0</v>
      </c>
      <c r="G8" s="1542">
        <v>0.5</v>
      </c>
      <c r="H8" s="1542"/>
      <c r="I8" s="1542" t="s">
        <v>6978</v>
      </c>
      <c r="J8" s="1542"/>
      <c r="K8" s="400">
        <v>0.5</v>
      </c>
      <c r="L8" s="395"/>
      <c r="M8" s="399" t="s">
        <v>6977</v>
      </c>
      <c r="N8" s="395">
        <v>0</v>
      </c>
      <c r="O8" s="1542">
        <v>100</v>
      </c>
      <c r="P8" s="1542"/>
      <c r="Q8" s="1542" t="s">
        <v>6978</v>
      </c>
      <c r="R8" s="1542"/>
      <c r="S8" s="400">
        <v>50</v>
      </c>
      <c r="T8" s="395"/>
      <c r="U8" s="399" t="s">
        <v>6977</v>
      </c>
      <c r="V8" s="395">
        <v>0</v>
      </c>
      <c r="W8" s="1542">
        <v>1000</v>
      </c>
      <c r="X8" s="1542"/>
      <c r="Y8" s="1542" t="s">
        <v>6978</v>
      </c>
      <c r="Z8" s="1542"/>
      <c r="AA8" s="400">
        <v>500</v>
      </c>
    </row>
    <row r="9" spans="1:28" s="27" customFormat="1" ht="39.9" customHeight="1">
      <c r="A9" s="2783" t="s">
        <v>6979</v>
      </c>
      <c r="B9" s="2783"/>
      <c r="C9" s="2783"/>
      <c r="D9" s="2802"/>
      <c r="E9" s="403" t="s">
        <v>6980</v>
      </c>
      <c r="F9" s="404" t="s">
        <v>6981</v>
      </c>
      <c r="G9" s="1495" t="s">
        <v>6982</v>
      </c>
      <c r="H9" s="1495"/>
      <c r="I9" s="1495" t="s">
        <v>6983</v>
      </c>
      <c r="J9" s="1495"/>
      <c r="K9" s="405">
        <v>2</v>
      </c>
      <c r="L9" s="395"/>
      <c r="M9" s="403" t="s">
        <v>6980</v>
      </c>
      <c r="N9" s="404" t="s">
        <v>6981</v>
      </c>
      <c r="O9" s="1495" t="s">
        <v>6984</v>
      </c>
      <c r="P9" s="1495"/>
      <c r="Q9" s="1495" t="s">
        <v>6985</v>
      </c>
      <c r="R9" s="1495"/>
      <c r="S9" s="405">
        <v>100</v>
      </c>
      <c r="T9" s="395"/>
      <c r="U9" s="403" t="s">
        <v>6980</v>
      </c>
      <c r="V9" s="404" t="s">
        <v>6981</v>
      </c>
      <c r="W9" s="1495" t="s">
        <v>6986</v>
      </c>
      <c r="X9" s="1495"/>
      <c r="Y9" s="1495" t="s">
        <v>6987</v>
      </c>
      <c r="Z9" s="1495"/>
      <c r="AA9" s="405">
        <v>2000</v>
      </c>
    </row>
    <row r="10" spans="1:28" s="27" customFormat="1" ht="39.9" customHeight="1">
      <c r="A10" s="2783"/>
      <c r="B10" s="2783"/>
      <c r="C10" s="2783"/>
      <c r="D10" s="2802"/>
      <c r="E10" s="399" t="s">
        <v>6988</v>
      </c>
      <c r="F10" s="395" t="s">
        <v>6989</v>
      </c>
      <c r="G10" s="2781" t="s">
        <v>6990</v>
      </c>
      <c r="H10" s="2781"/>
      <c r="I10" s="2781" t="s">
        <v>6991</v>
      </c>
      <c r="J10" s="2781"/>
      <c r="K10" s="400">
        <v>10</v>
      </c>
      <c r="L10" s="395"/>
      <c r="M10" s="399" t="s">
        <v>6988</v>
      </c>
      <c r="N10" s="395" t="s">
        <v>6989</v>
      </c>
      <c r="O10" s="2781" t="s">
        <v>6992</v>
      </c>
      <c r="P10" s="2781"/>
      <c r="Q10" s="2781" t="s">
        <v>6993</v>
      </c>
      <c r="R10" s="2781"/>
      <c r="S10" s="400">
        <v>1000</v>
      </c>
      <c r="T10" s="395"/>
      <c r="U10" s="399" t="s">
        <v>6988</v>
      </c>
      <c r="V10" s="395" t="s">
        <v>6994</v>
      </c>
      <c r="W10" s="2781" t="s">
        <v>6995</v>
      </c>
      <c r="X10" s="2781"/>
      <c r="Y10" s="2781" t="s">
        <v>6996</v>
      </c>
      <c r="Z10" s="2781"/>
      <c r="AA10" s="400">
        <v>25000</v>
      </c>
    </row>
    <row r="11" spans="1:28" s="27" customFormat="1" ht="39.9" customHeight="1">
      <c r="A11" s="2783"/>
      <c r="B11" s="2783"/>
      <c r="C11" s="2783"/>
      <c r="D11" s="2802"/>
      <c r="E11" s="403" t="s">
        <v>6997</v>
      </c>
      <c r="F11" s="404" t="s">
        <v>6998</v>
      </c>
      <c r="G11" s="1495" t="s">
        <v>6999</v>
      </c>
      <c r="H11" s="1495"/>
      <c r="I11" s="1495" t="s">
        <v>7000</v>
      </c>
      <c r="J11" s="1495"/>
      <c r="K11" s="405">
        <v>50</v>
      </c>
      <c r="L11" s="395"/>
      <c r="M11" s="403" t="s">
        <v>6997</v>
      </c>
      <c r="N11" s="404" t="s">
        <v>6998</v>
      </c>
      <c r="O11" s="1495" t="s">
        <v>7000</v>
      </c>
      <c r="P11" s="1495"/>
      <c r="Q11" s="1495" t="s">
        <v>7001</v>
      </c>
      <c r="R11" s="1495"/>
      <c r="S11" s="405">
        <v>5000</v>
      </c>
      <c r="T11" s="395"/>
      <c r="U11" s="403" t="s">
        <v>6997</v>
      </c>
      <c r="V11" s="404" t="s">
        <v>6998</v>
      </c>
      <c r="W11" s="1495" t="s">
        <v>7002</v>
      </c>
      <c r="X11" s="1495"/>
      <c r="Y11" s="1495" t="s">
        <v>7003</v>
      </c>
      <c r="Z11" s="1495"/>
      <c r="AA11" s="405" t="s">
        <v>7004</v>
      </c>
    </row>
    <row r="12" spans="1:28" s="27" customFormat="1" ht="39.9" customHeight="1">
      <c r="A12" s="3408" t="s">
        <v>7005</v>
      </c>
      <c r="B12" s="3408"/>
      <c r="C12" s="3408"/>
      <c r="D12" s="3408"/>
      <c r="E12" s="399" t="s">
        <v>7006</v>
      </c>
      <c r="F12" s="395" t="s">
        <v>7007</v>
      </c>
      <c r="G12" s="2781" t="s">
        <v>7008</v>
      </c>
      <c r="H12" s="2781"/>
      <c r="I12" s="2781" t="s">
        <v>6986</v>
      </c>
      <c r="J12" s="2781"/>
      <c r="K12" s="400">
        <v>250</v>
      </c>
      <c r="L12" s="395"/>
      <c r="M12" s="399" t="s">
        <v>7006</v>
      </c>
      <c r="N12" s="395" t="s">
        <v>7007</v>
      </c>
      <c r="O12" s="2781" t="s">
        <v>7009</v>
      </c>
      <c r="P12" s="2781"/>
      <c r="Q12" s="2781" t="s">
        <v>7010</v>
      </c>
      <c r="R12" s="2781"/>
      <c r="S12" s="400" t="s">
        <v>7011</v>
      </c>
      <c r="T12" s="395"/>
      <c r="U12" s="399" t="s">
        <v>7006</v>
      </c>
      <c r="V12" s="395" t="s">
        <v>7007</v>
      </c>
      <c r="W12" s="2781" t="s">
        <v>7012</v>
      </c>
      <c r="X12" s="2781"/>
      <c r="Y12" s="2781" t="s">
        <v>7013</v>
      </c>
      <c r="Z12" s="2781"/>
      <c r="AA12" s="400" t="s">
        <v>7014</v>
      </c>
    </row>
    <row r="13" spans="1:28" s="27" customFormat="1" ht="39.9" customHeight="1">
      <c r="A13" s="3408"/>
      <c r="B13" s="3408"/>
      <c r="C13" s="3408"/>
      <c r="D13" s="3408"/>
      <c r="E13" s="406" t="s">
        <v>7015</v>
      </c>
      <c r="F13" s="407">
        <v>99</v>
      </c>
      <c r="G13" s="3755" t="s">
        <v>7016</v>
      </c>
      <c r="H13" s="3755"/>
      <c r="I13" s="3755" t="s">
        <v>7017</v>
      </c>
      <c r="J13" s="3755"/>
      <c r="K13" s="408">
        <v>5000</v>
      </c>
      <c r="L13" s="395"/>
      <c r="M13" s="406" t="s">
        <v>7015</v>
      </c>
      <c r="N13" s="407">
        <v>99</v>
      </c>
      <c r="O13" s="3755" t="s">
        <v>7018</v>
      </c>
      <c r="P13" s="3755"/>
      <c r="Q13" s="3755" t="s">
        <v>7019</v>
      </c>
      <c r="R13" s="3755"/>
      <c r="S13" s="408" t="s">
        <v>7004</v>
      </c>
      <c r="T13" s="395"/>
      <c r="U13" s="406" t="s">
        <v>7015</v>
      </c>
      <c r="V13" s="407">
        <v>99</v>
      </c>
      <c r="W13" s="3755" t="s">
        <v>7020</v>
      </c>
      <c r="X13" s="3755"/>
      <c r="Y13" s="3755" t="s">
        <v>7021</v>
      </c>
      <c r="Z13" s="3755"/>
      <c r="AA13" s="408" t="s">
        <v>7022</v>
      </c>
    </row>
    <row r="14" spans="1:28" s="27" customFormat="1" ht="14.15" customHeight="1">
      <c r="B14" s="11"/>
      <c r="C14" s="15"/>
      <c r="D14" s="409"/>
      <c r="E14" s="395"/>
      <c r="F14" s="395"/>
      <c r="G14" s="395"/>
      <c r="H14" s="395"/>
      <c r="I14" s="395"/>
      <c r="J14" s="395"/>
      <c r="K14" s="395"/>
      <c r="L14" s="395"/>
      <c r="M14" s="410"/>
      <c r="N14" s="395"/>
      <c r="O14" s="395"/>
      <c r="P14" s="395"/>
      <c r="Q14" s="395"/>
      <c r="R14" s="395"/>
      <c r="S14" s="395"/>
      <c r="T14" s="395"/>
      <c r="U14" s="410"/>
      <c r="V14" s="395"/>
      <c r="W14" s="395"/>
      <c r="X14" s="395"/>
      <c r="Y14" s="395"/>
      <c r="Z14" s="395"/>
      <c r="AA14" s="395"/>
    </row>
    <row r="15" spans="1:28" s="27" customFormat="1" ht="14.15" customHeight="1">
      <c r="B15" s="11"/>
      <c r="C15" s="15"/>
      <c r="D15" s="409"/>
      <c r="E15" s="3756" t="s">
        <v>7023</v>
      </c>
      <c r="F15" s="3757"/>
      <c r="G15" s="3757"/>
      <c r="H15" s="3757"/>
      <c r="I15" s="3757"/>
      <c r="J15" s="3757"/>
      <c r="K15" s="3758"/>
      <c r="L15" s="395"/>
      <c r="M15" s="3756" t="s">
        <v>7024</v>
      </c>
      <c r="N15" s="3757"/>
      <c r="O15" s="3757"/>
      <c r="P15" s="3757"/>
      <c r="Q15" s="3757"/>
      <c r="R15" s="3757"/>
      <c r="S15" s="3758"/>
      <c r="T15" s="395"/>
      <c r="U15" s="3756" t="s">
        <v>7025</v>
      </c>
      <c r="V15" s="3757"/>
      <c r="W15" s="3757"/>
      <c r="X15" s="3757"/>
      <c r="Y15" s="3757"/>
      <c r="Z15" s="3757"/>
      <c r="AA15" s="3758"/>
    </row>
    <row r="16" spans="1:28" s="27" customFormat="1" ht="19">
      <c r="B16" s="11"/>
      <c r="C16" s="15"/>
      <c r="D16" s="409"/>
      <c r="E16" s="396" t="s">
        <v>248</v>
      </c>
      <c r="F16" s="397" t="s">
        <v>150</v>
      </c>
      <c r="G16" s="3744" t="s">
        <v>6976</v>
      </c>
      <c r="H16" s="3744"/>
      <c r="I16" s="3744" t="s">
        <v>250</v>
      </c>
      <c r="J16" s="3744"/>
      <c r="K16" s="398" t="s">
        <v>249</v>
      </c>
      <c r="L16" s="395"/>
      <c r="M16" s="396" t="s">
        <v>248</v>
      </c>
      <c r="N16" s="397" t="s">
        <v>150</v>
      </c>
      <c r="O16" s="3744" t="s">
        <v>6976</v>
      </c>
      <c r="P16" s="3744"/>
      <c r="Q16" s="3744" t="s">
        <v>250</v>
      </c>
      <c r="R16" s="3744"/>
      <c r="S16" s="398" t="s">
        <v>249</v>
      </c>
      <c r="T16" s="395"/>
      <c r="U16" s="396" t="s">
        <v>248</v>
      </c>
      <c r="V16" s="397" t="s">
        <v>150</v>
      </c>
      <c r="W16" s="3744" t="s">
        <v>6976</v>
      </c>
      <c r="X16" s="3744"/>
      <c r="Y16" s="3744" t="s">
        <v>250</v>
      </c>
      <c r="Z16" s="3744"/>
      <c r="AA16" s="398" t="s">
        <v>249</v>
      </c>
    </row>
    <row r="17" spans="2:28" s="27" customFormat="1" ht="39.9" customHeight="1">
      <c r="B17" s="11"/>
      <c r="C17" s="15"/>
      <c r="D17" s="409"/>
      <c r="E17" s="399" t="s">
        <v>6977</v>
      </c>
      <c r="F17" s="395">
        <v>0</v>
      </c>
      <c r="G17" s="1542">
        <v>10</v>
      </c>
      <c r="H17" s="1542"/>
      <c r="I17" s="1542" t="s">
        <v>6978</v>
      </c>
      <c r="J17" s="1542"/>
      <c r="K17" s="400">
        <v>10</v>
      </c>
      <c r="L17" s="395"/>
      <c r="M17" s="399" t="s">
        <v>6977</v>
      </c>
      <c r="N17" s="395">
        <v>0</v>
      </c>
      <c r="O17" s="1542" t="s">
        <v>7026</v>
      </c>
      <c r="P17" s="1542"/>
      <c r="Q17" s="1542" t="s">
        <v>6978</v>
      </c>
      <c r="R17" s="1542"/>
      <c r="S17" s="400" t="s">
        <v>7027</v>
      </c>
      <c r="T17" s="395"/>
      <c r="U17" s="399" t="s">
        <v>6977</v>
      </c>
      <c r="V17" s="395">
        <v>0</v>
      </c>
      <c r="W17" s="1542">
        <v>10</v>
      </c>
      <c r="X17" s="1542"/>
      <c r="Y17" s="1542" t="s">
        <v>6978</v>
      </c>
      <c r="Z17" s="1542"/>
      <c r="AA17" s="400">
        <v>10</v>
      </c>
    </row>
    <row r="18" spans="2:28" s="27" customFormat="1" ht="39.9" customHeight="1">
      <c r="B18" s="11"/>
      <c r="C18" s="15"/>
      <c r="D18" s="409"/>
      <c r="E18" s="403" t="s">
        <v>6980</v>
      </c>
      <c r="F18" s="404" t="s">
        <v>6981</v>
      </c>
      <c r="G18" s="1495" t="s">
        <v>7028</v>
      </c>
      <c r="H18" s="1495"/>
      <c r="I18" s="1495" t="s">
        <v>7029</v>
      </c>
      <c r="J18" s="1495"/>
      <c r="K18" s="405">
        <v>40</v>
      </c>
      <c r="L18" s="395"/>
      <c r="M18" s="403" t="s">
        <v>6980</v>
      </c>
      <c r="N18" s="404" t="s">
        <v>6981</v>
      </c>
      <c r="O18" s="1495" t="s">
        <v>7030</v>
      </c>
      <c r="P18" s="1495"/>
      <c r="Q18" s="1495" t="s">
        <v>7031</v>
      </c>
      <c r="R18" s="1495"/>
      <c r="S18" s="405" t="s">
        <v>7032</v>
      </c>
      <c r="T18" s="395"/>
      <c r="U18" s="403" t="s">
        <v>6980</v>
      </c>
      <c r="V18" s="404" t="s">
        <v>6981</v>
      </c>
      <c r="W18" s="1495" t="s">
        <v>7033</v>
      </c>
      <c r="X18" s="1495"/>
      <c r="Y18" s="1495" t="s">
        <v>7034</v>
      </c>
      <c r="Z18" s="1495"/>
      <c r="AA18" s="405">
        <v>35</v>
      </c>
    </row>
    <row r="19" spans="2:28" s="27" customFormat="1" ht="39.9" customHeight="1">
      <c r="B19" s="11"/>
      <c r="C19" s="15"/>
      <c r="D19" s="409"/>
      <c r="E19" s="399" t="s">
        <v>6988</v>
      </c>
      <c r="F19" s="395" t="s">
        <v>6989</v>
      </c>
      <c r="G19" s="2781" t="s">
        <v>7035</v>
      </c>
      <c r="H19" s="2781"/>
      <c r="I19" s="2781" t="s">
        <v>6985</v>
      </c>
      <c r="J19" s="2781"/>
      <c r="K19" s="400">
        <v>200</v>
      </c>
      <c r="L19" s="395"/>
      <c r="M19" s="399" t="s">
        <v>6988</v>
      </c>
      <c r="N19" s="395" t="s">
        <v>6989</v>
      </c>
      <c r="O19" s="2781" t="s">
        <v>7031</v>
      </c>
      <c r="P19" s="2781"/>
      <c r="Q19" s="2781" t="s">
        <v>7008</v>
      </c>
      <c r="R19" s="2781"/>
      <c r="S19" s="411" t="s">
        <v>7036</v>
      </c>
      <c r="T19" s="395"/>
      <c r="U19" s="399" t="s">
        <v>6988</v>
      </c>
      <c r="V19" s="395" t="s">
        <v>6989</v>
      </c>
      <c r="W19" s="2781" t="s">
        <v>7037</v>
      </c>
      <c r="X19" s="2781"/>
      <c r="Y19" s="2781" t="s">
        <v>7000</v>
      </c>
      <c r="Z19" s="2781"/>
      <c r="AA19" s="400">
        <v>140</v>
      </c>
    </row>
    <row r="20" spans="2:28" s="27" customFormat="1" ht="39.9" customHeight="1">
      <c r="B20" s="11"/>
      <c r="C20" s="15"/>
      <c r="D20" s="409"/>
      <c r="E20" s="403" t="s">
        <v>6997</v>
      </c>
      <c r="F20" s="404" t="s">
        <v>6998</v>
      </c>
      <c r="G20" s="1495" t="s">
        <v>6984</v>
      </c>
      <c r="H20" s="1495"/>
      <c r="I20" s="1495" t="s">
        <v>7038</v>
      </c>
      <c r="J20" s="1495"/>
      <c r="K20" s="405">
        <v>1000</v>
      </c>
      <c r="L20" s="395"/>
      <c r="M20" s="403" t="s">
        <v>6997</v>
      </c>
      <c r="N20" s="404" t="s">
        <v>6998</v>
      </c>
      <c r="O20" s="1495" t="s">
        <v>7039</v>
      </c>
      <c r="P20" s="1495"/>
      <c r="Q20" s="1495" t="s">
        <v>6992</v>
      </c>
      <c r="R20" s="1495"/>
      <c r="S20" s="405">
        <v>15</v>
      </c>
      <c r="T20" s="395"/>
      <c r="U20" s="403" t="s">
        <v>6997</v>
      </c>
      <c r="V20" s="404" t="s">
        <v>6998</v>
      </c>
      <c r="W20" s="1495" t="s">
        <v>7040</v>
      </c>
      <c r="X20" s="1495"/>
      <c r="Y20" s="1495" t="s">
        <v>7041</v>
      </c>
      <c r="Z20" s="1495"/>
      <c r="AA20" s="405">
        <v>700</v>
      </c>
    </row>
    <row r="21" spans="2:28" s="27" customFormat="1" ht="39.9" customHeight="1">
      <c r="B21" s="11"/>
      <c r="C21" s="15"/>
      <c r="D21" s="409"/>
      <c r="E21" s="399" t="s">
        <v>7006</v>
      </c>
      <c r="F21" s="395" t="s">
        <v>7007</v>
      </c>
      <c r="G21" s="2781" t="s">
        <v>7042</v>
      </c>
      <c r="H21" s="2781"/>
      <c r="I21" s="2781" t="s">
        <v>7043</v>
      </c>
      <c r="J21" s="2781"/>
      <c r="K21" s="400">
        <v>5000</v>
      </c>
      <c r="L21" s="395"/>
      <c r="M21" s="399" t="s">
        <v>7006</v>
      </c>
      <c r="N21" s="395" t="s">
        <v>7007</v>
      </c>
      <c r="O21" s="2781" t="s">
        <v>6991</v>
      </c>
      <c r="P21" s="2781"/>
      <c r="Q21" s="2781" t="s">
        <v>7000</v>
      </c>
      <c r="R21" s="2781"/>
      <c r="S21" s="400">
        <v>50</v>
      </c>
      <c r="T21" s="395"/>
      <c r="U21" s="399" t="s">
        <v>7006</v>
      </c>
      <c r="V21" s="395" t="s">
        <v>7007</v>
      </c>
      <c r="W21" s="2781" t="s">
        <v>7044</v>
      </c>
      <c r="X21" s="2781"/>
      <c r="Y21" s="2781" t="s">
        <v>7045</v>
      </c>
      <c r="Z21" s="2781"/>
      <c r="AA21" s="400">
        <v>4000</v>
      </c>
    </row>
    <row r="22" spans="2:28" s="27" customFormat="1" ht="39.9" customHeight="1">
      <c r="B22" s="11"/>
      <c r="C22" s="15"/>
      <c r="D22" s="409"/>
      <c r="E22" s="406" t="s">
        <v>7015</v>
      </c>
      <c r="F22" s="407">
        <v>99</v>
      </c>
      <c r="G22" s="3755" t="s">
        <v>7018</v>
      </c>
      <c r="H22" s="3755"/>
      <c r="I22" s="3755" t="s">
        <v>7046</v>
      </c>
      <c r="J22" s="3755"/>
      <c r="K22" s="408" t="s">
        <v>7004</v>
      </c>
      <c r="L22" s="395"/>
      <c r="M22" s="406" t="s">
        <v>7015</v>
      </c>
      <c r="N22" s="407">
        <v>99</v>
      </c>
      <c r="O22" s="3755" t="s">
        <v>7047</v>
      </c>
      <c r="P22" s="3755"/>
      <c r="Q22" s="3755" t="s">
        <v>7048</v>
      </c>
      <c r="R22" s="3755"/>
      <c r="S22" s="408">
        <v>250</v>
      </c>
      <c r="T22" s="395"/>
      <c r="U22" s="406" t="s">
        <v>7015</v>
      </c>
      <c r="V22" s="407">
        <v>99</v>
      </c>
      <c r="W22" s="3755" t="s">
        <v>7018</v>
      </c>
      <c r="X22" s="3755"/>
      <c r="Y22" s="3755" t="s">
        <v>7049</v>
      </c>
      <c r="Z22" s="3755"/>
      <c r="AA22" s="408" t="s">
        <v>7050</v>
      </c>
    </row>
    <row r="23" spans="2:28" s="27" customFormat="1" ht="16.5">
      <c r="E23" s="395"/>
      <c r="F23" s="395"/>
      <c r="G23" s="395"/>
      <c r="H23" s="395"/>
      <c r="I23" s="395"/>
      <c r="J23" s="395"/>
      <c r="K23" s="395"/>
      <c r="L23" s="395"/>
      <c r="M23" s="1542" t="s">
        <v>7051</v>
      </c>
      <c r="N23" s="1542"/>
      <c r="O23" s="1542"/>
      <c r="P23" s="1542"/>
      <c r="Q23" s="1542"/>
      <c r="R23" s="1542"/>
      <c r="S23" s="1542"/>
      <c r="U23" s="395"/>
      <c r="V23" s="395"/>
      <c r="W23" s="395"/>
      <c r="X23" s="395"/>
      <c r="Y23" s="395"/>
      <c r="Z23" s="395"/>
      <c r="AA23" s="395"/>
      <c r="AB23" s="395"/>
    </row>
    <row r="24" spans="2:28" s="27" customFormat="1" ht="16.5">
      <c r="E24" s="395"/>
      <c r="F24" s="395"/>
      <c r="G24" s="395"/>
      <c r="H24" s="395"/>
      <c r="I24" s="395"/>
      <c r="J24" s="395"/>
      <c r="K24" s="395"/>
      <c r="L24" s="395"/>
      <c r="M24" s="395"/>
      <c r="U24" s="395"/>
      <c r="V24" s="395"/>
      <c r="W24" s="395"/>
      <c r="X24" s="395"/>
      <c r="Y24" s="395"/>
      <c r="Z24" s="395"/>
      <c r="AA24" s="395"/>
      <c r="AB24" s="395"/>
    </row>
    <row r="25" spans="2:28" s="27" customFormat="1" ht="16.5">
      <c r="E25" s="395"/>
      <c r="F25" s="3749" t="s">
        <v>6977</v>
      </c>
      <c r="G25" s="3750"/>
      <c r="H25" s="3750"/>
      <c r="I25" s="3750"/>
      <c r="J25" s="3751"/>
      <c r="K25" s="395"/>
      <c r="L25" s="395"/>
      <c r="M25" s="395"/>
      <c r="N25" s="3752" t="s">
        <v>7052</v>
      </c>
      <c r="O25" s="3753"/>
      <c r="P25" s="3753"/>
      <c r="Q25" s="3753"/>
      <c r="R25" s="3754"/>
      <c r="S25" s="412"/>
      <c r="T25" s="395"/>
      <c r="U25" s="395"/>
      <c r="V25" s="395"/>
      <c r="W25" s="412"/>
      <c r="X25" s="412"/>
      <c r="Y25" s="412"/>
      <c r="Z25" s="412"/>
      <c r="AA25" s="412"/>
      <c r="AB25" s="395"/>
    </row>
    <row r="26" spans="2:28" s="27" customFormat="1" ht="63.15" customHeight="1">
      <c r="E26" s="395"/>
      <c r="F26" s="2777" t="s">
        <v>7053</v>
      </c>
      <c r="G26" s="2783"/>
      <c r="H26" s="2783"/>
      <c r="I26" s="2783"/>
      <c r="J26" s="2802"/>
      <c r="K26" s="395"/>
      <c r="L26" s="395"/>
      <c r="M26" s="395"/>
      <c r="N26" s="2777" t="s">
        <v>7054</v>
      </c>
      <c r="O26" s="2783"/>
      <c r="P26" s="2783"/>
      <c r="Q26" s="2783"/>
      <c r="R26" s="2802"/>
      <c r="S26" s="414"/>
      <c r="T26" s="395"/>
      <c r="U26" s="395"/>
      <c r="V26" s="395"/>
      <c r="W26" s="414"/>
      <c r="X26" s="414"/>
      <c r="Y26" s="414"/>
      <c r="Z26" s="414"/>
      <c r="AA26" s="414"/>
      <c r="AB26" s="395"/>
    </row>
    <row r="27" spans="2:28" s="27" customFormat="1" ht="16.5">
      <c r="B27" s="415"/>
      <c r="E27" s="395"/>
      <c r="F27" s="3743" t="s">
        <v>7055</v>
      </c>
      <c r="G27" s="3744"/>
      <c r="H27" s="3744"/>
      <c r="I27" s="3744"/>
      <c r="J27" s="3745"/>
      <c r="K27" s="395"/>
      <c r="L27" s="395"/>
      <c r="M27" s="395"/>
      <c r="N27" s="3743" t="s">
        <v>7056</v>
      </c>
      <c r="O27" s="3744"/>
      <c r="P27" s="3744"/>
      <c r="Q27" s="3744"/>
      <c r="R27" s="3745"/>
      <c r="S27" s="412"/>
      <c r="T27" s="395"/>
      <c r="U27" s="395"/>
      <c r="V27" s="395"/>
      <c r="W27" s="412"/>
      <c r="X27" s="412"/>
      <c r="Y27" s="412"/>
      <c r="Z27" s="412"/>
      <c r="AA27" s="412"/>
      <c r="AB27" s="395"/>
    </row>
    <row r="28" spans="2:28" s="27" customFormat="1" ht="87" customHeight="1">
      <c r="E28" s="395"/>
      <c r="F28" s="2777" t="s">
        <v>7057</v>
      </c>
      <c r="G28" s="2783"/>
      <c r="H28" s="2783"/>
      <c r="I28" s="2783"/>
      <c r="J28" s="2802"/>
      <c r="K28" s="395"/>
      <c r="L28" s="395"/>
      <c r="M28" s="395"/>
      <c r="N28" s="2777" t="s">
        <v>7058</v>
      </c>
      <c r="O28" s="2783"/>
      <c r="P28" s="2783"/>
      <c r="Q28" s="2783"/>
      <c r="R28" s="2802"/>
      <c r="S28" s="414"/>
      <c r="T28" s="395"/>
      <c r="U28" s="395"/>
      <c r="V28" s="395"/>
      <c r="W28" s="414"/>
      <c r="X28" s="414"/>
      <c r="Y28" s="414"/>
      <c r="Z28" s="414"/>
      <c r="AA28" s="414"/>
      <c r="AB28" s="395"/>
    </row>
    <row r="29" spans="2:28" s="27" customFormat="1" ht="16.5">
      <c r="E29" s="395"/>
      <c r="F29" s="3743" t="s">
        <v>6988</v>
      </c>
      <c r="G29" s="3744"/>
      <c r="H29" s="3744"/>
      <c r="I29" s="3744"/>
      <c r="J29" s="3745"/>
      <c r="K29" s="395"/>
      <c r="L29" s="395"/>
      <c r="M29" s="395"/>
      <c r="N29" s="3743" t="s">
        <v>7059</v>
      </c>
      <c r="O29" s="3744"/>
      <c r="P29" s="3744"/>
      <c r="Q29" s="3744"/>
      <c r="R29" s="3745"/>
      <c r="S29" s="412"/>
      <c r="T29" s="395"/>
      <c r="U29" s="395"/>
      <c r="V29" s="395"/>
      <c r="W29" s="412"/>
      <c r="X29" s="412"/>
      <c r="Y29" s="412"/>
      <c r="Z29" s="412"/>
      <c r="AA29" s="412"/>
      <c r="AB29" s="395"/>
    </row>
    <row r="30" spans="2:28" s="27" customFormat="1" ht="50.15" customHeight="1">
      <c r="E30" s="395"/>
      <c r="F30" s="2777" t="s">
        <v>7060</v>
      </c>
      <c r="G30" s="2783"/>
      <c r="H30" s="2783"/>
      <c r="I30" s="2783"/>
      <c r="J30" s="2802"/>
      <c r="K30" s="395"/>
      <c r="L30" s="395"/>
      <c r="M30" s="395"/>
      <c r="N30" s="2777" t="s">
        <v>7061</v>
      </c>
      <c r="O30" s="2783"/>
      <c r="P30" s="2783"/>
      <c r="Q30" s="2783"/>
      <c r="R30" s="2802"/>
      <c r="S30" s="414"/>
      <c r="T30" s="395"/>
      <c r="U30" s="395"/>
      <c r="V30" s="395"/>
      <c r="W30" s="414"/>
      <c r="X30" s="414"/>
      <c r="Y30" s="414"/>
      <c r="Z30" s="414"/>
      <c r="AA30" s="414"/>
      <c r="AB30" s="395"/>
    </row>
    <row r="31" spans="2:28" s="27" customFormat="1" ht="16.5">
      <c r="E31" s="395"/>
      <c r="F31" s="3743" t="s">
        <v>6997</v>
      </c>
      <c r="G31" s="3744"/>
      <c r="H31" s="3744"/>
      <c r="I31" s="3744"/>
      <c r="J31" s="3745"/>
      <c r="K31" s="395"/>
      <c r="L31" s="395"/>
      <c r="M31" s="395"/>
      <c r="N31" s="3743" t="s">
        <v>7062</v>
      </c>
      <c r="O31" s="3744"/>
      <c r="P31" s="3744"/>
      <c r="Q31" s="3744"/>
      <c r="R31" s="3745"/>
      <c r="S31" s="412"/>
      <c r="T31" s="395"/>
      <c r="U31" s="395"/>
      <c r="V31" s="395"/>
      <c r="W31" s="412"/>
      <c r="X31" s="412"/>
      <c r="Y31" s="412"/>
      <c r="Z31" s="412"/>
      <c r="AA31" s="412"/>
      <c r="AB31" s="395"/>
    </row>
    <row r="32" spans="2:28" s="27" customFormat="1" ht="50.15" customHeight="1">
      <c r="E32" s="395"/>
      <c r="F32" s="2777" t="s">
        <v>7063</v>
      </c>
      <c r="G32" s="2783"/>
      <c r="H32" s="2783"/>
      <c r="I32" s="2783"/>
      <c r="J32" s="2802"/>
      <c r="K32" s="395"/>
      <c r="L32" s="395"/>
      <c r="M32" s="395"/>
      <c r="N32" s="2777" t="s">
        <v>7064</v>
      </c>
      <c r="O32" s="2783"/>
      <c r="P32" s="2783"/>
      <c r="Q32" s="2783"/>
      <c r="R32" s="2802"/>
      <c r="S32" s="414"/>
      <c r="T32" s="395"/>
      <c r="U32" s="395"/>
      <c r="V32" s="395"/>
      <c r="W32" s="414"/>
      <c r="X32" s="414"/>
      <c r="Y32" s="414"/>
      <c r="Z32" s="414"/>
      <c r="AA32" s="414"/>
      <c r="AB32" s="395"/>
    </row>
    <row r="33" spans="2:29" s="27" customFormat="1" ht="16.5">
      <c r="E33" s="395"/>
      <c r="F33" s="3743" t="s">
        <v>7006</v>
      </c>
      <c r="G33" s="3744"/>
      <c r="H33" s="3744"/>
      <c r="I33" s="3744"/>
      <c r="J33" s="3745"/>
      <c r="K33" s="395"/>
      <c r="L33" s="395"/>
      <c r="M33" s="395"/>
      <c r="N33" s="2777"/>
      <c r="O33" s="2783"/>
      <c r="P33" s="2783"/>
      <c r="Q33" s="2783"/>
      <c r="R33" s="2802"/>
      <c r="S33" s="412"/>
      <c r="T33" s="395"/>
      <c r="U33" s="395"/>
      <c r="V33" s="395"/>
      <c r="W33" s="412"/>
      <c r="X33" s="412"/>
      <c r="Y33" s="412"/>
      <c r="Z33" s="412"/>
      <c r="AA33" s="412"/>
      <c r="AB33" s="395"/>
    </row>
    <row r="34" spans="2:29" s="27" customFormat="1" ht="50.15" customHeight="1">
      <c r="E34" s="395"/>
      <c r="F34" s="2777" t="s">
        <v>7065</v>
      </c>
      <c r="G34" s="2783"/>
      <c r="H34" s="2783"/>
      <c r="I34" s="2783"/>
      <c r="J34" s="2802"/>
      <c r="K34" s="395"/>
      <c r="L34" s="395"/>
      <c r="M34" s="395"/>
      <c r="N34" s="2777"/>
      <c r="O34" s="2783"/>
      <c r="P34" s="2783"/>
      <c r="Q34" s="2783"/>
      <c r="R34" s="2802"/>
      <c r="S34" s="414"/>
      <c r="T34" s="395"/>
      <c r="U34" s="395"/>
      <c r="V34" s="395"/>
      <c r="W34" s="414"/>
      <c r="X34" s="414"/>
      <c r="Y34" s="414"/>
      <c r="Z34" s="414"/>
      <c r="AA34" s="414"/>
      <c r="AB34" s="395"/>
    </row>
    <row r="35" spans="2:29" s="27" customFormat="1" ht="16.5">
      <c r="B35" s="415"/>
      <c r="E35" s="395"/>
      <c r="F35" s="3743" t="s">
        <v>7066</v>
      </c>
      <c r="G35" s="3744"/>
      <c r="H35" s="3744"/>
      <c r="I35" s="3744"/>
      <c r="J35" s="3745"/>
      <c r="K35" s="395"/>
      <c r="L35" s="395"/>
      <c r="M35" s="395"/>
      <c r="N35" s="3743" t="s">
        <v>7067</v>
      </c>
      <c r="O35" s="3744"/>
      <c r="P35" s="3744"/>
      <c r="Q35" s="3744"/>
      <c r="R35" s="3745"/>
      <c r="S35" s="412"/>
      <c r="T35" s="395"/>
      <c r="U35" s="395"/>
      <c r="V35" s="395"/>
      <c r="W35" s="412"/>
      <c r="X35" s="412"/>
      <c r="Y35" s="412"/>
      <c r="Z35" s="412"/>
      <c r="AA35" s="412"/>
      <c r="AB35" s="395"/>
    </row>
    <row r="36" spans="2:29" s="27" customFormat="1" ht="50.15" customHeight="1">
      <c r="E36" s="395"/>
      <c r="F36" s="3746" t="s">
        <v>7068</v>
      </c>
      <c r="G36" s="2803"/>
      <c r="H36" s="2803"/>
      <c r="I36" s="2803"/>
      <c r="J36" s="2804"/>
      <c r="K36" s="395"/>
      <c r="L36" s="395"/>
      <c r="M36" s="395"/>
      <c r="N36" s="3746" t="s">
        <v>7069</v>
      </c>
      <c r="O36" s="2803"/>
      <c r="P36" s="2803"/>
      <c r="Q36" s="2803"/>
      <c r="R36" s="2804"/>
      <c r="S36" s="414"/>
      <c r="T36" s="395"/>
      <c r="U36" s="395"/>
      <c r="V36" s="395"/>
      <c r="W36" s="414"/>
      <c r="X36" s="414"/>
      <c r="Y36" s="414"/>
      <c r="Z36" s="414"/>
      <c r="AA36" s="414"/>
      <c r="AB36" s="395"/>
    </row>
    <row r="39" spans="2:29" ht="15" customHeight="1">
      <c r="B39" s="3319" t="s">
        <v>7070</v>
      </c>
      <c r="C39" s="3320"/>
      <c r="D39" s="3320"/>
      <c r="E39" s="3320"/>
      <c r="F39" s="3320"/>
      <c r="G39" s="3320"/>
      <c r="H39" s="3320"/>
      <c r="I39" s="3320"/>
      <c r="J39" s="3320"/>
      <c r="K39" s="3320"/>
      <c r="L39" s="3320"/>
      <c r="M39" s="3320"/>
      <c r="N39" s="3320"/>
      <c r="O39" s="3320"/>
      <c r="P39" s="3320"/>
      <c r="Q39" s="3320"/>
      <c r="R39" s="3320"/>
      <c r="S39" s="3320"/>
      <c r="T39" s="3320"/>
      <c r="U39" s="3320"/>
      <c r="V39" s="3320"/>
      <c r="W39" s="3320"/>
      <c r="X39" s="3320"/>
      <c r="Y39" s="3320"/>
      <c r="Z39" s="3320"/>
      <c r="AA39" s="3321"/>
      <c r="AB39" s="418"/>
    </row>
    <row r="40" spans="2:29" ht="15" customHeight="1">
      <c r="B40" s="3322"/>
      <c r="C40" s="3323"/>
      <c r="D40" s="3323"/>
      <c r="E40" s="3323"/>
      <c r="F40" s="3323"/>
      <c r="G40" s="3323"/>
      <c r="H40" s="3323"/>
      <c r="I40" s="3323"/>
      <c r="J40" s="3323"/>
      <c r="K40" s="3323"/>
      <c r="L40" s="3323"/>
      <c r="M40" s="3323"/>
      <c r="N40" s="3323"/>
      <c r="O40" s="3323"/>
      <c r="P40" s="3323"/>
      <c r="Q40" s="3323"/>
      <c r="R40" s="3323"/>
      <c r="S40" s="3323"/>
      <c r="T40" s="3323"/>
      <c r="U40" s="3323"/>
      <c r="V40" s="3323"/>
      <c r="W40" s="3323"/>
      <c r="X40" s="3323"/>
      <c r="Y40" s="3323"/>
      <c r="Z40" s="3323"/>
      <c r="AA40" s="3324"/>
      <c r="AB40" s="418"/>
    </row>
    <row r="41" spans="2:29" ht="15" customHeight="1">
      <c r="B41" s="3325"/>
      <c r="C41" s="3326"/>
      <c r="D41" s="3326"/>
      <c r="E41" s="3326"/>
      <c r="F41" s="3326"/>
      <c r="G41" s="3326"/>
      <c r="H41" s="3326"/>
      <c r="I41" s="3326"/>
      <c r="J41" s="3326"/>
      <c r="K41" s="3326"/>
      <c r="L41" s="3326"/>
      <c r="M41" s="3326"/>
      <c r="N41" s="3326"/>
      <c r="O41" s="3326"/>
      <c r="P41" s="3326"/>
      <c r="Q41" s="3326"/>
      <c r="R41" s="3326"/>
      <c r="S41" s="3326"/>
      <c r="T41" s="3326"/>
      <c r="U41" s="3326"/>
      <c r="V41" s="3326"/>
      <c r="W41" s="3326"/>
      <c r="X41" s="3326"/>
      <c r="Y41" s="3326"/>
      <c r="Z41" s="3326"/>
      <c r="AA41" s="3327"/>
      <c r="AB41" s="418"/>
    </row>
    <row r="42" spans="2:29">
      <c r="B42" s="3747" t="s">
        <v>7071</v>
      </c>
      <c r="C42" s="3748"/>
      <c r="D42" s="3748"/>
      <c r="E42" s="3748"/>
      <c r="F42" s="3748"/>
      <c r="G42" s="3748"/>
      <c r="H42" s="3748"/>
      <c r="I42" s="3748"/>
      <c r="J42" s="3748"/>
      <c r="K42" s="3748"/>
      <c r="L42" s="3748"/>
      <c r="M42" s="3748"/>
      <c r="N42" s="3748"/>
      <c r="O42" s="3748"/>
      <c r="P42" s="3748"/>
      <c r="Q42" s="3748"/>
      <c r="R42" s="3748"/>
      <c r="S42" s="3748"/>
      <c r="T42" s="3748"/>
      <c r="U42" s="3748"/>
      <c r="V42" s="3748"/>
      <c r="W42" s="3748"/>
      <c r="X42" s="3748"/>
      <c r="Y42" s="3748"/>
      <c r="Z42" s="3748"/>
      <c r="AA42" s="3748"/>
    </row>
    <row r="43" spans="2:29" ht="16" customHeight="1">
      <c r="B43" s="3653" t="s">
        <v>7072</v>
      </c>
      <c r="C43" s="3654"/>
      <c r="D43" s="3654"/>
      <c r="E43" s="3655"/>
      <c r="F43" s="44"/>
      <c r="G43" s="3653" t="s">
        <v>7073</v>
      </c>
      <c r="H43" s="3654"/>
      <c r="I43" s="3654"/>
      <c r="J43" s="3654"/>
      <c r="K43" s="3655"/>
      <c r="L43" s="44"/>
      <c r="M43" s="3653" t="s">
        <v>7074</v>
      </c>
      <c r="N43" s="3654"/>
      <c r="O43" s="3654"/>
      <c r="P43" s="3655"/>
      <c r="Q43" s="44"/>
      <c r="R43" s="3653" t="s">
        <v>7075</v>
      </c>
      <c r="S43" s="3654"/>
      <c r="T43" s="3655"/>
      <c r="U43" s="419"/>
      <c r="V43" s="3653" t="s">
        <v>7076</v>
      </c>
      <c r="W43" s="3654"/>
      <c r="X43" s="3654"/>
      <c r="Y43" s="3654"/>
      <c r="Z43" s="3654"/>
      <c r="AA43" s="3655"/>
      <c r="AC43" s="420"/>
    </row>
    <row r="44" spans="2:29" ht="16" customHeight="1">
      <c r="B44" s="3658" t="s">
        <v>612</v>
      </c>
      <c r="C44" s="3659"/>
      <c r="D44" s="3659"/>
      <c r="E44" s="421" t="s">
        <v>7077</v>
      </c>
      <c r="F44" s="44"/>
      <c r="G44" s="3658" t="s">
        <v>612</v>
      </c>
      <c r="H44" s="3659"/>
      <c r="I44" s="3659"/>
      <c r="J44" s="3659"/>
      <c r="K44" s="421" t="s">
        <v>7077</v>
      </c>
      <c r="L44" s="44"/>
      <c r="M44" s="3658" t="s">
        <v>612</v>
      </c>
      <c r="N44" s="3659"/>
      <c r="O44" s="3659"/>
      <c r="P44" s="421" t="s">
        <v>7077</v>
      </c>
      <c r="Q44" s="44"/>
      <c r="R44" s="3658" t="s">
        <v>612</v>
      </c>
      <c r="S44" s="3659"/>
      <c r="T44" s="421" t="s">
        <v>7077</v>
      </c>
      <c r="U44" s="44"/>
      <c r="V44" s="3658" t="s">
        <v>612</v>
      </c>
      <c r="W44" s="3659"/>
      <c r="X44" s="3659"/>
      <c r="Y44" s="3659"/>
      <c r="Z44" s="422" t="s">
        <v>7078</v>
      </c>
      <c r="AA44" s="421" t="s">
        <v>7077</v>
      </c>
      <c r="AC44" s="420"/>
    </row>
    <row r="45" spans="2:29" ht="16" customHeight="1">
      <c r="B45" s="3625" t="s">
        <v>7079</v>
      </c>
      <c r="C45" s="3626"/>
      <c r="D45" s="3626"/>
      <c r="E45" s="423" t="s">
        <v>7080</v>
      </c>
      <c r="F45" s="44"/>
      <c r="G45" s="3688" t="s">
        <v>7081</v>
      </c>
      <c r="H45" s="3689"/>
      <c r="I45" s="3689"/>
      <c r="J45" s="3689"/>
      <c r="K45" s="423" t="s">
        <v>7082</v>
      </c>
      <c r="L45" s="44"/>
      <c r="M45" s="3625" t="s">
        <v>7083</v>
      </c>
      <c r="N45" s="3626"/>
      <c r="O45" s="3626"/>
      <c r="P45" s="423">
        <v>25</v>
      </c>
      <c r="Q45" s="44"/>
      <c r="R45" s="3625" t="s">
        <v>7084</v>
      </c>
      <c r="S45" s="3626"/>
      <c r="T45" s="424">
        <v>20</v>
      </c>
      <c r="U45" s="44"/>
      <c r="V45" s="3732" t="s">
        <v>7085</v>
      </c>
      <c r="W45" s="3733"/>
      <c r="X45" s="3733"/>
      <c r="Y45" s="3733"/>
      <c r="Z45" s="425">
        <v>500</v>
      </c>
      <c r="AA45" s="424">
        <v>21</v>
      </c>
      <c r="AC45" s="420"/>
    </row>
    <row r="46" spans="2:29" ht="16" customHeight="1">
      <c r="B46" s="3629" t="s">
        <v>7086</v>
      </c>
      <c r="C46" s="3630"/>
      <c r="D46" s="3630"/>
      <c r="E46" s="426">
        <v>350</v>
      </c>
      <c r="F46" s="44"/>
      <c r="G46" s="3686" t="s">
        <v>7087</v>
      </c>
      <c r="H46" s="3687"/>
      <c r="I46" s="3687"/>
      <c r="J46" s="3687"/>
      <c r="K46" s="426" t="s">
        <v>7088</v>
      </c>
      <c r="L46" s="44"/>
      <c r="M46" s="3629" t="s">
        <v>7089</v>
      </c>
      <c r="N46" s="3630"/>
      <c r="O46" s="3630"/>
      <c r="P46" s="426">
        <v>60</v>
      </c>
      <c r="Q46" s="44"/>
      <c r="R46" s="3629" t="s">
        <v>7090</v>
      </c>
      <c r="S46" s="3630"/>
      <c r="T46" s="427">
        <v>50</v>
      </c>
      <c r="U46" s="44"/>
      <c r="V46" s="3739" t="s">
        <v>7091</v>
      </c>
      <c r="W46" s="3740"/>
      <c r="X46" s="3740"/>
      <c r="Y46" s="3740"/>
      <c r="Z46" s="428">
        <v>50</v>
      </c>
      <c r="AA46" s="427">
        <v>24</v>
      </c>
      <c r="AC46" s="420"/>
    </row>
    <row r="47" spans="2:29" ht="16" customHeight="1">
      <c r="B47" s="3625" t="s">
        <v>7092</v>
      </c>
      <c r="C47" s="3626"/>
      <c r="D47" s="3626"/>
      <c r="E47" s="423">
        <v>200</v>
      </c>
      <c r="F47" s="44"/>
      <c r="G47" s="3658" t="s">
        <v>7093</v>
      </c>
      <c r="H47" s="3659"/>
      <c r="I47" s="3659"/>
      <c r="J47" s="3659"/>
      <c r="K47" s="421" t="s">
        <v>7077</v>
      </c>
      <c r="L47" s="44"/>
      <c r="M47" s="3625" t="s">
        <v>7094</v>
      </c>
      <c r="N47" s="3626"/>
      <c r="O47" s="3626"/>
      <c r="P47" s="423">
        <v>110</v>
      </c>
      <c r="Q47" s="44"/>
      <c r="R47" s="3631" t="s">
        <v>7095</v>
      </c>
      <c r="S47" s="3632"/>
      <c r="T47" s="429">
        <v>50</v>
      </c>
      <c r="U47" s="44"/>
      <c r="V47" s="3741" t="s">
        <v>7096</v>
      </c>
      <c r="W47" s="3742"/>
      <c r="X47" s="3742"/>
      <c r="Y47" s="3742"/>
      <c r="Z47" s="430">
        <v>50</v>
      </c>
      <c r="AA47" s="424">
        <v>15</v>
      </c>
      <c r="AC47" s="420"/>
    </row>
    <row r="48" spans="2:29" ht="16" customHeight="1">
      <c r="B48" s="3629" t="s">
        <v>7097</v>
      </c>
      <c r="C48" s="3630"/>
      <c r="D48" s="3630"/>
      <c r="E48" s="426">
        <v>50</v>
      </c>
      <c r="F48" s="44"/>
      <c r="G48" s="3688" t="s">
        <v>7098</v>
      </c>
      <c r="H48" s="3689"/>
      <c r="I48" s="3689"/>
      <c r="J48" s="3689"/>
      <c r="K48" s="423" t="s">
        <v>7099</v>
      </c>
      <c r="L48" s="44"/>
      <c r="M48" s="3629" t="s">
        <v>7100</v>
      </c>
      <c r="N48" s="3630"/>
      <c r="O48" s="3630"/>
      <c r="P48" s="426">
        <v>30</v>
      </c>
      <c r="Q48" s="44"/>
      <c r="R48" s="3736"/>
      <c r="S48" s="3736"/>
      <c r="T48" s="425"/>
      <c r="U48" s="44"/>
      <c r="V48" s="3737" t="s">
        <v>7101</v>
      </c>
      <c r="W48" s="3738"/>
      <c r="X48" s="3738"/>
      <c r="Y48" s="3738"/>
      <c r="Z48" s="431">
        <v>50</v>
      </c>
      <c r="AA48" s="427">
        <v>15</v>
      </c>
      <c r="AC48" s="420"/>
    </row>
    <row r="49" spans="2:29" ht="16" customHeight="1">
      <c r="B49" s="3625" t="s">
        <v>7102</v>
      </c>
      <c r="C49" s="3626"/>
      <c r="D49" s="3626"/>
      <c r="E49" s="423">
        <v>200</v>
      </c>
      <c r="F49" s="44"/>
      <c r="G49" s="3686" t="s">
        <v>7103</v>
      </c>
      <c r="H49" s="3687"/>
      <c r="I49" s="3687"/>
      <c r="J49" s="3687"/>
      <c r="K49" s="426" t="s">
        <v>7104</v>
      </c>
      <c r="L49" s="44"/>
      <c r="M49" s="3625" t="s">
        <v>7105</v>
      </c>
      <c r="N49" s="3626"/>
      <c r="O49" s="3626"/>
      <c r="P49" s="423">
        <v>200</v>
      </c>
      <c r="Q49" s="44"/>
      <c r="R49" s="3653" t="s">
        <v>5651</v>
      </c>
      <c r="S49" s="3654"/>
      <c r="T49" s="3655"/>
      <c r="U49" s="44"/>
      <c r="V49" s="3732" t="s">
        <v>7106</v>
      </c>
      <c r="W49" s="3733"/>
      <c r="X49" s="3733"/>
      <c r="Y49" s="3733"/>
      <c r="Z49" s="432">
        <v>50</v>
      </c>
      <c r="AA49" s="424">
        <v>15</v>
      </c>
      <c r="AC49" s="420"/>
    </row>
    <row r="50" spans="2:29" ht="16" customHeight="1">
      <c r="B50" s="3629" t="s">
        <v>7107</v>
      </c>
      <c r="C50" s="3630"/>
      <c r="D50" s="3630"/>
      <c r="E50" s="426">
        <v>250</v>
      </c>
      <c r="F50" s="44"/>
      <c r="G50" s="3688" t="s">
        <v>7108</v>
      </c>
      <c r="H50" s="3689"/>
      <c r="I50" s="3689"/>
      <c r="J50" s="3689"/>
      <c r="K50" s="423">
        <v>62.5</v>
      </c>
      <c r="L50" s="44"/>
      <c r="M50" s="3629" t="s">
        <v>7109</v>
      </c>
      <c r="N50" s="3630"/>
      <c r="O50" s="3630"/>
      <c r="P50" s="426">
        <v>30</v>
      </c>
      <c r="Q50" s="44"/>
      <c r="R50" s="3658" t="s">
        <v>612</v>
      </c>
      <c r="S50" s="3659"/>
      <c r="T50" s="421" t="s">
        <v>7077</v>
      </c>
      <c r="U50" s="44"/>
      <c r="V50" s="3728" t="s">
        <v>7110</v>
      </c>
      <c r="W50" s="3729"/>
      <c r="X50" s="3729"/>
      <c r="Y50" s="3729"/>
      <c r="Z50" s="433">
        <v>50</v>
      </c>
      <c r="AA50" s="427">
        <v>22</v>
      </c>
      <c r="AC50" s="420"/>
    </row>
    <row r="51" spans="2:29" ht="16" customHeight="1">
      <c r="B51" s="3625" t="s">
        <v>7111</v>
      </c>
      <c r="C51" s="3626"/>
      <c r="D51" s="3626"/>
      <c r="E51" s="423">
        <v>35</v>
      </c>
      <c r="F51" s="44"/>
      <c r="G51" s="3692" t="s">
        <v>7112</v>
      </c>
      <c r="H51" s="3693"/>
      <c r="I51" s="3693"/>
      <c r="J51" s="3693"/>
      <c r="K51" s="421" t="s">
        <v>7077</v>
      </c>
      <c r="L51" s="44"/>
      <c r="M51" s="3625" t="s">
        <v>7113</v>
      </c>
      <c r="N51" s="3626"/>
      <c r="O51" s="3626"/>
      <c r="P51" s="423">
        <v>1300</v>
      </c>
      <c r="Q51" s="44"/>
      <c r="R51" s="3625" t="s">
        <v>7114</v>
      </c>
      <c r="S51" s="3626"/>
      <c r="T51" s="424" t="s">
        <v>7080</v>
      </c>
      <c r="U51" s="44"/>
      <c r="V51" s="3732" t="s">
        <v>7115</v>
      </c>
      <c r="W51" s="3733"/>
      <c r="X51" s="3733"/>
      <c r="Y51" s="3733"/>
      <c r="Z51" s="432">
        <v>50</v>
      </c>
      <c r="AA51" s="424">
        <v>17</v>
      </c>
      <c r="AC51" s="420"/>
    </row>
    <row r="52" spans="2:29" ht="16" customHeight="1">
      <c r="B52" s="3629" t="s">
        <v>7116</v>
      </c>
      <c r="C52" s="3630"/>
      <c r="D52" s="3630"/>
      <c r="E52" s="426">
        <v>36</v>
      </c>
      <c r="F52" s="44"/>
      <c r="G52" s="3688" t="s">
        <v>7117</v>
      </c>
      <c r="H52" s="3689"/>
      <c r="I52" s="3689"/>
      <c r="J52" s="3689"/>
      <c r="K52" s="423" t="s">
        <v>7118</v>
      </c>
      <c r="L52" s="44"/>
      <c r="M52" s="3629" t="s">
        <v>7119</v>
      </c>
      <c r="N52" s="3630"/>
      <c r="O52" s="3630"/>
      <c r="P52" s="426">
        <v>65</v>
      </c>
      <c r="Q52" s="44"/>
      <c r="R52" s="3629" t="s">
        <v>7120</v>
      </c>
      <c r="S52" s="3630"/>
      <c r="T52" s="427" t="s">
        <v>7121</v>
      </c>
      <c r="U52" s="44"/>
      <c r="V52" s="3728" t="s">
        <v>7122</v>
      </c>
      <c r="W52" s="3729"/>
      <c r="X52" s="3729"/>
      <c r="Y52" s="3729"/>
      <c r="Z52" s="433">
        <v>50</v>
      </c>
      <c r="AA52" s="427">
        <v>24</v>
      </c>
    </row>
    <row r="53" spans="2:29" ht="16" customHeight="1">
      <c r="B53" s="3625" t="s">
        <v>7123</v>
      </c>
      <c r="C53" s="3626"/>
      <c r="D53" s="3626"/>
      <c r="E53" s="423">
        <v>35</v>
      </c>
      <c r="F53" s="44"/>
      <c r="G53" s="3686" t="s">
        <v>7124</v>
      </c>
      <c r="H53" s="3687"/>
      <c r="I53" s="3687"/>
      <c r="J53" s="3687"/>
      <c r="K53" s="426" t="s">
        <v>7125</v>
      </c>
      <c r="L53" s="44"/>
      <c r="M53" s="3625" t="s">
        <v>7126</v>
      </c>
      <c r="N53" s="3626"/>
      <c r="O53" s="3626"/>
      <c r="P53" s="423">
        <v>30</v>
      </c>
      <c r="Q53" s="44"/>
      <c r="R53" s="3625" t="s">
        <v>7127</v>
      </c>
      <c r="S53" s="3626"/>
      <c r="T53" s="424" t="s">
        <v>7128</v>
      </c>
      <c r="U53" s="44"/>
      <c r="V53" s="3732" t="s">
        <v>7129</v>
      </c>
      <c r="W53" s="3733"/>
      <c r="X53" s="3733"/>
      <c r="Y53" s="3733"/>
      <c r="Z53" s="432">
        <v>50</v>
      </c>
      <c r="AA53" s="424">
        <v>12</v>
      </c>
    </row>
    <row r="54" spans="2:29" ht="16" customHeight="1">
      <c r="B54" s="3629" t="s">
        <v>7130</v>
      </c>
      <c r="C54" s="3630"/>
      <c r="D54" s="3630"/>
      <c r="E54" s="426">
        <v>40</v>
      </c>
      <c r="F54" s="44"/>
      <c r="G54" s="3734" t="s">
        <v>7131</v>
      </c>
      <c r="H54" s="3735"/>
      <c r="I54" s="3735"/>
      <c r="J54" s="3735"/>
      <c r="K54" s="434" t="s">
        <v>7132</v>
      </c>
      <c r="L54" s="44"/>
      <c r="M54" s="3629" t="s">
        <v>7133</v>
      </c>
      <c r="N54" s="3630"/>
      <c r="O54" s="3630"/>
      <c r="P54" s="426">
        <v>20</v>
      </c>
      <c r="Q54" s="44"/>
      <c r="R54" s="3629" t="s">
        <v>7134</v>
      </c>
      <c r="S54" s="3630"/>
      <c r="T54" s="427" t="s">
        <v>7135</v>
      </c>
      <c r="U54" s="44"/>
      <c r="V54" s="3728" t="s">
        <v>7136</v>
      </c>
      <c r="W54" s="3729"/>
      <c r="X54" s="3729"/>
      <c r="Y54" s="3729"/>
      <c r="Z54" s="433">
        <v>50</v>
      </c>
      <c r="AA54" s="427">
        <v>39</v>
      </c>
    </row>
    <row r="55" spans="2:29" ht="16" customHeight="1">
      <c r="B55" s="3625" t="s">
        <v>7137</v>
      </c>
      <c r="C55" s="3626"/>
      <c r="D55" s="3626"/>
      <c r="E55" s="423">
        <v>50</v>
      </c>
      <c r="F55" s="44"/>
      <c r="G55" s="419"/>
      <c r="H55" s="419"/>
      <c r="I55" s="419"/>
      <c r="J55" s="44"/>
      <c r="K55" s="44"/>
      <c r="L55" s="44"/>
      <c r="M55" s="3625" t="s">
        <v>7138</v>
      </c>
      <c r="N55" s="3626"/>
      <c r="O55" s="3626"/>
      <c r="P55" s="423">
        <v>250</v>
      </c>
      <c r="Q55" s="44"/>
      <c r="R55" s="3625" t="s">
        <v>7139</v>
      </c>
      <c r="S55" s="3626"/>
      <c r="T55" s="424">
        <v>400</v>
      </c>
      <c r="U55" s="44"/>
      <c r="V55" s="3732" t="s">
        <v>7140</v>
      </c>
      <c r="W55" s="3733"/>
      <c r="X55" s="3733"/>
      <c r="Y55" s="3733"/>
      <c r="Z55" s="432">
        <v>100</v>
      </c>
      <c r="AA55" s="424">
        <v>23</v>
      </c>
    </row>
    <row r="56" spans="2:29" ht="16" customHeight="1">
      <c r="B56" s="3629" t="s">
        <v>7141</v>
      </c>
      <c r="C56" s="3630"/>
      <c r="D56" s="3630"/>
      <c r="E56" s="426">
        <v>100</v>
      </c>
      <c r="F56" s="44"/>
      <c r="G56" s="3653" t="s">
        <v>7142</v>
      </c>
      <c r="H56" s="3654"/>
      <c r="I56" s="3654"/>
      <c r="J56" s="3654"/>
      <c r="K56" s="3655"/>
      <c r="L56" s="44"/>
      <c r="M56" s="3629" t="s">
        <v>7143</v>
      </c>
      <c r="N56" s="3630"/>
      <c r="O56" s="3630"/>
      <c r="P56" s="426">
        <v>260</v>
      </c>
      <c r="Q56" s="44"/>
      <c r="R56" s="3674" t="s">
        <v>7144</v>
      </c>
      <c r="S56" s="3675"/>
      <c r="T56" s="435">
        <v>200</v>
      </c>
      <c r="U56" s="44"/>
      <c r="V56" s="3728" t="s">
        <v>7145</v>
      </c>
      <c r="W56" s="3729"/>
      <c r="X56" s="3729"/>
      <c r="Y56" s="3729"/>
      <c r="Z56" s="433">
        <v>25</v>
      </c>
      <c r="AA56" s="427">
        <v>40</v>
      </c>
    </row>
    <row r="57" spans="2:29" ht="16" customHeight="1">
      <c r="B57" s="3625" t="s">
        <v>7146</v>
      </c>
      <c r="C57" s="3626"/>
      <c r="D57" s="3626"/>
      <c r="E57" s="423">
        <v>35</v>
      </c>
      <c r="F57" s="44"/>
      <c r="G57" s="3658" t="s">
        <v>612</v>
      </c>
      <c r="H57" s="3659"/>
      <c r="I57" s="3659"/>
      <c r="J57" s="3659"/>
      <c r="K57" s="421" t="s">
        <v>7077</v>
      </c>
      <c r="L57" s="44"/>
      <c r="M57" s="3625" t="s">
        <v>7147</v>
      </c>
      <c r="N57" s="3626"/>
      <c r="O57" s="3626"/>
      <c r="P57" s="423">
        <v>2000</v>
      </c>
      <c r="Q57" s="44"/>
      <c r="R57" s="44"/>
      <c r="S57" s="44"/>
      <c r="T57" s="44"/>
      <c r="U57" s="44"/>
      <c r="V57" s="3732" t="s">
        <v>7148</v>
      </c>
      <c r="W57" s="3733"/>
      <c r="X57" s="3733"/>
      <c r="Y57" s="3733"/>
      <c r="Z57" s="425">
        <v>25</v>
      </c>
      <c r="AA57" s="424">
        <v>30</v>
      </c>
      <c r="AC57" s="420"/>
    </row>
    <row r="58" spans="2:29" ht="16" customHeight="1">
      <c r="B58" s="3629" t="s">
        <v>7149</v>
      </c>
      <c r="C58" s="3630"/>
      <c r="D58" s="3630"/>
      <c r="E58" s="426">
        <v>15</v>
      </c>
      <c r="F58" s="44"/>
      <c r="G58" s="3625" t="s">
        <v>7150</v>
      </c>
      <c r="H58" s="3626"/>
      <c r="I58" s="3626"/>
      <c r="J58" s="3626"/>
      <c r="K58" s="423">
        <v>23000</v>
      </c>
      <c r="L58" s="44"/>
      <c r="M58" s="3629" t="s">
        <v>7151</v>
      </c>
      <c r="N58" s="3630"/>
      <c r="O58" s="3630"/>
      <c r="P58" s="426">
        <v>1000</v>
      </c>
      <c r="Q58" s="44"/>
      <c r="R58" s="3653" t="s">
        <v>7152</v>
      </c>
      <c r="S58" s="3654"/>
      <c r="T58" s="3655"/>
      <c r="U58" s="44"/>
      <c r="V58" s="3728" t="s">
        <v>7153</v>
      </c>
      <c r="W58" s="3729"/>
      <c r="X58" s="3729"/>
      <c r="Y58" s="3729"/>
      <c r="Z58" s="436">
        <v>25</v>
      </c>
      <c r="AA58" s="427">
        <v>26</v>
      </c>
    </row>
    <row r="59" spans="2:29" ht="16" customHeight="1">
      <c r="B59" s="3625" t="s">
        <v>7154</v>
      </c>
      <c r="C59" s="3626"/>
      <c r="D59" s="3626"/>
      <c r="E59" s="423">
        <v>15</v>
      </c>
      <c r="F59" s="44"/>
      <c r="G59" s="3629" t="s">
        <v>7155</v>
      </c>
      <c r="H59" s="3630"/>
      <c r="I59" s="3630"/>
      <c r="J59" s="3630"/>
      <c r="K59" s="426">
        <v>13000</v>
      </c>
      <c r="L59" s="44"/>
      <c r="M59" s="3625" t="s">
        <v>7156</v>
      </c>
      <c r="N59" s="3626"/>
      <c r="O59" s="3626"/>
      <c r="P59" s="423" t="s">
        <v>7157</v>
      </c>
      <c r="Q59" s="44"/>
      <c r="R59" s="3658" t="s">
        <v>612</v>
      </c>
      <c r="S59" s="3659"/>
      <c r="T59" s="421" t="s">
        <v>7077</v>
      </c>
      <c r="U59" s="44"/>
      <c r="V59" s="3730" t="s">
        <v>7158</v>
      </c>
      <c r="W59" s="3731"/>
      <c r="X59" s="3731"/>
      <c r="Y59" s="3731"/>
      <c r="Z59" s="437">
        <v>25</v>
      </c>
      <c r="AA59" s="429">
        <v>28</v>
      </c>
    </row>
    <row r="60" spans="2:29" ht="16" customHeight="1">
      <c r="B60" s="3629" t="s">
        <v>7159</v>
      </c>
      <c r="C60" s="3630"/>
      <c r="D60" s="3630"/>
      <c r="E60" s="426">
        <v>60</v>
      </c>
      <c r="F60" s="44"/>
      <c r="G60" s="3625" t="s">
        <v>7160</v>
      </c>
      <c r="H60" s="3626"/>
      <c r="I60" s="3626"/>
      <c r="J60" s="3626"/>
      <c r="K60" s="423">
        <v>260000</v>
      </c>
      <c r="L60" s="44"/>
      <c r="M60" s="3674" t="s">
        <v>7161</v>
      </c>
      <c r="N60" s="3675"/>
      <c r="O60" s="3675"/>
      <c r="P60" s="438">
        <v>100</v>
      </c>
      <c r="Q60" s="44"/>
      <c r="R60" s="3660" t="s">
        <v>7162</v>
      </c>
      <c r="S60" s="3661"/>
      <c r="T60" s="424">
        <v>600</v>
      </c>
      <c r="U60" s="44"/>
      <c r="V60" s="44"/>
      <c r="W60" s="44"/>
      <c r="X60" s="44"/>
      <c r="Y60" s="44"/>
      <c r="Z60" s="44"/>
      <c r="AA60" s="44"/>
    </row>
    <row r="61" spans="2:29" ht="16" customHeight="1">
      <c r="B61" s="3625" t="s">
        <v>7163</v>
      </c>
      <c r="C61" s="3626"/>
      <c r="D61" s="3626"/>
      <c r="E61" s="423">
        <v>200</v>
      </c>
      <c r="F61" s="44"/>
      <c r="G61" s="3629" t="s">
        <v>7164</v>
      </c>
      <c r="H61" s="3630"/>
      <c r="I61" s="3630"/>
      <c r="J61" s="3630"/>
      <c r="K61" s="426">
        <v>200500</v>
      </c>
      <c r="L61" s="44"/>
      <c r="M61" s="44"/>
      <c r="N61" s="419"/>
      <c r="O61" s="419"/>
      <c r="P61" s="419"/>
      <c r="Q61" s="44"/>
      <c r="R61" s="3670" t="s">
        <v>7165</v>
      </c>
      <c r="S61" s="3671"/>
      <c r="T61" s="427">
        <v>500</v>
      </c>
      <c r="U61" s="44"/>
      <c r="V61" s="3653" t="s">
        <v>7166</v>
      </c>
      <c r="W61" s="3654"/>
      <c r="X61" s="3654"/>
      <c r="Y61" s="3654"/>
      <c r="Z61" s="3654"/>
      <c r="AA61" s="3655"/>
    </row>
    <row r="62" spans="2:29" ht="16" customHeight="1">
      <c r="B62" s="3674" t="s">
        <v>7167</v>
      </c>
      <c r="C62" s="3675"/>
      <c r="D62" s="3675"/>
      <c r="E62" s="439">
        <v>600</v>
      </c>
      <c r="F62" s="44"/>
      <c r="G62" s="3625" t="s">
        <v>7168</v>
      </c>
      <c r="H62" s="3626"/>
      <c r="I62" s="3626"/>
      <c r="J62" s="3626"/>
      <c r="K62" s="423">
        <v>62000</v>
      </c>
      <c r="L62" s="44"/>
      <c r="M62" s="3720" t="s">
        <v>7169</v>
      </c>
      <c r="N62" s="3721"/>
      <c r="O62" s="3721"/>
      <c r="P62" s="3722"/>
      <c r="Q62" s="44"/>
      <c r="R62" s="3660" t="s">
        <v>7170</v>
      </c>
      <c r="S62" s="3661"/>
      <c r="T62" s="424">
        <v>1400</v>
      </c>
      <c r="U62" s="44"/>
      <c r="V62" s="3658" t="s">
        <v>612</v>
      </c>
      <c r="W62" s="3659"/>
      <c r="X62" s="3659"/>
      <c r="Y62" s="3659"/>
      <c r="Z62" s="3659" t="s">
        <v>7077</v>
      </c>
      <c r="AA62" s="3727"/>
    </row>
    <row r="63" spans="2:29" ht="16" customHeight="1">
      <c r="B63" s="3665"/>
      <c r="C63" s="3665"/>
      <c r="D63" s="425"/>
      <c r="E63" s="419"/>
      <c r="F63" s="44"/>
      <c r="G63" s="3629" t="s">
        <v>7171</v>
      </c>
      <c r="H63" s="3630"/>
      <c r="I63" s="3630"/>
      <c r="J63" s="3630"/>
      <c r="K63" s="426">
        <v>38000</v>
      </c>
      <c r="L63" s="44"/>
      <c r="M63" s="3658" t="s">
        <v>612</v>
      </c>
      <c r="N63" s="3659"/>
      <c r="O63" s="3659"/>
      <c r="P63" s="421" t="s">
        <v>7077</v>
      </c>
      <c r="Q63" s="44"/>
      <c r="R63" s="3725" t="s">
        <v>7172</v>
      </c>
      <c r="S63" s="3726"/>
      <c r="T63" s="435">
        <v>90</v>
      </c>
      <c r="U63" s="44"/>
      <c r="V63" s="3629" t="s">
        <v>7173</v>
      </c>
      <c r="W63" s="3630"/>
      <c r="X63" s="3630"/>
      <c r="Y63" s="3630"/>
      <c r="Z63" s="3630" t="s">
        <v>7080</v>
      </c>
      <c r="AA63" s="3717"/>
    </row>
    <row r="64" spans="2:29" ht="16" customHeight="1">
      <c r="B64" s="3653" t="s">
        <v>7174</v>
      </c>
      <c r="C64" s="3654"/>
      <c r="D64" s="3654"/>
      <c r="E64" s="3655"/>
      <c r="F64" s="44"/>
      <c r="G64" s="3625" t="s">
        <v>7175</v>
      </c>
      <c r="H64" s="3626"/>
      <c r="I64" s="3626"/>
      <c r="J64" s="3626"/>
      <c r="K64" s="423">
        <v>54000</v>
      </c>
      <c r="L64" s="44"/>
      <c r="M64" s="3625" t="s">
        <v>7176</v>
      </c>
      <c r="N64" s="3626"/>
      <c r="O64" s="3626"/>
      <c r="P64" s="423">
        <v>60</v>
      </c>
      <c r="Q64" s="44"/>
      <c r="R64" s="44"/>
      <c r="S64" s="44"/>
      <c r="T64" s="44"/>
      <c r="U64" s="44"/>
      <c r="V64" s="3625" t="s">
        <v>7177</v>
      </c>
      <c r="W64" s="3626"/>
      <c r="X64" s="3626"/>
      <c r="Y64" s="3626"/>
      <c r="Z64" s="3626" t="s">
        <v>7178</v>
      </c>
      <c r="AA64" s="3719"/>
    </row>
    <row r="65" spans="2:29" ht="16" customHeight="1">
      <c r="B65" s="3658" t="s">
        <v>612</v>
      </c>
      <c r="C65" s="3659"/>
      <c r="D65" s="3659"/>
      <c r="E65" s="421" t="s">
        <v>7077</v>
      </c>
      <c r="F65" s="44"/>
      <c r="G65" s="3629" t="s">
        <v>7179</v>
      </c>
      <c r="H65" s="3630"/>
      <c r="I65" s="3630"/>
      <c r="J65" s="3630"/>
      <c r="K65" s="426">
        <v>33000</v>
      </c>
      <c r="L65" s="44"/>
      <c r="M65" s="3629" t="s">
        <v>7180</v>
      </c>
      <c r="N65" s="3630"/>
      <c r="O65" s="3630"/>
      <c r="P65" s="426">
        <v>90</v>
      </c>
      <c r="Q65" s="44"/>
      <c r="R65" s="3653" t="s">
        <v>7181</v>
      </c>
      <c r="S65" s="3654"/>
      <c r="T65" s="3655"/>
      <c r="U65" s="44"/>
      <c r="V65" s="3629" t="s">
        <v>7182</v>
      </c>
      <c r="W65" s="3630"/>
      <c r="X65" s="3630"/>
      <c r="Y65" s="3630"/>
      <c r="Z65" s="3630" t="s">
        <v>6844</v>
      </c>
      <c r="AA65" s="3717"/>
    </row>
    <row r="66" spans="2:29" ht="16" customHeight="1">
      <c r="B66" s="3625" t="s">
        <v>7183</v>
      </c>
      <c r="C66" s="3626"/>
      <c r="D66" s="3626"/>
      <c r="E66" s="423" t="s">
        <v>7184</v>
      </c>
      <c r="F66" s="44"/>
      <c r="G66" s="3625" t="s">
        <v>7185</v>
      </c>
      <c r="H66" s="3626"/>
      <c r="I66" s="3626"/>
      <c r="J66" s="3626"/>
      <c r="K66" s="423">
        <v>27000</v>
      </c>
      <c r="L66" s="44"/>
      <c r="M66" s="3631" t="s">
        <v>7186</v>
      </c>
      <c r="N66" s="3632"/>
      <c r="O66" s="3632"/>
      <c r="P66" s="434">
        <v>30</v>
      </c>
      <c r="Q66" s="44"/>
      <c r="R66" s="3658" t="s">
        <v>612</v>
      </c>
      <c r="S66" s="3659"/>
      <c r="T66" s="421" t="s">
        <v>7077</v>
      </c>
      <c r="U66" s="44"/>
      <c r="V66" s="3625" t="s">
        <v>7187</v>
      </c>
      <c r="W66" s="3626"/>
      <c r="X66" s="3626"/>
      <c r="Y66" s="3626"/>
      <c r="Z66" s="3723" t="s">
        <v>6931</v>
      </c>
      <c r="AA66" s="3724"/>
    </row>
    <row r="67" spans="2:29" ht="16" customHeight="1">
      <c r="B67" s="3629" t="s">
        <v>7188</v>
      </c>
      <c r="C67" s="3630"/>
      <c r="D67" s="3630"/>
      <c r="E67" s="426">
        <v>400</v>
      </c>
      <c r="F67" s="44"/>
      <c r="G67" s="3674" t="s">
        <v>7189</v>
      </c>
      <c r="H67" s="3675"/>
      <c r="I67" s="3675"/>
      <c r="J67" s="3675"/>
      <c r="K67" s="439">
        <v>16500</v>
      </c>
      <c r="L67" s="44"/>
      <c r="M67" s="44"/>
      <c r="N67" s="44"/>
      <c r="O67" s="44"/>
      <c r="P67" s="44"/>
      <c r="Q67" s="44"/>
      <c r="R67" s="3706" t="s">
        <v>7190</v>
      </c>
      <c r="S67" s="3681"/>
      <c r="T67" s="424">
        <v>90</v>
      </c>
      <c r="U67" s="44"/>
      <c r="V67" s="3629" t="s">
        <v>7191</v>
      </c>
      <c r="W67" s="3630"/>
      <c r="X67" s="3630"/>
      <c r="Y67" s="3630"/>
      <c r="Z67" s="3630">
        <v>65</v>
      </c>
      <c r="AA67" s="3717"/>
      <c r="AB67" s="420"/>
      <c r="AC67" s="420"/>
    </row>
    <row r="68" spans="2:29" ht="16" customHeight="1">
      <c r="B68" s="3625" t="s">
        <v>7192</v>
      </c>
      <c r="C68" s="3626"/>
      <c r="D68" s="3626"/>
      <c r="E68" s="423">
        <v>150</v>
      </c>
      <c r="F68" s="44"/>
      <c r="G68" s="44"/>
      <c r="H68" s="44"/>
      <c r="I68" s="44"/>
      <c r="J68" s="44"/>
      <c r="K68" s="44"/>
      <c r="L68" s="44"/>
      <c r="M68" s="3720" t="s">
        <v>7193</v>
      </c>
      <c r="N68" s="3721"/>
      <c r="O68" s="3721"/>
      <c r="P68" s="3722"/>
      <c r="Q68" s="44"/>
      <c r="R68" s="3656" t="s">
        <v>7194</v>
      </c>
      <c r="S68" s="3657"/>
      <c r="T68" s="427">
        <v>35</v>
      </c>
      <c r="U68" s="44"/>
      <c r="V68" s="3625" t="s">
        <v>7195</v>
      </c>
      <c r="W68" s="3626"/>
      <c r="X68" s="3626"/>
      <c r="Y68" s="3626"/>
      <c r="Z68" s="3626">
        <v>16</v>
      </c>
      <c r="AA68" s="3719"/>
      <c r="AC68" s="420"/>
    </row>
    <row r="69" spans="2:29" ht="16" customHeight="1">
      <c r="B69" s="3629" t="s">
        <v>7196</v>
      </c>
      <c r="C69" s="3630"/>
      <c r="D69" s="3630"/>
      <c r="E69" s="426">
        <v>90</v>
      </c>
      <c r="F69" s="44"/>
      <c r="G69" s="3653" t="s">
        <v>7197</v>
      </c>
      <c r="H69" s="3654"/>
      <c r="I69" s="3654"/>
      <c r="J69" s="3654"/>
      <c r="K69" s="3655"/>
      <c r="L69" s="44"/>
      <c r="M69" s="3658" t="s">
        <v>612</v>
      </c>
      <c r="N69" s="3659"/>
      <c r="O69" s="3659"/>
      <c r="P69" s="421" t="s">
        <v>7077</v>
      </c>
      <c r="Q69" s="44"/>
      <c r="R69" s="3660" t="s">
        <v>7198</v>
      </c>
      <c r="S69" s="3661"/>
      <c r="T69" s="424">
        <v>40</v>
      </c>
      <c r="U69" s="44"/>
      <c r="V69" s="3629" t="s">
        <v>7199</v>
      </c>
      <c r="W69" s="3630"/>
      <c r="X69" s="3630"/>
      <c r="Y69" s="3630"/>
      <c r="Z69" s="3630">
        <v>20</v>
      </c>
      <c r="AA69" s="3717"/>
      <c r="AC69" s="420"/>
    </row>
    <row r="70" spans="2:29" ht="16" customHeight="1">
      <c r="B70" s="3625" t="s">
        <v>7200</v>
      </c>
      <c r="C70" s="3626"/>
      <c r="D70" s="3626"/>
      <c r="E70" s="423">
        <v>25</v>
      </c>
      <c r="F70" s="44"/>
      <c r="G70" s="3658" t="s">
        <v>612</v>
      </c>
      <c r="H70" s="3659"/>
      <c r="I70" s="3659"/>
      <c r="J70" s="3659"/>
      <c r="K70" s="421" t="s">
        <v>7077</v>
      </c>
      <c r="L70" s="44"/>
      <c r="M70" s="3625" t="s">
        <v>7201</v>
      </c>
      <c r="N70" s="3626"/>
      <c r="O70" s="3626"/>
      <c r="P70" s="423">
        <v>40</v>
      </c>
      <c r="Q70" s="44"/>
      <c r="R70" s="3656" t="s">
        <v>7202</v>
      </c>
      <c r="S70" s="3657"/>
      <c r="T70" s="427">
        <v>450</v>
      </c>
      <c r="U70" s="44"/>
      <c r="V70" s="3625" t="s">
        <v>7203</v>
      </c>
      <c r="W70" s="3626"/>
      <c r="X70" s="3626"/>
      <c r="Y70" s="3626"/>
      <c r="Z70" s="3626" t="s">
        <v>7204</v>
      </c>
      <c r="AA70" s="3719"/>
      <c r="AC70" s="420"/>
    </row>
    <row r="71" spans="2:29" ht="16" customHeight="1">
      <c r="B71" s="3629" t="s">
        <v>7205</v>
      </c>
      <c r="C71" s="3630"/>
      <c r="D71" s="3630"/>
      <c r="E71" s="426">
        <v>35</v>
      </c>
      <c r="F71" s="44"/>
      <c r="G71" s="3625" t="s">
        <v>7206</v>
      </c>
      <c r="H71" s="3626"/>
      <c r="I71" s="3626"/>
      <c r="J71" s="3626"/>
      <c r="K71" s="441">
        <v>70</v>
      </c>
      <c r="L71" s="44"/>
      <c r="M71" s="3629" t="s">
        <v>7207</v>
      </c>
      <c r="N71" s="3630"/>
      <c r="O71" s="3630"/>
      <c r="P71" s="426" t="s">
        <v>7208</v>
      </c>
      <c r="Q71" s="44"/>
      <c r="R71" s="3660" t="s">
        <v>7209</v>
      </c>
      <c r="S71" s="3661"/>
      <c r="T71" s="424">
        <v>10</v>
      </c>
      <c r="U71" s="44"/>
      <c r="V71" s="3629" t="s">
        <v>7210</v>
      </c>
      <c r="W71" s="3630"/>
      <c r="X71" s="3630"/>
      <c r="Y71" s="3630"/>
      <c r="Z71" s="3630">
        <v>38</v>
      </c>
      <c r="AA71" s="3717"/>
      <c r="AC71" s="420"/>
    </row>
    <row r="72" spans="2:29" ht="16" customHeight="1">
      <c r="B72" s="3625" t="s">
        <v>7211</v>
      </c>
      <c r="C72" s="3626"/>
      <c r="D72" s="3626"/>
      <c r="E72" s="423">
        <v>260</v>
      </c>
      <c r="F72" s="44"/>
      <c r="G72" s="3629" t="s">
        <v>7212</v>
      </c>
      <c r="H72" s="3630"/>
      <c r="I72" s="3630"/>
      <c r="J72" s="3630"/>
      <c r="K72" s="442">
        <v>300</v>
      </c>
      <c r="L72" s="44"/>
      <c r="M72" s="3625" t="s">
        <v>7213</v>
      </c>
      <c r="N72" s="3626"/>
      <c r="O72" s="3626"/>
      <c r="P72" s="423">
        <v>500</v>
      </c>
      <c r="Q72" s="44"/>
      <c r="R72" s="3656" t="s">
        <v>7214</v>
      </c>
      <c r="S72" s="3657"/>
      <c r="T72" s="427">
        <v>240</v>
      </c>
      <c r="U72" s="44"/>
      <c r="V72" s="3688" t="s">
        <v>7215</v>
      </c>
      <c r="W72" s="3626"/>
      <c r="X72" s="3626"/>
      <c r="Y72" s="3626"/>
      <c r="Z72" s="3626">
        <v>35</v>
      </c>
      <c r="AA72" s="3719"/>
      <c r="AC72" s="420"/>
    </row>
    <row r="73" spans="2:29" ht="16" customHeight="1">
      <c r="B73" s="3629" t="s">
        <v>7216</v>
      </c>
      <c r="C73" s="3630"/>
      <c r="D73" s="3630"/>
      <c r="E73" s="426">
        <v>190</v>
      </c>
      <c r="F73" s="44"/>
      <c r="G73" s="3625" t="s">
        <v>7217</v>
      </c>
      <c r="H73" s="3626"/>
      <c r="I73" s="3626"/>
      <c r="J73" s="3626"/>
      <c r="K73" s="441" t="s">
        <v>7218</v>
      </c>
      <c r="L73" s="44"/>
      <c r="M73" s="3629" t="s">
        <v>7219</v>
      </c>
      <c r="N73" s="3630"/>
      <c r="O73" s="3630"/>
      <c r="P73" s="426" t="s">
        <v>6844</v>
      </c>
      <c r="Q73" s="44"/>
      <c r="R73" s="3660" t="s">
        <v>7220</v>
      </c>
      <c r="S73" s="3661"/>
      <c r="T73" s="424">
        <v>400</v>
      </c>
      <c r="U73" s="44"/>
      <c r="V73" s="3629" t="s">
        <v>7221</v>
      </c>
      <c r="W73" s="3630"/>
      <c r="X73" s="3630"/>
      <c r="Y73" s="3630"/>
      <c r="Z73" s="3630">
        <v>60</v>
      </c>
      <c r="AA73" s="3717"/>
      <c r="AC73" s="420"/>
    </row>
    <row r="74" spans="2:29" ht="16" customHeight="1">
      <c r="B74" s="3625" t="s">
        <v>7222</v>
      </c>
      <c r="C74" s="3626"/>
      <c r="D74" s="3626"/>
      <c r="E74" s="423">
        <v>35</v>
      </c>
      <c r="F74" s="44"/>
      <c r="G74" s="3674" t="s">
        <v>7223</v>
      </c>
      <c r="H74" s="3675"/>
      <c r="I74" s="3675"/>
      <c r="J74" s="3675"/>
      <c r="K74" s="443">
        <v>200</v>
      </c>
      <c r="L74" s="44"/>
      <c r="M74" s="3625" t="s">
        <v>7224</v>
      </c>
      <c r="N74" s="3626"/>
      <c r="O74" s="3626"/>
      <c r="P74" s="423" t="s">
        <v>7204</v>
      </c>
      <c r="Q74" s="44"/>
      <c r="R74" s="3656" t="s">
        <v>7225</v>
      </c>
      <c r="S74" s="3657"/>
      <c r="T74" s="427">
        <v>200</v>
      </c>
      <c r="U74" s="44"/>
      <c r="V74" s="3631" t="s">
        <v>7226</v>
      </c>
      <c r="W74" s="3632"/>
      <c r="X74" s="3632"/>
      <c r="Y74" s="3632"/>
      <c r="Z74" s="3632">
        <v>25</v>
      </c>
      <c r="AA74" s="3718"/>
      <c r="AC74" s="420"/>
    </row>
    <row r="75" spans="2:29" ht="16" customHeight="1">
      <c r="B75" s="3629" t="s">
        <v>7227</v>
      </c>
      <c r="C75" s="3630"/>
      <c r="D75" s="3630"/>
      <c r="E75" s="426">
        <v>50</v>
      </c>
      <c r="F75" s="44"/>
      <c r="G75" s="44"/>
      <c r="H75" s="44"/>
      <c r="I75" s="44"/>
      <c r="J75" s="44"/>
      <c r="K75" s="44"/>
      <c r="L75" s="44"/>
      <c r="M75" s="3629" t="s">
        <v>7228</v>
      </c>
      <c r="N75" s="3630"/>
      <c r="O75" s="3630"/>
      <c r="P75" s="426" t="s">
        <v>7229</v>
      </c>
      <c r="Q75" s="44"/>
      <c r="R75" s="3660" t="s">
        <v>7230</v>
      </c>
      <c r="S75" s="3661"/>
      <c r="T75" s="424">
        <v>260</v>
      </c>
      <c r="U75" s="44"/>
      <c r="V75" s="444"/>
      <c r="W75" s="444"/>
      <c r="X75" s="444"/>
      <c r="Y75" s="444"/>
      <c r="Z75" s="444"/>
      <c r="AA75" s="444"/>
      <c r="AC75" s="420"/>
    </row>
    <row r="76" spans="2:29" ht="16" customHeight="1">
      <c r="B76" s="3625" t="s">
        <v>7231</v>
      </c>
      <c r="C76" s="3626"/>
      <c r="D76" s="3626"/>
      <c r="E76" s="423">
        <v>100</v>
      </c>
      <c r="F76" s="44"/>
      <c r="G76" s="3653" t="s">
        <v>7232</v>
      </c>
      <c r="H76" s="3654"/>
      <c r="I76" s="3654"/>
      <c r="J76" s="3654"/>
      <c r="K76" s="3655"/>
      <c r="L76" s="44"/>
      <c r="M76" s="3631" t="s">
        <v>7233</v>
      </c>
      <c r="N76" s="3632"/>
      <c r="O76" s="3632"/>
      <c r="P76" s="434" t="s">
        <v>7234</v>
      </c>
      <c r="Q76" s="44"/>
      <c r="R76" s="3656" t="s">
        <v>7235</v>
      </c>
      <c r="S76" s="3657"/>
      <c r="T76" s="427">
        <v>60</v>
      </c>
      <c r="U76" s="44"/>
      <c r="V76" s="444"/>
      <c r="W76" s="444"/>
      <c r="X76" s="444"/>
      <c r="Y76" s="444"/>
      <c r="Z76" s="444"/>
      <c r="AA76" s="444"/>
      <c r="AC76" s="420"/>
    </row>
    <row r="77" spans="2:29" ht="16" customHeight="1">
      <c r="B77" s="3629" t="s">
        <v>7236</v>
      </c>
      <c r="C77" s="3630"/>
      <c r="D77" s="3630"/>
      <c r="E77" s="426">
        <v>160</v>
      </c>
      <c r="F77" s="44"/>
      <c r="G77" s="3658" t="s">
        <v>612</v>
      </c>
      <c r="H77" s="3659"/>
      <c r="I77" s="3659"/>
      <c r="J77" s="3659"/>
      <c r="K77" s="421" t="s">
        <v>7077</v>
      </c>
      <c r="L77" s="44"/>
      <c r="M77" s="44"/>
      <c r="N77" s="44"/>
      <c r="O77" s="44"/>
      <c r="P77" s="44"/>
      <c r="Q77" s="44"/>
      <c r="R77" s="3660" t="s">
        <v>7237</v>
      </c>
      <c r="S77" s="3661"/>
      <c r="T77" s="424">
        <v>250</v>
      </c>
      <c r="U77" s="44"/>
      <c r="V77" s="444"/>
      <c r="W77" s="444"/>
      <c r="X77" s="444"/>
      <c r="Y77" s="444"/>
      <c r="Z77" s="444"/>
      <c r="AA77" s="444"/>
      <c r="AC77" s="420"/>
    </row>
    <row r="78" spans="2:29" ht="16" customHeight="1">
      <c r="B78" s="3625" t="s">
        <v>7163</v>
      </c>
      <c r="C78" s="3626"/>
      <c r="D78" s="3626"/>
      <c r="E78" s="423">
        <v>200</v>
      </c>
      <c r="F78" s="44"/>
      <c r="G78" s="3629" t="s">
        <v>7238</v>
      </c>
      <c r="H78" s="3630"/>
      <c r="I78" s="3630"/>
      <c r="J78" s="3630"/>
      <c r="K78" s="442">
        <v>100</v>
      </c>
      <c r="L78" s="44"/>
      <c r="M78" s="3653" t="s">
        <v>7239</v>
      </c>
      <c r="N78" s="3654"/>
      <c r="O78" s="3654"/>
      <c r="P78" s="3655"/>
      <c r="Q78" s="44"/>
      <c r="R78" s="3656" t="s">
        <v>7240</v>
      </c>
      <c r="S78" s="3657"/>
      <c r="T78" s="427">
        <v>400</v>
      </c>
      <c r="U78" s="44"/>
      <c r="V78" s="444"/>
      <c r="W78" s="444"/>
      <c r="X78" s="444"/>
      <c r="Y78" s="444"/>
      <c r="Z78" s="444"/>
      <c r="AA78" s="444"/>
      <c r="AC78" s="420"/>
    </row>
    <row r="79" spans="2:29" ht="16" customHeight="1">
      <c r="B79" s="3629" t="s">
        <v>7241</v>
      </c>
      <c r="C79" s="3630"/>
      <c r="D79" s="3630"/>
      <c r="E79" s="426">
        <v>350</v>
      </c>
      <c r="F79" s="44"/>
      <c r="G79" s="3625" t="s">
        <v>7242</v>
      </c>
      <c r="H79" s="3626"/>
      <c r="I79" s="3626"/>
      <c r="J79" s="3626"/>
      <c r="K79" s="441">
        <v>30</v>
      </c>
      <c r="L79" s="44"/>
      <c r="M79" s="3658" t="s">
        <v>612</v>
      </c>
      <c r="N79" s="3659"/>
      <c r="O79" s="3659"/>
      <c r="P79" s="421" t="s">
        <v>7077</v>
      </c>
      <c r="Q79" s="419"/>
      <c r="R79" s="3660" t="s">
        <v>7243</v>
      </c>
      <c r="S79" s="3661"/>
      <c r="T79" s="424">
        <v>900</v>
      </c>
      <c r="U79" s="44"/>
      <c r="V79" s="444"/>
      <c r="W79" s="444"/>
      <c r="X79" s="444"/>
      <c r="Y79" s="444"/>
      <c r="Z79" s="444"/>
      <c r="AA79" s="444"/>
      <c r="AC79" s="420"/>
    </row>
    <row r="80" spans="2:29" ht="16" customHeight="1">
      <c r="B80" s="3625" t="s">
        <v>7244</v>
      </c>
      <c r="C80" s="3626"/>
      <c r="D80" s="3626"/>
      <c r="E80" s="423">
        <v>20</v>
      </c>
      <c r="F80" s="44"/>
      <c r="G80" s="3629" t="s">
        <v>7245</v>
      </c>
      <c r="H80" s="3630"/>
      <c r="I80" s="3630"/>
      <c r="J80" s="3630"/>
      <c r="K80" s="442">
        <v>60</v>
      </c>
      <c r="L80" s="44"/>
      <c r="M80" s="3625" t="s">
        <v>7246</v>
      </c>
      <c r="N80" s="3626"/>
      <c r="O80" s="3626"/>
      <c r="P80" s="423" t="s">
        <v>7080</v>
      </c>
      <c r="Q80" s="419"/>
      <c r="R80" s="3656" t="s">
        <v>7247</v>
      </c>
      <c r="S80" s="3657"/>
      <c r="T80" s="427">
        <v>200</v>
      </c>
      <c r="U80" s="419"/>
      <c r="V80" s="444"/>
      <c r="W80" s="444"/>
      <c r="X80" s="444"/>
      <c r="Y80" s="444"/>
      <c r="Z80" s="444"/>
      <c r="AA80" s="444"/>
      <c r="AC80" s="420"/>
    </row>
    <row r="81" spans="2:27" ht="16" customHeight="1">
      <c r="B81" s="3629" t="s">
        <v>7159</v>
      </c>
      <c r="C81" s="3630"/>
      <c r="D81" s="3630"/>
      <c r="E81" s="426">
        <v>60</v>
      </c>
      <c r="F81" s="44"/>
      <c r="G81" s="3625" t="s">
        <v>7248</v>
      </c>
      <c r="H81" s="3626"/>
      <c r="I81" s="3626"/>
      <c r="J81" s="3626"/>
      <c r="K81" s="441">
        <v>160</v>
      </c>
      <c r="L81" s="419"/>
      <c r="M81" s="3629" t="s">
        <v>7249</v>
      </c>
      <c r="N81" s="3630"/>
      <c r="O81" s="3630"/>
      <c r="P81" s="426" t="s">
        <v>7250</v>
      </c>
      <c r="Q81" s="419"/>
      <c r="R81" s="3660" t="s">
        <v>7251</v>
      </c>
      <c r="S81" s="3661"/>
      <c r="T81" s="424" t="s">
        <v>7178</v>
      </c>
      <c r="U81" s="44"/>
      <c r="V81" s="444"/>
      <c r="W81" s="444"/>
      <c r="X81" s="444"/>
      <c r="Y81" s="444"/>
      <c r="Z81" s="444"/>
      <c r="AA81" s="444"/>
    </row>
    <row r="82" spans="2:27" ht="16" customHeight="1">
      <c r="B82" s="3631" t="s">
        <v>7167</v>
      </c>
      <c r="C82" s="3632"/>
      <c r="D82" s="3632"/>
      <c r="E82" s="434" t="s">
        <v>7204</v>
      </c>
      <c r="F82" s="44"/>
      <c r="G82" s="3674" t="s">
        <v>7252</v>
      </c>
      <c r="H82" s="3675"/>
      <c r="I82" s="3675"/>
      <c r="J82" s="3675"/>
      <c r="K82" s="443">
        <v>70</v>
      </c>
      <c r="L82" s="44"/>
      <c r="M82" s="3625" t="s">
        <v>7253</v>
      </c>
      <c r="N82" s="3626"/>
      <c r="O82" s="3626"/>
      <c r="P82" s="423">
        <v>10</v>
      </c>
      <c r="Q82" s="419"/>
      <c r="R82" s="3656" t="s">
        <v>7254</v>
      </c>
      <c r="S82" s="3657"/>
      <c r="T82" s="427" t="s">
        <v>6844</v>
      </c>
      <c r="U82" s="44"/>
      <c r="V82" s="444"/>
      <c r="W82" s="444"/>
      <c r="X82" s="444"/>
      <c r="Y82" s="444"/>
      <c r="Z82" s="444"/>
      <c r="AA82" s="444"/>
    </row>
    <row r="83" spans="2:27" ht="16" customHeight="1">
      <c r="B83" s="444"/>
      <c r="C83" s="444"/>
      <c r="D83" s="444"/>
      <c r="E83" s="419"/>
      <c r="F83" s="44"/>
      <c r="G83" s="44"/>
      <c r="H83" s="44"/>
      <c r="I83" s="44"/>
      <c r="J83" s="44"/>
      <c r="K83" s="44"/>
      <c r="L83" s="44"/>
      <c r="M83" s="3629" t="s">
        <v>7255</v>
      </c>
      <c r="N83" s="3630"/>
      <c r="O83" s="3630"/>
      <c r="P83" s="426" t="s">
        <v>6931</v>
      </c>
      <c r="Q83" s="419"/>
      <c r="R83" s="3715" t="s">
        <v>7256</v>
      </c>
      <c r="S83" s="3716"/>
      <c r="T83" s="429" t="s">
        <v>7204</v>
      </c>
      <c r="U83" s="44"/>
      <c r="V83" s="445"/>
      <c r="W83" s="445"/>
      <c r="X83" s="445"/>
      <c r="Y83" s="44"/>
      <c r="Z83" s="44"/>
      <c r="AA83" s="44"/>
    </row>
    <row r="84" spans="2:27" ht="16" customHeight="1">
      <c r="B84" s="419"/>
      <c r="C84" s="419"/>
      <c r="D84" s="419"/>
      <c r="E84" s="419"/>
      <c r="F84" s="44"/>
      <c r="G84" s="44"/>
      <c r="H84" s="44"/>
      <c r="I84" s="419"/>
      <c r="J84" s="44"/>
      <c r="K84" s="44"/>
      <c r="L84" s="44"/>
      <c r="M84" s="3625" t="s">
        <v>7257</v>
      </c>
      <c r="N84" s="3626"/>
      <c r="O84" s="3626"/>
      <c r="P84" s="423">
        <v>55</v>
      </c>
      <c r="Q84" s="419"/>
      <c r="R84" s="44"/>
      <c r="S84" s="44"/>
      <c r="T84" s="44"/>
      <c r="U84" s="44"/>
      <c r="V84" s="44"/>
      <c r="W84" s="44"/>
      <c r="X84" s="44"/>
      <c r="Y84" s="44"/>
      <c r="Z84" s="44"/>
      <c r="AA84" s="44"/>
    </row>
    <row r="85" spans="2:27" ht="16" customHeight="1">
      <c r="B85" s="419"/>
      <c r="C85" s="419"/>
      <c r="D85" s="419"/>
      <c r="E85" s="419"/>
      <c r="F85" s="44"/>
      <c r="G85" s="44"/>
      <c r="H85" s="44"/>
      <c r="I85" s="419"/>
      <c r="J85" s="44"/>
      <c r="K85" s="44"/>
      <c r="L85" s="44"/>
      <c r="M85" s="3674" t="s">
        <v>7258</v>
      </c>
      <c r="N85" s="3675"/>
      <c r="O85" s="3675"/>
      <c r="P85" s="439">
        <v>65</v>
      </c>
      <c r="Q85" s="419"/>
      <c r="R85" s="44"/>
      <c r="S85" s="44"/>
      <c r="T85" s="44"/>
      <c r="U85" s="44"/>
      <c r="V85" s="44"/>
      <c r="W85" s="44"/>
      <c r="X85" s="44"/>
      <c r="Y85" s="44"/>
      <c r="Z85" s="44"/>
      <c r="AA85" s="44"/>
    </row>
    <row r="86" spans="2:27" ht="16" customHeight="1">
      <c r="B86" s="420"/>
      <c r="C86" s="420"/>
      <c r="D86" s="420"/>
      <c r="E86" s="420"/>
      <c r="I86" s="420"/>
      <c r="Q86" s="420"/>
    </row>
    <row r="87" spans="2:27" ht="16" customHeight="1">
      <c r="B87" s="3319" t="s">
        <v>7259</v>
      </c>
      <c r="C87" s="3320"/>
      <c r="D87" s="3320"/>
      <c r="E87" s="3320"/>
      <c r="F87" s="3320"/>
      <c r="G87" s="3320"/>
      <c r="H87" s="3320"/>
      <c r="I87" s="3320"/>
      <c r="J87" s="3320"/>
      <c r="K87" s="3320"/>
      <c r="L87" s="3320"/>
      <c r="M87" s="3320"/>
      <c r="N87" s="3320"/>
      <c r="O87" s="3320"/>
      <c r="P87" s="3320"/>
      <c r="Q87" s="3320"/>
      <c r="R87" s="3320"/>
      <c r="S87" s="3320"/>
      <c r="T87" s="3320"/>
      <c r="U87" s="3320"/>
      <c r="V87" s="3320"/>
      <c r="W87" s="3320"/>
      <c r="X87" s="3320"/>
      <c r="Y87" s="3320"/>
      <c r="Z87" s="3320"/>
      <c r="AA87" s="3321"/>
    </row>
    <row r="88" spans="2:27" ht="16" customHeight="1">
      <c r="B88" s="3322"/>
      <c r="C88" s="3323"/>
      <c r="D88" s="3323"/>
      <c r="E88" s="3323"/>
      <c r="F88" s="3323"/>
      <c r="G88" s="3323"/>
      <c r="H88" s="3323"/>
      <c r="I88" s="3323"/>
      <c r="J88" s="3323"/>
      <c r="K88" s="3323"/>
      <c r="L88" s="3323"/>
      <c r="M88" s="3323"/>
      <c r="N88" s="3323"/>
      <c r="O88" s="3323"/>
      <c r="P88" s="3323"/>
      <c r="Q88" s="3323"/>
      <c r="R88" s="3323"/>
      <c r="S88" s="3323"/>
      <c r="T88" s="3323"/>
      <c r="U88" s="3323"/>
      <c r="V88" s="3323"/>
      <c r="W88" s="3323"/>
      <c r="X88" s="3323"/>
      <c r="Y88" s="3323"/>
      <c r="Z88" s="3323"/>
      <c r="AA88" s="3324"/>
    </row>
    <row r="89" spans="2:27" ht="16" customHeight="1">
      <c r="B89" s="3325"/>
      <c r="C89" s="3326"/>
      <c r="D89" s="3326"/>
      <c r="E89" s="3326"/>
      <c r="F89" s="3326"/>
      <c r="G89" s="3326"/>
      <c r="H89" s="3326"/>
      <c r="I89" s="3326"/>
      <c r="J89" s="3326"/>
      <c r="K89" s="3326"/>
      <c r="L89" s="3326"/>
      <c r="M89" s="3326"/>
      <c r="N89" s="3326"/>
      <c r="O89" s="3326"/>
      <c r="P89" s="3326"/>
      <c r="Q89" s="3326"/>
      <c r="R89" s="3326"/>
      <c r="S89" s="3326"/>
      <c r="T89" s="3326"/>
      <c r="U89" s="3326"/>
      <c r="V89" s="3326"/>
      <c r="W89" s="3326"/>
      <c r="X89" s="3326"/>
      <c r="Y89" s="3326"/>
      <c r="Z89" s="3326"/>
      <c r="AA89" s="3327"/>
    </row>
    <row r="90" spans="2:27" ht="16" customHeight="1">
      <c r="B90" s="3714" t="s">
        <v>7260</v>
      </c>
      <c r="C90" s="3714"/>
      <c r="D90" s="3714"/>
      <c r="E90" s="3714"/>
      <c r="F90" s="3714"/>
      <c r="G90" s="3714"/>
      <c r="H90" s="3714"/>
      <c r="I90" s="3714"/>
      <c r="J90" s="3714"/>
      <c r="K90" s="3714"/>
      <c r="L90" s="3714"/>
      <c r="M90" s="3714"/>
      <c r="N90" s="3714"/>
      <c r="O90" s="3714"/>
      <c r="P90" s="3714"/>
      <c r="Q90" s="3714"/>
      <c r="R90" s="3714"/>
      <c r="S90" s="3714"/>
      <c r="T90" s="3714"/>
      <c r="U90" s="3714"/>
      <c r="V90" s="3714"/>
      <c r="W90" s="3714"/>
      <c r="X90" s="3714"/>
      <c r="Y90" s="3714"/>
      <c r="Z90" s="3714"/>
      <c r="AA90" s="3714"/>
    </row>
    <row r="91" spans="2:27" ht="16" customHeight="1">
      <c r="B91" s="3653" t="s">
        <v>7072</v>
      </c>
      <c r="C91" s="3654"/>
      <c r="D91" s="3654"/>
      <c r="E91" s="3655"/>
      <c r="G91" s="3653" t="s">
        <v>7074</v>
      </c>
      <c r="H91" s="3654"/>
      <c r="I91" s="3654"/>
      <c r="J91" s="3654"/>
      <c r="K91" s="3655"/>
      <c r="L91" s="10"/>
      <c r="M91" s="3653" t="s">
        <v>7261</v>
      </c>
      <c r="N91" s="3654"/>
      <c r="O91" s="3654"/>
      <c r="P91" s="3654"/>
      <c r="Q91" s="3655"/>
      <c r="R91" s="446"/>
      <c r="S91" s="3653" t="s">
        <v>7262</v>
      </c>
      <c r="T91" s="3654"/>
      <c r="U91" s="3654"/>
      <c r="V91" s="3655"/>
      <c r="W91" s="447"/>
      <c r="X91" s="3653" t="s">
        <v>7263</v>
      </c>
      <c r="Y91" s="3654"/>
      <c r="Z91" s="3654"/>
      <c r="AA91" s="3655"/>
    </row>
    <row r="92" spans="2:27" ht="16" customHeight="1">
      <c r="B92" s="3658" t="s">
        <v>612</v>
      </c>
      <c r="C92" s="3659"/>
      <c r="D92" s="422" t="s">
        <v>7077</v>
      </c>
      <c r="E92" s="421" t="s">
        <v>7264</v>
      </c>
      <c r="G92" s="3658" t="s">
        <v>612</v>
      </c>
      <c r="H92" s="3659"/>
      <c r="I92" s="3659"/>
      <c r="J92" s="422" t="s">
        <v>7077</v>
      </c>
      <c r="K92" s="421" t="s">
        <v>7264</v>
      </c>
      <c r="L92" s="10"/>
      <c r="M92" s="3658" t="s">
        <v>612</v>
      </c>
      <c r="N92" s="3659"/>
      <c r="O92" s="3659"/>
      <c r="P92" s="422" t="s">
        <v>7077</v>
      </c>
      <c r="Q92" s="448" t="s">
        <v>7264</v>
      </c>
      <c r="R92" s="449"/>
      <c r="S92" s="3658" t="s">
        <v>612</v>
      </c>
      <c r="T92" s="3659"/>
      <c r="U92" s="422" t="s">
        <v>7077</v>
      </c>
      <c r="V92" s="448" t="s">
        <v>7264</v>
      </c>
      <c r="X92" s="3658" t="s">
        <v>612</v>
      </c>
      <c r="Y92" s="3659"/>
      <c r="Z92" s="422" t="s">
        <v>7078</v>
      </c>
      <c r="AA92" s="448" t="s">
        <v>7077</v>
      </c>
    </row>
    <row r="93" spans="2:27" ht="16" customHeight="1">
      <c r="B93" s="3625" t="s">
        <v>7265</v>
      </c>
      <c r="C93" s="3626"/>
      <c r="D93" s="425">
        <v>17.95</v>
      </c>
      <c r="E93" s="423">
        <f t="shared" ref="E93:E97" si="0">D93*20</f>
        <v>359</v>
      </c>
      <c r="G93" s="3625" t="s">
        <v>7266</v>
      </c>
      <c r="H93" s="3626"/>
      <c r="I93" s="3626"/>
      <c r="J93" s="425">
        <v>8.98</v>
      </c>
      <c r="K93" s="423">
        <f t="shared" ref="K93:K104" si="1">J93*20</f>
        <v>179.60000000000002</v>
      </c>
      <c r="L93" s="10"/>
      <c r="M93" s="3625" t="s">
        <v>7267</v>
      </c>
      <c r="N93" s="3626"/>
      <c r="O93" s="3626"/>
      <c r="P93" s="425">
        <v>1.79</v>
      </c>
      <c r="Q93" s="423">
        <f t="shared" ref="Q93:Q99" si="2">P93*20</f>
        <v>35.799999999999997</v>
      </c>
      <c r="R93" s="449"/>
      <c r="S93" s="3645" t="s">
        <v>7268</v>
      </c>
      <c r="T93" s="3646"/>
      <c r="U93" s="425">
        <v>2.5</v>
      </c>
      <c r="V93" s="423">
        <f t="shared" ref="V93:V98" si="3">U93*20</f>
        <v>50</v>
      </c>
      <c r="X93" s="3707" t="s">
        <v>7085</v>
      </c>
      <c r="Y93" s="3708"/>
      <c r="Z93" s="425">
        <v>100</v>
      </c>
      <c r="AA93" s="423">
        <v>0.54</v>
      </c>
    </row>
    <row r="94" spans="2:27" ht="16" customHeight="1">
      <c r="B94" s="3629" t="s">
        <v>7269</v>
      </c>
      <c r="C94" s="3630"/>
      <c r="D94" s="436">
        <v>18.5</v>
      </c>
      <c r="E94" s="426">
        <f t="shared" si="0"/>
        <v>370</v>
      </c>
      <c r="G94" s="3629" t="s">
        <v>7270</v>
      </c>
      <c r="H94" s="3630"/>
      <c r="I94" s="3630"/>
      <c r="J94" s="436">
        <v>6.1</v>
      </c>
      <c r="K94" s="426">
        <f t="shared" si="1"/>
        <v>122</v>
      </c>
      <c r="L94" s="10"/>
      <c r="M94" s="3629" t="s">
        <v>7271</v>
      </c>
      <c r="N94" s="3630"/>
      <c r="O94" s="3630"/>
      <c r="P94" s="436">
        <v>2.98</v>
      </c>
      <c r="Q94" s="426">
        <f t="shared" si="2"/>
        <v>59.6</v>
      </c>
      <c r="R94" s="449"/>
      <c r="S94" s="3629" t="s">
        <v>7272</v>
      </c>
      <c r="T94" s="3630"/>
      <c r="U94" s="436">
        <v>0.45</v>
      </c>
      <c r="V94" s="426">
        <f t="shared" si="3"/>
        <v>9</v>
      </c>
      <c r="X94" s="3709" t="s">
        <v>7273</v>
      </c>
      <c r="Y94" s="3710"/>
      <c r="Z94" s="436">
        <v>100</v>
      </c>
      <c r="AA94" s="426">
        <v>0.53</v>
      </c>
    </row>
    <row r="95" spans="2:27" ht="16" customHeight="1">
      <c r="B95" s="3625" t="s">
        <v>7274</v>
      </c>
      <c r="C95" s="3626"/>
      <c r="D95" s="425">
        <v>13.85</v>
      </c>
      <c r="E95" s="423">
        <f t="shared" si="0"/>
        <v>277</v>
      </c>
      <c r="G95" s="3625" t="s">
        <v>7275</v>
      </c>
      <c r="H95" s="3626"/>
      <c r="I95" s="3626"/>
      <c r="J95" s="425">
        <v>0.89</v>
      </c>
      <c r="K95" s="423">
        <f t="shared" si="1"/>
        <v>17.8</v>
      </c>
      <c r="L95" s="10"/>
      <c r="M95" s="3625" t="s">
        <v>7276</v>
      </c>
      <c r="N95" s="3626"/>
      <c r="O95" s="3626"/>
      <c r="P95" s="425">
        <v>2.98</v>
      </c>
      <c r="Q95" s="423">
        <f t="shared" si="2"/>
        <v>59.6</v>
      </c>
      <c r="R95" s="449"/>
      <c r="S95" s="3625" t="s">
        <v>7277</v>
      </c>
      <c r="T95" s="3626"/>
      <c r="U95" s="425">
        <v>0.65</v>
      </c>
      <c r="V95" s="423">
        <f t="shared" si="3"/>
        <v>13</v>
      </c>
      <c r="X95" s="3711" t="s">
        <v>7278</v>
      </c>
      <c r="Y95" s="3712"/>
      <c r="Z95" s="425">
        <v>100</v>
      </c>
      <c r="AA95" s="423">
        <v>1.34</v>
      </c>
    </row>
    <row r="96" spans="2:27" ht="16" customHeight="1">
      <c r="B96" s="3629" t="s">
        <v>7279</v>
      </c>
      <c r="C96" s="3630"/>
      <c r="D96" s="436">
        <v>9.9499999999999993</v>
      </c>
      <c r="E96" s="426">
        <f t="shared" si="0"/>
        <v>199</v>
      </c>
      <c r="G96" s="3629" t="s">
        <v>7280</v>
      </c>
      <c r="H96" s="3630"/>
      <c r="I96" s="3630"/>
      <c r="J96" s="436">
        <v>6.79</v>
      </c>
      <c r="K96" s="426">
        <f t="shared" si="1"/>
        <v>135.80000000000001</v>
      </c>
      <c r="L96" s="10"/>
      <c r="M96" s="3629" t="s">
        <v>7281</v>
      </c>
      <c r="N96" s="3630"/>
      <c r="O96" s="3630"/>
      <c r="P96" s="436">
        <v>0.98</v>
      </c>
      <c r="Q96" s="426">
        <f t="shared" si="2"/>
        <v>19.600000000000001</v>
      </c>
      <c r="R96" s="10"/>
      <c r="S96" s="3629" t="s">
        <v>7282</v>
      </c>
      <c r="T96" s="3630"/>
      <c r="U96" s="436">
        <v>1.25</v>
      </c>
      <c r="V96" s="426">
        <f t="shared" si="3"/>
        <v>25</v>
      </c>
      <c r="X96" s="3713" t="s">
        <v>7283</v>
      </c>
      <c r="Y96" s="3673"/>
      <c r="Z96" s="436">
        <v>100</v>
      </c>
      <c r="AA96" s="426">
        <v>7.63</v>
      </c>
    </row>
    <row r="97" spans="2:27" ht="16" customHeight="1">
      <c r="B97" s="3625" t="s">
        <v>7284</v>
      </c>
      <c r="C97" s="3626"/>
      <c r="D97" s="425">
        <v>0.69</v>
      </c>
      <c r="E97" s="423">
        <f t="shared" si="0"/>
        <v>13.799999999999999</v>
      </c>
      <c r="G97" s="3678" t="s">
        <v>7285</v>
      </c>
      <c r="H97" s="3679"/>
      <c r="I97" s="3679"/>
      <c r="J97" s="425">
        <v>5.0599999999999996</v>
      </c>
      <c r="K97" s="423">
        <f t="shared" si="1"/>
        <v>101.19999999999999</v>
      </c>
      <c r="L97" s="10"/>
      <c r="M97" s="3625" t="s">
        <v>7286</v>
      </c>
      <c r="N97" s="3626"/>
      <c r="O97" s="3626"/>
      <c r="P97" s="425">
        <v>2.59</v>
      </c>
      <c r="Q97" s="423">
        <f t="shared" si="2"/>
        <v>51.8</v>
      </c>
      <c r="R97" s="446"/>
      <c r="S97" s="3625" t="s">
        <v>7287</v>
      </c>
      <c r="T97" s="3626"/>
      <c r="U97" s="425">
        <v>2.5</v>
      </c>
      <c r="V97" s="423">
        <f t="shared" si="3"/>
        <v>50</v>
      </c>
      <c r="X97" s="3711" t="s">
        <v>7288</v>
      </c>
      <c r="Y97" s="3712"/>
      <c r="Z97" s="425">
        <v>100</v>
      </c>
      <c r="AA97" s="423">
        <v>5.95</v>
      </c>
    </row>
    <row r="98" spans="2:27" ht="16" customHeight="1">
      <c r="B98" s="3629" t="s">
        <v>7289</v>
      </c>
      <c r="C98" s="3630"/>
      <c r="D98" s="436" t="s">
        <v>7290</v>
      </c>
      <c r="E98" s="426" t="s">
        <v>7291</v>
      </c>
      <c r="G98" s="3629" t="s">
        <v>7292</v>
      </c>
      <c r="H98" s="3630"/>
      <c r="I98" s="3630"/>
      <c r="J98" s="436">
        <v>3.65</v>
      </c>
      <c r="K98" s="426">
        <f t="shared" si="1"/>
        <v>73</v>
      </c>
      <c r="L98" s="10"/>
      <c r="M98" s="3629" t="s">
        <v>7293</v>
      </c>
      <c r="N98" s="3630"/>
      <c r="O98" s="3630"/>
      <c r="P98" s="436">
        <v>4.95</v>
      </c>
      <c r="Q98" s="426">
        <f t="shared" si="2"/>
        <v>99</v>
      </c>
      <c r="R98" s="449"/>
      <c r="S98" s="3674" t="s">
        <v>7294</v>
      </c>
      <c r="T98" s="3675"/>
      <c r="U98" s="440">
        <v>0.45</v>
      </c>
      <c r="V98" s="439">
        <f t="shared" si="3"/>
        <v>9</v>
      </c>
      <c r="X98" s="3709" t="s">
        <v>7295</v>
      </c>
      <c r="Y98" s="3710"/>
      <c r="Z98" s="436">
        <v>100</v>
      </c>
      <c r="AA98" s="426">
        <v>2.97</v>
      </c>
    </row>
    <row r="99" spans="2:27" ht="16" customHeight="1">
      <c r="B99" s="3625" t="s">
        <v>7296</v>
      </c>
      <c r="C99" s="3626"/>
      <c r="D99" s="425">
        <v>37.5</v>
      </c>
      <c r="E99" s="423">
        <f t="shared" ref="E99:E104" si="4">D99*20</f>
        <v>750</v>
      </c>
      <c r="G99" s="3625" t="s">
        <v>7297</v>
      </c>
      <c r="H99" s="3626"/>
      <c r="I99" s="3626"/>
      <c r="J99" s="425">
        <v>2.59</v>
      </c>
      <c r="K99" s="423">
        <f t="shared" si="1"/>
        <v>51.8</v>
      </c>
      <c r="L99" s="10"/>
      <c r="M99" s="3625" t="s">
        <v>7298</v>
      </c>
      <c r="N99" s="3626"/>
      <c r="O99" s="3626"/>
      <c r="P99" s="425">
        <v>0.4</v>
      </c>
      <c r="Q99" s="423">
        <f t="shared" si="2"/>
        <v>8</v>
      </c>
      <c r="R99" s="449"/>
      <c r="X99" s="3664" t="s">
        <v>7299</v>
      </c>
      <c r="Y99" s="3665"/>
      <c r="Z99" s="425">
        <v>100</v>
      </c>
      <c r="AA99" s="423">
        <v>1.75</v>
      </c>
    </row>
    <row r="100" spans="2:27" ht="16" customHeight="1">
      <c r="B100" s="3682" t="s">
        <v>7300</v>
      </c>
      <c r="C100" s="3683"/>
      <c r="D100" s="450">
        <v>19.95</v>
      </c>
      <c r="E100" s="426">
        <f t="shared" si="4"/>
        <v>399</v>
      </c>
      <c r="G100" s="3629" t="s">
        <v>7301</v>
      </c>
      <c r="H100" s="3630"/>
      <c r="I100" s="3630"/>
      <c r="J100" s="436">
        <v>0.25</v>
      </c>
      <c r="K100" s="426">
        <f t="shared" si="1"/>
        <v>5</v>
      </c>
      <c r="L100" s="10"/>
      <c r="M100" s="3653" t="s">
        <v>7302</v>
      </c>
      <c r="N100" s="3654"/>
      <c r="O100" s="3654"/>
      <c r="P100" s="3654"/>
      <c r="Q100" s="3655"/>
      <c r="R100" s="449"/>
      <c r="S100" s="3653" t="s">
        <v>7303</v>
      </c>
      <c r="T100" s="3654"/>
      <c r="U100" s="3654"/>
      <c r="V100" s="3655"/>
      <c r="W100" s="447"/>
      <c r="X100" s="3709" t="s">
        <v>7304</v>
      </c>
      <c r="Y100" s="3710"/>
      <c r="Z100" s="436">
        <v>100</v>
      </c>
      <c r="AA100" s="426">
        <v>6.6</v>
      </c>
    </row>
    <row r="101" spans="2:27" ht="16" customHeight="1">
      <c r="B101" s="3625" t="s">
        <v>7305</v>
      </c>
      <c r="C101" s="3626"/>
      <c r="D101" s="425">
        <v>6.95</v>
      </c>
      <c r="E101" s="423">
        <f t="shared" si="4"/>
        <v>139</v>
      </c>
      <c r="G101" s="3625" t="s">
        <v>7306</v>
      </c>
      <c r="H101" s="3626"/>
      <c r="I101" s="3626"/>
      <c r="J101" s="425">
        <v>5.95</v>
      </c>
      <c r="K101" s="423">
        <f t="shared" si="1"/>
        <v>119</v>
      </c>
      <c r="L101" s="10"/>
      <c r="M101" s="3625" t="s">
        <v>7307</v>
      </c>
      <c r="N101" s="3626"/>
      <c r="O101" s="3626"/>
      <c r="P101" s="425">
        <v>1.69</v>
      </c>
      <c r="Q101" s="423">
        <f t="shared" ref="Q101:Q105" si="5">P101*20</f>
        <v>33.799999999999997</v>
      </c>
      <c r="R101" s="449"/>
      <c r="S101" s="3658" t="s">
        <v>7308</v>
      </c>
      <c r="T101" s="3659"/>
      <c r="U101" s="422" t="s">
        <v>7077</v>
      </c>
      <c r="V101" s="448" t="s">
        <v>7264</v>
      </c>
      <c r="X101" s="3707" t="s">
        <v>7309</v>
      </c>
      <c r="Y101" s="3708"/>
      <c r="Z101" s="425">
        <v>100</v>
      </c>
      <c r="AA101" s="423">
        <v>4.49</v>
      </c>
    </row>
    <row r="102" spans="2:27" ht="16" customHeight="1">
      <c r="B102" s="3629" t="s">
        <v>7310</v>
      </c>
      <c r="C102" s="3630"/>
      <c r="D102" s="436">
        <v>4.95</v>
      </c>
      <c r="E102" s="426">
        <f t="shared" si="4"/>
        <v>99</v>
      </c>
      <c r="G102" s="3629" t="s">
        <v>7311</v>
      </c>
      <c r="H102" s="3630"/>
      <c r="I102" s="3630"/>
      <c r="J102" s="436">
        <v>6.59</v>
      </c>
      <c r="K102" s="426">
        <f t="shared" si="1"/>
        <v>131.80000000000001</v>
      </c>
      <c r="L102" s="10"/>
      <c r="M102" s="3629" t="s">
        <v>7312</v>
      </c>
      <c r="N102" s="3630"/>
      <c r="O102" s="3630"/>
      <c r="P102" s="436">
        <v>3.98</v>
      </c>
      <c r="Q102" s="426">
        <f t="shared" si="5"/>
        <v>79.599999999999994</v>
      </c>
      <c r="R102" s="449"/>
      <c r="S102" s="3625" t="s">
        <v>7313</v>
      </c>
      <c r="T102" s="3626"/>
      <c r="U102" s="425">
        <v>0.25</v>
      </c>
      <c r="V102" s="423">
        <f t="shared" ref="V102:V121" si="6">U102*20</f>
        <v>5</v>
      </c>
      <c r="X102" s="3709" t="s">
        <v>7314</v>
      </c>
      <c r="Y102" s="3710"/>
      <c r="Z102" s="436">
        <v>100</v>
      </c>
      <c r="AA102" s="426">
        <v>4.43</v>
      </c>
    </row>
    <row r="103" spans="2:27" ht="16" customHeight="1">
      <c r="B103" s="3660" t="s">
        <v>7315</v>
      </c>
      <c r="C103" s="3661"/>
      <c r="D103" s="425">
        <v>8</v>
      </c>
      <c r="E103" s="423">
        <f t="shared" si="4"/>
        <v>160</v>
      </c>
      <c r="G103" s="3625" t="s">
        <v>7316</v>
      </c>
      <c r="H103" s="3626"/>
      <c r="I103" s="3626"/>
      <c r="J103" s="425">
        <v>1.39</v>
      </c>
      <c r="K103" s="423">
        <f t="shared" si="1"/>
        <v>27.799999999999997</v>
      </c>
      <c r="L103" s="10"/>
      <c r="M103" s="3625" t="s">
        <v>7317</v>
      </c>
      <c r="N103" s="3626"/>
      <c r="O103" s="3626"/>
      <c r="P103" s="425">
        <v>0.8</v>
      </c>
      <c r="Q103" s="423">
        <f t="shared" si="5"/>
        <v>16</v>
      </c>
      <c r="R103" s="449"/>
      <c r="S103" s="3629" t="s">
        <v>7318</v>
      </c>
      <c r="T103" s="3630"/>
      <c r="U103" s="436">
        <v>0.1</v>
      </c>
      <c r="V103" s="426">
        <f t="shared" si="6"/>
        <v>2</v>
      </c>
      <c r="X103" s="3664" t="s">
        <v>7145</v>
      </c>
      <c r="Y103" s="3665"/>
      <c r="Z103" s="425">
        <v>25</v>
      </c>
      <c r="AA103" s="423">
        <v>1</v>
      </c>
    </row>
    <row r="104" spans="2:27" ht="16" customHeight="1">
      <c r="B104" s="3629" t="s">
        <v>7319</v>
      </c>
      <c r="C104" s="3630"/>
      <c r="D104" s="436">
        <v>4.95</v>
      </c>
      <c r="E104" s="426">
        <f t="shared" si="4"/>
        <v>99</v>
      </c>
      <c r="G104" s="3629" t="s">
        <v>7320</v>
      </c>
      <c r="H104" s="3630"/>
      <c r="I104" s="3630"/>
      <c r="J104" s="436">
        <v>1.68</v>
      </c>
      <c r="K104" s="426">
        <f t="shared" si="1"/>
        <v>33.6</v>
      </c>
      <c r="L104" s="10"/>
      <c r="M104" s="3629" t="s">
        <v>7321</v>
      </c>
      <c r="N104" s="3630"/>
      <c r="O104" s="3630"/>
      <c r="P104" s="436">
        <v>1.04</v>
      </c>
      <c r="Q104" s="426">
        <f t="shared" si="5"/>
        <v>20.8</v>
      </c>
      <c r="R104" s="449"/>
      <c r="S104" s="3706" t="s">
        <v>7322</v>
      </c>
      <c r="T104" s="3681"/>
      <c r="U104" s="425">
        <v>0.19</v>
      </c>
      <c r="V104" s="423">
        <f t="shared" si="6"/>
        <v>3.8</v>
      </c>
      <c r="X104" s="3672" t="s">
        <v>7145</v>
      </c>
      <c r="Y104" s="3673"/>
      <c r="Z104" s="436">
        <v>100</v>
      </c>
      <c r="AA104" s="426">
        <v>3.91</v>
      </c>
    </row>
    <row r="105" spans="2:27" ht="16" customHeight="1">
      <c r="B105" s="3625" t="s">
        <v>7323</v>
      </c>
      <c r="C105" s="3626"/>
      <c r="D105" s="425" t="s">
        <v>7324</v>
      </c>
      <c r="E105" s="423" t="s">
        <v>7325</v>
      </c>
      <c r="G105" s="3625" t="s">
        <v>7326</v>
      </c>
      <c r="H105" s="3626"/>
      <c r="I105" s="3626"/>
      <c r="J105" s="451" t="s">
        <v>7327</v>
      </c>
      <c r="K105" s="423" t="s">
        <v>7328</v>
      </c>
      <c r="L105" s="10"/>
      <c r="M105" s="3631" t="s">
        <v>7329</v>
      </c>
      <c r="N105" s="3632"/>
      <c r="O105" s="3632"/>
      <c r="P105" s="437">
        <v>2.06</v>
      </c>
      <c r="Q105" s="434">
        <f t="shared" si="5"/>
        <v>41.2</v>
      </c>
      <c r="R105" s="10"/>
      <c r="S105" s="3649" t="s">
        <v>7330</v>
      </c>
      <c r="T105" s="3650"/>
      <c r="U105" s="436">
        <v>0.43</v>
      </c>
      <c r="V105" s="426">
        <f t="shared" si="6"/>
        <v>8.6</v>
      </c>
      <c r="X105" s="3664" t="s">
        <v>7148</v>
      </c>
      <c r="Y105" s="3665"/>
      <c r="Z105" s="425">
        <v>100</v>
      </c>
      <c r="AA105" s="423">
        <v>3.63</v>
      </c>
    </row>
    <row r="106" spans="2:27" ht="16" customHeight="1">
      <c r="B106" s="3629" t="s">
        <v>7331</v>
      </c>
      <c r="C106" s="3630"/>
      <c r="D106" s="436">
        <v>19.5</v>
      </c>
      <c r="E106" s="426">
        <f t="shared" ref="E106:E125" si="7">D106*20</f>
        <v>390</v>
      </c>
      <c r="G106" s="3629" t="s">
        <v>7332</v>
      </c>
      <c r="H106" s="3630"/>
      <c r="I106" s="3630"/>
      <c r="J106" s="436">
        <v>0.6</v>
      </c>
      <c r="K106" s="426">
        <f t="shared" ref="K106:K109" si="8">J106*20</f>
        <v>12</v>
      </c>
      <c r="L106" s="10"/>
      <c r="R106" s="446"/>
      <c r="S106" s="3625" t="s">
        <v>7333</v>
      </c>
      <c r="T106" s="3626"/>
      <c r="U106" s="425">
        <v>0.25</v>
      </c>
      <c r="V106" s="423">
        <f t="shared" si="6"/>
        <v>5</v>
      </c>
      <c r="X106" s="3666" t="s">
        <v>7153</v>
      </c>
      <c r="Y106" s="3667"/>
      <c r="Z106" s="436">
        <v>25</v>
      </c>
      <c r="AA106" s="426">
        <v>0.86</v>
      </c>
    </row>
    <row r="107" spans="2:27" ht="16" customHeight="1">
      <c r="B107" s="3625" t="s">
        <v>7334</v>
      </c>
      <c r="C107" s="3626"/>
      <c r="D107" s="425">
        <v>7.69</v>
      </c>
      <c r="E107" s="423">
        <f t="shared" si="7"/>
        <v>153.80000000000001</v>
      </c>
      <c r="G107" s="3625" t="s">
        <v>7335</v>
      </c>
      <c r="H107" s="3626"/>
      <c r="I107" s="3626"/>
      <c r="J107" s="425">
        <v>1</v>
      </c>
      <c r="K107" s="423">
        <f t="shared" si="8"/>
        <v>20</v>
      </c>
      <c r="L107" s="10"/>
      <c r="M107" s="3653" t="s">
        <v>7232</v>
      </c>
      <c r="N107" s="3654"/>
      <c r="O107" s="3654"/>
      <c r="P107" s="3654"/>
      <c r="Q107" s="3655"/>
      <c r="R107" s="449"/>
      <c r="S107" s="3629" t="s">
        <v>7336</v>
      </c>
      <c r="T107" s="3630"/>
      <c r="U107" s="436">
        <v>0.13</v>
      </c>
      <c r="V107" s="426">
        <f t="shared" si="6"/>
        <v>2.6</v>
      </c>
      <c r="X107" s="3664" t="s">
        <v>7153</v>
      </c>
      <c r="Y107" s="3665"/>
      <c r="Z107" s="425">
        <v>100</v>
      </c>
      <c r="AA107" s="423">
        <v>3.34</v>
      </c>
    </row>
    <row r="108" spans="2:27" ht="16" customHeight="1">
      <c r="B108" s="3629" t="s">
        <v>7337</v>
      </c>
      <c r="C108" s="3630"/>
      <c r="D108" s="436">
        <v>4.95</v>
      </c>
      <c r="E108" s="426">
        <f t="shared" si="7"/>
        <v>99</v>
      </c>
      <c r="G108" s="3629" t="s">
        <v>7338</v>
      </c>
      <c r="H108" s="3630"/>
      <c r="I108" s="3630"/>
      <c r="J108" s="436">
        <v>0.27</v>
      </c>
      <c r="K108" s="426">
        <f t="shared" si="8"/>
        <v>5.4</v>
      </c>
      <c r="L108" s="10"/>
      <c r="M108" s="3658" t="s">
        <v>612</v>
      </c>
      <c r="N108" s="3659"/>
      <c r="O108" s="3659"/>
      <c r="P108" s="422" t="s">
        <v>7077</v>
      </c>
      <c r="Q108" s="448" t="s">
        <v>7264</v>
      </c>
      <c r="R108" s="449"/>
      <c r="S108" s="3625" t="s">
        <v>7339</v>
      </c>
      <c r="T108" s="3626"/>
      <c r="U108" s="425">
        <v>0.4</v>
      </c>
      <c r="V108" s="423">
        <f t="shared" si="6"/>
        <v>8</v>
      </c>
      <c r="X108" s="3666" t="s">
        <v>7158</v>
      </c>
      <c r="Y108" s="3667"/>
      <c r="Z108" s="436">
        <v>25</v>
      </c>
      <c r="AA108" s="426">
        <v>0.85</v>
      </c>
    </row>
    <row r="109" spans="2:27" ht="16" customHeight="1">
      <c r="B109" s="3625" t="s">
        <v>7340</v>
      </c>
      <c r="C109" s="3626"/>
      <c r="D109" s="425">
        <v>0.79</v>
      </c>
      <c r="E109" s="423">
        <f t="shared" si="7"/>
        <v>15.8</v>
      </c>
      <c r="G109" s="3625" t="s">
        <v>7341</v>
      </c>
      <c r="H109" s="3626"/>
      <c r="I109" s="3626"/>
      <c r="J109" s="425">
        <v>3.45</v>
      </c>
      <c r="K109" s="423">
        <f t="shared" si="8"/>
        <v>69</v>
      </c>
      <c r="L109" s="10"/>
      <c r="M109" s="3629" t="s">
        <v>7342</v>
      </c>
      <c r="N109" s="3630"/>
      <c r="O109" s="3630"/>
      <c r="P109" s="436">
        <v>0.1</v>
      </c>
      <c r="Q109" s="426">
        <f t="shared" ref="Q109:Q127" si="9">P109*20</f>
        <v>2</v>
      </c>
      <c r="R109" s="452"/>
      <c r="S109" s="3649" t="s">
        <v>7343</v>
      </c>
      <c r="T109" s="3650"/>
      <c r="U109" s="436">
        <v>0.17</v>
      </c>
      <c r="V109" s="426">
        <f t="shared" si="6"/>
        <v>3.4000000000000004</v>
      </c>
      <c r="X109" s="3704" t="s">
        <v>7158</v>
      </c>
      <c r="Y109" s="3705"/>
      <c r="Z109" s="437">
        <v>100</v>
      </c>
      <c r="AA109" s="434">
        <v>3.3</v>
      </c>
    </row>
    <row r="110" spans="2:27" ht="16" customHeight="1">
      <c r="B110" s="3629" t="s">
        <v>7344</v>
      </c>
      <c r="C110" s="3630"/>
      <c r="D110" s="436">
        <v>1.95</v>
      </c>
      <c r="E110" s="426">
        <f t="shared" si="7"/>
        <v>39</v>
      </c>
      <c r="G110" s="3649" t="s">
        <v>7345</v>
      </c>
      <c r="H110" s="3650"/>
      <c r="I110" s="3650"/>
      <c r="J110" s="453" t="s">
        <v>7346</v>
      </c>
      <c r="K110" s="426" t="s">
        <v>7347</v>
      </c>
      <c r="L110" s="10"/>
      <c r="M110" s="3625" t="s">
        <v>7348</v>
      </c>
      <c r="N110" s="3626"/>
      <c r="O110" s="3626"/>
      <c r="P110" s="425">
        <v>0.9</v>
      </c>
      <c r="Q110" s="423">
        <f t="shared" si="9"/>
        <v>18</v>
      </c>
      <c r="R110" s="449"/>
      <c r="S110" s="3625" t="s">
        <v>7349</v>
      </c>
      <c r="T110" s="3626"/>
      <c r="U110" s="425">
        <v>0.5</v>
      </c>
      <c r="V110" s="423">
        <f t="shared" si="6"/>
        <v>10</v>
      </c>
    </row>
    <row r="111" spans="2:27" ht="16" customHeight="1">
      <c r="B111" s="3662" t="s">
        <v>7350</v>
      </c>
      <c r="C111" s="3663"/>
      <c r="D111" s="425">
        <v>3.65</v>
      </c>
      <c r="E111" s="423">
        <f t="shared" si="7"/>
        <v>73</v>
      </c>
      <c r="G111" s="3625" t="s">
        <v>7351</v>
      </c>
      <c r="H111" s="3626"/>
      <c r="I111" s="3626"/>
      <c r="J111" s="425">
        <v>28.5</v>
      </c>
      <c r="K111" s="423">
        <f t="shared" ref="K111:K119" si="10">J111*20</f>
        <v>570</v>
      </c>
      <c r="L111" s="10"/>
      <c r="M111" s="3629" t="s">
        <v>7352</v>
      </c>
      <c r="N111" s="3630"/>
      <c r="O111" s="3630"/>
      <c r="P111" s="436">
        <v>0.25</v>
      </c>
      <c r="Q111" s="426">
        <f t="shared" si="9"/>
        <v>5</v>
      </c>
      <c r="R111" s="449"/>
      <c r="S111" s="3629" t="s">
        <v>7353</v>
      </c>
      <c r="T111" s="3630"/>
      <c r="U111" s="436">
        <v>0.12</v>
      </c>
      <c r="V111" s="426">
        <f t="shared" si="6"/>
        <v>2.4</v>
      </c>
      <c r="X111" s="3653" t="s">
        <v>7166</v>
      </c>
      <c r="Y111" s="3654"/>
      <c r="Z111" s="3654"/>
      <c r="AA111" s="3655"/>
    </row>
    <row r="112" spans="2:27" ht="16" customHeight="1">
      <c r="B112" s="3629" t="s">
        <v>7354</v>
      </c>
      <c r="C112" s="3630"/>
      <c r="D112" s="436">
        <v>0.98</v>
      </c>
      <c r="E112" s="426">
        <f t="shared" si="7"/>
        <v>19.600000000000001</v>
      </c>
      <c r="G112" s="3629" t="s">
        <v>7355</v>
      </c>
      <c r="H112" s="3630"/>
      <c r="I112" s="3630"/>
      <c r="J112" s="436">
        <v>3.25</v>
      </c>
      <c r="K112" s="426">
        <f t="shared" si="10"/>
        <v>65</v>
      </c>
      <c r="L112" s="10"/>
      <c r="M112" s="3625" t="s">
        <v>7356</v>
      </c>
      <c r="N112" s="3626"/>
      <c r="O112" s="3626"/>
      <c r="P112" s="425">
        <v>0.25</v>
      </c>
      <c r="Q112" s="423">
        <f t="shared" si="9"/>
        <v>5</v>
      </c>
      <c r="R112" s="10"/>
      <c r="S112" s="3625" t="s">
        <v>7357</v>
      </c>
      <c r="T112" s="3626"/>
      <c r="U112" s="425">
        <v>7.0000000000000007E-2</v>
      </c>
      <c r="V112" s="423">
        <f t="shared" si="6"/>
        <v>1.4000000000000001</v>
      </c>
      <c r="X112" s="3658" t="s">
        <v>612</v>
      </c>
      <c r="Y112" s="3659"/>
      <c r="Z112" s="422" t="s">
        <v>7077</v>
      </c>
      <c r="AA112" s="448" t="s">
        <v>7264</v>
      </c>
    </row>
    <row r="113" spans="2:27" ht="16" customHeight="1">
      <c r="B113" s="3625" t="s">
        <v>7358</v>
      </c>
      <c r="C113" s="3626"/>
      <c r="D113" s="425">
        <v>16.95</v>
      </c>
      <c r="E113" s="423">
        <f t="shared" si="7"/>
        <v>339</v>
      </c>
      <c r="G113" s="3625" t="s">
        <v>7359</v>
      </c>
      <c r="H113" s="3626"/>
      <c r="I113" s="3626"/>
      <c r="J113" s="425">
        <v>2.85</v>
      </c>
      <c r="K113" s="423">
        <f t="shared" si="10"/>
        <v>57</v>
      </c>
      <c r="L113" s="10"/>
      <c r="M113" s="3629" t="s">
        <v>7360</v>
      </c>
      <c r="N113" s="3630"/>
      <c r="O113" s="3630"/>
      <c r="P113" s="436">
        <v>10.45</v>
      </c>
      <c r="Q113" s="426">
        <f t="shared" si="9"/>
        <v>209</v>
      </c>
      <c r="R113" s="446"/>
      <c r="S113" s="3629" t="s">
        <v>7361</v>
      </c>
      <c r="T113" s="3630"/>
      <c r="U113" s="436">
        <v>0.1</v>
      </c>
      <c r="V113" s="426">
        <f t="shared" si="6"/>
        <v>2</v>
      </c>
      <c r="X113" s="3700" t="s">
        <v>7362</v>
      </c>
      <c r="Y113" s="3701"/>
      <c r="Z113" s="436">
        <v>9.1999999999999993</v>
      </c>
      <c r="AA113" s="426">
        <f t="shared" ref="AA113:AA115" si="11">Z113*20</f>
        <v>184</v>
      </c>
    </row>
    <row r="114" spans="2:27" ht="16" customHeight="1">
      <c r="B114" s="3629" t="s">
        <v>7363</v>
      </c>
      <c r="C114" s="3630"/>
      <c r="D114" s="436">
        <v>0.96</v>
      </c>
      <c r="E114" s="426">
        <f t="shared" si="7"/>
        <v>19.2</v>
      </c>
      <c r="G114" s="3649" t="s">
        <v>7364</v>
      </c>
      <c r="H114" s="3650"/>
      <c r="I114" s="3650"/>
      <c r="J114" s="436">
        <v>9.35</v>
      </c>
      <c r="K114" s="426">
        <f t="shared" si="10"/>
        <v>187</v>
      </c>
      <c r="L114" s="10"/>
      <c r="M114" s="3625" t="s">
        <v>7365</v>
      </c>
      <c r="N114" s="3626"/>
      <c r="O114" s="3626"/>
      <c r="P114" s="425">
        <v>3.59</v>
      </c>
      <c r="Q114" s="423">
        <f t="shared" si="9"/>
        <v>71.8</v>
      </c>
      <c r="R114" s="449"/>
      <c r="S114" s="3625" t="s">
        <v>7366</v>
      </c>
      <c r="T114" s="3626"/>
      <c r="U114" s="425">
        <v>0.15</v>
      </c>
      <c r="V114" s="423">
        <f t="shared" si="6"/>
        <v>3</v>
      </c>
      <c r="X114" s="3702" t="s">
        <v>7367</v>
      </c>
      <c r="Y114" s="3703"/>
      <c r="Z114" s="425">
        <v>21.35</v>
      </c>
      <c r="AA114" s="423">
        <f t="shared" si="11"/>
        <v>427</v>
      </c>
    </row>
    <row r="115" spans="2:27" ht="16" customHeight="1">
      <c r="B115" s="3625" t="s">
        <v>7146</v>
      </c>
      <c r="C115" s="3626"/>
      <c r="D115" s="425">
        <v>0.5</v>
      </c>
      <c r="E115" s="423">
        <f t="shared" si="7"/>
        <v>10</v>
      </c>
      <c r="G115" s="3625" t="s">
        <v>7368</v>
      </c>
      <c r="H115" s="3626"/>
      <c r="I115" s="3626"/>
      <c r="J115" s="425">
        <v>0.27</v>
      </c>
      <c r="K115" s="423">
        <f t="shared" si="10"/>
        <v>5.4</v>
      </c>
      <c r="L115" s="10"/>
      <c r="M115" s="3629" t="s">
        <v>7369</v>
      </c>
      <c r="N115" s="3630"/>
      <c r="O115" s="3630"/>
      <c r="P115" s="436">
        <v>1.39</v>
      </c>
      <c r="Q115" s="426">
        <f t="shared" si="9"/>
        <v>27.799999999999997</v>
      </c>
      <c r="R115" s="454"/>
      <c r="S115" s="3629" t="s">
        <v>7370</v>
      </c>
      <c r="T115" s="3630"/>
      <c r="U115" s="436">
        <v>0.1</v>
      </c>
      <c r="V115" s="426">
        <f t="shared" si="6"/>
        <v>2</v>
      </c>
      <c r="X115" s="3676" t="s">
        <v>7371</v>
      </c>
      <c r="Y115" s="3677"/>
      <c r="Z115" s="440">
        <v>1.9</v>
      </c>
      <c r="AA115" s="439">
        <f t="shared" si="11"/>
        <v>38</v>
      </c>
    </row>
    <row r="116" spans="2:27" ht="16" customHeight="1">
      <c r="B116" s="3629" t="s">
        <v>7372</v>
      </c>
      <c r="C116" s="3630"/>
      <c r="D116" s="436">
        <v>0.55000000000000004</v>
      </c>
      <c r="E116" s="426">
        <f t="shared" si="7"/>
        <v>11</v>
      </c>
      <c r="G116" s="3629" t="s">
        <v>7373</v>
      </c>
      <c r="H116" s="3630"/>
      <c r="I116" s="3630"/>
      <c r="J116" s="436">
        <v>1.7</v>
      </c>
      <c r="K116" s="426">
        <f t="shared" si="10"/>
        <v>34</v>
      </c>
      <c r="L116" s="10"/>
      <c r="M116" s="3625" t="s">
        <v>7374</v>
      </c>
      <c r="N116" s="3626"/>
      <c r="O116" s="3626"/>
      <c r="P116" s="425">
        <v>12.5</v>
      </c>
      <c r="Q116" s="423">
        <f t="shared" si="9"/>
        <v>250</v>
      </c>
      <c r="R116" s="449"/>
      <c r="S116" s="3625" t="s">
        <v>7375</v>
      </c>
      <c r="T116" s="3626"/>
      <c r="U116" s="425">
        <v>0.1</v>
      </c>
      <c r="V116" s="423">
        <f t="shared" si="6"/>
        <v>2</v>
      </c>
    </row>
    <row r="117" spans="2:27" ht="16" customHeight="1">
      <c r="B117" s="3625" t="s">
        <v>7376</v>
      </c>
      <c r="C117" s="3626"/>
      <c r="D117" s="425">
        <v>0.39</v>
      </c>
      <c r="E117" s="423">
        <f t="shared" si="7"/>
        <v>7.8000000000000007</v>
      </c>
      <c r="G117" s="3625" t="s">
        <v>7377</v>
      </c>
      <c r="H117" s="3626"/>
      <c r="I117" s="3626"/>
      <c r="J117" s="425">
        <v>3.45</v>
      </c>
      <c r="K117" s="423">
        <f t="shared" si="10"/>
        <v>69</v>
      </c>
      <c r="L117" s="10"/>
      <c r="M117" s="3629" t="s">
        <v>7378</v>
      </c>
      <c r="N117" s="3630"/>
      <c r="O117" s="3630"/>
      <c r="P117" s="436">
        <v>1.39</v>
      </c>
      <c r="Q117" s="426">
        <f t="shared" si="9"/>
        <v>27.799999999999997</v>
      </c>
      <c r="R117" s="449"/>
      <c r="S117" s="3629" t="s">
        <v>7379</v>
      </c>
      <c r="T117" s="3630"/>
      <c r="U117" s="436">
        <v>0.13</v>
      </c>
      <c r="V117" s="426">
        <f t="shared" si="6"/>
        <v>2.6</v>
      </c>
      <c r="X117" s="3653" t="s">
        <v>7380</v>
      </c>
      <c r="Y117" s="3654"/>
      <c r="Z117" s="3654"/>
      <c r="AA117" s="3655"/>
    </row>
    <row r="118" spans="2:27" ht="16" customHeight="1">
      <c r="B118" s="3629" t="s">
        <v>7381</v>
      </c>
      <c r="C118" s="3630"/>
      <c r="D118" s="436">
        <v>1.48</v>
      </c>
      <c r="E118" s="426">
        <f t="shared" si="7"/>
        <v>29.6</v>
      </c>
      <c r="G118" s="3629" t="s">
        <v>7382</v>
      </c>
      <c r="H118" s="3630"/>
      <c r="I118" s="3630"/>
      <c r="J118" s="436">
        <v>0.62</v>
      </c>
      <c r="K118" s="426">
        <f t="shared" si="10"/>
        <v>12.4</v>
      </c>
      <c r="L118" s="10"/>
      <c r="M118" s="3625" t="s">
        <v>7383</v>
      </c>
      <c r="N118" s="3626"/>
      <c r="O118" s="3626"/>
      <c r="P118" s="425">
        <v>0.69</v>
      </c>
      <c r="Q118" s="423">
        <f t="shared" si="9"/>
        <v>13.799999999999999</v>
      </c>
      <c r="R118" s="449"/>
      <c r="S118" s="3625" t="s">
        <v>7384</v>
      </c>
      <c r="T118" s="3626"/>
      <c r="U118" s="425">
        <v>0.1</v>
      </c>
      <c r="V118" s="423">
        <f t="shared" si="6"/>
        <v>2</v>
      </c>
      <c r="X118" s="3658" t="s">
        <v>612</v>
      </c>
      <c r="Y118" s="3659"/>
      <c r="Z118" s="422" t="s">
        <v>7077</v>
      </c>
      <c r="AA118" s="448" t="s">
        <v>7264</v>
      </c>
    </row>
    <row r="119" spans="2:27" ht="16" customHeight="1">
      <c r="B119" s="3625" t="s">
        <v>7385</v>
      </c>
      <c r="C119" s="3626"/>
      <c r="D119" s="425">
        <v>0.4</v>
      </c>
      <c r="E119" s="423">
        <f t="shared" si="7"/>
        <v>8</v>
      </c>
      <c r="G119" s="3625" t="s">
        <v>7386</v>
      </c>
      <c r="H119" s="3626"/>
      <c r="I119" s="3626"/>
      <c r="J119" s="425">
        <v>0.48</v>
      </c>
      <c r="K119" s="423">
        <f t="shared" si="10"/>
        <v>9.6</v>
      </c>
      <c r="L119" s="10"/>
      <c r="M119" s="3629" t="s">
        <v>7387</v>
      </c>
      <c r="N119" s="3630"/>
      <c r="O119" s="3630"/>
      <c r="P119" s="436">
        <v>0.69</v>
      </c>
      <c r="Q119" s="426">
        <f t="shared" si="9"/>
        <v>13.799999999999999</v>
      </c>
      <c r="R119" s="449"/>
      <c r="S119" s="3649" t="s">
        <v>7388</v>
      </c>
      <c r="T119" s="3650"/>
      <c r="U119" s="436">
        <v>2.25</v>
      </c>
      <c r="V119" s="426">
        <f t="shared" si="6"/>
        <v>45</v>
      </c>
      <c r="X119" s="3664" t="s">
        <v>7389</v>
      </c>
      <c r="Y119" s="3665"/>
      <c r="Z119" s="425">
        <v>12.5</v>
      </c>
      <c r="AA119" s="423">
        <f t="shared" ref="AA119:AA121" si="12">Z119*20</f>
        <v>250</v>
      </c>
    </row>
    <row r="120" spans="2:27" ht="16" customHeight="1">
      <c r="B120" s="3629" t="s">
        <v>7390</v>
      </c>
      <c r="C120" s="3630"/>
      <c r="D120" s="436">
        <v>1.35</v>
      </c>
      <c r="E120" s="426">
        <f t="shared" si="7"/>
        <v>27</v>
      </c>
      <c r="G120" s="3642" t="s">
        <v>7391</v>
      </c>
      <c r="H120" s="3643"/>
      <c r="I120" s="3643"/>
      <c r="J120" s="3643"/>
      <c r="K120" s="3644"/>
      <c r="L120" s="10"/>
      <c r="M120" s="3625" t="s">
        <v>7392</v>
      </c>
      <c r="N120" s="3626"/>
      <c r="O120" s="3626"/>
      <c r="P120" s="425">
        <v>0.2</v>
      </c>
      <c r="Q120" s="423">
        <f t="shared" si="9"/>
        <v>4</v>
      </c>
      <c r="R120" s="449"/>
      <c r="S120" s="3625" t="s">
        <v>7393</v>
      </c>
      <c r="T120" s="3626"/>
      <c r="U120" s="425">
        <v>0.25</v>
      </c>
      <c r="V120" s="423">
        <f t="shared" si="6"/>
        <v>5</v>
      </c>
      <c r="X120" s="3666" t="s">
        <v>7394</v>
      </c>
      <c r="Y120" s="3667"/>
      <c r="Z120" s="436">
        <v>3.75</v>
      </c>
      <c r="AA120" s="426">
        <f t="shared" si="12"/>
        <v>75</v>
      </c>
    </row>
    <row r="121" spans="2:27" ht="16" customHeight="1">
      <c r="B121" s="3625" t="s">
        <v>7395</v>
      </c>
      <c r="C121" s="3626"/>
      <c r="D121" s="425">
        <v>0.79</v>
      </c>
      <c r="E121" s="423">
        <f t="shared" si="7"/>
        <v>15.8</v>
      </c>
      <c r="G121" s="3629" t="s">
        <v>7396</v>
      </c>
      <c r="H121" s="3630"/>
      <c r="I121" s="3630"/>
      <c r="J121" s="436">
        <v>2.35</v>
      </c>
      <c r="K121" s="426">
        <f t="shared" ref="K121:K123" si="13">J121*20</f>
        <v>47</v>
      </c>
      <c r="L121" s="10"/>
      <c r="M121" s="3629" t="s">
        <v>7397</v>
      </c>
      <c r="N121" s="3630"/>
      <c r="O121" s="3630"/>
      <c r="P121" s="436">
        <v>0.69</v>
      </c>
      <c r="Q121" s="426">
        <f t="shared" si="9"/>
        <v>13.799999999999999</v>
      </c>
      <c r="R121" s="449"/>
      <c r="S121" s="3674" t="s">
        <v>7398</v>
      </c>
      <c r="T121" s="3675"/>
      <c r="U121" s="440">
        <v>0.45</v>
      </c>
      <c r="V121" s="439">
        <f t="shared" si="6"/>
        <v>9</v>
      </c>
      <c r="X121" s="3664" t="s">
        <v>7399</v>
      </c>
      <c r="Y121" s="3665"/>
      <c r="Z121" s="425">
        <v>2.5</v>
      </c>
      <c r="AA121" s="423">
        <f t="shared" si="12"/>
        <v>50</v>
      </c>
    </row>
    <row r="122" spans="2:27" ht="16" customHeight="1">
      <c r="B122" s="3629" t="s">
        <v>7400</v>
      </c>
      <c r="C122" s="3630"/>
      <c r="D122" s="436">
        <v>7.25</v>
      </c>
      <c r="E122" s="426">
        <f t="shared" si="7"/>
        <v>145</v>
      </c>
      <c r="G122" s="3625" t="s">
        <v>7401</v>
      </c>
      <c r="H122" s="3626"/>
      <c r="I122" s="3626"/>
      <c r="J122" s="425">
        <v>1.2</v>
      </c>
      <c r="K122" s="423">
        <f t="shared" si="13"/>
        <v>24</v>
      </c>
      <c r="L122" s="10"/>
      <c r="M122" s="3625" t="s">
        <v>7402</v>
      </c>
      <c r="N122" s="3626"/>
      <c r="O122" s="3626"/>
      <c r="P122" s="425">
        <v>1.79</v>
      </c>
      <c r="Q122" s="423">
        <f t="shared" si="9"/>
        <v>35.799999999999997</v>
      </c>
      <c r="R122" s="449"/>
      <c r="X122" s="3666" t="s">
        <v>7403</v>
      </c>
      <c r="Y122" s="3667"/>
      <c r="Z122" s="455" t="s">
        <v>7404</v>
      </c>
      <c r="AA122" s="456" t="s">
        <v>7405</v>
      </c>
    </row>
    <row r="123" spans="2:27" ht="16" customHeight="1">
      <c r="B123" s="3625" t="s">
        <v>7406</v>
      </c>
      <c r="C123" s="3626"/>
      <c r="D123" s="425">
        <v>5.25</v>
      </c>
      <c r="E123" s="423">
        <f t="shared" si="7"/>
        <v>105</v>
      </c>
      <c r="G123" s="3629" t="s">
        <v>7407</v>
      </c>
      <c r="H123" s="3630"/>
      <c r="I123" s="3630"/>
      <c r="J123" s="436">
        <v>0.98</v>
      </c>
      <c r="K123" s="426">
        <f t="shared" si="13"/>
        <v>19.600000000000001</v>
      </c>
      <c r="L123" s="10"/>
      <c r="M123" s="3629" t="s">
        <v>7408</v>
      </c>
      <c r="N123" s="3630"/>
      <c r="O123" s="3630"/>
      <c r="P123" s="436">
        <v>39.950000000000003</v>
      </c>
      <c r="Q123" s="426">
        <f t="shared" si="9"/>
        <v>799</v>
      </c>
      <c r="R123" s="449"/>
      <c r="S123" s="3653" t="s">
        <v>7409</v>
      </c>
      <c r="T123" s="3654"/>
      <c r="U123" s="3654"/>
      <c r="V123" s="3655"/>
      <c r="W123" s="447"/>
      <c r="X123" s="3664" t="s">
        <v>7410</v>
      </c>
      <c r="Y123" s="3665"/>
      <c r="Z123" s="425">
        <v>1</v>
      </c>
      <c r="AA123" s="423">
        <f t="shared" ref="AA123:AA127" si="14">Z123*20</f>
        <v>20</v>
      </c>
    </row>
    <row r="124" spans="2:27" ht="16" customHeight="1">
      <c r="B124" s="3629" t="s">
        <v>7411</v>
      </c>
      <c r="C124" s="3630"/>
      <c r="D124" s="436">
        <v>3.45</v>
      </c>
      <c r="E124" s="426">
        <f t="shared" si="7"/>
        <v>69</v>
      </c>
      <c r="G124" s="3642" t="s">
        <v>7412</v>
      </c>
      <c r="H124" s="3643"/>
      <c r="I124" s="3643"/>
      <c r="J124" s="3643"/>
      <c r="K124" s="3644"/>
      <c r="L124" s="10"/>
      <c r="M124" s="3625" t="s">
        <v>7413</v>
      </c>
      <c r="N124" s="3626"/>
      <c r="O124" s="3626"/>
      <c r="P124" s="425">
        <v>1.59</v>
      </c>
      <c r="Q124" s="423">
        <f t="shared" si="9"/>
        <v>31.8</v>
      </c>
      <c r="R124" s="449"/>
      <c r="S124" s="3658" t="s">
        <v>612</v>
      </c>
      <c r="T124" s="3659"/>
      <c r="U124" s="422" t="s">
        <v>7077</v>
      </c>
      <c r="V124" s="448" t="s">
        <v>7264</v>
      </c>
      <c r="X124" s="3666" t="s">
        <v>7414</v>
      </c>
      <c r="Y124" s="3667"/>
      <c r="Z124" s="436">
        <v>1.98</v>
      </c>
      <c r="AA124" s="426">
        <f t="shared" si="14"/>
        <v>39.6</v>
      </c>
    </row>
    <row r="125" spans="2:27" ht="16" customHeight="1">
      <c r="B125" s="3631" t="s">
        <v>7415</v>
      </c>
      <c r="C125" s="3632"/>
      <c r="D125" s="437">
        <v>0.75</v>
      </c>
      <c r="E125" s="434">
        <f t="shared" si="7"/>
        <v>15</v>
      </c>
      <c r="G125" s="3645" t="s">
        <v>7416</v>
      </c>
      <c r="H125" s="3646"/>
      <c r="I125" s="3646"/>
      <c r="J125" s="425">
        <v>2.48</v>
      </c>
      <c r="K125" s="423">
        <f t="shared" ref="K125:K127" si="15">J125*20</f>
        <v>49.6</v>
      </c>
      <c r="L125" s="10"/>
      <c r="M125" s="3629" t="s">
        <v>7417</v>
      </c>
      <c r="N125" s="3630"/>
      <c r="O125" s="3630"/>
      <c r="P125" s="436">
        <v>0.28999999999999998</v>
      </c>
      <c r="Q125" s="426">
        <f t="shared" si="9"/>
        <v>5.8</v>
      </c>
      <c r="R125" s="449"/>
      <c r="S125" s="3625" t="s">
        <v>7418</v>
      </c>
      <c r="T125" s="3626"/>
      <c r="U125" s="425">
        <v>2.5</v>
      </c>
      <c r="V125" s="423">
        <f t="shared" ref="V125:V128" si="16">U125*20</f>
        <v>50</v>
      </c>
      <c r="X125" s="3664" t="s">
        <v>7419</v>
      </c>
      <c r="Y125" s="3665"/>
      <c r="Z125" s="425">
        <v>0.6</v>
      </c>
      <c r="AA125" s="423">
        <f t="shared" si="14"/>
        <v>12</v>
      </c>
    </row>
    <row r="126" spans="2:27" ht="16" customHeight="1">
      <c r="B126" s="449"/>
      <c r="C126" s="449"/>
      <c r="D126" s="449"/>
      <c r="E126" s="449"/>
      <c r="G126" s="3647" t="s">
        <v>7420</v>
      </c>
      <c r="H126" s="3648"/>
      <c r="I126" s="3648"/>
      <c r="J126" s="436">
        <v>5.98</v>
      </c>
      <c r="K126" s="426">
        <f t="shared" si="15"/>
        <v>119.60000000000001</v>
      </c>
      <c r="L126" s="10"/>
      <c r="M126" s="3625" t="s">
        <v>7421</v>
      </c>
      <c r="N126" s="3626"/>
      <c r="O126" s="3626"/>
      <c r="P126" s="425">
        <v>1.98</v>
      </c>
      <c r="Q126" s="423">
        <f t="shared" si="9"/>
        <v>39.6</v>
      </c>
      <c r="R126" s="449"/>
      <c r="S126" s="3629" t="s">
        <v>7422</v>
      </c>
      <c r="T126" s="3630"/>
      <c r="U126" s="436">
        <v>0.45</v>
      </c>
      <c r="V126" s="426">
        <f t="shared" si="16"/>
        <v>9</v>
      </c>
      <c r="X126" s="3666" t="s">
        <v>7423</v>
      </c>
      <c r="Y126" s="3667"/>
      <c r="Z126" s="436">
        <v>1.95</v>
      </c>
      <c r="AA126" s="426">
        <f t="shared" si="14"/>
        <v>39</v>
      </c>
    </row>
    <row r="127" spans="2:27" ht="16" customHeight="1">
      <c r="B127" s="3653" t="s">
        <v>7174</v>
      </c>
      <c r="C127" s="3654"/>
      <c r="D127" s="3654"/>
      <c r="E127" s="3655"/>
      <c r="G127" s="3625" t="s">
        <v>7424</v>
      </c>
      <c r="H127" s="3626"/>
      <c r="I127" s="3626"/>
      <c r="J127" s="425">
        <v>11.43</v>
      </c>
      <c r="K127" s="423">
        <f t="shared" si="15"/>
        <v>228.6</v>
      </c>
      <c r="L127" s="10"/>
      <c r="M127" s="3674" t="s">
        <v>7425</v>
      </c>
      <c r="N127" s="3675"/>
      <c r="O127" s="3675"/>
      <c r="P127" s="440">
        <v>0.98</v>
      </c>
      <c r="Q127" s="439">
        <f t="shared" si="9"/>
        <v>19.600000000000001</v>
      </c>
      <c r="R127" s="449"/>
      <c r="S127" s="3625" t="s">
        <v>7426</v>
      </c>
      <c r="T127" s="3626"/>
      <c r="U127" s="425">
        <v>0.65</v>
      </c>
      <c r="V127" s="423">
        <f t="shared" si="16"/>
        <v>13</v>
      </c>
      <c r="X127" s="3668" t="s">
        <v>7427</v>
      </c>
      <c r="Y127" s="3669"/>
      <c r="Z127" s="437">
        <v>1.75</v>
      </c>
      <c r="AA127" s="434">
        <f t="shared" si="14"/>
        <v>35</v>
      </c>
    </row>
    <row r="128" spans="2:27" ht="16" customHeight="1">
      <c r="B128" s="3658" t="s">
        <v>612</v>
      </c>
      <c r="C128" s="3659"/>
      <c r="D128" s="422" t="s">
        <v>7077</v>
      </c>
      <c r="E128" s="421" t="s">
        <v>7264</v>
      </c>
      <c r="G128" s="3642" t="s">
        <v>7428</v>
      </c>
      <c r="H128" s="3643"/>
      <c r="I128" s="3643"/>
      <c r="J128" s="3643"/>
      <c r="K128" s="3644"/>
      <c r="L128" s="10"/>
      <c r="R128" s="449"/>
      <c r="S128" s="3674" t="s">
        <v>7429</v>
      </c>
      <c r="T128" s="3675"/>
      <c r="U128" s="440">
        <v>1.25</v>
      </c>
      <c r="V128" s="439">
        <f t="shared" si="16"/>
        <v>25</v>
      </c>
    </row>
    <row r="129" spans="2:27" ht="16" customHeight="1">
      <c r="B129" s="3625" t="s">
        <v>7430</v>
      </c>
      <c r="C129" s="3626"/>
      <c r="D129" s="425" t="s">
        <v>7208</v>
      </c>
      <c r="E129" s="423" t="s">
        <v>7431</v>
      </c>
      <c r="G129" s="3629" t="s">
        <v>7432</v>
      </c>
      <c r="H129" s="3630"/>
      <c r="I129" s="3630"/>
      <c r="J129" s="436">
        <v>35.200000000000003</v>
      </c>
      <c r="K129" s="426">
        <f t="shared" ref="K129:K131" si="17">J129*20</f>
        <v>704</v>
      </c>
      <c r="L129" s="449"/>
      <c r="M129" s="3653" t="s">
        <v>7433</v>
      </c>
      <c r="N129" s="3654"/>
      <c r="O129" s="3654"/>
      <c r="P129" s="3654"/>
      <c r="Q129" s="3655"/>
      <c r="R129" s="449"/>
      <c r="X129" s="3653" t="s">
        <v>7434</v>
      </c>
      <c r="Y129" s="3654"/>
      <c r="Z129" s="3654"/>
      <c r="AA129" s="3655"/>
    </row>
    <row r="130" spans="2:27" ht="16" customHeight="1">
      <c r="B130" s="3629" t="s">
        <v>7435</v>
      </c>
      <c r="C130" s="3630"/>
      <c r="D130" s="436">
        <v>13.95</v>
      </c>
      <c r="E130" s="426">
        <f t="shared" ref="E130:E145" si="18">D130*20</f>
        <v>279</v>
      </c>
      <c r="G130" s="3625" t="s">
        <v>7436</v>
      </c>
      <c r="H130" s="3626"/>
      <c r="I130" s="3626"/>
      <c r="J130" s="425">
        <v>79.95</v>
      </c>
      <c r="K130" s="423">
        <f t="shared" si="17"/>
        <v>1599</v>
      </c>
      <c r="L130" s="10"/>
      <c r="M130" s="3658" t="s">
        <v>612</v>
      </c>
      <c r="N130" s="3659"/>
      <c r="O130" s="3659"/>
      <c r="P130" s="422" t="s">
        <v>7077</v>
      </c>
      <c r="Q130" s="457" t="s">
        <v>7264</v>
      </c>
      <c r="R130" s="449"/>
      <c r="S130" s="3653" t="s">
        <v>7152</v>
      </c>
      <c r="T130" s="3654"/>
      <c r="U130" s="3654"/>
      <c r="V130" s="3655"/>
      <c r="X130" s="3658" t="s">
        <v>612</v>
      </c>
      <c r="Y130" s="3659"/>
      <c r="Z130" s="3659"/>
      <c r="AA130" s="421" t="s">
        <v>7077</v>
      </c>
    </row>
    <row r="131" spans="2:27" ht="16" customHeight="1">
      <c r="B131" s="3625" t="s">
        <v>7437</v>
      </c>
      <c r="C131" s="3626"/>
      <c r="D131" s="425">
        <v>10.95</v>
      </c>
      <c r="E131" s="423">
        <f t="shared" si="18"/>
        <v>219</v>
      </c>
      <c r="G131" s="3674" t="s">
        <v>7438</v>
      </c>
      <c r="H131" s="3675"/>
      <c r="I131" s="3675"/>
      <c r="J131" s="440">
        <v>75</v>
      </c>
      <c r="K131" s="439">
        <f t="shared" si="17"/>
        <v>1500</v>
      </c>
      <c r="L131" s="10"/>
      <c r="M131" s="3625" t="s">
        <v>7439</v>
      </c>
      <c r="N131" s="3626"/>
      <c r="O131" s="3626"/>
      <c r="P131" s="425">
        <v>4.9800000000000004</v>
      </c>
      <c r="Q131" s="423">
        <f t="shared" ref="Q131:Q134" si="19">P131*20</f>
        <v>99.600000000000009</v>
      </c>
      <c r="R131" s="449"/>
      <c r="S131" s="3658" t="s">
        <v>612</v>
      </c>
      <c r="T131" s="3659"/>
      <c r="U131" s="422" t="s">
        <v>7077</v>
      </c>
      <c r="V131" s="448" t="s">
        <v>7264</v>
      </c>
      <c r="X131" s="3664" t="s">
        <v>7440</v>
      </c>
      <c r="Y131" s="3665"/>
      <c r="Z131" s="3665"/>
      <c r="AA131" s="423" t="s">
        <v>7441</v>
      </c>
    </row>
    <row r="132" spans="2:27" ht="16" customHeight="1">
      <c r="B132" s="3629" t="s">
        <v>7442</v>
      </c>
      <c r="C132" s="3630"/>
      <c r="D132" s="436">
        <v>10.95</v>
      </c>
      <c r="E132" s="426">
        <f t="shared" si="18"/>
        <v>219</v>
      </c>
      <c r="M132" s="3649" t="s">
        <v>7443</v>
      </c>
      <c r="N132" s="3650"/>
      <c r="O132" s="3650"/>
      <c r="P132" s="436">
        <v>9.98</v>
      </c>
      <c r="Q132" s="426">
        <f t="shared" si="19"/>
        <v>199.60000000000002</v>
      </c>
      <c r="S132" s="3645" t="s">
        <v>7444</v>
      </c>
      <c r="T132" s="3646"/>
      <c r="U132" s="425">
        <v>14.9</v>
      </c>
      <c r="V132" s="423">
        <f t="shared" ref="V132:V148" si="20">U132*20</f>
        <v>298</v>
      </c>
      <c r="X132" s="3666" t="s">
        <v>7445</v>
      </c>
      <c r="Y132" s="3667"/>
      <c r="Z132" s="3667"/>
      <c r="AA132" s="426" t="s">
        <v>7446</v>
      </c>
    </row>
    <row r="133" spans="2:27" ht="16" customHeight="1">
      <c r="B133" s="3625" t="s">
        <v>7447</v>
      </c>
      <c r="C133" s="3626"/>
      <c r="D133" s="425">
        <v>2.59</v>
      </c>
      <c r="E133" s="423">
        <f t="shared" si="18"/>
        <v>51.8</v>
      </c>
      <c r="G133" s="3653" t="s">
        <v>7448</v>
      </c>
      <c r="H133" s="3654"/>
      <c r="I133" s="3654"/>
      <c r="J133" s="3654"/>
      <c r="K133" s="3655"/>
      <c r="M133" s="3645" t="s">
        <v>7449</v>
      </c>
      <c r="N133" s="3646"/>
      <c r="O133" s="3646"/>
      <c r="P133" s="425">
        <v>22.95</v>
      </c>
      <c r="Q133" s="423">
        <f t="shared" si="19"/>
        <v>459</v>
      </c>
      <c r="S133" s="3647" t="s">
        <v>7450</v>
      </c>
      <c r="T133" s="3648"/>
      <c r="U133" s="436">
        <v>6.15</v>
      </c>
      <c r="V133" s="426">
        <f t="shared" si="20"/>
        <v>123</v>
      </c>
      <c r="X133" s="3664" t="s">
        <v>7451</v>
      </c>
      <c r="Y133" s="3665"/>
      <c r="Z133" s="3665"/>
      <c r="AA133" s="423">
        <v>25</v>
      </c>
    </row>
    <row r="134" spans="2:27" ht="16" customHeight="1">
      <c r="B134" s="3629" t="s">
        <v>7452</v>
      </c>
      <c r="C134" s="3630"/>
      <c r="D134" s="436">
        <v>10.95</v>
      </c>
      <c r="E134" s="426">
        <f t="shared" si="18"/>
        <v>219</v>
      </c>
      <c r="G134" s="3658" t="s">
        <v>7453</v>
      </c>
      <c r="H134" s="3659"/>
      <c r="I134" s="3659"/>
      <c r="J134" s="3659"/>
      <c r="K134" s="421" t="s">
        <v>7077</v>
      </c>
      <c r="M134" s="3629" t="s">
        <v>7454</v>
      </c>
      <c r="N134" s="3630"/>
      <c r="O134" s="3630"/>
      <c r="P134" s="436">
        <v>0.79</v>
      </c>
      <c r="Q134" s="426">
        <f t="shared" si="19"/>
        <v>15.8</v>
      </c>
      <c r="S134" s="3625" t="s">
        <v>7455</v>
      </c>
      <c r="T134" s="3626"/>
      <c r="U134" s="425">
        <v>1.75</v>
      </c>
      <c r="V134" s="423">
        <f t="shared" si="20"/>
        <v>35</v>
      </c>
      <c r="X134" s="3666" t="s">
        <v>7456</v>
      </c>
      <c r="Y134" s="3667"/>
      <c r="Z134" s="3667"/>
      <c r="AA134" s="458" t="s">
        <v>7457</v>
      </c>
    </row>
    <row r="135" spans="2:27" ht="16" customHeight="1">
      <c r="B135" s="3625" t="s">
        <v>7458</v>
      </c>
      <c r="C135" s="3626"/>
      <c r="D135" s="425">
        <v>7.95</v>
      </c>
      <c r="E135" s="423">
        <f t="shared" si="18"/>
        <v>159</v>
      </c>
      <c r="G135" s="3688" t="s">
        <v>7459</v>
      </c>
      <c r="H135" s="3689"/>
      <c r="I135" s="3689"/>
      <c r="J135" s="3689"/>
      <c r="K135" s="423">
        <v>2</v>
      </c>
      <c r="M135" s="3625" t="s">
        <v>7460</v>
      </c>
      <c r="N135" s="3626"/>
      <c r="O135" s="3626"/>
      <c r="P135" s="425">
        <v>2.19</v>
      </c>
      <c r="Q135" s="423">
        <v>43.8</v>
      </c>
      <c r="S135" s="3629" t="s">
        <v>7461</v>
      </c>
      <c r="T135" s="3630"/>
      <c r="U135" s="436">
        <v>0.95</v>
      </c>
      <c r="V135" s="426">
        <f t="shared" si="20"/>
        <v>19</v>
      </c>
      <c r="X135" s="3664" t="s">
        <v>7462</v>
      </c>
      <c r="Y135" s="3665"/>
      <c r="Z135" s="3665"/>
      <c r="AA135" s="423">
        <v>45</v>
      </c>
    </row>
    <row r="136" spans="2:27" ht="16" customHeight="1">
      <c r="B136" s="3629" t="s">
        <v>7463</v>
      </c>
      <c r="C136" s="3630"/>
      <c r="D136" s="436">
        <v>1.98</v>
      </c>
      <c r="E136" s="426">
        <f t="shared" si="18"/>
        <v>39.6</v>
      </c>
      <c r="G136" s="3686" t="s">
        <v>7464</v>
      </c>
      <c r="H136" s="3687"/>
      <c r="I136" s="3687"/>
      <c r="J136" s="3687"/>
      <c r="K136" s="426">
        <v>18</v>
      </c>
      <c r="M136" s="3629" t="s">
        <v>7465</v>
      </c>
      <c r="N136" s="3630"/>
      <c r="O136" s="3630"/>
      <c r="P136" s="436">
        <v>0.89</v>
      </c>
      <c r="Q136" s="426">
        <v>17.8</v>
      </c>
      <c r="S136" s="3625" t="s">
        <v>7466</v>
      </c>
      <c r="T136" s="3626"/>
      <c r="U136" s="425">
        <v>8.6</v>
      </c>
      <c r="V136" s="423">
        <f t="shared" si="20"/>
        <v>172</v>
      </c>
      <c r="X136" s="3666" t="s">
        <v>7467</v>
      </c>
      <c r="Y136" s="3667"/>
      <c r="Z136" s="3667"/>
      <c r="AA136" s="426" t="s">
        <v>7468</v>
      </c>
    </row>
    <row r="137" spans="2:27" ht="16" customHeight="1">
      <c r="B137" s="3625" t="s">
        <v>7469</v>
      </c>
      <c r="C137" s="3626"/>
      <c r="D137" s="425">
        <v>9.48</v>
      </c>
      <c r="E137" s="423">
        <f t="shared" si="18"/>
        <v>189.60000000000002</v>
      </c>
      <c r="G137" s="3688" t="s">
        <v>7470</v>
      </c>
      <c r="H137" s="3689"/>
      <c r="I137" s="3689"/>
      <c r="J137" s="3689"/>
      <c r="K137" s="423">
        <v>300</v>
      </c>
      <c r="M137" s="3625" t="s">
        <v>7471</v>
      </c>
      <c r="N137" s="3626"/>
      <c r="O137" s="3626"/>
      <c r="P137" s="425">
        <v>0.25</v>
      </c>
      <c r="Q137" s="423">
        <v>5</v>
      </c>
      <c r="S137" s="3629" t="s">
        <v>7472</v>
      </c>
      <c r="T137" s="3630"/>
      <c r="U137" s="436">
        <v>0.1</v>
      </c>
      <c r="V137" s="426">
        <f t="shared" si="20"/>
        <v>2</v>
      </c>
      <c r="X137" s="3698" t="s">
        <v>7473</v>
      </c>
      <c r="Y137" s="3699"/>
      <c r="Z137" s="3699"/>
      <c r="AA137" s="423">
        <v>2</v>
      </c>
    </row>
    <row r="138" spans="2:27" ht="16" customHeight="1">
      <c r="B138" s="3629" t="s">
        <v>7474</v>
      </c>
      <c r="C138" s="3630"/>
      <c r="D138" s="436">
        <v>0.88</v>
      </c>
      <c r="E138" s="426">
        <f t="shared" si="18"/>
        <v>17.600000000000001</v>
      </c>
      <c r="G138" s="3686" t="s">
        <v>7475</v>
      </c>
      <c r="H138" s="3687"/>
      <c r="I138" s="3687"/>
      <c r="J138" s="3687"/>
      <c r="K138" s="426">
        <v>3000</v>
      </c>
      <c r="M138" s="3629" t="s">
        <v>7476</v>
      </c>
      <c r="N138" s="3630"/>
      <c r="O138" s="3630"/>
      <c r="P138" s="436">
        <v>0.79</v>
      </c>
      <c r="Q138" s="426">
        <v>15.8</v>
      </c>
      <c r="S138" s="3625" t="s">
        <v>7477</v>
      </c>
      <c r="T138" s="3626"/>
      <c r="U138" s="425">
        <v>7.74</v>
      </c>
      <c r="V138" s="423">
        <f t="shared" si="20"/>
        <v>154.80000000000001</v>
      </c>
      <c r="X138" s="3696" t="s">
        <v>7478</v>
      </c>
      <c r="Y138" s="3697"/>
      <c r="Z138" s="3697"/>
      <c r="AA138" s="426">
        <v>2</v>
      </c>
    </row>
    <row r="139" spans="2:27" ht="16" customHeight="1">
      <c r="B139" s="3625" t="s">
        <v>7479</v>
      </c>
      <c r="C139" s="3626"/>
      <c r="D139" s="425">
        <v>4.45</v>
      </c>
      <c r="E139" s="423">
        <f t="shared" si="18"/>
        <v>89</v>
      </c>
      <c r="G139" s="3658" t="s">
        <v>7480</v>
      </c>
      <c r="H139" s="3659"/>
      <c r="I139" s="3659"/>
      <c r="J139" s="3659"/>
      <c r="K139" s="421" t="s">
        <v>7077</v>
      </c>
      <c r="M139" s="3625" t="s">
        <v>7481</v>
      </c>
      <c r="N139" s="3626"/>
      <c r="O139" s="3626"/>
      <c r="P139" s="425">
        <v>0.5</v>
      </c>
      <c r="Q139" s="423">
        <v>10</v>
      </c>
      <c r="S139" s="3629" t="s">
        <v>7482</v>
      </c>
      <c r="T139" s="3630"/>
      <c r="U139" s="436">
        <v>2.25</v>
      </c>
      <c r="V139" s="426">
        <f t="shared" si="20"/>
        <v>45</v>
      </c>
      <c r="X139" s="3696" t="s">
        <v>7483</v>
      </c>
      <c r="Y139" s="3697"/>
      <c r="Z139" s="3697"/>
      <c r="AA139" s="459" t="s">
        <v>7484</v>
      </c>
    </row>
    <row r="140" spans="2:27" ht="16" customHeight="1">
      <c r="B140" s="3629" t="s">
        <v>7485</v>
      </c>
      <c r="C140" s="3630"/>
      <c r="D140" s="436">
        <v>0.98</v>
      </c>
      <c r="E140" s="426">
        <f t="shared" si="18"/>
        <v>19.600000000000001</v>
      </c>
      <c r="G140" s="3688" t="s">
        <v>7098</v>
      </c>
      <c r="H140" s="3689"/>
      <c r="I140" s="3689"/>
      <c r="J140" s="3689"/>
      <c r="K140" s="423">
        <v>2</v>
      </c>
      <c r="M140" s="3629" t="s">
        <v>7486</v>
      </c>
      <c r="N140" s="3630"/>
      <c r="O140" s="3630"/>
      <c r="P140" s="436">
        <v>1.39</v>
      </c>
      <c r="Q140" s="426">
        <v>27.8</v>
      </c>
      <c r="S140" s="3625" t="s">
        <v>7487</v>
      </c>
      <c r="T140" s="3626"/>
      <c r="U140" s="425">
        <v>1.65</v>
      </c>
      <c r="V140" s="423">
        <f t="shared" si="20"/>
        <v>33</v>
      </c>
      <c r="X140" s="3694" t="s">
        <v>7488</v>
      </c>
      <c r="Y140" s="3695"/>
      <c r="Z140" s="3695"/>
      <c r="AA140" s="426">
        <v>10</v>
      </c>
    </row>
    <row r="141" spans="2:27" ht="16" customHeight="1">
      <c r="B141" s="3625" t="s">
        <v>7489</v>
      </c>
      <c r="C141" s="3626"/>
      <c r="D141" s="425">
        <v>4.4400000000000004</v>
      </c>
      <c r="E141" s="423">
        <f t="shared" si="18"/>
        <v>88.800000000000011</v>
      </c>
      <c r="G141" s="3686" t="s">
        <v>7103</v>
      </c>
      <c r="H141" s="3687"/>
      <c r="I141" s="3687"/>
      <c r="J141" s="3687"/>
      <c r="K141" s="426">
        <v>3</v>
      </c>
      <c r="M141" s="3625" t="s">
        <v>7490</v>
      </c>
      <c r="N141" s="3626"/>
      <c r="O141" s="3626"/>
      <c r="P141" s="425">
        <v>0.19</v>
      </c>
      <c r="Q141" s="423">
        <v>3.8</v>
      </c>
      <c r="S141" s="3629" t="s">
        <v>7491</v>
      </c>
      <c r="T141" s="3630"/>
      <c r="U141" s="436">
        <v>4.45</v>
      </c>
      <c r="V141" s="426">
        <f t="shared" si="20"/>
        <v>89</v>
      </c>
      <c r="X141" s="3636" t="s">
        <v>7492</v>
      </c>
      <c r="Y141" s="3637"/>
      <c r="Z141" s="3637"/>
      <c r="AA141" s="3638"/>
    </row>
    <row r="142" spans="2:27" ht="16" customHeight="1">
      <c r="B142" s="3629" t="s">
        <v>7493</v>
      </c>
      <c r="C142" s="3630"/>
      <c r="D142" s="436">
        <v>3.69</v>
      </c>
      <c r="E142" s="426">
        <f t="shared" si="18"/>
        <v>73.8</v>
      </c>
      <c r="G142" s="3688" t="s">
        <v>7108</v>
      </c>
      <c r="H142" s="3689"/>
      <c r="I142" s="3689"/>
      <c r="J142" s="3689"/>
      <c r="K142" s="423">
        <v>6</v>
      </c>
      <c r="M142" s="3674" t="s">
        <v>7494</v>
      </c>
      <c r="N142" s="3675"/>
      <c r="O142" s="3675"/>
      <c r="P142" s="440">
        <v>0.39</v>
      </c>
      <c r="Q142" s="439">
        <v>7.8</v>
      </c>
      <c r="S142" s="3625" t="s">
        <v>7495</v>
      </c>
      <c r="T142" s="3626"/>
      <c r="U142" s="425">
        <v>1.98</v>
      </c>
      <c r="V142" s="423">
        <f t="shared" si="20"/>
        <v>39.6</v>
      </c>
      <c r="X142" s="3636"/>
      <c r="Y142" s="3637"/>
      <c r="Z142" s="3637"/>
      <c r="AA142" s="3638"/>
    </row>
    <row r="143" spans="2:27" ht="16" customHeight="1">
      <c r="B143" s="3660" t="s">
        <v>7496</v>
      </c>
      <c r="C143" s="3661"/>
      <c r="D143" s="425">
        <v>2.59</v>
      </c>
      <c r="E143" s="423">
        <f t="shared" si="18"/>
        <v>51.8</v>
      </c>
      <c r="G143" s="3692" t="s">
        <v>7497</v>
      </c>
      <c r="H143" s="3693"/>
      <c r="I143" s="3693"/>
      <c r="J143" s="3693"/>
      <c r="K143" s="421" t="s">
        <v>7077</v>
      </c>
      <c r="S143" s="3682" t="s">
        <v>7498</v>
      </c>
      <c r="T143" s="3683"/>
      <c r="U143" s="436">
        <v>3.33</v>
      </c>
      <c r="V143" s="426">
        <f t="shared" si="20"/>
        <v>66.599999999999994</v>
      </c>
      <c r="X143" s="3636"/>
      <c r="Y143" s="3637"/>
      <c r="Z143" s="3637"/>
      <c r="AA143" s="3638"/>
    </row>
    <row r="144" spans="2:27" ht="16" customHeight="1">
      <c r="B144" s="3629" t="s">
        <v>7499</v>
      </c>
      <c r="C144" s="3630"/>
      <c r="D144" s="436">
        <v>1.59</v>
      </c>
      <c r="E144" s="426">
        <f t="shared" si="18"/>
        <v>31.8</v>
      </c>
      <c r="G144" s="3688" t="s">
        <v>7500</v>
      </c>
      <c r="H144" s="3689"/>
      <c r="I144" s="3689"/>
      <c r="J144" s="3689"/>
      <c r="K144" s="423">
        <v>120</v>
      </c>
      <c r="M144" s="3653" t="s">
        <v>7501</v>
      </c>
      <c r="N144" s="3654"/>
      <c r="O144" s="3654"/>
      <c r="P144" s="3654"/>
      <c r="Q144" s="3655"/>
      <c r="S144" s="3625" t="s">
        <v>7502</v>
      </c>
      <c r="T144" s="3626"/>
      <c r="U144" s="425">
        <v>2.52</v>
      </c>
      <c r="V144" s="423">
        <f t="shared" si="20"/>
        <v>50.4</v>
      </c>
      <c r="X144" s="3636"/>
      <c r="Y144" s="3637"/>
      <c r="Z144" s="3637"/>
      <c r="AA144" s="3638"/>
    </row>
    <row r="145" spans="2:27" ht="16" customHeight="1">
      <c r="B145" s="3625" t="s">
        <v>7503</v>
      </c>
      <c r="C145" s="3626"/>
      <c r="D145" s="425">
        <v>2.25</v>
      </c>
      <c r="E145" s="423">
        <f t="shared" si="18"/>
        <v>45</v>
      </c>
      <c r="G145" s="3686" t="s">
        <v>7504</v>
      </c>
      <c r="H145" s="3687"/>
      <c r="I145" s="3687"/>
      <c r="J145" s="3687"/>
      <c r="K145" s="426">
        <v>200</v>
      </c>
      <c r="M145" s="3658" t="s">
        <v>612</v>
      </c>
      <c r="N145" s="3659"/>
      <c r="O145" s="3659"/>
      <c r="P145" s="422" t="s">
        <v>7077</v>
      </c>
      <c r="Q145" s="448" t="s">
        <v>7264</v>
      </c>
      <c r="S145" s="3647" t="s">
        <v>7505</v>
      </c>
      <c r="T145" s="3648"/>
      <c r="U145" s="436">
        <v>15.98</v>
      </c>
      <c r="V145" s="426">
        <f t="shared" si="20"/>
        <v>319.60000000000002</v>
      </c>
      <c r="X145" s="3636"/>
      <c r="Y145" s="3637"/>
      <c r="Z145" s="3637"/>
      <c r="AA145" s="3638"/>
    </row>
    <row r="146" spans="2:27" ht="16" customHeight="1">
      <c r="B146" s="3629" t="s">
        <v>7506</v>
      </c>
      <c r="C146" s="3630"/>
      <c r="D146" s="436" t="s">
        <v>7507</v>
      </c>
      <c r="E146" s="456" t="s">
        <v>7508</v>
      </c>
      <c r="G146" s="3688" t="s">
        <v>7509</v>
      </c>
      <c r="H146" s="3689"/>
      <c r="I146" s="3689"/>
      <c r="J146" s="3689"/>
      <c r="K146" s="423">
        <v>35</v>
      </c>
      <c r="M146" s="3645" t="s">
        <v>7510</v>
      </c>
      <c r="N146" s="3646"/>
      <c r="O146" s="3646"/>
      <c r="P146" s="425">
        <v>95</v>
      </c>
      <c r="Q146" s="423">
        <f t="shared" ref="Q146:Q177" si="21">P146*20</f>
        <v>1900</v>
      </c>
      <c r="S146" s="3625" t="s">
        <v>7511</v>
      </c>
      <c r="T146" s="3626"/>
      <c r="U146" s="425">
        <v>6.9</v>
      </c>
      <c r="V146" s="423">
        <f t="shared" si="20"/>
        <v>138</v>
      </c>
      <c r="X146" s="3639"/>
      <c r="Y146" s="3640"/>
      <c r="Z146" s="3640"/>
      <c r="AA146" s="3641"/>
    </row>
    <row r="147" spans="2:27" ht="16" customHeight="1">
      <c r="B147" s="3625" t="s">
        <v>7512</v>
      </c>
      <c r="C147" s="3626"/>
      <c r="D147" s="425">
        <v>3.95</v>
      </c>
      <c r="E147" s="423">
        <f t="shared" ref="E147:E153" si="22">D147*20</f>
        <v>79</v>
      </c>
      <c r="G147" s="3692" t="s">
        <v>7513</v>
      </c>
      <c r="H147" s="3693"/>
      <c r="I147" s="3693"/>
      <c r="J147" s="422" t="s">
        <v>7077</v>
      </c>
      <c r="K147" s="448" t="s">
        <v>7264</v>
      </c>
      <c r="M147" s="3649" t="s">
        <v>7514</v>
      </c>
      <c r="N147" s="3650"/>
      <c r="O147" s="3650"/>
      <c r="P147" s="436">
        <v>1020</v>
      </c>
      <c r="Q147" s="426">
        <f t="shared" si="21"/>
        <v>20400</v>
      </c>
      <c r="S147" s="3629" t="s">
        <v>7515</v>
      </c>
      <c r="T147" s="3630"/>
      <c r="U147" s="436">
        <v>0.95</v>
      </c>
      <c r="V147" s="426">
        <f t="shared" si="20"/>
        <v>19</v>
      </c>
      <c r="X147" s="420"/>
      <c r="Y147" s="420"/>
      <c r="Z147" s="420"/>
      <c r="AA147" s="420"/>
    </row>
    <row r="148" spans="2:27" ht="16" customHeight="1">
      <c r="B148" s="3670" t="s">
        <v>7516</v>
      </c>
      <c r="C148" s="3671"/>
      <c r="D148" s="436">
        <v>39.75</v>
      </c>
      <c r="E148" s="426">
        <f t="shared" si="22"/>
        <v>795</v>
      </c>
      <c r="G148" s="3686" t="s">
        <v>7517</v>
      </c>
      <c r="H148" s="3687"/>
      <c r="I148" s="3687"/>
      <c r="J148" s="436" t="s">
        <v>7431</v>
      </c>
      <c r="K148" s="426" t="s">
        <v>7518</v>
      </c>
      <c r="M148" s="3645" t="s">
        <v>7519</v>
      </c>
      <c r="N148" s="3646"/>
      <c r="O148" s="3646"/>
      <c r="P148" s="425">
        <v>2240</v>
      </c>
      <c r="Q148" s="423">
        <f t="shared" si="21"/>
        <v>44800</v>
      </c>
      <c r="S148" s="3631" t="s">
        <v>7520</v>
      </c>
      <c r="T148" s="3632"/>
      <c r="U148" s="437">
        <v>14.9</v>
      </c>
      <c r="V148" s="434">
        <f t="shared" si="20"/>
        <v>298</v>
      </c>
      <c r="X148" s="420"/>
      <c r="Y148" s="420"/>
      <c r="Z148" s="420"/>
      <c r="AA148" s="420"/>
    </row>
    <row r="149" spans="2:27" ht="16" customHeight="1">
      <c r="B149" s="3625" t="s">
        <v>7521</v>
      </c>
      <c r="C149" s="3626"/>
      <c r="D149" s="425">
        <v>198</v>
      </c>
      <c r="E149" s="423">
        <f t="shared" si="22"/>
        <v>3960</v>
      </c>
      <c r="G149" s="3688" t="s">
        <v>7522</v>
      </c>
      <c r="H149" s="3689"/>
      <c r="I149" s="3689"/>
      <c r="J149" s="425">
        <v>0.1</v>
      </c>
      <c r="K149" s="423">
        <f>J149*20</f>
        <v>2</v>
      </c>
      <c r="M149" s="3649" t="s">
        <v>7523</v>
      </c>
      <c r="N149" s="3650"/>
      <c r="O149" s="3650"/>
      <c r="P149" s="436">
        <v>695</v>
      </c>
      <c r="Q149" s="426">
        <f t="shared" si="21"/>
        <v>13900</v>
      </c>
    </row>
    <row r="150" spans="2:27" ht="16" customHeight="1">
      <c r="B150" s="3629" t="s">
        <v>7524</v>
      </c>
      <c r="C150" s="3630"/>
      <c r="D150" s="436">
        <v>3.98</v>
      </c>
      <c r="E150" s="426">
        <f t="shared" si="22"/>
        <v>79.599999999999994</v>
      </c>
      <c r="G150" s="3690" t="s">
        <v>7525</v>
      </c>
      <c r="H150" s="3691"/>
      <c r="I150" s="3691"/>
      <c r="J150" s="440">
        <v>0.05</v>
      </c>
      <c r="K150" s="439">
        <f>J150*20</f>
        <v>1</v>
      </c>
      <c r="M150" s="3645" t="s">
        <v>7526</v>
      </c>
      <c r="N150" s="3646"/>
      <c r="O150" s="3646"/>
      <c r="P150" s="425">
        <v>1045</v>
      </c>
      <c r="Q150" s="423">
        <f t="shared" si="21"/>
        <v>20900</v>
      </c>
      <c r="S150" s="3653" t="s">
        <v>7527</v>
      </c>
      <c r="T150" s="3654"/>
      <c r="U150" s="3654"/>
      <c r="V150" s="3655"/>
    </row>
    <row r="151" spans="2:27" ht="16" customHeight="1">
      <c r="B151" s="3625" t="s">
        <v>7528</v>
      </c>
      <c r="C151" s="3626"/>
      <c r="D151" s="425">
        <v>8.98</v>
      </c>
      <c r="E151" s="423">
        <f t="shared" si="22"/>
        <v>179.60000000000002</v>
      </c>
      <c r="M151" s="3649" t="s">
        <v>7529</v>
      </c>
      <c r="N151" s="3650"/>
      <c r="O151" s="3650"/>
      <c r="P151" s="436">
        <v>985</v>
      </c>
      <c r="Q151" s="426">
        <f t="shared" si="21"/>
        <v>19700</v>
      </c>
      <c r="S151" s="3658" t="s">
        <v>612</v>
      </c>
      <c r="T151" s="3659"/>
      <c r="U151" s="422" t="s">
        <v>7077</v>
      </c>
      <c r="V151" s="448" t="s">
        <v>7264</v>
      </c>
    </row>
    <row r="152" spans="2:27" ht="16" customHeight="1">
      <c r="B152" s="3629" t="s">
        <v>7530</v>
      </c>
      <c r="C152" s="3630"/>
      <c r="D152" s="436">
        <v>4.9800000000000004</v>
      </c>
      <c r="E152" s="426">
        <f t="shared" si="22"/>
        <v>99.600000000000009</v>
      </c>
      <c r="G152" s="3653" t="s">
        <v>7531</v>
      </c>
      <c r="H152" s="3654"/>
      <c r="I152" s="3654"/>
      <c r="J152" s="3654"/>
      <c r="K152" s="3655"/>
      <c r="M152" s="3645" t="s">
        <v>7532</v>
      </c>
      <c r="N152" s="3646"/>
      <c r="O152" s="3646"/>
      <c r="P152" s="425">
        <v>20000</v>
      </c>
      <c r="Q152" s="423">
        <f t="shared" si="21"/>
        <v>400000</v>
      </c>
      <c r="S152" s="3625" t="s">
        <v>7533</v>
      </c>
      <c r="T152" s="3626"/>
      <c r="U152" s="425">
        <v>3.35</v>
      </c>
      <c r="V152" s="423">
        <f t="shared" ref="V152:V155" si="23">U152*20</f>
        <v>67</v>
      </c>
    </row>
    <row r="153" spans="2:27" ht="16" customHeight="1">
      <c r="B153" s="3631" t="s">
        <v>7534</v>
      </c>
      <c r="C153" s="3632"/>
      <c r="D153" s="437">
        <v>0.98</v>
      </c>
      <c r="E153" s="434">
        <f t="shared" si="22"/>
        <v>19.600000000000001</v>
      </c>
      <c r="G153" s="3658" t="s">
        <v>7535</v>
      </c>
      <c r="H153" s="3659"/>
      <c r="I153" s="3659"/>
      <c r="J153" s="422" t="s">
        <v>7077</v>
      </c>
      <c r="K153" s="448" t="s">
        <v>7264</v>
      </c>
      <c r="M153" s="3649" t="s">
        <v>7536</v>
      </c>
      <c r="N153" s="3650"/>
      <c r="O153" s="3650"/>
      <c r="P153" s="436">
        <v>360</v>
      </c>
      <c r="Q153" s="426">
        <f t="shared" si="21"/>
        <v>7200</v>
      </c>
      <c r="S153" s="3629" t="s">
        <v>7537</v>
      </c>
      <c r="T153" s="3630"/>
      <c r="U153" s="436">
        <v>0.28000000000000003</v>
      </c>
      <c r="V153" s="426">
        <f t="shared" si="23"/>
        <v>5.6000000000000005</v>
      </c>
    </row>
    <row r="154" spans="2:27" ht="16" customHeight="1">
      <c r="G154" s="3670" t="s">
        <v>7538</v>
      </c>
      <c r="H154" s="3671"/>
      <c r="I154" s="3671"/>
      <c r="J154" s="436" t="s">
        <v>7229</v>
      </c>
      <c r="K154" s="426" t="s">
        <v>7539</v>
      </c>
      <c r="M154" s="3645" t="s">
        <v>7540</v>
      </c>
      <c r="N154" s="3646"/>
      <c r="O154" s="3646"/>
      <c r="P154" s="425">
        <v>450</v>
      </c>
      <c r="Q154" s="423">
        <f t="shared" si="21"/>
        <v>9000</v>
      </c>
      <c r="S154" s="3625" t="s">
        <v>7541</v>
      </c>
      <c r="T154" s="3626"/>
      <c r="U154" s="425">
        <v>0.3</v>
      </c>
      <c r="V154" s="423">
        <f t="shared" si="23"/>
        <v>6</v>
      </c>
    </row>
    <row r="155" spans="2:27" ht="16" customHeight="1">
      <c r="B155" s="3653" t="s">
        <v>7542</v>
      </c>
      <c r="C155" s="3654"/>
      <c r="D155" s="3654"/>
      <c r="E155" s="3655"/>
      <c r="F155" s="461"/>
      <c r="G155" s="3625" t="s">
        <v>7543</v>
      </c>
      <c r="H155" s="3626"/>
      <c r="I155" s="3626"/>
      <c r="J155" s="425" t="s">
        <v>7544</v>
      </c>
      <c r="K155" s="423" t="s">
        <v>7545</v>
      </c>
      <c r="M155" s="3649" t="s">
        <v>7546</v>
      </c>
      <c r="N155" s="3650"/>
      <c r="O155" s="3650"/>
      <c r="P155" s="436">
        <v>1750</v>
      </c>
      <c r="Q155" s="426">
        <f t="shared" si="21"/>
        <v>35000</v>
      </c>
      <c r="S155" s="3629" t="s">
        <v>7547</v>
      </c>
      <c r="T155" s="3630"/>
      <c r="U155" s="436">
        <v>39.950000000000003</v>
      </c>
      <c r="V155" s="426">
        <f t="shared" si="23"/>
        <v>799</v>
      </c>
      <c r="X155" s="462"/>
      <c r="Y155" s="462"/>
      <c r="Z155" s="462"/>
      <c r="AA155" s="462"/>
    </row>
    <row r="156" spans="2:27" ht="16" customHeight="1">
      <c r="B156" s="3658" t="s">
        <v>612</v>
      </c>
      <c r="C156" s="3659"/>
      <c r="D156" s="422" t="s">
        <v>7077</v>
      </c>
      <c r="E156" s="421" t="s">
        <v>7264</v>
      </c>
      <c r="F156" s="461"/>
      <c r="G156" s="3629" t="s">
        <v>7548</v>
      </c>
      <c r="H156" s="3630"/>
      <c r="I156" s="3630"/>
      <c r="J156" s="463" t="s">
        <v>7549</v>
      </c>
      <c r="K156" s="456" t="s">
        <v>7550</v>
      </c>
      <c r="M156" s="3645" t="s">
        <v>7551</v>
      </c>
      <c r="N156" s="3646"/>
      <c r="O156" s="3646"/>
      <c r="P156" s="425">
        <v>1345</v>
      </c>
      <c r="Q156" s="423">
        <f t="shared" si="21"/>
        <v>26900</v>
      </c>
      <c r="S156" s="3625" t="s">
        <v>7552</v>
      </c>
      <c r="T156" s="3626"/>
      <c r="U156" s="425">
        <v>129.94999999999999</v>
      </c>
      <c r="V156" s="423" t="s">
        <v>7553</v>
      </c>
      <c r="X156" s="462"/>
      <c r="Y156" s="462"/>
      <c r="Z156" s="462"/>
      <c r="AA156" s="462"/>
    </row>
    <row r="157" spans="2:27" ht="16" customHeight="1">
      <c r="B157" s="3625" t="s">
        <v>7554</v>
      </c>
      <c r="C157" s="3626"/>
      <c r="D157" s="425">
        <v>1.79</v>
      </c>
      <c r="E157" s="423">
        <f t="shared" ref="E157:E168" si="24">D157*20</f>
        <v>35.799999999999997</v>
      </c>
      <c r="F157" s="461"/>
      <c r="G157" s="3625" t="s">
        <v>7555</v>
      </c>
      <c r="H157" s="3626"/>
      <c r="I157" s="3626"/>
      <c r="J157" s="425" t="s">
        <v>7556</v>
      </c>
      <c r="K157" s="423" t="s">
        <v>7557</v>
      </c>
      <c r="M157" s="3649" t="s">
        <v>7558</v>
      </c>
      <c r="N157" s="3650"/>
      <c r="O157" s="3650"/>
      <c r="P157" s="436">
        <v>2950</v>
      </c>
      <c r="Q157" s="426">
        <f t="shared" si="21"/>
        <v>59000</v>
      </c>
      <c r="S157" s="3629" t="s">
        <v>7559</v>
      </c>
      <c r="T157" s="3630"/>
      <c r="U157" s="436">
        <v>5.95</v>
      </c>
      <c r="V157" s="426">
        <f t="shared" ref="V157:V164" si="25">U157*20</f>
        <v>119</v>
      </c>
      <c r="X157" s="462"/>
      <c r="Y157" s="462"/>
      <c r="Z157" s="462"/>
      <c r="AA157" s="462"/>
    </row>
    <row r="158" spans="2:27" ht="16" customHeight="1">
      <c r="B158" s="3629" t="s">
        <v>7560</v>
      </c>
      <c r="C158" s="3630"/>
      <c r="D158" s="436">
        <v>2.98</v>
      </c>
      <c r="E158" s="426">
        <f t="shared" si="24"/>
        <v>59.6</v>
      </c>
      <c r="F158" s="461"/>
      <c r="G158" s="3629" t="s">
        <v>7561</v>
      </c>
      <c r="H158" s="3630"/>
      <c r="I158" s="3630"/>
      <c r="J158" s="436">
        <v>3100</v>
      </c>
      <c r="K158" s="426">
        <f t="shared" ref="K158:K163" si="26">J158*20</f>
        <v>62000</v>
      </c>
      <c r="M158" s="3645" t="s">
        <v>7562</v>
      </c>
      <c r="N158" s="3646"/>
      <c r="O158" s="3646"/>
      <c r="P158" s="425">
        <v>6000</v>
      </c>
      <c r="Q158" s="423">
        <f t="shared" si="21"/>
        <v>120000</v>
      </c>
      <c r="S158" s="3625" t="s">
        <v>7563</v>
      </c>
      <c r="T158" s="3626"/>
      <c r="U158" s="425">
        <v>35.1</v>
      </c>
      <c r="V158" s="423">
        <f t="shared" si="25"/>
        <v>702</v>
      </c>
      <c r="X158" s="462"/>
      <c r="Y158" s="462"/>
      <c r="Z158" s="462"/>
      <c r="AA158" s="462"/>
    </row>
    <row r="159" spans="2:27" ht="16" customHeight="1">
      <c r="B159" s="3642" t="s">
        <v>7564</v>
      </c>
      <c r="C159" s="3643"/>
      <c r="D159" s="3643"/>
      <c r="E159" s="3644"/>
      <c r="F159" s="461"/>
      <c r="G159" s="3642" t="s">
        <v>7565</v>
      </c>
      <c r="H159" s="3643"/>
      <c r="I159" s="3643"/>
      <c r="J159" s="3643"/>
      <c r="K159" s="3644"/>
      <c r="M159" s="3649" t="s">
        <v>7566</v>
      </c>
      <c r="N159" s="3650"/>
      <c r="O159" s="3650"/>
      <c r="P159" s="436">
        <v>745</v>
      </c>
      <c r="Q159" s="426">
        <f t="shared" si="21"/>
        <v>14900</v>
      </c>
      <c r="S159" s="3629" t="s">
        <v>7567</v>
      </c>
      <c r="T159" s="3630"/>
      <c r="U159" s="436">
        <v>1.8</v>
      </c>
      <c r="V159" s="426">
        <f t="shared" si="25"/>
        <v>36</v>
      </c>
    </row>
    <row r="160" spans="2:27" ht="16" customHeight="1">
      <c r="B160" s="3625" t="s">
        <v>7554</v>
      </c>
      <c r="C160" s="3626"/>
      <c r="D160" s="425">
        <v>1.79</v>
      </c>
      <c r="E160" s="423">
        <f t="shared" si="24"/>
        <v>35.799999999999997</v>
      </c>
      <c r="F160" s="461"/>
      <c r="G160" s="3629" t="s">
        <v>7568</v>
      </c>
      <c r="H160" s="3630"/>
      <c r="I160" s="3630"/>
      <c r="J160" s="436">
        <v>1175</v>
      </c>
      <c r="K160" s="426">
        <f t="shared" si="26"/>
        <v>23500</v>
      </c>
      <c r="M160" s="3645" t="s">
        <v>7569</v>
      </c>
      <c r="N160" s="3646"/>
      <c r="O160" s="3646"/>
      <c r="P160" s="425">
        <v>995</v>
      </c>
      <c r="Q160" s="423">
        <f t="shared" si="21"/>
        <v>19900</v>
      </c>
      <c r="S160" s="3625" t="s">
        <v>7570</v>
      </c>
      <c r="T160" s="3626"/>
      <c r="U160" s="425">
        <v>0.85</v>
      </c>
      <c r="V160" s="423">
        <f t="shared" si="25"/>
        <v>17</v>
      </c>
    </row>
    <row r="161" spans="2:22" ht="16" customHeight="1">
      <c r="B161" s="3629" t="s">
        <v>7571</v>
      </c>
      <c r="C161" s="3630"/>
      <c r="D161" s="436">
        <v>2.98</v>
      </c>
      <c r="E161" s="426">
        <f t="shared" si="24"/>
        <v>59.6</v>
      </c>
      <c r="F161" s="461"/>
      <c r="G161" s="3625" t="s">
        <v>7572</v>
      </c>
      <c r="H161" s="3626"/>
      <c r="I161" s="3626"/>
      <c r="J161" s="425">
        <v>2135</v>
      </c>
      <c r="K161" s="423">
        <f t="shared" si="26"/>
        <v>42700</v>
      </c>
      <c r="M161" s="3649" t="s">
        <v>7573</v>
      </c>
      <c r="N161" s="3650"/>
      <c r="O161" s="3650"/>
      <c r="P161" s="436">
        <v>570</v>
      </c>
      <c r="Q161" s="426">
        <f t="shared" si="21"/>
        <v>11400</v>
      </c>
      <c r="S161" s="3629" t="s">
        <v>7574</v>
      </c>
      <c r="T161" s="3630"/>
      <c r="U161" s="436">
        <v>0.2</v>
      </c>
      <c r="V161" s="426">
        <f t="shared" si="25"/>
        <v>4</v>
      </c>
    </row>
    <row r="162" spans="2:22" ht="16" customHeight="1">
      <c r="B162" s="3625" t="s">
        <v>7575</v>
      </c>
      <c r="C162" s="3626"/>
      <c r="D162" s="425">
        <v>2.98</v>
      </c>
      <c r="E162" s="423">
        <f t="shared" si="24"/>
        <v>59.6</v>
      </c>
      <c r="F162" s="461"/>
      <c r="G162" s="3629" t="s">
        <v>7576</v>
      </c>
      <c r="H162" s="3630"/>
      <c r="I162" s="3630"/>
      <c r="J162" s="436">
        <v>3278</v>
      </c>
      <c r="K162" s="426">
        <f t="shared" si="26"/>
        <v>65560</v>
      </c>
      <c r="M162" s="3645" t="s">
        <v>7577</v>
      </c>
      <c r="N162" s="3646"/>
      <c r="O162" s="3646"/>
      <c r="P162" s="425">
        <v>1450</v>
      </c>
      <c r="Q162" s="423">
        <f t="shared" si="21"/>
        <v>29000</v>
      </c>
      <c r="S162" s="3625" t="s">
        <v>7578</v>
      </c>
      <c r="T162" s="3626"/>
      <c r="U162" s="425">
        <v>9.5</v>
      </c>
      <c r="V162" s="423">
        <f t="shared" si="25"/>
        <v>190</v>
      </c>
    </row>
    <row r="163" spans="2:22" ht="16" customHeight="1">
      <c r="B163" s="3629" t="s">
        <v>7579</v>
      </c>
      <c r="C163" s="3630"/>
      <c r="D163" s="436">
        <v>0.98</v>
      </c>
      <c r="E163" s="426">
        <f t="shared" si="24"/>
        <v>19.600000000000001</v>
      </c>
      <c r="G163" s="3631" t="s">
        <v>7580</v>
      </c>
      <c r="H163" s="3632"/>
      <c r="I163" s="3632"/>
      <c r="J163" s="437">
        <v>4492</v>
      </c>
      <c r="K163" s="464">
        <f t="shared" si="26"/>
        <v>89840</v>
      </c>
      <c r="M163" s="3649" t="s">
        <v>7581</v>
      </c>
      <c r="N163" s="3650"/>
      <c r="O163" s="3650"/>
      <c r="P163" s="436">
        <v>995</v>
      </c>
      <c r="Q163" s="426">
        <f t="shared" si="21"/>
        <v>19900</v>
      </c>
      <c r="S163" s="3629" t="s">
        <v>7582</v>
      </c>
      <c r="T163" s="3630"/>
      <c r="U163" s="436">
        <v>0.25</v>
      </c>
      <c r="V163" s="426">
        <f t="shared" si="25"/>
        <v>5</v>
      </c>
    </row>
    <row r="164" spans="2:22" ht="16" customHeight="1">
      <c r="B164" s="3625" t="s">
        <v>7583</v>
      </c>
      <c r="C164" s="3626"/>
      <c r="D164" s="425">
        <v>2.59</v>
      </c>
      <c r="E164" s="423">
        <f t="shared" si="24"/>
        <v>51.8</v>
      </c>
      <c r="M164" s="3645" t="s">
        <v>7584</v>
      </c>
      <c r="N164" s="3646"/>
      <c r="O164" s="3646"/>
      <c r="P164" s="425">
        <v>300</v>
      </c>
      <c r="Q164" s="423">
        <f t="shared" si="21"/>
        <v>6000</v>
      </c>
      <c r="S164" s="3625" t="s">
        <v>7585</v>
      </c>
      <c r="T164" s="3626"/>
      <c r="U164" s="425">
        <v>1200</v>
      </c>
      <c r="V164" s="423">
        <f t="shared" si="25"/>
        <v>24000</v>
      </c>
    </row>
    <row r="165" spans="2:22" ht="16" customHeight="1">
      <c r="B165" s="3629" t="s">
        <v>7411</v>
      </c>
      <c r="C165" s="3630"/>
      <c r="D165" s="436">
        <v>4.95</v>
      </c>
      <c r="E165" s="426">
        <f t="shared" si="24"/>
        <v>99</v>
      </c>
      <c r="G165" s="3653" t="s">
        <v>7586</v>
      </c>
      <c r="H165" s="3654"/>
      <c r="I165" s="3654"/>
      <c r="J165" s="3654"/>
      <c r="K165" s="3655"/>
      <c r="M165" s="3649" t="s">
        <v>7587</v>
      </c>
      <c r="N165" s="3650"/>
      <c r="O165" s="3650"/>
      <c r="P165" s="436">
        <v>75</v>
      </c>
      <c r="Q165" s="426">
        <f t="shared" si="21"/>
        <v>1500</v>
      </c>
      <c r="S165" s="3629" t="s">
        <v>7588</v>
      </c>
      <c r="T165" s="3630"/>
      <c r="U165" s="436">
        <v>40</v>
      </c>
      <c r="V165" s="426" t="s">
        <v>7553</v>
      </c>
    </row>
    <row r="166" spans="2:22" ht="16" customHeight="1">
      <c r="B166" s="3625" t="s">
        <v>7589</v>
      </c>
      <c r="C166" s="3626"/>
      <c r="D166" s="425">
        <v>0.4</v>
      </c>
      <c r="E166" s="423">
        <f t="shared" si="24"/>
        <v>8</v>
      </c>
      <c r="G166" s="3658" t="s">
        <v>7590</v>
      </c>
      <c r="H166" s="3659"/>
      <c r="I166" s="3659"/>
      <c r="J166" s="422" t="s">
        <v>7077</v>
      </c>
      <c r="K166" s="448" t="s">
        <v>7264</v>
      </c>
      <c r="M166" s="3645" t="s">
        <v>7591</v>
      </c>
      <c r="N166" s="3646"/>
      <c r="O166" s="3646"/>
      <c r="P166" s="425">
        <v>545</v>
      </c>
      <c r="Q166" s="423">
        <f t="shared" si="21"/>
        <v>10900</v>
      </c>
      <c r="S166" s="3625" t="s">
        <v>7592</v>
      </c>
      <c r="T166" s="3626"/>
      <c r="U166" s="425">
        <v>66.75</v>
      </c>
      <c r="V166" s="423" t="s">
        <v>7553</v>
      </c>
    </row>
    <row r="167" spans="2:22" ht="16" customHeight="1">
      <c r="B167" s="3629" t="s">
        <v>7415</v>
      </c>
      <c r="C167" s="3630"/>
      <c r="D167" s="436">
        <v>0.54</v>
      </c>
      <c r="E167" s="426">
        <f t="shared" si="24"/>
        <v>10.8</v>
      </c>
      <c r="G167" s="3660" t="s">
        <v>418</v>
      </c>
      <c r="H167" s="3661"/>
      <c r="I167" s="3661"/>
      <c r="J167" s="425">
        <v>4.45</v>
      </c>
      <c r="K167" s="423">
        <f t="shared" ref="K167:K171" si="27">J167*20</f>
        <v>89</v>
      </c>
      <c r="M167" s="3649" t="s">
        <v>7593</v>
      </c>
      <c r="N167" s="3650"/>
      <c r="O167" s="3650"/>
      <c r="P167" s="436">
        <v>1085</v>
      </c>
      <c r="Q167" s="426">
        <f t="shared" si="21"/>
        <v>21700</v>
      </c>
      <c r="S167" s="3629" t="s">
        <v>7594</v>
      </c>
      <c r="T167" s="3630"/>
      <c r="U167" s="436">
        <v>0.57999999999999996</v>
      </c>
      <c r="V167" s="426">
        <f t="shared" ref="V167:V185" si="28">U167*20</f>
        <v>11.6</v>
      </c>
    </row>
    <row r="168" spans="2:22" ht="16" customHeight="1">
      <c r="B168" s="3684" t="s">
        <v>7595</v>
      </c>
      <c r="C168" s="3685"/>
      <c r="D168" s="437">
        <v>1.29</v>
      </c>
      <c r="E168" s="434">
        <f t="shared" si="24"/>
        <v>25.8</v>
      </c>
      <c r="G168" s="3629" t="s">
        <v>7596</v>
      </c>
      <c r="H168" s="3630"/>
      <c r="I168" s="3630"/>
      <c r="J168" s="436">
        <v>10</v>
      </c>
      <c r="K168" s="426">
        <f t="shared" si="27"/>
        <v>200</v>
      </c>
      <c r="M168" s="3645" t="s">
        <v>7597</v>
      </c>
      <c r="N168" s="3646"/>
      <c r="O168" s="3646"/>
      <c r="P168" s="425">
        <v>490</v>
      </c>
      <c r="Q168" s="423">
        <f t="shared" si="21"/>
        <v>9800</v>
      </c>
      <c r="S168" s="3625" t="s">
        <v>7598</v>
      </c>
      <c r="T168" s="3626"/>
      <c r="U168" s="425">
        <v>17.5</v>
      </c>
      <c r="V168" s="423">
        <f t="shared" si="28"/>
        <v>350</v>
      </c>
    </row>
    <row r="169" spans="2:22" ht="16" customHeight="1">
      <c r="G169" s="3660" t="s">
        <v>7599</v>
      </c>
      <c r="H169" s="3661"/>
      <c r="I169" s="3661"/>
      <c r="J169" s="425">
        <v>0.75</v>
      </c>
      <c r="K169" s="423">
        <f t="shared" si="27"/>
        <v>15</v>
      </c>
      <c r="M169" s="3649" t="s">
        <v>7600</v>
      </c>
      <c r="N169" s="3650"/>
      <c r="O169" s="3650"/>
      <c r="P169" s="436">
        <v>9000</v>
      </c>
      <c r="Q169" s="426">
        <f t="shared" si="21"/>
        <v>180000</v>
      </c>
      <c r="S169" s="3682" t="s">
        <v>7601</v>
      </c>
      <c r="T169" s="3683"/>
      <c r="U169" s="436">
        <v>62.5</v>
      </c>
      <c r="V169" s="426">
        <f t="shared" si="28"/>
        <v>1250</v>
      </c>
    </row>
    <row r="170" spans="2:22" ht="16" customHeight="1">
      <c r="B170" s="3653" t="s">
        <v>7169</v>
      </c>
      <c r="C170" s="3654"/>
      <c r="D170" s="3654"/>
      <c r="E170" s="3655"/>
      <c r="G170" s="3656" t="s">
        <v>7219</v>
      </c>
      <c r="H170" s="3657"/>
      <c r="I170" s="3657"/>
      <c r="J170" s="436">
        <v>9</v>
      </c>
      <c r="K170" s="426">
        <f t="shared" si="27"/>
        <v>180</v>
      </c>
      <c r="M170" s="3645" t="s">
        <v>7602</v>
      </c>
      <c r="N170" s="3646"/>
      <c r="O170" s="3646"/>
      <c r="P170" s="425">
        <v>1225</v>
      </c>
      <c r="Q170" s="423">
        <f t="shared" si="21"/>
        <v>24500</v>
      </c>
      <c r="S170" s="3625" t="s">
        <v>7603</v>
      </c>
      <c r="T170" s="3626"/>
      <c r="U170" s="425">
        <v>1.79</v>
      </c>
      <c r="V170" s="423">
        <f t="shared" si="28"/>
        <v>35.799999999999997</v>
      </c>
    </row>
    <row r="171" spans="2:22" ht="16" customHeight="1">
      <c r="B171" s="3658" t="s">
        <v>612</v>
      </c>
      <c r="C171" s="3659"/>
      <c r="D171" s="422" t="s">
        <v>7077</v>
      </c>
      <c r="E171" s="421" t="s">
        <v>7264</v>
      </c>
      <c r="G171" s="3625" t="s">
        <v>7604</v>
      </c>
      <c r="H171" s="3626"/>
      <c r="I171" s="3626"/>
      <c r="J171" s="425">
        <v>24</v>
      </c>
      <c r="K171" s="423">
        <f t="shared" si="27"/>
        <v>480</v>
      </c>
      <c r="M171" s="3649" t="s">
        <v>7605</v>
      </c>
      <c r="N171" s="3650"/>
      <c r="O171" s="3650"/>
      <c r="P171" s="436">
        <v>800</v>
      </c>
      <c r="Q171" s="426">
        <f t="shared" si="21"/>
        <v>16000</v>
      </c>
      <c r="S171" s="3629" t="s">
        <v>7606</v>
      </c>
      <c r="T171" s="3630"/>
      <c r="U171" s="436">
        <v>0.99</v>
      </c>
      <c r="V171" s="426">
        <f t="shared" si="28"/>
        <v>19.8</v>
      </c>
    </row>
    <row r="172" spans="2:22" ht="16" customHeight="1">
      <c r="B172" s="3664" t="s">
        <v>7607</v>
      </c>
      <c r="C172" s="3665"/>
      <c r="D172" s="425">
        <v>7.45</v>
      </c>
      <c r="E172" s="423">
        <f t="shared" ref="E172:E177" si="29">D172*20</f>
        <v>149</v>
      </c>
      <c r="G172" s="3656" t="s">
        <v>7608</v>
      </c>
      <c r="H172" s="3657"/>
      <c r="I172" s="3657"/>
      <c r="J172" s="436" t="s">
        <v>7609</v>
      </c>
      <c r="K172" s="426" t="s">
        <v>7204</v>
      </c>
      <c r="M172" s="3678" t="s">
        <v>7610</v>
      </c>
      <c r="N172" s="3679"/>
      <c r="O172" s="3679"/>
      <c r="P172" s="425">
        <v>4000</v>
      </c>
      <c r="Q172" s="423">
        <f t="shared" si="21"/>
        <v>80000</v>
      </c>
      <c r="S172" s="3625" t="s">
        <v>7611</v>
      </c>
      <c r="T172" s="3626"/>
      <c r="U172" s="425">
        <v>0.1</v>
      </c>
      <c r="V172" s="423">
        <f t="shared" si="28"/>
        <v>2</v>
      </c>
    </row>
    <row r="173" spans="2:22" ht="16" customHeight="1">
      <c r="B173" s="3666" t="s">
        <v>7612</v>
      </c>
      <c r="C173" s="3667"/>
      <c r="D173" s="436">
        <v>9.9499999999999993</v>
      </c>
      <c r="E173" s="426">
        <f t="shared" si="29"/>
        <v>199</v>
      </c>
      <c r="G173" s="3680" t="s">
        <v>7613</v>
      </c>
      <c r="H173" s="3681"/>
      <c r="I173" s="3681"/>
      <c r="J173" s="425">
        <v>5</v>
      </c>
      <c r="K173" s="423">
        <f t="shared" ref="K173:K180" si="30">J173*20</f>
        <v>100</v>
      </c>
      <c r="M173" s="3649" t="s">
        <v>7614</v>
      </c>
      <c r="N173" s="3650"/>
      <c r="O173" s="3650"/>
      <c r="P173" s="436">
        <v>4050</v>
      </c>
      <c r="Q173" s="426">
        <f t="shared" si="21"/>
        <v>81000</v>
      </c>
      <c r="S173" s="3629" t="s">
        <v>7615</v>
      </c>
      <c r="T173" s="3630"/>
      <c r="U173" s="436">
        <v>2.29</v>
      </c>
      <c r="V173" s="426">
        <f t="shared" si="28"/>
        <v>45.8</v>
      </c>
    </row>
    <row r="174" spans="2:22" ht="16" customHeight="1">
      <c r="B174" s="3664" t="s">
        <v>7616</v>
      </c>
      <c r="C174" s="3665"/>
      <c r="D174" s="425">
        <v>12</v>
      </c>
      <c r="E174" s="423">
        <f t="shared" si="29"/>
        <v>240</v>
      </c>
      <c r="G174" s="3642" t="s">
        <v>7617</v>
      </c>
      <c r="H174" s="3643"/>
      <c r="I174" s="3643"/>
      <c r="J174" s="3643"/>
      <c r="K174" s="3644"/>
      <c r="M174" s="3645" t="s">
        <v>7618</v>
      </c>
      <c r="N174" s="3646"/>
      <c r="O174" s="3646"/>
      <c r="P174" s="425">
        <v>7750</v>
      </c>
      <c r="Q174" s="423">
        <f t="shared" si="21"/>
        <v>155000</v>
      </c>
      <c r="S174" s="3625" t="s">
        <v>7619</v>
      </c>
      <c r="T174" s="3626"/>
      <c r="U174" s="425">
        <v>6.75</v>
      </c>
      <c r="V174" s="423">
        <f t="shared" si="28"/>
        <v>135</v>
      </c>
    </row>
    <row r="175" spans="2:22" ht="16" customHeight="1">
      <c r="B175" s="3666" t="s">
        <v>7620</v>
      </c>
      <c r="C175" s="3667"/>
      <c r="D175" s="436">
        <v>54.95</v>
      </c>
      <c r="E175" s="426">
        <f t="shared" si="29"/>
        <v>1099</v>
      </c>
      <c r="G175" s="3625" t="s">
        <v>7621</v>
      </c>
      <c r="H175" s="3626"/>
      <c r="I175" s="3626"/>
      <c r="J175" s="425">
        <v>1000</v>
      </c>
      <c r="K175" s="423">
        <f t="shared" si="30"/>
        <v>20000</v>
      </c>
      <c r="M175" s="3649" t="s">
        <v>7622</v>
      </c>
      <c r="N175" s="3650"/>
      <c r="O175" s="3650"/>
      <c r="P175" s="436">
        <v>500</v>
      </c>
      <c r="Q175" s="426">
        <f t="shared" si="21"/>
        <v>10000</v>
      </c>
      <c r="S175" s="3629" t="s">
        <v>7623</v>
      </c>
      <c r="T175" s="3630"/>
      <c r="U175" s="436">
        <v>49</v>
      </c>
      <c r="V175" s="426">
        <f t="shared" si="28"/>
        <v>980</v>
      </c>
    </row>
    <row r="176" spans="2:22" ht="16" customHeight="1">
      <c r="B176" s="3664" t="s">
        <v>7624</v>
      </c>
      <c r="C176" s="3665"/>
      <c r="D176" s="425">
        <v>79.95</v>
      </c>
      <c r="E176" s="423">
        <f t="shared" si="29"/>
        <v>1599</v>
      </c>
      <c r="G176" s="3629" t="s">
        <v>7625</v>
      </c>
      <c r="H176" s="3630"/>
      <c r="I176" s="3630"/>
      <c r="J176" s="436">
        <v>55</v>
      </c>
      <c r="K176" s="426">
        <f t="shared" si="30"/>
        <v>1100</v>
      </c>
      <c r="M176" s="3645" t="s">
        <v>7626</v>
      </c>
      <c r="N176" s="3646"/>
      <c r="O176" s="3646"/>
      <c r="P176" s="425">
        <v>6750</v>
      </c>
      <c r="Q176" s="423">
        <f t="shared" si="21"/>
        <v>135000</v>
      </c>
      <c r="S176" s="3625" t="s">
        <v>7627</v>
      </c>
      <c r="T176" s="3626"/>
      <c r="U176" s="425">
        <v>1.95</v>
      </c>
      <c r="V176" s="423">
        <f t="shared" si="28"/>
        <v>39</v>
      </c>
    </row>
    <row r="177" spans="2:22" ht="16" customHeight="1">
      <c r="B177" s="3676" t="s">
        <v>7628</v>
      </c>
      <c r="C177" s="3677"/>
      <c r="D177" s="440">
        <v>12.5</v>
      </c>
      <c r="E177" s="439">
        <f t="shared" si="29"/>
        <v>250</v>
      </c>
      <c r="G177" s="3625" t="s">
        <v>7629</v>
      </c>
      <c r="H177" s="3626"/>
      <c r="I177" s="3626"/>
      <c r="J177" s="425">
        <v>350</v>
      </c>
      <c r="K177" s="423">
        <f t="shared" si="30"/>
        <v>7000</v>
      </c>
      <c r="M177" s="3649" t="s">
        <v>7630</v>
      </c>
      <c r="N177" s="3650"/>
      <c r="O177" s="3650"/>
      <c r="P177" s="436">
        <v>10800</v>
      </c>
      <c r="Q177" s="426">
        <f t="shared" si="21"/>
        <v>216000</v>
      </c>
      <c r="S177" s="3629" t="s">
        <v>7631</v>
      </c>
      <c r="T177" s="3630"/>
      <c r="U177" s="436">
        <v>1.68</v>
      </c>
      <c r="V177" s="426">
        <f t="shared" si="28"/>
        <v>33.6</v>
      </c>
    </row>
    <row r="178" spans="2:22" ht="16" customHeight="1">
      <c r="G178" s="3629" t="s">
        <v>7632</v>
      </c>
      <c r="H178" s="3630"/>
      <c r="I178" s="3630"/>
      <c r="J178" s="436">
        <v>12.5</v>
      </c>
      <c r="K178" s="426">
        <f t="shared" si="30"/>
        <v>250</v>
      </c>
      <c r="M178" s="3642" t="s">
        <v>7633</v>
      </c>
      <c r="N178" s="3643"/>
      <c r="O178" s="3643"/>
      <c r="P178" s="3643"/>
      <c r="Q178" s="3644"/>
      <c r="S178" s="3625" t="s">
        <v>7634</v>
      </c>
      <c r="T178" s="3626"/>
      <c r="U178" s="425">
        <v>3.98</v>
      </c>
      <c r="V178" s="423">
        <f t="shared" si="28"/>
        <v>79.599999999999994</v>
      </c>
    </row>
    <row r="179" spans="2:22" ht="16" customHeight="1">
      <c r="B179" s="3653" t="s">
        <v>7075</v>
      </c>
      <c r="C179" s="3654"/>
      <c r="D179" s="3654"/>
      <c r="E179" s="3655"/>
      <c r="G179" s="3625" t="s">
        <v>7635</v>
      </c>
      <c r="H179" s="3626"/>
      <c r="I179" s="3626"/>
      <c r="J179" s="425">
        <v>10</v>
      </c>
      <c r="K179" s="423">
        <f t="shared" si="30"/>
        <v>200</v>
      </c>
      <c r="M179" s="3629" t="s">
        <v>7636</v>
      </c>
      <c r="N179" s="3630"/>
      <c r="O179" s="3630"/>
      <c r="P179" s="436">
        <v>10.95</v>
      </c>
      <c r="Q179" s="426">
        <f t="shared" ref="Q179:Q188" si="31">P179*20</f>
        <v>219</v>
      </c>
      <c r="S179" s="3629" t="s">
        <v>7637</v>
      </c>
      <c r="T179" s="3630"/>
      <c r="U179" s="436">
        <v>1.48</v>
      </c>
      <c r="V179" s="426">
        <f t="shared" si="28"/>
        <v>29.6</v>
      </c>
    </row>
    <row r="180" spans="2:22" ht="16" customHeight="1">
      <c r="B180" s="3658" t="s">
        <v>612</v>
      </c>
      <c r="C180" s="3659"/>
      <c r="D180" s="422" t="s">
        <v>7077</v>
      </c>
      <c r="E180" s="448" t="s">
        <v>7264</v>
      </c>
      <c r="G180" s="3674" t="s">
        <v>7638</v>
      </c>
      <c r="H180" s="3675"/>
      <c r="I180" s="3675"/>
      <c r="J180" s="440">
        <v>40</v>
      </c>
      <c r="K180" s="439">
        <f t="shared" si="30"/>
        <v>800</v>
      </c>
      <c r="M180" s="3625" t="s">
        <v>7639</v>
      </c>
      <c r="N180" s="3626"/>
      <c r="O180" s="3626"/>
      <c r="P180" s="425">
        <v>0.32</v>
      </c>
      <c r="Q180" s="423">
        <f t="shared" si="31"/>
        <v>6.4</v>
      </c>
      <c r="S180" s="3625" t="s">
        <v>7640</v>
      </c>
      <c r="T180" s="3626"/>
      <c r="U180" s="425">
        <v>9.9499999999999993</v>
      </c>
      <c r="V180" s="423">
        <f t="shared" si="28"/>
        <v>199</v>
      </c>
    </row>
    <row r="181" spans="2:22" ht="16" customHeight="1">
      <c r="B181" s="3645" t="s">
        <v>7641</v>
      </c>
      <c r="C181" s="3646"/>
      <c r="D181" s="425">
        <v>0.25</v>
      </c>
      <c r="E181" s="3633" t="s">
        <v>7642</v>
      </c>
      <c r="G181" s="419"/>
      <c r="H181" s="419"/>
      <c r="I181" s="419"/>
      <c r="J181" s="419"/>
      <c r="K181" s="419"/>
      <c r="M181" s="3629" t="s">
        <v>7643</v>
      </c>
      <c r="N181" s="3630"/>
      <c r="O181" s="3630"/>
      <c r="P181" s="436">
        <v>4.95</v>
      </c>
      <c r="Q181" s="426">
        <f t="shared" si="31"/>
        <v>99</v>
      </c>
      <c r="S181" s="3629" t="s">
        <v>7644</v>
      </c>
      <c r="T181" s="3630"/>
      <c r="U181" s="436">
        <v>16.649999999999999</v>
      </c>
      <c r="V181" s="426">
        <f t="shared" si="28"/>
        <v>333</v>
      </c>
    </row>
    <row r="182" spans="2:22" ht="16" customHeight="1">
      <c r="B182" s="3647" t="s">
        <v>7645</v>
      </c>
      <c r="C182" s="3648"/>
      <c r="D182" s="436">
        <v>0.02</v>
      </c>
      <c r="E182" s="3633"/>
      <c r="G182" s="3653" t="s">
        <v>7646</v>
      </c>
      <c r="H182" s="3654"/>
      <c r="I182" s="3654"/>
      <c r="J182" s="3654"/>
      <c r="K182" s="3655"/>
      <c r="M182" s="3625" t="s">
        <v>7647</v>
      </c>
      <c r="N182" s="3626"/>
      <c r="O182" s="3626"/>
      <c r="P182" s="425">
        <v>1</v>
      </c>
      <c r="Q182" s="423">
        <f t="shared" si="31"/>
        <v>20</v>
      </c>
      <c r="S182" s="3645" t="s">
        <v>7648</v>
      </c>
      <c r="T182" s="3646"/>
      <c r="U182" s="425">
        <v>24.65</v>
      </c>
      <c r="V182" s="423">
        <f t="shared" si="28"/>
        <v>493</v>
      </c>
    </row>
    <row r="183" spans="2:22" ht="16" customHeight="1">
      <c r="B183" s="3625" t="s">
        <v>7649</v>
      </c>
      <c r="C183" s="3626"/>
      <c r="D183" s="425">
        <v>1.25</v>
      </c>
      <c r="E183" s="3633"/>
      <c r="G183" s="3658" t="s">
        <v>612</v>
      </c>
      <c r="H183" s="3659"/>
      <c r="I183" s="3659"/>
      <c r="J183" s="422" t="s">
        <v>7077</v>
      </c>
      <c r="K183" s="448" t="s">
        <v>7264</v>
      </c>
      <c r="M183" s="3629" t="s">
        <v>7650</v>
      </c>
      <c r="N183" s="3630"/>
      <c r="O183" s="3630"/>
      <c r="P183" s="436">
        <v>14.15</v>
      </c>
      <c r="Q183" s="426">
        <f t="shared" si="31"/>
        <v>283</v>
      </c>
      <c r="S183" s="3629" t="s">
        <v>7651</v>
      </c>
      <c r="T183" s="3630"/>
      <c r="U183" s="436">
        <v>34.450000000000003</v>
      </c>
      <c r="V183" s="426">
        <f t="shared" si="28"/>
        <v>689</v>
      </c>
    </row>
    <row r="184" spans="2:22" ht="16" customHeight="1">
      <c r="B184" s="3672" t="s">
        <v>7652</v>
      </c>
      <c r="C184" s="3673"/>
      <c r="D184" s="436">
        <v>0.02</v>
      </c>
      <c r="E184" s="426">
        <f t="shared" ref="E184:E189" si="32">D184*20</f>
        <v>0.4</v>
      </c>
      <c r="F184" s="447"/>
      <c r="G184" s="3651" t="s">
        <v>7653</v>
      </c>
      <c r="H184" s="3652"/>
      <c r="I184" s="3652"/>
      <c r="J184" s="425">
        <v>25</v>
      </c>
      <c r="K184" s="423">
        <f t="shared" ref="K184:K186" si="33">J184*20</f>
        <v>500</v>
      </c>
      <c r="M184" s="3625" t="s">
        <v>7654</v>
      </c>
      <c r="N184" s="3626"/>
      <c r="O184" s="3626"/>
      <c r="P184" s="425">
        <v>8.69</v>
      </c>
      <c r="Q184" s="423">
        <f t="shared" si="31"/>
        <v>173.79999999999998</v>
      </c>
      <c r="S184" s="3625" t="s">
        <v>7655</v>
      </c>
      <c r="T184" s="3626"/>
      <c r="U184" s="425">
        <v>13.85</v>
      </c>
      <c r="V184" s="423">
        <f t="shared" si="28"/>
        <v>277</v>
      </c>
    </row>
    <row r="185" spans="2:22" ht="16" customHeight="1">
      <c r="B185" s="3664" t="s">
        <v>7656</v>
      </c>
      <c r="C185" s="3665"/>
      <c r="D185" s="466" t="s">
        <v>6076</v>
      </c>
      <c r="E185" s="423" t="s">
        <v>7657</v>
      </c>
      <c r="G185" s="3629" t="s">
        <v>7658</v>
      </c>
      <c r="H185" s="3630"/>
      <c r="I185" s="3630"/>
      <c r="J185" s="436">
        <v>25</v>
      </c>
      <c r="K185" s="426">
        <f t="shared" si="33"/>
        <v>500</v>
      </c>
      <c r="M185" s="3629" t="s">
        <v>7659</v>
      </c>
      <c r="N185" s="3630"/>
      <c r="O185" s="3630"/>
      <c r="P185" s="436">
        <v>0.3</v>
      </c>
      <c r="Q185" s="426">
        <f t="shared" si="31"/>
        <v>6</v>
      </c>
      <c r="S185" s="3674" t="s">
        <v>7660</v>
      </c>
      <c r="T185" s="3675"/>
      <c r="U185" s="440">
        <v>0.45</v>
      </c>
      <c r="V185" s="439">
        <f t="shared" si="28"/>
        <v>9</v>
      </c>
    </row>
    <row r="186" spans="2:22" ht="16" customHeight="1">
      <c r="B186" s="3666" t="s">
        <v>7661</v>
      </c>
      <c r="C186" s="3667"/>
      <c r="D186" s="436">
        <v>49.95</v>
      </c>
      <c r="E186" s="426" t="s">
        <v>7553</v>
      </c>
      <c r="G186" s="3625" t="s">
        <v>7662</v>
      </c>
      <c r="H186" s="3626"/>
      <c r="I186" s="3626"/>
      <c r="J186" s="425">
        <v>80</v>
      </c>
      <c r="K186" s="423">
        <f t="shared" si="33"/>
        <v>1600</v>
      </c>
      <c r="M186" s="3625" t="s">
        <v>7663</v>
      </c>
      <c r="N186" s="3626"/>
      <c r="O186" s="3626"/>
      <c r="P186" s="425">
        <v>3.25</v>
      </c>
      <c r="Q186" s="423">
        <f t="shared" si="31"/>
        <v>65</v>
      </c>
    </row>
    <row r="187" spans="2:22" ht="16" customHeight="1">
      <c r="B187" s="3664" t="s">
        <v>7664</v>
      </c>
      <c r="C187" s="3665"/>
      <c r="D187" s="425">
        <v>15.75</v>
      </c>
      <c r="E187" s="423">
        <f t="shared" si="32"/>
        <v>315</v>
      </c>
      <c r="G187" s="3629" t="s">
        <v>7665</v>
      </c>
      <c r="H187" s="3630"/>
      <c r="I187" s="3630"/>
      <c r="J187" s="436" t="s">
        <v>5785</v>
      </c>
      <c r="K187" s="467" t="s">
        <v>7666</v>
      </c>
      <c r="M187" s="3629" t="s">
        <v>7667</v>
      </c>
      <c r="N187" s="3630"/>
      <c r="O187" s="3630"/>
      <c r="P187" s="436">
        <v>2.95</v>
      </c>
      <c r="Q187" s="426">
        <f t="shared" si="31"/>
        <v>59</v>
      </c>
      <c r="S187" s="3653" t="s">
        <v>7668</v>
      </c>
      <c r="T187" s="3654"/>
      <c r="U187" s="3654"/>
      <c r="V187" s="3655"/>
    </row>
    <row r="188" spans="2:22" ht="16" customHeight="1">
      <c r="B188" s="3666" t="s">
        <v>7669</v>
      </c>
      <c r="C188" s="3667"/>
      <c r="D188" s="436">
        <v>1.25</v>
      </c>
      <c r="E188" s="426" t="s">
        <v>7553</v>
      </c>
      <c r="G188" s="3651" t="s">
        <v>7670</v>
      </c>
      <c r="H188" s="3652"/>
      <c r="I188" s="3652"/>
      <c r="J188" s="425">
        <v>199</v>
      </c>
      <c r="K188" s="423">
        <f t="shared" ref="K188:K190" si="34">J188*20</f>
        <v>3980</v>
      </c>
      <c r="M188" s="3631" t="s">
        <v>7671</v>
      </c>
      <c r="N188" s="3632"/>
      <c r="O188" s="3632"/>
      <c r="P188" s="437">
        <v>1.35</v>
      </c>
      <c r="Q188" s="434">
        <f t="shared" si="31"/>
        <v>27</v>
      </c>
      <c r="S188" s="3658" t="s">
        <v>612</v>
      </c>
      <c r="T188" s="3659"/>
      <c r="U188" s="422" t="s">
        <v>7077</v>
      </c>
      <c r="V188" s="448" t="s">
        <v>7264</v>
      </c>
    </row>
    <row r="189" spans="2:22" ht="16" customHeight="1">
      <c r="B189" s="3668" t="s">
        <v>7672</v>
      </c>
      <c r="C189" s="3669"/>
      <c r="D189" s="437">
        <v>0.05</v>
      </c>
      <c r="E189" s="434">
        <f t="shared" si="32"/>
        <v>1</v>
      </c>
      <c r="G189" s="3670" t="s">
        <v>7673</v>
      </c>
      <c r="H189" s="3671"/>
      <c r="I189" s="3671"/>
      <c r="J189" s="436">
        <v>295</v>
      </c>
      <c r="K189" s="426">
        <f t="shared" si="34"/>
        <v>5900</v>
      </c>
      <c r="M189" s="419"/>
      <c r="N189" s="419"/>
      <c r="O189" s="419"/>
      <c r="P189" s="419"/>
      <c r="Q189" s="419"/>
      <c r="S189" s="3625" t="s">
        <v>7674</v>
      </c>
      <c r="T189" s="3626"/>
      <c r="U189" s="425">
        <v>0.15</v>
      </c>
      <c r="V189" s="423">
        <f t="shared" ref="V189:V212" si="35">U189*20</f>
        <v>3</v>
      </c>
    </row>
    <row r="190" spans="2:22" ht="16" customHeight="1">
      <c r="G190" s="3662" t="s">
        <v>7675</v>
      </c>
      <c r="H190" s="3663"/>
      <c r="I190" s="3663"/>
      <c r="J190" s="465">
        <v>395</v>
      </c>
      <c r="K190" s="423">
        <f t="shared" si="34"/>
        <v>7900</v>
      </c>
      <c r="M190" s="3653" t="s">
        <v>7239</v>
      </c>
      <c r="N190" s="3654"/>
      <c r="O190" s="3654"/>
      <c r="P190" s="3654"/>
      <c r="Q190" s="3655"/>
      <c r="S190" s="3649" t="s">
        <v>7676</v>
      </c>
      <c r="T190" s="3650"/>
      <c r="U190" s="436">
        <v>0.33</v>
      </c>
      <c r="V190" s="426">
        <f t="shared" si="35"/>
        <v>6.6000000000000005</v>
      </c>
    </row>
    <row r="191" spans="2:22" ht="16" customHeight="1">
      <c r="G191" s="3642" t="s">
        <v>7677</v>
      </c>
      <c r="H191" s="3643"/>
      <c r="I191" s="3643"/>
      <c r="J191" s="3643"/>
      <c r="K191" s="3644"/>
      <c r="M191" s="3658" t="s">
        <v>612</v>
      </c>
      <c r="N191" s="3659"/>
      <c r="O191" s="3659"/>
      <c r="P191" s="422" t="s">
        <v>7077</v>
      </c>
      <c r="Q191" s="448" t="s">
        <v>7264</v>
      </c>
      <c r="S191" s="3625" t="s">
        <v>7678</v>
      </c>
      <c r="T191" s="3626"/>
      <c r="U191" s="425">
        <v>5.45</v>
      </c>
      <c r="V191" s="423">
        <f t="shared" si="35"/>
        <v>109</v>
      </c>
    </row>
    <row r="192" spans="2:22" ht="16" customHeight="1">
      <c r="G192" s="3625" t="s">
        <v>7679</v>
      </c>
      <c r="H192" s="3626"/>
      <c r="I192" s="3626"/>
      <c r="J192" s="425">
        <v>10</v>
      </c>
      <c r="K192" s="423">
        <f t="shared" ref="K192:K198" si="36">J192*20</f>
        <v>200</v>
      </c>
      <c r="M192" s="3625" t="s">
        <v>7680</v>
      </c>
      <c r="N192" s="3626"/>
      <c r="O192" s="3626"/>
      <c r="P192" s="425">
        <v>0.15</v>
      </c>
      <c r="Q192" s="423">
        <f t="shared" ref="Q192:Q196" si="37">P192*20</f>
        <v>3</v>
      </c>
      <c r="S192" s="3629" t="s">
        <v>7681</v>
      </c>
      <c r="T192" s="3630"/>
      <c r="U192" s="436">
        <v>1.3</v>
      </c>
      <c r="V192" s="426">
        <f t="shared" si="35"/>
        <v>26</v>
      </c>
    </row>
    <row r="193" spans="7:22" ht="16" customHeight="1">
      <c r="G193" s="3629" t="s">
        <v>7682</v>
      </c>
      <c r="H193" s="3630"/>
      <c r="I193" s="3630"/>
      <c r="J193" s="436">
        <v>19.95</v>
      </c>
      <c r="K193" s="426">
        <f t="shared" si="36"/>
        <v>399</v>
      </c>
      <c r="M193" s="3629" t="s">
        <v>7683</v>
      </c>
      <c r="N193" s="3630"/>
      <c r="O193" s="3630"/>
      <c r="P193" s="436">
        <v>0.05</v>
      </c>
      <c r="Q193" s="426">
        <f t="shared" si="37"/>
        <v>1</v>
      </c>
      <c r="S193" s="3651" t="s">
        <v>7684</v>
      </c>
      <c r="T193" s="3652"/>
      <c r="U193" s="425">
        <v>14.1</v>
      </c>
      <c r="V193" s="423">
        <f t="shared" si="35"/>
        <v>282</v>
      </c>
    </row>
    <row r="194" spans="7:22" ht="16" customHeight="1">
      <c r="G194" s="3625" t="s">
        <v>7685</v>
      </c>
      <c r="H194" s="3626"/>
      <c r="I194" s="3626"/>
      <c r="J194" s="425">
        <v>5</v>
      </c>
      <c r="K194" s="423">
        <f t="shared" si="36"/>
        <v>100</v>
      </c>
      <c r="M194" s="3625" t="s">
        <v>7686</v>
      </c>
      <c r="N194" s="3626"/>
      <c r="O194" s="3626"/>
      <c r="P194" s="425">
        <v>1</v>
      </c>
      <c r="Q194" s="423">
        <f t="shared" si="37"/>
        <v>20</v>
      </c>
      <c r="S194" s="3629" t="s">
        <v>7687</v>
      </c>
      <c r="T194" s="3630"/>
      <c r="U194" s="436">
        <v>0.55000000000000004</v>
      </c>
      <c r="V194" s="426">
        <f t="shared" si="35"/>
        <v>11</v>
      </c>
    </row>
    <row r="195" spans="7:22" ht="16" customHeight="1">
      <c r="G195" s="3629" t="s">
        <v>7688</v>
      </c>
      <c r="H195" s="3630"/>
      <c r="I195" s="3630"/>
      <c r="J195" s="436">
        <v>77</v>
      </c>
      <c r="K195" s="426">
        <f t="shared" si="36"/>
        <v>1540</v>
      </c>
      <c r="M195" s="3629" t="s">
        <v>7689</v>
      </c>
      <c r="N195" s="3630"/>
      <c r="O195" s="3630"/>
      <c r="P195" s="436">
        <v>4</v>
      </c>
      <c r="Q195" s="426">
        <f t="shared" si="37"/>
        <v>80</v>
      </c>
      <c r="S195" s="3625" t="s">
        <v>7690</v>
      </c>
      <c r="T195" s="3626"/>
      <c r="U195" s="425">
        <v>6.75</v>
      </c>
      <c r="V195" s="423">
        <f t="shared" si="35"/>
        <v>135</v>
      </c>
    </row>
    <row r="196" spans="7:22" ht="16" customHeight="1">
      <c r="G196" s="3625" t="s">
        <v>7691</v>
      </c>
      <c r="H196" s="3626"/>
      <c r="I196" s="3626"/>
      <c r="J196" s="425">
        <v>49.5</v>
      </c>
      <c r="K196" s="423">
        <f t="shared" si="36"/>
        <v>990</v>
      </c>
      <c r="M196" s="3625" t="s">
        <v>7692</v>
      </c>
      <c r="N196" s="3626"/>
      <c r="O196" s="3626"/>
      <c r="P196" s="425">
        <v>10</v>
      </c>
      <c r="Q196" s="423">
        <f t="shared" si="37"/>
        <v>200</v>
      </c>
      <c r="S196" s="3629" t="s">
        <v>7693</v>
      </c>
      <c r="T196" s="3630"/>
      <c r="U196" s="436">
        <v>4.1500000000000004</v>
      </c>
      <c r="V196" s="426">
        <f t="shared" si="35"/>
        <v>83</v>
      </c>
    </row>
    <row r="197" spans="7:22" ht="16" customHeight="1">
      <c r="G197" s="3629" t="s">
        <v>7694</v>
      </c>
      <c r="H197" s="3630"/>
      <c r="I197" s="3630"/>
      <c r="J197" s="436">
        <v>48</v>
      </c>
      <c r="K197" s="426">
        <f t="shared" si="36"/>
        <v>960</v>
      </c>
      <c r="M197" s="3642" t="s">
        <v>7695</v>
      </c>
      <c r="N197" s="3643"/>
      <c r="O197" s="3643"/>
      <c r="P197" s="3643"/>
      <c r="Q197" s="3644"/>
      <c r="S197" s="3625" t="s">
        <v>7696</v>
      </c>
      <c r="T197" s="3626"/>
      <c r="U197" s="425">
        <v>1.65</v>
      </c>
      <c r="V197" s="423">
        <f t="shared" si="35"/>
        <v>33</v>
      </c>
    </row>
    <row r="198" spans="7:22" ht="16" customHeight="1">
      <c r="G198" s="3631" t="s">
        <v>7697</v>
      </c>
      <c r="H198" s="3632"/>
      <c r="I198" s="3632"/>
      <c r="J198" s="437">
        <v>125</v>
      </c>
      <c r="K198" s="434">
        <f t="shared" si="36"/>
        <v>2500</v>
      </c>
      <c r="M198" s="3625" t="s">
        <v>7698</v>
      </c>
      <c r="N198" s="3626"/>
      <c r="O198" s="3626"/>
      <c r="P198" s="425">
        <v>98</v>
      </c>
      <c r="Q198" s="3634" t="s">
        <v>7553</v>
      </c>
      <c r="S198" s="3629" t="s">
        <v>7699</v>
      </c>
      <c r="T198" s="3630"/>
      <c r="U198" s="436">
        <v>4.82</v>
      </c>
      <c r="V198" s="426">
        <f t="shared" si="35"/>
        <v>96.4</v>
      </c>
    </row>
    <row r="199" spans="7:22" ht="16" customHeight="1">
      <c r="M199" s="3629" t="s">
        <v>7700</v>
      </c>
      <c r="N199" s="3630"/>
      <c r="O199" s="3630"/>
      <c r="P199" s="436">
        <v>0.75</v>
      </c>
      <c r="Q199" s="3634"/>
      <c r="S199" s="3651" t="s">
        <v>7701</v>
      </c>
      <c r="T199" s="3652"/>
      <c r="U199" s="425">
        <v>9.25</v>
      </c>
      <c r="V199" s="423">
        <f t="shared" si="35"/>
        <v>185</v>
      </c>
    </row>
    <row r="200" spans="7:22" ht="16" customHeight="1">
      <c r="G200" s="3653" t="s">
        <v>86</v>
      </c>
      <c r="H200" s="3654"/>
      <c r="I200" s="3654"/>
      <c r="J200" s="3654"/>
      <c r="K200" s="3655"/>
      <c r="M200" s="3625" t="s">
        <v>7702</v>
      </c>
      <c r="N200" s="3626"/>
      <c r="O200" s="3626"/>
      <c r="P200" s="451" t="s">
        <v>7703</v>
      </c>
      <c r="Q200" s="3634"/>
      <c r="S200" s="3656" t="s">
        <v>7704</v>
      </c>
      <c r="T200" s="3657"/>
      <c r="U200" s="436">
        <v>6.15</v>
      </c>
      <c r="V200" s="426">
        <f t="shared" si="35"/>
        <v>123</v>
      </c>
    </row>
    <row r="201" spans="7:22" ht="16" customHeight="1">
      <c r="G201" s="3658" t="s">
        <v>612</v>
      </c>
      <c r="H201" s="3659"/>
      <c r="I201" s="3659"/>
      <c r="J201" s="422" t="s">
        <v>7077</v>
      </c>
      <c r="K201" s="448" t="s">
        <v>7264</v>
      </c>
      <c r="M201" s="3629" t="s">
        <v>7705</v>
      </c>
      <c r="N201" s="3630"/>
      <c r="O201" s="3630"/>
      <c r="P201" s="436">
        <v>0.38</v>
      </c>
      <c r="Q201" s="3634"/>
      <c r="S201" s="3660" t="s">
        <v>7706</v>
      </c>
      <c r="T201" s="3661"/>
      <c r="U201" s="425">
        <v>5.95</v>
      </c>
      <c r="V201" s="423">
        <f t="shared" si="35"/>
        <v>119</v>
      </c>
    </row>
    <row r="202" spans="7:22" ht="16" customHeight="1">
      <c r="G202" s="3625" t="s">
        <v>7707</v>
      </c>
      <c r="H202" s="3626"/>
      <c r="I202" s="3626"/>
      <c r="J202" s="425" t="s">
        <v>7708</v>
      </c>
      <c r="K202" s="468" t="s">
        <v>7709</v>
      </c>
      <c r="M202" s="3625" t="s">
        <v>7710</v>
      </c>
      <c r="N202" s="3626"/>
      <c r="O202" s="3626"/>
      <c r="P202" s="425">
        <v>4.95</v>
      </c>
      <c r="Q202" s="3634"/>
      <c r="S202" s="3629" t="s">
        <v>7711</v>
      </c>
      <c r="T202" s="3630"/>
      <c r="U202" s="436">
        <v>3.75</v>
      </c>
      <c r="V202" s="426">
        <f t="shared" si="35"/>
        <v>75</v>
      </c>
    </row>
    <row r="203" spans="7:22" ht="16" customHeight="1">
      <c r="G203" s="3629" t="s">
        <v>7712</v>
      </c>
      <c r="H203" s="3630"/>
      <c r="I203" s="3630"/>
      <c r="J203" s="436" t="s">
        <v>7713</v>
      </c>
      <c r="K203" s="467" t="s">
        <v>7714</v>
      </c>
      <c r="M203" s="3629" t="s">
        <v>7715</v>
      </c>
      <c r="N203" s="3630"/>
      <c r="O203" s="3630"/>
      <c r="P203" s="469" t="s">
        <v>7716</v>
      </c>
      <c r="Q203" s="3634"/>
      <c r="S203" s="3625" t="s">
        <v>7717</v>
      </c>
      <c r="T203" s="3626"/>
      <c r="U203" s="425">
        <v>1.68</v>
      </c>
      <c r="V203" s="423">
        <f t="shared" si="35"/>
        <v>33.6</v>
      </c>
    </row>
    <row r="204" spans="7:22" ht="16" customHeight="1">
      <c r="G204" s="3631" t="s">
        <v>7718</v>
      </c>
      <c r="H204" s="3632"/>
      <c r="I204" s="3632"/>
      <c r="J204" s="437">
        <v>30</v>
      </c>
      <c r="K204" s="434">
        <f>J204*20</f>
        <v>600</v>
      </c>
      <c r="M204" s="3625" t="s">
        <v>7719</v>
      </c>
      <c r="N204" s="3626"/>
      <c r="O204" s="3626"/>
      <c r="P204" s="425">
        <v>140</v>
      </c>
      <c r="Q204" s="3634"/>
      <c r="S204" s="3649" t="s">
        <v>7720</v>
      </c>
      <c r="T204" s="3650"/>
      <c r="U204" s="436">
        <v>7.4</v>
      </c>
      <c r="V204" s="426">
        <f t="shared" si="35"/>
        <v>148</v>
      </c>
    </row>
    <row r="205" spans="7:22" ht="16" customHeight="1">
      <c r="M205" s="3629" t="s">
        <v>7721</v>
      </c>
      <c r="N205" s="3630"/>
      <c r="O205" s="3630"/>
      <c r="P205" s="436">
        <v>335</v>
      </c>
      <c r="Q205" s="3634"/>
      <c r="S205" s="3625" t="s">
        <v>7722</v>
      </c>
      <c r="T205" s="3626"/>
      <c r="U205" s="425">
        <v>0.59</v>
      </c>
      <c r="V205" s="423">
        <f t="shared" si="35"/>
        <v>11.799999999999999</v>
      </c>
    </row>
    <row r="206" spans="7:22" ht="16" customHeight="1">
      <c r="M206" s="3625" t="s">
        <v>7723</v>
      </c>
      <c r="N206" s="3626"/>
      <c r="O206" s="3626"/>
      <c r="P206" s="425">
        <v>65</v>
      </c>
      <c r="Q206" s="3634"/>
      <c r="S206" s="3649" t="s">
        <v>7724</v>
      </c>
      <c r="T206" s="3650"/>
      <c r="U206" s="436">
        <v>0.98</v>
      </c>
      <c r="V206" s="426">
        <f t="shared" si="35"/>
        <v>19.600000000000001</v>
      </c>
    </row>
    <row r="207" spans="7:22" ht="16" customHeight="1">
      <c r="M207" s="3642" t="s">
        <v>6657</v>
      </c>
      <c r="N207" s="3643"/>
      <c r="O207" s="3643"/>
      <c r="P207" s="3643"/>
      <c r="Q207" s="3644"/>
      <c r="S207" s="3625" t="s">
        <v>7725</v>
      </c>
      <c r="T207" s="3626"/>
      <c r="U207" s="425">
        <v>0.59</v>
      </c>
      <c r="V207" s="423">
        <f t="shared" si="35"/>
        <v>11.799999999999999</v>
      </c>
    </row>
    <row r="208" spans="7:22" ht="16" customHeight="1">
      <c r="M208" s="3625" t="s">
        <v>7726</v>
      </c>
      <c r="N208" s="3626"/>
      <c r="O208" s="3626"/>
      <c r="P208" s="425">
        <v>7.45</v>
      </c>
      <c r="Q208" s="423">
        <f t="shared" ref="Q208:Q216" si="38">P208*20</f>
        <v>149</v>
      </c>
      <c r="S208" s="3629" t="s">
        <v>7727</v>
      </c>
      <c r="T208" s="3630"/>
      <c r="U208" s="436">
        <v>1.39</v>
      </c>
      <c r="V208" s="426">
        <f t="shared" si="35"/>
        <v>27.799999999999997</v>
      </c>
    </row>
    <row r="209" spans="8:22" ht="16" customHeight="1">
      <c r="M209" s="3629" t="s">
        <v>7728</v>
      </c>
      <c r="N209" s="3630"/>
      <c r="O209" s="3630"/>
      <c r="P209" s="436">
        <v>69.75</v>
      </c>
      <c r="Q209" s="426">
        <f t="shared" si="38"/>
        <v>1395</v>
      </c>
      <c r="S209" s="3645" t="s">
        <v>7729</v>
      </c>
      <c r="T209" s="3646"/>
      <c r="U209" s="425">
        <v>23.95</v>
      </c>
      <c r="V209" s="423">
        <f t="shared" si="35"/>
        <v>479</v>
      </c>
    </row>
    <row r="210" spans="8:22" ht="16" customHeight="1">
      <c r="H210" s="447"/>
      <c r="M210" s="3625" t="s">
        <v>7730</v>
      </c>
      <c r="N210" s="3626"/>
      <c r="O210" s="3626"/>
      <c r="P210" s="425">
        <v>8.9499999999999993</v>
      </c>
      <c r="Q210" s="423">
        <f t="shared" si="38"/>
        <v>179</v>
      </c>
      <c r="S210" s="3647" t="s">
        <v>7731</v>
      </c>
      <c r="T210" s="3648"/>
      <c r="U210" s="436">
        <v>2.2999999999999998</v>
      </c>
      <c r="V210" s="426">
        <f t="shared" si="35"/>
        <v>46</v>
      </c>
    </row>
    <row r="211" spans="8:22" ht="16" customHeight="1">
      <c r="M211" s="3629" t="s">
        <v>7732</v>
      </c>
      <c r="N211" s="3630"/>
      <c r="O211" s="3630"/>
      <c r="P211" s="436">
        <v>2.75</v>
      </c>
      <c r="Q211" s="426">
        <f t="shared" si="38"/>
        <v>55</v>
      </c>
      <c r="S211" s="3625" t="s">
        <v>7733</v>
      </c>
      <c r="T211" s="3626"/>
      <c r="U211" s="425">
        <v>1.99</v>
      </c>
      <c r="V211" s="423">
        <f t="shared" si="35"/>
        <v>39.799999999999997</v>
      </c>
    </row>
    <row r="212" spans="8:22" ht="16" customHeight="1">
      <c r="M212" s="3625" t="s">
        <v>7734</v>
      </c>
      <c r="N212" s="3626"/>
      <c r="O212" s="3626"/>
      <c r="P212" s="425">
        <v>9.9499999999999993</v>
      </c>
      <c r="Q212" s="423">
        <f t="shared" si="38"/>
        <v>199</v>
      </c>
      <c r="S212" s="3627" t="s">
        <v>7735</v>
      </c>
      <c r="T212" s="3628"/>
      <c r="U212" s="440">
        <v>1.8</v>
      </c>
      <c r="V212" s="439">
        <f t="shared" si="35"/>
        <v>36</v>
      </c>
    </row>
    <row r="213" spans="8:22" ht="16" customHeight="1">
      <c r="M213" s="3629" t="s">
        <v>7736</v>
      </c>
      <c r="N213" s="3630"/>
      <c r="O213" s="3630"/>
      <c r="P213" s="436">
        <v>14.95</v>
      </c>
      <c r="Q213" s="426">
        <f t="shared" si="38"/>
        <v>299</v>
      </c>
    </row>
    <row r="214" spans="8:22" ht="16" customHeight="1">
      <c r="M214" s="3625" t="s">
        <v>7737</v>
      </c>
      <c r="N214" s="3626"/>
      <c r="O214" s="3626"/>
      <c r="P214" s="425">
        <v>3.45</v>
      </c>
      <c r="Q214" s="423">
        <f t="shared" si="38"/>
        <v>69</v>
      </c>
    </row>
    <row r="215" spans="8:22" ht="16" customHeight="1">
      <c r="M215" s="3629" t="s">
        <v>7738</v>
      </c>
      <c r="N215" s="3630"/>
      <c r="O215" s="3630"/>
      <c r="P215" s="436">
        <v>127</v>
      </c>
      <c r="Q215" s="426">
        <f t="shared" si="38"/>
        <v>2540</v>
      </c>
    </row>
    <row r="216" spans="8:22" ht="16" customHeight="1">
      <c r="M216" s="3631" t="s">
        <v>7739</v>
      </c>
      <c r="N216" s="3632"/>
      <c r="O216" s="3632"/>
      <c r="P216" s="437">
        <v>447</v>
      </c>
      <c r="Q216" s="434">
        <f t="shared" si="38"/>
        <v>8940</v>
      </c>
    </row>
    <row r="217" spans="8:22" ht="16" customHeight="1"/>
    <row r="218" spans="8:22" ht="16" customHeight="1"/>
    <row r="219" spans="8:22" ht="16" customHeight="1"/>
    <row r="220" spans="8:22" ht="16" customHeight="1"/>
    <row r="221" spans="8:22" ht="16" customHeight="1"/>
    <row r="222" spans="8:22" ht="16" customHeight="1"/>
    <row r="223" spans="8:22" ht="16" customHeight="1"/>
    <row r="224" spans="8:22" ht="16" customHeight="1"/>
    <row r="225" spans="19:22" ht="16" customHeight="1"/>
    <row r="226" spans="19:22" ht="16" customHeight="1">
      <c r="S226" s="420"/>
      <c r="T226" s="420"/>
      <c r="U226" s="420"/>
      <c r="V226" s="419"/>
    </row>
    <row r="227" spans="19:22" ht="16" customHeight="1">
      <c r="S227" s="420"/>
      <c r="T227" s="420"/>
      <c r="U227" s="420"/>
      <c r="V227" s="419"/>
    </row>
    <row r="228" spans="19:22" ht="16" customHeight="1">
      <c r="S228" s="420"/>
      <c r="T228" s="420"/>
      <c r="U228" s="420"/>
      <c r="V228" s="419"/>
    </row>
    <row r="229" spans="19:22" ht="16" customHeight="1">
      <c r="S229" s="420"/>
      <c r="T229" s="420"/>
      <c r="U229" s="420"/>
      <c r="V229" s="419"/>
    </row>
    <row r="230" spans="19:22" ht="16" customHeight="1"/>
    <row r="231" spans="19:22" ht="16" customHeight="1"/>
    <row r="232" spans="19:22" ht="16" customHeight="1"/>
    <row r="233" spans="19:22" ht="16" customHeight="1"/>
    <row r="234" spans="19:22" ht="16" customHeight="1"/>
    <row r="235" spans="19:22" ht="16" customHeight="1"/>
  </sheetData>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G193:I193"/>
    <mergeCell ref="M193:O193"/>
    <mergeCell ref="S193:T193"/>
    <mergeCell ref="G194:I194"/>
    <mergeCell ref="M194:O194"/>
    <mergeCell ref="S194:T194"/>
    <mergeCell ref="G195:I195"/>
    <mergeCell ref="M195:O195"/>
    <mergeCell ref="S195:T195"/>
    <mergeCell ref="G196:I196"/>
    <mergeCell ref="M196:O196"/>
    <mergeCell ref="S196:T196"/>
    <mergeCell ref="G197:I197"/>
    <mergeCell ref="M197:Q197"/>
    <mergeCell ref="S197:T197"/>
    <mergeCell ref="G198:I198"/>
    <mergeCell ref="M198:O198"/>
    <mergeCell ref="S198:T198"/>
    <mergeCell ref="M199:O199"/>
    <mergeCell ref="S199:T199"/>
    <mergeCell ref="G200:K200"/>
    <mergeCell ref="M200:O200"/>
    <mergeCell ref="S200:T200"/>
    <mergeCell ref="G201:I201"/>
    <mergeCell ref="M201:O201"/>
    <mergeCell ref="S201:T201"/>
    <mergeCell ref="G202:I202"/>
    <mergeCell ref="M202:O202"/>
    <mergeCell ref="S202:T202"/>
    <mergeCell ref="M211:O211"/>
    <mergeCell ref="S211:T211"/>
    <mergeCell ref="G203:I203"/>
    <mergeCell ref="M203:O203"/>
    <mergeCell ref="S203:T203"/>
    <mergeCell ref="G204:I204"/>
    <mergeCell ref="M204:O204"/>
    <mergeCell ref="S204:T204"/>
    <mergeCell ref="M205:O205"/>
    <mergeCell ref="S205:T205"/>
    <mergeCell ref="M206:O206"/>
    <mergeCell ref="S206:T206"/>
    <mergeCell ref="M212:O212"/>
    <mergeCell ref="S212:T212"/>
    <mergeCell ref="M213:O213"/>
    <mergeCell ref="M214:O214"/>
    <mergeCell ref="M215:O215"/>
    <mergeCell ref="M216:O216"/>
    <mergeCell ref="E181:E183"/>
    <mergeCell ref="Q198:Q206"/>
    <mergeCell ref="B2:AA4"/>
    <mergeCell ref="A6:D8"/>
    <mergeCell ref="A9:D11"/>
    <mergeCell ref="A12:D13"/>
    <mergeCell ref="N32:R34"/>
    <mergeCell ref="B39:AA41"/>
    <mergeCell ref="B87:AA89"/>
    <mergeCell ref="X141:AA146"/>
    <mergeCell ref="M207:Q207"/>
    <mergeCell ref="S207:T207"/>
    <mergeCell ref="M208:O208"/>
    <mergeCell ref="S208:T208"/>
    <mergeCell ref="M209:O209"/>
    <mergeCell ref="S209:T209"/>
    <mergeCell ref="M210:O210"/>
    <mergeCell ref="S210:T210"/>
  </mergeCells>
  <phoneticPr fontId="282" type="noConversion"/>
  <dataValidations count="7">
    <dataValidation allowBlank="1" showInputMessage="1" showErrorMessage="1" promptTitle="注" prompt="不知道为什么，物价表的信号枪价值100美元。_x000a_武器列表的信号枪却价值75美元了。_x000a_我觉得可能是求生和军用的区别吧？" sqref="P60" xr:uid="{00000000-0002-0000-0900-000000000000}"/>
    <dataValidation allowBlank="1" showInputMessage="1" showErrorMessage="1" promptTitle="注" prompt="和信号枪一样_x000a_价格跟武器表不一样_x000a_嘛，看kp啦" sqref="Z66:AA66" xr:uid="{00000000-0002-0000-0900-000001000000}"/>
    <dataValidation allowBlank="1" showInputMessage="1" showErrorMessage="1" promptTitle="注" prompt="和信号枪一样_x000a_这个价格也和武器表不一样_x000a_嘛，主要看dm怎么觉定啦" sqref="AA67" xr:uid="{00000000-0002-0000-0900-000002000000}"/>
    <dataValidation allowBlank="1" showInputMessage="1" showErrorMessage="1" promptTitle="注" prompt="哑弹率30%" sqref="X137:Z137" xr:uid="{00000000-0002-0000-0900-000003000000}"/>
    <dataValidation allowBlank="1" showInputMessage="1" showErrorMessage="1" promptTitle="注" prompt="悬停25秒" sqref="X138:Z138" xr:uid="{00000000-0002-0000-0900-000004000000}"/>
    <dataValidation allowBlank="1" showInputMessage="1" showErrorMessage="1" promptTitle="注" prompt="价格在$3000 以下的，准确射程不到 200 码" sqref="X139:Z139" xr:uid="{00000000-0002-0000-0900-000005000000}"/>
    <dataValidation allowBlank="1" showInputMessage="1" showErrorMessage="1" promptTitle="注" prompt="50% 哑弹率" sqref="X140:Z140" xr:uid="{00000000-0002-0000-0900-000006000000}"/>
  </dataValidations>
  <pageMargins left="0.75" right="0.75" top="1" bottom="1" header="0.51180555555555596" footer="0.5118055555555559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355"/>
  <sheetViews>
    <sheetView showGridLines="0" zoomScale="85" zoomScaleNormal="85" workbookViewId="0">
      <pane ySplit="1" topLeftCell="A202" activePane="bottomLeft" state="frozen"/>
      <selection pane="bottomLeft" activeCell="C203" sqref="C203:E203"/>
    </sheetView>
  </sheetViews>
  <sheetFormatPr defaultColWidth="8.90625" defaultRowHeight="14"/>
  <cols>
    <col min="1" max="1" width="20.81640625" style="42" customWidth="1"/>
    <col min="2" max="2" width="30" style="42" customWidth="1"/>
    <col min="3" max="3" width="12.08984375" style="42" customWidth="1"/>
    <col min="4" max="4" width="14.81640625" style="42" customWidth="1"/>
    <col min="5" max="5" width="8.81640625" style="42" customWidth="1"/>
    <col min="6" max="6" width="4.6328125" style="42" customWidth="1"/>
    <col min="7" max="7" width="10.81640625" style="42" customWidth="1"/>
    <col min="8" max="8" width="8" style="42" customWidth="1"/>
    <col min="9" max="9" width="7.81640625" style="42" customWidth="1"/>
    <col min="10" max="10" width="9.6328125" style="42" customWidth="1"/>
    <col min="11" max="12" width="13" style="43" customWidth="1"/>
    <col min="13" max="13" width="8.6328125" style="43" customWidth="1"/>
    <col min="14" max="14" width="9.08984375" style="43" customWidth="1"/>
    <col min="15" max="17" width="8.90625" style="43" customWidth="1"/>
    <col min="18" max="18" width="10.1796875" style="43" customWidth="1"/>
    <col min="19" max="20" width="8.90625" style="43" customWidth="1"/>
    <col min="21" max="22" width="39.1796875" style="43" customWidth="1"/>
    <col min="23" max="23" width="12.08984375" style="43" customWidth="1"/>
    <col min="24" max="24" width="14.81640625" style="43" customWidth="1"/>
    <col min="25" max="25" width="8.81640625" style="43" customWidth="1"/>
    <col min="26" max="26" width="4.6328125" style="43" customWidth="1"/>
    <col min="27" max="27" width="15.1796875" style="43" customWidth="1"/>
    <col min="28" max="29" width="7.81640625" style="43" customWidth="1"/>
    <col min="30" max="30" width="9.6328125" style="43" customWidth="1"/>
    <col min="31" max="31" width="13" style="43" customWidth="1"/>
    <col min="32" max="36" width="8.90625" style="43" customWidth="1"/>
    <col min="37" max="37" width="9.6328125" style="43" customWidth="1"/>
    <col min="38" max="38" width="8.90625" style="43" customWidth="1"/>
    <col min="39" max="16384" width="8.90625" style="43"/>
  </cols>
  <sheetData>
    <row r="1" spans="1:37" ht="21" customHeight="1">
      <c r="B1" s="233" t="s">
        <v>7740</v>
      </c>
      <c r="C1" s="233" t="s">
        <v>21</v>
      </c>
      <c r="D1" s="233" t="s">
        <v>228</v>
      </c>
      <c r="E1" s="233" t="s">
        <v>392</v>
      </c>
      <c r="F1" s="233" t="s">
        <v>230</v>
      </c>
      <c r="G1" s="233" t="s">
        <v>7741</v>
      </c>
      <c r="H1" s="233" t="s">
        <v>232</v>
      </c>
      <c r="I1" s="233" t="s">
        <v>233</v>
      </c>
      <c r="J1" s="233" t="s">
        <v>7742</v>
      </c>
      <c r="K1" s="234" t="s">
        <v>7743</v>
      </c>
      <c r="L1" s="234" t="s">
        <v>7744</v>
      </c>
      <c r="M1" s="235" t="s">
        <v>225</v>
      </c>
      <c r="N1" s="4156" t="s">
        <v>5602</v>
      </c>
      <c r="O1" s="4156"/>
      <c r="P1" s="4156"/>
      <c r="Q1" s="4156"/>
      <c r="R1" s="4156"/>
      <c r="S1" s="49"/>
      <c r="T1" s="49"/>
      <c r="U1" s="43" t="str">
        <f>人物卡!BL10</f>
        <v>1920s</v>
      </c>
      <c r="V1" s="236"/>
      <c r="W1" s="55"/>
      <c r="X1" s="55"/>
      <c r="Y1" s="55"/>
      <c r="Z1" s="55"/>
      <c r="AA1" s="55"/>
      <c r="AB1" s="55"/>
      <c r="AC1" s="55"/>
      <c r="AD1" s="55"/>
      <c r="AE1" s="237"/>
      <c r="AF1" s="55"/>
      <c r="AG1" s="55"/>
      <c r="AH1" s="55"/>
      <c r="AI1" s="55"/>
      <c r="AJ1" s="55"/>
      <c r="AK1" s="55"/>
    </row>
    <row r="2" spans="1:37" ht="14.25" customHeight="1">
      <c r="A2" s="4041" t="s">
        <v>7745</v>
      </c>
      <c r="B2" s="238" t="str">
        <f t="shared" ref="B2:B25" si="0">IF(OR(J2="1920s,现代",$U$1="其他",J2=$U$1,J2="罕见"),U2,"-"&amp;U2)</f>
        <v>弓箭</v>
      </c>
      <c r="C2" s="239" t="s">
        <v>3888</v>
      </c>
      <c r="D2" s="240" t="s">
        <v>7746</v>
      </c>
      <c r="E2" s="240" t="s">
        <v>7747</v>
      </c>
      <c r="F2" s="240" t="s">
        <v>239</v>
      </c>
      <c r="G2" s="240" t="s">
        <v>7748</v>
      </c>
      <c r="H2" s="240" t="s">
        <v>7748</v>
      </c>
      <c r="I2" s="240" t="s">
        <v>7749</v>
      </c>
      <c r="J2" s="240" t="s">
        <v>7750</v>
      </c>
      <c r="K2" s="240" t="s">
        <v>7751</v>
      </c>
      <c r="L2" s="241" t="s">
        <v>148</v>
      </c>
      <c r="M2" s="3949" t="s">
        <v>7752</v>
      </c>
      <c r="N2" s="4177" t="s">
        <v>7753</v>
      </c>
      <c r="O2" s="4178"/>
      <c r="P2" s="4178"/>
      <c r="Q2" s="4178"/>
      <c r="R2" s="4179"/>
      <c r="S2" s="49"/>
      <c r="T2" s="242" t="s">
        <v>7754</v>
      </c>
      <c r="U2" s="43" t="s">
        <v>7755</v>
      </c>
      <c r="V2" s="43" t="str">
        <f t="shared" ref="V2:V25" si="1">IF(OR(J2="1920s,现代",$U$1="其他",J2=$U$1,AND(J2="1920s,罕见",$U$1="1920s"),J2="罕见"),U2,"-"&amp;U2)</f>
        <v>弓箭</v>
      </c>
      <c r="W2" s="243"/>
      <c r="X2" s="244"/>
      <c r="Y2" s="244"/>
      <c r="Z2" s="244"/>
      <c r="AA2" s="244"/>
      <c r="AB2" s="244"/>
      <c r="AC2" s="244"/>
      <c r="AD2" s="244"/>
      <c r="AE2" s="245"/>
      <c r="AF2" s="246"/>
      <c r="AG2" s="62"/>
      <c r="AH2" s="62"/>
      <c r="AI2" s="62"/>
      <c r="AJ2" s="62"/>
      <c r="AK2" s="62"/>
    </row>
    <row r="3" spans="1:37" ht="14.25" customHeight="1">
      <c r="A3" s="4042"/>
      <c r="B3" s="247" t="str">
        <f t="shared" si="0"/>
        <v>-复合弓</v>
      </c>
      <c r="C3" s="248" t="s">
        <v>3888</v>
      </c>
      <c r="D3" s="249" t="s">
        <v>7756</v>
      </c>
      <c r="E3" s="249" t="s">
        <v>7757</v>
      </c>
      <c r="F3" s="249" t="s">
        <v>239</v>
      </c>
      <c r="G3" s="249" t="s">
        <v>7748</v>
      </c>
      <c r="H3" s="249" t="s">
        <v>7748</v>
      </c>
      <c r="I3" s="249" t="s">
        <v>7749</v>
      </c>
      <c r="J3" s="249" t="s">
        <v>5312</v>
      </c>
      <c r="K3" s="249" t="s">
        <v>7751</v>
      </c>
      <c r="L3" s="250" t="s">
        <v>148</v>
      </c>
      <c r="M3" s="3950"/>
      <c r="N3" s="4180"/>
      <c r="O3" s="4181"/>
      <c r="P3" s="4181"/>
      <c r="Q3" s="4181"/>
      <c r="R3" s="4182"/>
      <c r="S3" s="49"/>
      <c r="T3" s="242"/>
      <c r="U3" s="42" t="s">
        <v>7758</v>
      </c>
      <c r="V3" s="43" t="str">
        <f t="shared" si="1"/>
        <v>-复合弓</v>
      </c>
      <c r="W3" s="243"/>
      <c r="X3" s="244"/>
      <c r="Y3" s="244"/>
      <c r="Z3" s="244"/>
      <c r="AA3" s="244"/>
      <c r="AB3" s="244"/>
      <c r="AC3" s="244"/>
      <c r="AD3" s="244"/>
      <c r="AE3" s="251"/>
      <c r="AF3" s="246"/>
      <c r="AG3" s="62"/>
      <c r="AH3" s="62"/>
      <c r="AI3" s="62"/>
      <c r="AJ3" s="62"/>
      <c r="AK3" s="62"/>
    </row>
    <row r="4" spans="1:37" ht="14.25" customHeight="1">
      <c r="A4" s="4042"/>
      <c r="B4" s="247" t="str">
        <f t="shared" si="0"/>
        <v>弩</v>
      </c>
      <c r="C4" s="248" t="s">
        <v>3888</v>
      </c>
      <c r="D4" s="249" t="s">
        <v>7759</v>
      </c>
      <c r="E4" s="249" t="s">
        <v>7760</v>
      </c>
      <c r="F4" s="249" t="s">
        <v>7761</v>
      </c>
      <c r="G4" s="249" t="s">
        <v>7762</v>
      </c>
      <c r="H4" s="249" t="s">
        <v>7748</v>
      </c>
      <c r="I4" s="249">
        <v>97</v>
      </c>
      <c r="J4" s="249" t="s">
        <v>7750</v>
      </c>
      <c r="K4" s="249" t="s">
        <v>7763</v>
      </c>
      <c r="L4" s="250" t="s">
        <v>7764</v>
      </c>
      <c r="M4" s="3950"/>
      <c r="N4" s="4180"/>
      <c r="O4" s="4181"/>
      <c r="P4" s="4181"/>
      <c r="Q4" s="4181"/>
      <c r="R4" s="4182"/>
      <c r="S4" s="49"/>
      <c r="T4" s="242"/>
      <c r="U4" s="43" t="s">
        <v>7765</v>
      </c>
      <c r="V4" s="43" t="str">
        <f t="shared" si="1"/>
        <v>弩</v>
      </c>
      <c r="W4" s="243"/>
      <c r="X4" s="244"/>
      <c r="Y4" s="244"/>
      <c r="Z4" s="244"/>
      <c r="AA4" s="244"/>
      <c r="AB4" s="244"/>
      <c r="AC4" s="244"/>
      <c r="AD4" s="244"/>
      <c r="AE4" s="251"/>
      <c r="AF4" s="246"/>
      <c r="AG4" s="62"/>
      <c r="AH4" s="62"/>
      <c r="AI4" s="62"/>
      <c r="AJ4" s="62"/>
      <c r="AK4" s="62"/>
    </row>
    <row r="5" spans="1:37" ht="14.25" customHeight="1">
      <c r="A5" s="4042"/>
      <c r="B5" s="247" t="str">
        <f t="shared" si="0"/>
        <v>弹弓（木质/石质弹丸）</v>
      </c>
      <c r="C5" s="248" t="s">
        <v>3888</v>
      </c>
      <c r="D5" s="249" t="s">
        <v>7766</v>
      </c>
      <c r="E5" s="249" t="s">
        <v>7767</v>
      </c>
      <c r="F5" s="249" t="s">
        <v>239</v>
      </c>
      <c r="G5" s="249">
        <v>1</v>
      </c>
      <c r="H5" s="249" t="s">
        <v>7748</v>
      </c>
      <c r="I5" s="249">
        <v>95</v>
      </c>
      <c r="J5" s="249" t="s">
        <v>7750</v>
      </c>
      <c r="K5" s="249" t="s">
        <v>7768</v>
      </c>
      <c r="L5" s="250" t="s">
        <v>148</v>
      </c>
      <c r="M5" s="3950"/>
      <c r="N5" s="4180"/>
      <c r="O5" s="4181"/>
      <c r="P5" s="4181"/>
      <c r="Q5" s="4181"/>
      <c r="R5" s="4182"/>
      <c r="S5" s="49"/>
      <c r="T5" s="242"/>
      <c r="U5" s="43" t="s">
        <v>7769</v>
      </c>
      <c r="V5" s="43" t="str">
        <f t="shared" si="1"/>
        <v>弹弓（木质/石质弹丸）</v>
      </c>
      <c r="W5" s="243"/>
      <c r="X5" s="244"/>
      <c r="Y5" s="244"/>
      <c r="Z5" s="244"/>
      <c r="AA5" s="244"/>
      <c r="AB5" s="244"/>
      <c r="AC5" s="244"/>
      <c r="AD5" s="244"/>
      <c r="AE5" s="251"/>
      <c r="AF5" s="246"/>
      <c r="AG5" s="62"/>
      <c r="AH5" s="62"/>
      <c r="AI5" s="62"/>
      <c r="AJ5" s="62"/>
      <c r="AK5" s="62"/>
    </row>
    <row r="6" spans="1:37" ht="14.25" customHeight="1">
      <c r="A6" s="4042"/>
      <c r="B6" s="247" t="str">
        <f t="shared" si="0"/>
        <v>弹弓（金属制弹丸）</v>
      </c>
      <c r="C6" s="248" t="s">
        <v>3888</v>
      </c>
      <c r="D6" s="249" t="s">
        <v>7770</v>
      </c>
      <c r="E6" s="249" t="s">
        <v>7767</v>
      </c>
      <c r="F6" s="249" t="s">
        <v>239</v>
      </c>
      <c r="G6" s="249">
        <v>1</v>
      </c>
      <c r="H6" s="249" t="s">
        <v>7748</v>
      </c>
      <c r="I6" s="249">
        <v>95</v>
      </c>
      <c r="J6" s="249" t="s">
        <v>7750</v>
      </c>
      <c r="K6" s="249" t="s">
        <v>7768</v>
      </c>
      <c r="L6" s="250" t="s">
        <v>148</v>
      </c>
      <c r="M6" s="3950"/>
      <c r="N6" s="4180"/>
      <c r="O6" s="4181"/>
      <c r="P6" s="4181"/>
      <c r="Q6" s="4181"/>
      <c r="R6" s="4182"/>
      <c r="S6" s="49"/>
      <c r="T6" s="242"/>
      <c r="U6" s="42" t="s">
        <v>7771</v>
      </c>
      <c r="V6" s="43" t="str">
        <f t="shared" si="1"/>
        <v>弹弓（金属制弹丸）</v>
      </c>
      <c r="W6" s="243"/>
      <c r="X6" s="244"/>
      <c r="Y6" s="244"/>
      <c r="Z6" s="244"/>
      <c r="AA6" s="244"/>
      <c r="AB6" s="244"/>
      <c r="AC6" s="244"/>
      <c r="AD6" s="244"/>
      <c r="AE6" s="251"/>
      <c r="AF6" s="246"/>
      <c r="AG6" s="62"/>
      <c r="AH6" s="62"/>
      <c r="AI6" s="62"/>
      <c r="AJ6" s="62"/>
      <c r="AK6" s="62"/>
    </row>
    <row r="7" spans="1:37" ht="14.25" customHeight="1">
      <c r="A7" s="4042"/>
      <c r="B7" s="252" t="str">
        <f t="shared" si="0"/>
        <v>黄铜指虎</v>
      </c>
      <c r="C7" s="253" t="s">
        <v>209</v>
      </c>
      <c r="D7" s="254" t="s">
        <v>7772</v>
      </c>
      <c r="E7" s="254" t="s">
        <v>7773</v>
      </c>
      <c r="F7" s="254" t="s">
        <v>239</v>
      </c>
      <c r="G7" s="254" t="s">
        <v>7748</v>
      </c>
      <c r="H7" s="254" t="s">
        <v>148</v>
      </c>
      <c r="I7" s="254" t="s">
        <v>148</v>
      </c>
      <c r="J7" s="254" t="s">
        <v>7750</v>
      </c>
      <c r="K7" s="254" t="s">
        <v>7774</v>
      </c>
      <c r="L7" s="255">
        <v>1870</v>
      </c>
      <c r="M7" s="3950"/>
      <c r="N7" s="4180"/>
      <c r="O7" s="4181"/>
      <c r="P7" s="4181"/>
      <c r="Q7" s="4181"/>
      <c r="R7" s="4182"/>
      <c r="S7" s="49"/>
      <c r="T7" s="242" t="s">
        <v>7775</v>
      </c>
      <c r="U7" s="42" t="s">
        <v>7776</v>
      </c>
      <c r="V7" s="43" t="str">
        <f t="shared" si="1"/>
        <v>黄铜指虎</v>
      </c>
      <c r="W7" s="243"/>
      <c r="X7" s="244"/>
      <c r="Y7" s="244"/>
      <c r="Z7" s="244"/>
      <c r="AA7" s="244"/>
      <c r="AB7" s="244"/>
      <c r="AC7" s="244"/>
      <c r="AD7" s="244"/>
      <c r="AE7" s="251"/>
      <c r="AF7" s="246"/>
      <c r="AG7" s="62"/>
      <c r="AH7" s="62"/>
      <c r="AI7" s="62"/>
      <c r="AJ7" s="62"/>
      <c r="AK7" s="62"/>
    </row>
    <row r="8" spans="1:37" ht="14.25" customHeight="1">
      <c r="A8" s="4042"/>
      <c r="B8" s="247" t="str">
        <f t="shared" si="0"/>
        <v>长软鞭</v>
      </c>
      <c r="C8" s="248" t="s">
        <v>3635</v>
      </c>
      <c r="D8" s="249" t="s">
        <v>7777</v>
      </c>
      <c r="E8" s="249" t="s">
        <v>7778</v>
      </c>
      <c r="F8" s="249" t="s">
        <v>239</v>
      </c>
      <c r="G8" s="249" t="s">
        <v>7748</v>
      </c>
      <c r="H8" s="249" t="s">
        <v>148</v>
      </c>
      <c r="I8" s="249" t="s">
        <v>148</v>
      </c>
      <c r="J8" s="249" t="s">
        <v>46</v>
      </c>
      <c r="K8" s="249" t="s">
        <v>7779</v>
      </c>
      <c r="L8" s="250" t="s">
        <v>148</v>
      </c>
      <c r="M8" s="3950"/>
      <c r="N8" s="4180"/>
      <c r="O8" s="4181"/>
      <c r="P8" s="4181"/>
      <c r="Q8" s="4181"/>
      <c r="R8" s="4182"/>
      <c r="S8" s="49"/>
      <c r="T8" s="242" t="s">
        <v>7780</v>
      </c>
      <c r="U8" s="43" t="s">
        <v>7781</v>
      </c>
      <c r="V8" s="43" t="str">
        <f t="shared" si="1"/>
        <v>长软鞭</v>
      </c>
      <c r="W8" s="243"/>
      <c r="X8" s="244"/>
      <c r="Y8" s="244"/>
      <c r="Z8" s="244"/>
      <c r="AA8" s="244"/>
      <c r="AB8" s="244"/>
      <c r="AC8" s="244"/>
      <c r="AD8" s="244"/>
      <c r="AE8" s="244"/>
      <c r="AF8" s="246"/>
      <c r="AG8" s="62"/>
      <c r="AH8" s="62"/>
      <c r="AI8" s="62"/>
      <c r="AJ8" s="62"/>
      <c r="AK8" s="62"/>
    </row>
    <row r="9" spans="1:37" ht="14.25" customHeight="1">
      <c r="A9" s="4042"/>
      <c r="B9" s="252" t="str">
        <f t="shared" si="0"/>
        <v>竹节软鞭</v>
      </c>
      <c r="C9" s="253" t="s">
        <v>3635</v>
      </c>
      <c r="D9" s="254" t="s">
        <v>7777</v>
      </c>
      <c r="E9" s="254" t="s">
        <v>7778</v>
      </c>
      <c r="F9" s="254" t="s">
        <v>239</v>
      </c>
      <c r="G9" s="254" t="s">
        <v>7748</v>
      </c>
      <c r="H9" s="254" t="s">
        <v>148</v>
      </c>
      <c r="I9" s="254" t="s">
        <v>148</v>
      </c>
      <c r="J9" s="254" t="s">
        <v>7750</v>
      </c>
      <c r="K9" s="254" t="s">
        <v>7774</v>
      </c>
      <c r="L9" s="255" t="s">
        <v>148</v>
      </c>
      <c r="M9" s="3950"/>
      <c r="N9" s="4180"/>
      <c r="O9" s="4181"/>
      <c r="P9" s="4181"/>
      <c r="Q9" s="4181"/>
      <c r="R9" s="4182"/>
      <c r="S9" s="49"/>
      <c r="T9" s="242"/>
      <c r="U9" s="43" t="s">
        <v>7782</v>
      </c>
      <c r="V9" s="43" t="str">
        <f t="shared" si="1"/>
        <v>竹节软鞭</v>
      </c>
      <c r="W9" s="243"/>
      <c r="X9" s="244"/>
      <c r="Y9" s="244"/>
      <c r="Z9" s="244"/>
      <c r="AA9" s="244"/>
      <c r="AB9" s="244"/>
      <c r="AC9" s="244"/>
      <c r="AD9" s="244"/>
      <c r="AE9" s="244"/>
      <c r="AF9" s="246"/>
      <c r="AG9" s="62"/>
      <c r="AH9" s="62"/>
      <c r="AI9" s="62"/>
      <c r="AJ9" s="62"/>
      <c r="AK9" s="62"/>
    </row>
    <row r="10" spans="1:37" ht="14.25" customHeight="1">
      <c r="A10" s="4042"/>
      <c r="B10" s="247" t="str">
        <f t="shared" si="0"/>
        <v>纹铁软鞭</v>
      </c>
      <c r="C10" s="249" t="s">
        <v>3635</v>
      </c>
      <c r="D10" s="249" t="s">
        <v>7783</v>
      </c>
      <c r="E10" s="249" t="s">
        <v>7784</v>
      </c>
      <c r="F10" s="249" t="s">
        <v>239</v>
      </c>
      <c r="G10" s="249" t="s">
        <v>7748</v>
      </c>
      <c r="H10" s="249" t="s">
        <v>148</v>
      </c>
      <c r="I10" s="249" t="s">
        <v>148</v>
      </c>
      <c r="J10" s="256" t="s">
        <v>7750</v>
      </c>
      <c r="K10" s="249" t="s">
        <v>7785</v>
      </c>
      <c r="L10" s="250" t="s">
        <v>148</v>
      </c>
      <c r="M10" s="3950"/>
      <c r="N10" s="4183" t="s">
        <v>7786</v>
      </c>
      <c r="O10" s="4184"/>
      <c r="P10" s="4184"/>
      <c r="Q10" s="4184"/>
      <c r="R10" s="4185"/>
      <c r="S10" s="49"/>
      <c r="T10" s="242"/>
      <c r="U10" s="43" t="s">
        <v>7787</v>
      </c>
      <c r="V10" s="43" t="str">
        <f t="shared" si="1"/>
        <v>纹铁软鞭</v>
      </c>
      <c r="W10" s="243"/>
      <c r="X10" s="244"/>
      <c r="Y10" s="244"/>
      <c r="Z10" s="244"/>
      <c r="AA10" s="244"/>
      <c r="AB10" s="244"/>
      <c r="AC10" s="244"/>
      <c r="AD10" s="244"/>
      <c r="AE10" s="244"/>
      <c r="AF10" s="246"/>
      <c r="AG10" s="62"/>
      <c r="AH10" s="62"/>
      <c r="AI10" s="62"/>
      <c r="AJ10" s="62"/>
      <c r="AK10" s="62"/>
    </row>
    <row r="11" spans="1:37" ht="14.25" customHeight="1">
      <c r="A11" s="4042"/>
      <c r="B11" s="252" t="str">
        <f t="shared" si="0"/>
        <v>棱铁锏</v>
      </c>
      <c r="C11" s="253" t="s">
        <v>3635</v>
      </c>
      <c r="D11" s="254" t="s">
        <v>7788</v>
      </c>
      <c r="E11" s="254" t="s">
        <v>7773</v>
      </c>
      <c r="F11" s="254" t="s">
        <v>239</v>
      </c>
      <c r="G11" s="254" t="s">
        <v>7748</v>
      </c>
      <c r="H11" s="254" t="s">
        <v>148</v>
      </c>
      <c r="I11" s="254" t="s">
        <v>148</v>
      </c>
      <c r="J11" s="254" t="s">
        <v>7750</v>
      </c>
      <c r="K11" s="254" t="s">
        <v>7789</v>
      </c>
      <c r="L11" s="255" t="s">
        <v>148</v>
      </c>
      <c r="M11" s="3950"/>
      <c r="N11" s="4183"/>
      <c r="O11" s="4184"/>
      <c r="P11" s="4184"/>
      <c r="Q11" s="4184"/>
      <c r="R11" s="4185"/>
      <c r="S11" s="49"/>
      <c r="T11" s="242"/>
      <c r="U11" s="43" t="s">
        <v>7790</v>
      </c>
      <c r="V11" s="43" t="str">
        <f t="shared" si="1"/>
        <v>棱铁锏</v>
      </c>
      <c r="W11" s="243"/>
      <c r="X11" s="244"/>
      <c r="Y11" s="244"/>
      <c r="Z11" s="244"/>
      <c r="AA11" s="244"/>
      <c r="AB11" s="244"/>
      <c r="AC11" s="244"/>
      <c r="AD11" s="244"/>
      <c r="AE11" s="244"/>
      <c r="AF11" s="246"/>
      <c r="AG11" s="62"/>
      <c r="AH11" s="62"/>
      <c r="AI11" s="62"/>
      <c r="AJ11" s="62"/>
      <c r="AK11" s="62"/>
    </row>
    <row r="12" spans="1:37" ht="14.25" customHeight="1">
      <c r="A12" s="4042"/>
      <c r="B12" s="252" t="str">
        <f t="shared" si="0"/>
        <v>燃烧的火把</v>
      </c>
      <c r="C12" s="253" t="s">
        <v>209</v>
      </c>
      <c r="D12" s="254" t="s">
        <v>7791</v>
      </c>
      <c r="E12" s="254" t="s">
        <v>7773</v>
      </c>
      <c r="F12" s="254" t="s">
        <v>239</v>
      </c>
      <c r="G12" s="254" t="s">
        <v>7748</v>
      </c>
      <c r="H12" s="254" t="s">
        <v>148</v>
      </c>
      <c r="I12" s="254" t="s">
        <v>148</v>
      </c>
      <c r="J12" s="254" t="s">
        <v>7750</v>
      </c>
      <c r="K12" s="254" t="s">
        <v>7792</v>
      </c>
      <c r="L12" s="255" t="s">
        <v>148</v>
      </c>
      <c r="M12" s="3950"/>
      <c r="N12" s="4183"/>
      <c r="O12" s="4184"/>
      <c r="P12" s="4184"/>
      <c r="Q12" s="4184"/>
      <c r="R12" s="4185"/>
      <c r="S12" s="49"/>
      <c r="T12" s="242" t="s">
        <v>7793</v>
      </c>
      <c r="U12" s="43" t="s">
        <v>7794</v>
      </c>
      <c r="V12" s="43" t="str">
        <f t="shared" si="1"/>
        <v>燃烧的火把</v>
      </c>
      <c r="W12" s="243"/>
      <c r="X12" s="244"/>
      <c r="Y12" s="244"/>
      <c r="Z12" s="244"/>
      <c r="AA12" s="244"/>
      <c r="AB12" s="244"/>
      <c r="AC12" s="244"/>
      <c r="AD12" s="244"/>
      <c r="AE12" s="244"/>
      <c r="AF12" s="246"/>
      <c r="AG12" s="62"/>
      <c r="AH12" s="62"/>
      <c r="AI12" s="62"/>
      <c r="AJ12" s="62"/>
      <c r="AK12" s="62"/>
    </row>
    <row r="13" spans="1:37" ht="14.25" customHeight="1">
      <c r="A13" s="4042"/>
      <c r="B13" s="257" t="str">
        <f t="shared" si="0"/>
        <v>-电锯</v>
      </c>
      <c r="C13" s="258" t="s">
        <v>3655</v>
      </c>
      <c r="D13" s="259" t="s">
        <v>7795</v>
      </c>
      <c r="E13" s="259" t="s">
        <v>7773</v>
      </c>
      <c r="F13" s="259" t="s">
        <v>7761</v>
      </c>
      <c r="G13" s="259" t="s">
        <v>7748</v>
      </c>
      <c r="H13" s="259" t="s">
        <v>148</v>
      </c>
      <c r="I13" s="259" t="s">
        <v>7796</v>
      </c>
      <c r="J13" s="259" t="s">
        <v>5312</v>
      </c>
      <c r="K13" s="259" t="s">
        <v>7797</v>
      </c>
      <c r="L13" s="260" t="s">
        <v>7798</v>
      </c>
      <c r="M13" s="3950"/>
      <c r="N13" s="4183"/>
      <c r="O13" s="4184"/>
      <c r="P13" s="4184"/>
      <c r="Q13" s="4184"/>
      <c r="R13" s="4185"/>
      <c r="S13" s="49"/>
      <c r="T13" s="242" t="s">
        <v>7795</v>
      </c>
      <c r="U13" s="43" t="s">
        <v>3655</v>
      </c>
      <c r="V13" s="43" t="str">
        <f t="shared" si="1"/>
        <v>-电锯</v>
      </c>
      <c r="W13" s="243"/>
      <c r="X13" s="244"/>
      <c r="Y13" s="244"/>
      <c r="Z13" s="244"/>
      <c r="AA13" s="244"/>
      <c r="AB13" s="244"/>
      <c r="AC13" s="244"/>
      <c r="AD13" s="244"/>
      <c r="AE13" s="251"/>
      <c r="AF13" s="246"/>
      <c r="AG13" s="62"/>
      <c r="AH13" s="62"/>
      <c r="AI13" s="62"/>
      <c r="AJ13" s="62"/>
      <c r="AK13" s="62"/>
    </row>
    <row r="14" spans="1:37" ht="14.25" customHeight="1">
      <c r="A14" s="4042"/>
      <c r="B14" s="261" t="str">
        <f t="shared" si="0"/>
        <v>包皮铁棍(甩棍、大头棍、护身棒)</v>
      </c>
      <c r="C14" s="262" t="s">
        <v>209</v>
      </c>
      <c r="D14" s="263" t="s">
        <v>7799</v>
      </c>
      <c r="E14" s="263" t="s">
        <v>7773</v>
      </c>
      <c r="F14" s="263" t="s">
        <v>239</v>
      </c>
      <c r="G14" s="263" t="s">
        <v>7748</v>
      </c>
      <c r="H14" s="263" t="s">
        <v>148</v>
      </c>
      <c r="I14" s="263" t="s">
        <v>148</v>
      </c>
      <c r="J14" s="263" t="s">
        <v>7750</v>
      </c>
      <c r="K14" s="263" t="s">
        <v>7800</v>
      </c>
      <c r="L14" s="264" t="s">
        <v>7801</v>
      </c>
      <c r="M14" s="3950"/>
      <c r="N14" s="4183"/>
      <c r="O14" s="4184"/>
      <c r="P14" s="4184"/>
      <c r="Q14" s="4184"/>
      <c r="R14" s="4185"/>
      <c r="S14" s="49"/>
      <c r="T14" s="242" t="s">
        <v>7802</v>
      </c>
      <c r="U14" s="43" t="s">
        <v>7803</v>
      </c>
      <c r="V14" s="43" t="str">
        <f t="shared" si="1"/>
        <v>包皮铁棍(甩棍、大头棍、护身棒)</v>
      </c>
      <c r="W14" s="243"/>
      <c r="X14" s="244"/>
      <c r="Y14" s="244"/>
      <c r="Z14" s="244"/>
      <c r="AA14" s="244"/>
      <c r="AB14" s="244"/>
      <c r="AC14" s="244"/>
      <c r="AD14" s="244"/>
      <c r="AE14" s="244"/>
      <c r="AF14" s="246"/>
      <c r="AG14" s="62"/>
      <c r="AH14" s="62"/>
      <c r="AI14" s="62"/>
      <c r="AJ14" s="62"/>
      <c r="AK14" s="62"/>
    </row>
    <row r="15" spans="1:37" ht="14.25" customHeight="1">
      <c r="A15" s="4042"/>
      <c r="B15" s="247" t="str">
        <f t="shared" si="0"/>
        <v>大型棍状物(棒球棍、板球棒、拨火棍等)</v>
      </c>
      <c r="C15" s="248" t="s">
        <v>209</v>
      </c>
      <c r="D15" s="249" t="s">
        <v>7799</v>
      </c>
      <c r="E15" s="249" t="s">
        <v>7773</v>
      </c>
      <c r="F15" s="249" t="s">
        <v>239</v>
      </c>
      <c r="G15" s="249" t="s">
        <v>7748</v>
      </c>
      <c r="H15" s="249" t="s">
        <v>148</v>
      </c>
      <c r="I15" s="249" t="s">
        <v>148</v>
      </c>
      <c r="J15" s="249" t="s">
        <v>7750</v>
      </c>
      <c r="K15" s="249" t="s">
        <v>7804</v>
      </c>
      <c r="L15" s="250" t="s">
        <v>148</v>
      </c>
      <c r="M15" s="3950"/>
      <c r="N15" s="4186" t="s">
        <v>7805</v>
      </c>
      <c r="O15" s="4187"/>
      <c r="P15" s="4187"/>
      <c r="Q15" s="4187"/>
      <c r="R15" s="4188"/>
      <c r="S15" s="49"/>
      <c r="T15" s="242" t="s">
        <v>7802</v>
      </c>
      <c r="U15" s="43" t="s">
        <v>7806</v>
      </c>
      <c r="V15" s="43" t="str">
        <f t="shared" si="1"/>
        <v>大型棍状物(棒球棍、板球棒、拨火棍等)</v>
      </c>
      <c r="W15" s="243"/>
      <c r="X15" s="244"/>
      <c r="Y15" s="244"/>
      <c r="Z15" s="244"/>
      <c r="AA15" s="244"/>
      <c r="AB15" s="244"/>
      <c r="AC15" s="244"/>
      <c r="AD15" s="244"/>
      <c r="AE15" s="244"/>
      <c r="AF15" s="246"/>
      <c r="AG15" s="62"/>
      <c r="AH15" s="62"/>
      <c r="AI15" s="62"/>
      <c r="AJ15" s="62"/>
      <c r="AK15" s="62"/>
    </row>
    <row r="16" spans="1:37" ht="14.25" customHeight="1">
      <c r="A16" s="4042"/>
      <c r="B16" s="252" t="str">
        <f t="shared" si="0"/>
        <v>小型棍状物(警棍等)</v>
      </c>
      <c r="C16" s="253" t="s">
        <v>209</v>
      </c>
      <c r="D16" s="254" t="s">
        <v>7807</v>
      </c>
      <c r="E16" s="254" t="s">
        <v>7773</v>
      </c>
      <c r="F16" s="254" t="s">
        <v>239</v>
      </c>
      <c r="G16" s="254" t="s">
        <v>7748</v>
      </c>
      <c r="H16" s="254" t="s">
        <v>148</v>
      </c>
      <c r="I16" s="254" t="s">
        <v>148</v>
      </c>
      <c r="J16" s="254" t="s">
        <v>7750</v>
      </c>
      <c r="K16" s="254" t="s">
        <v>7804</v>
      </c>
      <c r="L16" s="255" t="s">
        <v>148</v>
      </c>
      <c r="M16" s="3950"/>
      <c r="N16" s="4186"/>
      <c r="O16" s="4187"/>
      <c r="P16" s="4187"/>
      <c r="Q16" s="4187"/>
      <c r="R16" s="4188"/>
      <c r="S16" s="49"/>
      <c r="T16" s="242" t="s">
        <v>7808</v>
      </c>
      <c r="U16" s="43" t="s">
        <v>7809</v>
      </c>
      <c r="V16" s="43" t="str">
        <f t="shared" si="1"/>
        <v>小型棍状物(警棍等)</v>
      </c>
      <c r="W16" s="243"/>
      <c r="X16" s="244"/>
      <c r="Y16" s="244"/>
      <c r="Z16" s="244"/>
      <c r="AA16" s="244"/>
      <c r="AB16" s="244"/>
      <c r="AC16" s="244"/>
      <c r="AD16" s="244"/>
      <c r="AE16" s="244"/>
      <c r="AF16" s="246"/>
      <c r="AG16" s="62"/>
      <c r="AH16" s="62"/>
      <c r="AI16" s="62"/>
      <c r="AJ16" s="62"/>
      <c r="AK16" s="62"/>
    </row>
    <row r="17" spans="1:32" ht="14.25" customHeight="1">
      <c r="A17" s="4042"/>
      <c r="B17" s="265" t="str">
        <f t="shared" si="0"/>
        <v>-双炳纤维绳</v>
      </c>
      <c r="C17" s="266" t="s">
        <v>3744</v>
      </c>
      <c r="D17" s="267" t="s">
        <v>7807</v>
      </c>
      <c r="E17" s="267" t="s">
        <v>7773</v>
      </c>
      <c r="F17" s="267" t="s">
        <v>7761</v>
      </c>
      <c r="G17" s="267" t="s">
        <v>7748</v>
      </c>
      <c r="H17" s="267" t="s">
        <v>148</v>
      </c>
      <c r="I17" s="267" t="s">
        <v>148</v>
      </c>
      <c r="J17" s="267" t="s">
        <v>5312</v>
      </c>
      <c r="K17" s="267">
        <v>10</v>
      </c>
      <c r="L17" s="268" t="s">
        <v>148</v>
      </c>
      <c r="M17" s="3950"/>
      <c r="N17" s="4189"/>
      <c r="O17" s="4190"/>
      <c r="P17" s="4190"/>
      <c r="Q17" s="4190"/>
      <c r="R17" s="4191"/>
      <c r="S17" s="49"/>
      <c r="T17" s="242"/>
      <c r="U17" s="43" t="s">
        <v>7810</v>
      </c>
      <c r="V17" s="43" t="str">
        <f t="shared" si="1"/>
        <v>-双炳纤维绳</v>
      </c>
      <c r="W17" s="243"/>
      <c r="X17" s="244"/>
      <c r="Y17" s="244"/>
      <c r="Z17" s="244"/>
      <c r="AA17" s="244"/>
      <c r="AB17" s="244"/>
      <c r="AC17" s="244"/>
      <c r="AD17" s="244"/>
      <c r="AE17" s="244"/>
      <c r="AF17" s="246"/>
    </row>
    <row r="18" spans="1:32" ht="14.25" customHeight="1">
      <c r="A18" s="4042"/>
      <c r="B18" s="265" t="str">
        <f t="shared" si="0"/>
        <v>双环铁链</v>
      </c>
      <c r="C18" s="266" t="s">
        <v>3744</v>
      </c>
      <c r="D18" s="267" t="s">
        <v>7811</v>
      </c>
      <c r="E18" s="267" t="s">
        <v>7773</v>
      </c>
      <c r="F18" s="267" t="s">
        <v>7761</v>
      </c>
      <c r="G18" s="267" t="s">
        <v>7748</v>
      </c>
      <c r="H18" s="267" t="s">
        <v>148</v>
      </c>
      <c r="I18" s="267" t="s">
        <v>148</v>
      </c>
      <c r="J18" s="267" t="s">
        <v>7750</v>
      </c>
      <c r="K18" s="269" t="str">
        <f>"1/6"</f>
        <v>1/6</v>
      </c>
      <c r="L18" s="268" t="s">
        <v>148</v>
      </c>
      <c r="M18" s="3950"/>
      <c r="N18" s="4192" t="s">
        <v>7812</v>
      </c>
      <c r="O18" s="4193"/>
      <c r="P18" s="4193"/>
      <c r="Q18" s="4193"/>
      <c r="R18" s="4194"/>
      <c r="S18" s="49"/>
      <c r="T18" s="242" t="s">
        <v>7808</v>
      </c>
      <c r="U18" s="43" t="s">
        <v>7813</v>
      </c>
      <c r="V18" s="43" t="str">
        <f t="shared" si="1"/>
        <v>双环铁链</v>
      </c>
      <c r="W18" s="243"/>
      <c r="X18" s="244"/>
      <c r="Y18" s="244"/>
      <c r="Z18" s="244"/>
      <c r="AA18" s="244"/>
      <c r="AB18" s="244"/>
      <c r="AC18" s="244"/>
      <c r="AD18" s="244"/>
      <c r="AE18" s="244"/>
      <c r="AF18" s="246"/>
    </row>
    <row r="19" spans="1:32" ht="14.25" customHeight="1">
      <c r="A19" s="4042"/>
      <c r="B19" s="265" t="str">
        <f t="shared" si="0"/>
        <v>双炳麻绳</v>
      </c>
      <c r="C19" s="266" t="s">
        <v>3744</v>
      </c>
      <c r="D19" s="267" t="s">
        <v>238</v>
      </c>
      <c r="E19" s="267" t="s">
        <v>7773</v>
      </c>
      <c r="F19" s="267" t="s">
        <v>7761</v>
      </c>
      <c r="G19" s="267" t="s">
        <v>7748</v>
      </c>
      <c r="H19" s="267" t="s">
        <v>148</v>
      </c>
      <c r="I19" s="267" t="s">
        <v>148</v>
      </c>
      <c r="J19" s="267" t="s">
        <v>7750</v>
      </c>
      <c r="K19" s="267" t="s">
        <v>7814</v>
      </c>
      <c r="L19" s="268" t="s">
        <v>148</v>
      </c>
      <c r="M19" s="3950"/>
      <c r="N19" s="4195"/>
      <c r="O19" s="4196"/>
      <c r="P19" s="4196"/>
      <c r="Q19" s="4196"/>
      <c r="R19" s="4197"/>
      <c r="S19" s="49"/>
      <c r="T19" s="242"/>
      <c r="U19" s="43" t="s">
        <v>7815</v>
      </c>
      <c r="V19" s="43" t="str">
        <f t="shared" si="1"/>
        <v>双炳麻绳</v>
      </c>
      <c r="W19" s="243"/>
      <c r="X19" s="244"/>
      <c r="Y19" s="244"/>
      <c r="Z19" s="244"/>
      <c r="AA19" s="244"/>
      <c r="AB19" s="244"/>
      <c r="AC19" s="244"/>
      <c r="AD19" s="244"/>
      <c r="AE19" s="244"/>
      <c r="AF19" s="246"/>
    </row>
    <row r="20" spans="1:32" ht="14.25" customHeight="1">
      <c r="A20" s="4042"/>
      <c r="B20" s="247" t="str">
        <f t="shared" si="0"/>
        <v>手斧/镰刀</v>
      </c>
      <c r="C20" s="248" t="s">
        <v>3675</v>
      </c>
      <c r="D20" s="249" t="s">
        <v>7816</v>
      </c>
      <c r="E20" s="249" t="s">
        <v>7773</v>
      </c>
      <c r="F20" s="249" t="s">
        <v>7761</v>
      </c>
      <c r="G20" s="249" t="s">
        <v>7748</v>
      </c>
      <c r="H20" s="249" t="s">
        <v>148</v>
      </c>
      <c r="I20" s="249" t="s">
        <v>148</v>
      </c>
      <c r="J20" s="249" t="s">
        <v>7750</v>
      </c>
      <c r="K20" s="249" t="s">
        <v>7817</v>
      </c>
      <c r="L20" s="250" t="s">
        <v>148</v>
      </c>
      <c r="M20" s="3950"/>
      <c r="N20" s="4195"/>
      <c r="O20" s="4196"/>
      <c r="P20" s="4196"/>
      <c r="Q20" s="4196"/>
      <c r="R20" s="4197"/>
      <c r="S20" s="49"/>
      <c r="T20" s="242" t="s">
        <v>7818</v>
      </c>
      <c r="U20" s="43" t="s">
        <v>7819</v>
      </c>
      <c r="V20" s="43" t="str">
        <f t="shared" si="1"/>
        <v>手斧/镰刀</v>
      </c>
      <c r="W20" s="243"/>
      <c r="X20" s="244"/>
      <c r="Y20" s="244"/>
      <c r="Z20" s="244"/>
      <c r="AA20" s="244"/>
      <c r="AB20" s="244"/>
      <c r="AC20" s="244"/>
      <c r="AD20" s="244"/>
      <c r="AE20" s="244"/>
      <c r="AF20" s="246"/>
    </row>
    <row r="21" spans="1:32" ht="14.25" customHeight="1">
      <c r="A21" s="4042"/>
      <c r="B21" s="247" t="str">
        <f t="shared" si="0"/>
        <v>板斧/钉头锤</v>
      </c>
      <c r="C21" s="248" t="s">
        <v>3675</v>
      </c>
      <c r="D21" s="249" t="s">
        <v>7788</v>
      </c>
      <c r="E21" s="249" t="s">
        <v>7773</v>
      </c>
      <c r="F21" s="249" t="s">
        <v>7761</v>
      </c>
      <c r="G21" s="249" t="s">
        <v>7748</v>
      </c>
      <c r="H21" s="249" t="s">
        <v>148</v>
      </c>
      <c r="I21" s="249" t="s">
        <v>148</v>
      </c>
      <c r="J21" s="249" t="s">
        <v>7750</v>
      </c>
      <c r="K21" s="249" t="str">
        <f>"6/20"</f>
        <v>6/20</v>
      </c>
      <c r="L21" s="250" t="s">
        <v>148</v>
      </c>
      <c r="M21" s="3950"/>
      <c r="N21" s="4198"/>
      <c r="O21" s="4199"/>
      <c r="P21" s="4199"/>
      <c r="Q21" s="4199"/>
      <c r="R21" s="4200"/>
      <c r="S21" s="49"/>
      <c r="T21" s="242"/>
      <c r="U21" s="43" t="s">
        <v>7820</v>
      </c>
      <c r="V21" s="43" t="str">
        <f t="shared" si="1"/>
        <v>板斧/钉头锤</v>
      </c>
      <c r="W21" s="243"/>
      <c r="X21" s="244"/>
      <c r="Y21" s="244"/>
      <c r="Z21" s="244"/>
      <c r="AA21" s="244"/>
      <c r="AB21" s="244"/>
      <c r="AC21" s="244"/>
      <c r="AD21" s="244"/>
      <c r="AE21" s="244"/>
      <c r="AF21" s="246"/>
    </row>
    <row r="22" spans="1:32" ht="14.25" customHeight="1">
      <c r="A22" s="4042"/>
      <c r="B22" s="247" t="str">
        <f t="shared" si="0"/>
        <v>巨斧/巨锤</v>
      </c>
      <c r="C22" s="248" t="s">
        <v>3675</v>
      </c>
      <c r="D22" s="249" t="s">
        <v>7821</v>
      </c>
      <c r="E22" s="249" t="s">
        <v>7773</v>
      </c>
      <c r="F22" s="249" t="s">
        <v>7761</v>
      </c>
      <c r="G22" s="249" t="s">
        <v>7748</v>
      </c>
      <c r="H22" s="249" t="s">
        <v>148</v>
      </c>
      <c r="I22" s="249" t="s">
        <v>148</v>
      </c>
      <c r="J22" s="249" t="s">
        <v>7750</v>
      </c>
      <c r="K22" s="249" t="str">
        <f>"10/50"</f>
        <v>10/50</v>
      </c>
      <c r="L22" s="250" t="s">
        <v>148</v>
      </c>
      <c r="M22" s="3950"/>
      <c r="N22" s="4201" t="s">
        <v>7822</v>
      </c>
      <c r="O22" s="4202"/>
      <c r="P22" s="4202"/>
      <c r="Q22" s="4202"/>
      <c r="R22" s="4203"/>
      <c r="S22" s="49"/>
      <c r="T22" s="242"/>
      <c r="U22" s="43" t="s">
        <v>7823</v>
      </c>
      <c r="V22" s="43" t="str">
        <f t="shared" si="1"/>
        <v>巨斧/巨锤</v>
      </c>
      <c r="W22" s="243"/>
      <c r="X22" s="244"/>
      <c r="Y22" s="244"/>
      <c r="Z22" s="244"/>
      <c r="AA22" s="244"/>
      <c r="AB22" s="244"/>
      <c r="AC22" s="244"/>
      <c r="AD22" s="244"/>
      <c r="AE22" s="244"/>
      <c r="AF22" s="246"/>
    </row>
    <row r="23" spans="1:32" ht="14.25" customHeight="1">
      <c r="A23" s="4042"/>
      <c r="B23" s="252" t="str">
        <f t="shared" si="0"/>
        <v>大型刀具(甘蔗刀等)</v>
      </c>
      <c r="C23" s="253" t="s">
        <v>209</v>
      </c>
      <c r="D23" s="254" t="s">
        <v>7799</v>
      </c>
      <c r="E23" s="254" t="s">
        <v>7773</v>
      </c>
      <c r="F23" s="254" t="s">
        <v>7761</v>
      </c>
      <c r="G23" s="254" t="s">
        <v>7748</v>
      </c>
      <c r="H23" s="254" t="s">
        <v>148</v>
      </c>
      <c r="I23" s="254" t="s">
        <v>148</v>
      </c>
      <c r="J23" s="254" t="s">
        <v>7750</v>
      </c>
      <c r="K23" s="254" t="s">
        <v>7824</v>
      </c>
      <c r="L23" s="255" t="s">
        <v>148</v>
      </c>
      <c r="M23" s="3950"/>
      <c r="N23" s="4204"/>
      <c r="O23" s="4205"/>
      <c r="P23" s="4205"/>
      <c r="Q23" s="4205"/>
      <c r="R23" s="4206"/>
      <c r="S23" s="49"/>
      <c r="T23" s="242" t="s">
        <v>7802</v>
      </c>
      <c r="U23" s="43" t="s">
        <v>7825</v>
      </c>
      <c r="V23" s="43" t="str">
        <f t="shared" si="1"/>
        <v>大型刀具(甘蔗刀等)</v>
      </c>
      <c r="W23" s="243"/>
      <c r="X23" s="244"/>
      <c r="Y23" s="244"/>
      <c r="Z23" s="244"/>
      <c r="AA23" s="244"/>
      <c r="AB23" s="244"/>
      <c r="AC23" s="244"/>
      <c r="AD23" s="244"/>
      <c r="AE23" s="244"/>
      <c r="AF23" s="246"/>
    </row>
    <row r="24" spans="1:32" ht="14.25" customHeight="1">
      <c r="A24" s="4042"/>
      <c r="B24" s="247" t="str">
        <f t="shared" si="0"/>
        <v>中型刀具(切肉菜刀等)</v>
      </c>
      <c r="C24" s="248" t="s">
        <v>209</v>
      </c>
      <c r="D24" s="249" t="s">
        <v>7826</v>
      </c>
      <c r="E24" s="249" t="s">
        <v>7773</v>
      </c>
      <c r="F24" s="249" t="s">
        <v>7761</v>
      </c>
      <c r="G24" s="249" t="s">
        <v>7748</v>
      </c>
      <c r="H24" s="249" t="s">
        <v>148</v>
      </c>
      <c r="I24" s="249" t="s">
        <v>148</v>
      </c>
      <c r="J24" s="249" t="s">
        <v>7750</v>
      </c>
      <c r="K24" s="249" t="s">
        <v>7800</v>
      </c>
      <c r="L24" s="250" t="s">
        <v>148</v>
      </c>
      <c r="M24" s="3950"/>
      <c r="N24" s="4204"/>
      <c r="O24" s="4205"/>
      <c r="P24" s="4205"/>
      <c r="Q24" s="4205"/>
      <c r="R24" s="4206"/>
      <c r="S24" s="49"/>
      <c r="T24" s="242" t="s">
        <v>7827</v>
      </c>
      <c r="U24" s="43" t="s">
        <v>7828</v>
      </c>
      <c r="V24" s="43" t="str">
        <f t="shared" si="1"/>
        <v>中型刀具(切肉菜刀等)</v>
      </c>
      <c r="W24" s="243"/>
      <c r="X24" s="244"/>
      <c r="Y24" s="244"/>
      <c r="Z24" s="244"/>
      <c r="AA24" s="244"/>
      <c r="AB24" s="244"/>
      <c r="AC24" s="244"/>
      <c r="AD24" s="244"/>
      <c r="AE24" s="244"/>
      <c r="AF24" s="246"/>
    </row>
    <row r="25" spans="1:32" ht="14.25" customHeight="1">
      <c r="A25" s="4042"/>
      <c r="B25" s="252" t="str">
        <f t="shared" si="0"/>
        <v>小型刀具(弹簧折叠刀等)</v>
      </c>
      <c r="C25" s="253" t="s">
        <v>209</v>
      </c>
      <c r="D25" s="254" t="s">
        <v>7829</v>
      </c>
      <c r="E25" s="254" t="s">
        <v>7773</v>
      </c>
      <c r="F25" s="254" t="s">
        <v>7761</v>
      </c>
      <c r="G25" s="254" t="s">
        <v>7748</v>
      </c>
      <c r="H25" s="254" t="s">
        <v>148</v>
      </c>
      <c r="I25" s="254" t="s">
        <v>148</v>
      </c>
      <c r="J25" s="254" t="s">
        <v>7750</v>
      </c>
      <c r="K25" s="254" t="s">
        <v>7830</v>
      </c>
      <c r="L25" s="255" t="s">
        <v>148</v>
      </c>
      <c r="M25" s="3951"/>
      <c r="N25" s="4207"/>
      <c r="O25" s="4208"/>
      <c r="P25" s="4208"/>
      <c r="Q25" s="4208"/>
      <c r="R25" s="4209"/>
      <c r="S25" s="49"/>
      <c r="T25" s="242" t="s">
        <v>7831</v>
      </c>
      <c r="U25" s="43" t="s">
        <v>7832</v>
      </c>
      <c r="V25" s="43" t="str">
        <f t="shared" si="1"/>
        <v>小型刀具(弹簧折叠刀等)</v>
      </c>
      <c r="W25" s="243"/>
      <c r="X25" s="244"/>
      <c r="Y25" s="244"/>
      <c r="Z25" s="244"/>
      <c r="AA25" s="251"/>
      <c r="AB25" s="244"/>
      <c r="AC25" s="244"/>
      <c r="AD25" s="244"/>
      <c r="AE25" s="244"/>
      <c r="AF25" s="246"/>
    </row>
    <row r="26" spans="1:32" ht="14.25" customHeight="1">
      <c r="A26" s="4042"/>
      <c r="B26" s="4043" t="s">
        <v>3790</v>
      </c>
      <c r="C26" s="4009" t="s">
        <v>3790</v>
      </c>
      <c r="D26" s="270" t="s">
        <v>7833</v>
      </c>
      <c r="E26" s="4010" t="s">
        <v>7773</v>
      </c>
      <c r="F26" s="4010" t="s">
        <v>239</v>
      </c>
      <c r="G26" s="4010">
        <v>1</v>
      </c>
      <c r="H26" s="4010" t="s">
        <v>148</v>
      </c>
      <c r="I26" s="4010" t="s">
        <v>148</v>
      </c>
      <c r="J26" s="4010" t="s">
        <v>7834</v>
      </c>
      <c r="K26" s="4010" t="s">
        <v>148</v>
      </c>
      <c r="L26" s="3948" t="s">
        <v>148</v>
      </c>
      <c r="M26" s="3952" t="s">
        <v>3790</v>
      </c>
      <c r="N26" s="3761" t="s">
        <v>7835</v>
      </c>
      <c r="O26" s="3761"/>
      <c r="P26" s="3761"/>
      <c r="Q26" s="3761"/>
      <c r="R26" s="3761"/>
      <c r="S26" s="49"/>
      <c r="T26" s="242"/>
      <c r="W26" s="243"/>
      <c r="X26" s="244"/>
      <c r="Y26" s="244"/>
      <c r="Z26" s="244"/>
      <c r="AA26" s="244"/>
      <c r="AB26" s="244"/>
      <c r="AC26" s="244"/>
      <c r="AD26" s="244"/>
      <c r="AE26" s="244"/>
      <c r="AF26" s="246"/>
    </row>
    <row r="27" spans="1:32" ht="14.25" customHeight="1">
      <c r="A27" s="4042"/>
      <c r="B27" s="4043"/>
      <c r="C27" s="4009"/>
      <c r="D27" s="270" t="s">
        <v>7836</v>
      </c>
      <c r="E27" s="4010"/>
      <c r="F27" s="4010"/>
      <c r="G27" s="4010"/>
      <c r="H27" s="4010"/>
      <c r="I27" s="4010"/>
      <c r="J27" s="4010"/>
      <c r="K27" s="4010"/>
      <c r="L27" s="3948"/>
      <c r="M27" s="3953"/>
      <c r="N27" s="3761"/>
      <c r="O27" s="3761"/>
      <c r="P27" s="3761"/>
      <c r="Q27" s="3761"/>
      <c r="R27" s="3761"/>
      <c r="S27" s="49"/>
      <c r="T27" s="242"/>
      <c r="W27" s="243"/>
      <c r="X27" s="244"/>
      <c r="Y27" s="244"/>
      <c r="Z27" s="244"/>
      <c r="AA27" s="244"/>
      <c r="AB27" s="244"/>
      <c r="AC27" s="244"/>
      <c r="AD27" s="244"/>
      <c r="AE27" s="244"/>
      <c r="AF27" s="246"/>
    </row>
    <row r="28" spans="1:32" ht="14.25" customHeight="1">
      <c r="A28" s="4042"/>
      <c r="B28" s="4043"/>
      <c r="C28" s="4009"/>
      <c r="D28" s="270" t="s">
        <v>7837</v>
      </c>
      <c r="E28" s="4010"/>
      <c r="F28" s="4010"/>
      <c r="G28" s="4010"/>
      <c r="H28" s="4010"/>
      <c r="I28" s="4010"/>
      <c r="J28" s="4010"/>
      <c r="K28" s="4010"/>
      <c r="L28" s="3948"/>
      <c r="M28" s="3953"/>
      <c r="N28" s="3761"/>
      <c r="O28" s="3761"/>
      <c r="P28" s="3761"/>
      <c r="Q28" s="3761"/>
      <c r="R28" s="3761"/>
      <c r="S28" s="49"/>
      <c r="T28" s="242"/>
      <c r="W28" s="243"/>
      <c r="X28" s="244"/>
      <c r="Y28" s="244"/>
      <c r="Z28" s="244"/>
      <c r="AA28" s="244"/>
      <c r="AB28" s="244"/>
      <c r="AC28" s="244"/>
      <c r="AD28" s="244"/>
      <c r="AE28" s="244"/>
      <c r="AF28" s="246"/>
    </row>
    <row r="29" spans="1:32" ht="14.25" customHeight="1">
      <c r="A29" s="4042"/>
      <c r="B29" s="4043"/>
      <c r="C29" s="4009"/>
      <c r="D29" s="270" t="s">
        <v>7838</v>
      </c>
      <c r="E29" s="4010"/>
      <c r="F29" s="4010"/>
      <c r="G29" s="4010"/>
      <c r="H29" s="4010"/>
      <c r="I29" s="4010"/>
      <c r="J29" s="4010"/>
      <c r="K29" s="4010"/>
      <c r="L29" s="3948"/>
      <c r="M29" s="3953"/>
      <c r="N29" s="3761"/>
      <c r="O29" s="3761"/>
      <c r="P29" s="3761"/>
      <c r="Q29" s="3761"/>
      <c r="R29" s="3761"/>
      <c r="S29" s="49"/>
      <c r="T29" s="242"/>
      <c r="W29" s="243"/>
      <c r="X29" s="244"/>
      <c r="Y29" s="244"/>
      <c r="Z29" s="244"/>
      <c r="AA29" s="244"/>
      <c r="AB29" s="244"/>
      <c r="AC29" s="244"/>
      <c r="AD29" s="244"/>
      <c r="AE29" s="244"/>
      <c r="AF29" s="246"/>
    </row>
    <row r="30" spans="1:32" ht="14.25" customHeight="1">
      <c r="A30" s="4042"/>
      <c r="B30" s="4043"/>
      <c r="C30" s="4009"/>
      <c r="D30" s="270" t="s">
        <v>7839</v>
      </c>
      <c r="E30" s="4010"/>
      <c r="F30" s="4010"/>
      <c r="G30" s="4010"/>
      <c r="H30" s="4010"/>
      <c r="I30" s="4010"/>
      <c r="J30" s="4010"/>
      <c r="K30" s="4010"/>
      <c r="L30" s="3948"/>
      <c r="M30" s="3953"/>
      <c r="N30" s="3761"/>
      <c r="O30" s="3761"/>
      <c r="P30" s="3761"/>
      <c r="Q30" s="3761"/>
      <c r="R30" s="3761"/>
      <c r="S30" s="49"/>
      <c r="T30" s="242"/>
      <c r="W30" s="243"/>
      <c r="X30" s="244"/>
      <c r="Y30" s="244"/>
      <c r="Z30" s="244"/>
      <c r="AA30" s="244"/>
      <c r="AB30" s="244"/>
      <c r="AC30" s="244"/>
      <c r="AD30" s="244"/>
      <c r="AE30" s="244"/>
      <c r="AF30" s="246"/>
    </row>
    <row r="31" spans="1:32" ht="14.25" customHeight="1">
      <c r="A31" s="4042"/>
      <c r="B31" s="4043"/>
      <c r="C31" s="4009"/>
      <c r="D31" s="271" t="s">
        <v>7840</v>
      </c>
      <c r="E31" s="4010"/>
      <c r="F31" s="4010"/>
      <c r="G31" s="4011">
        <v>2</v>
      </c>
      <c r="H31" s="4010"/>
      <c r="I31" s="4010"/>
      <c r="J31" s="4010"/>
      <c r="K31" s="4010"/>
      <c r="L31" s="3948"/>
      <c r="M31" s="3953"/>
      <c r="N31" s="3761" t="s">
        <v>7841</v>
      </c>
      <c r="O31" s="3761"/>
      <c r="P31" s="3761"/>
      <c r="Q31" s="3761"/>
      <c r="R31" s="3761"/>
      <c r="S31" s="49"/>
      <c r="T31" s="242"/>
      <c r="W31" s="243"/>
      <c r="X31" s="244"/>
      <c r="Y31" s="244"/>
      <c r="Z31" s="244"/>
      <c r="AA31" s="244"/>
      <c r="AB31" s="244"/>
      <c r="AC31" s="244"/>
      <c r="AD31" s="244"/>
      <c r="AE31" s="244"/>
      <c r="AF31" s="246"/>
    </row>
    <row r="32" spans="1:32" ht="14.25" customHeight="1">
      <c r="A32" s="4042"/>
      <c r="B32" s="4043"/>
      <c r="C32" s="4009"/>
      <c r="D32" s="271" t="s">
        <v>7842</v>
      </c>
      <c r="E32" s="4010"/>
      <c r="F32" s="4010"/>
      <c r="G32" s="4012"/>
      <c r="H32" s="4010"/>
      <c r="I32" s="4010"/>
      <c r="J32" s="4010"/>
      <c r="K32" s="4010"/>
      <c r="L32" s="3948"/>
      <c r="M32" s="3953"/>
      <c r="N32" s="3761"/>
      <c r="O32" s="3761"/>
      <c r="P32" s="3761"/>
      <c r="Q32" s="3761"/>
      <c r="R32" s="3761"/>
      <c r="S32" s="49"/>
      <c r="T32" s="242"/>
      <c r="W32" s="243"/>
      <c r="X32" s="244"/>
      <c r="Y32" s="244"/>
      <c r="Z32" s="244"/>
      <c r="AA32" s="244"/>
      <c r="AB32" s="244"/>
      <c r="AC32" s="244"/>
      <c r="AD32" s="244"/>
      <c r="AE32" s="244"/>
      <c r="AF32" s="246"/>
    </row>
    <row r="33" spans="1:37" ht="14.25" customHeight="1">
      <c r="A33" s="4042"/>
      <c r="B33" s="247" t="str">
        <f t="shared" ref="B33:B96" si="2">IF(OR(J33="1920s,现代",$U$1="其他",J33=$U$1,J33="罕见"),U33,"-"&amp;U33)</f>
        <v>-220v通电导线</v>
      </c>
      <c r="C33" s="248" t="s">
        <v>209</v>
      </c>
      <c r="D33" s="249" t="s">
        <v>7843</v>
      </c>
      <c r="E33" s="249" t="s">
        <v>7773</v>
      </c>
      <c r="F33" s="249" t="s">
        <v>239</v>
      </c>
      <c r="G33" s="249" t="s">
        <v>7748</v>
      </c>
      <c r="H33" s="249" t="s">
        <v>148</v>
      </c>
      <c r="I33" s="249" t="s">
        <v>7796</v>
      </c>
      <c r="J33" s="249" t="s">
        <v>5312</v>
      </c>
      <c r="K33" s="249" t="s">
        <v>148</v>
      </c>
      <c r="L33" s="250" t="s">
        <v>7844</v>
      </c>
      <c r="M33" s="3953"/>
      <c r="N33" s="3761"/>
      <c r="O33" s="3761"/>
      <c r="P33" s="3761"/>
      <c r="Q33" s="3761"/>
      <c r="R33" s="3761"/>
      <c r="S33" s="49"/>
      <c r="T33" s="242" t="s">
        <v>7795</v>
      </c>
      <c r="U33" s="43" t="s">
        <v>7845</v>
      </c>
      <c r="V33" s="43" t="str">
        <f t="shared" ref="V33:V38" si="3">IF(OR(J33="1920s,现代",$U$1="其他",J33=$U$1,AND(J33="1920s,罕见",$U$1="1920s"),J33="罕见"),U33,"-"&amp;U33)</f>
        <v>-220v通电导线</v>
      </c>
      <c r="W33" s="243"/>
      <c r="X33" s="244"/>
      <c r="Y33" s="244"/>
      <c r="Z33" s="244"/>
      <c r="AA33" s="244"/>
      <c r="AB33" s="244"/>
      <c r="AC33" s="244"/>
      <c r="AD33" s="244"/>
      <c r="AE33" s="244"/>
      <c r="AF33" s="246"/>
    </row>
    <row r="34" spans="1:37" ht="14.25" customHeight="1">
      <c r="A34" s="4041" t="s">
        <v>7846</v>
      </c>
      <c r="B34" s="272" t="str">
        <f t="shared" si="2"/>
        <v>催泪瓦斯</v>
      </c>
      <c r="C34" s="273" t="s">
        <v>209</v>
      </c>
      <c r="D34" s="274" t="s">
        <v>7847</v>
      </c>
      <c r="E34" s="274" t="s">
        <v>7848</v>
      </c>
      <c r="F34" s="274" t="s">
        <v>239</v>
      </c>
      <c r="G34" s="274" t="s">
        <v>7748</v>
      </c>
      <c r="H34" s="274" t="s">
        <v>7849</v>
      </c>
      <c r="I34" s="274" t="s">
        <v>148</v>
      </c>
      <c r="J34" s="274" t="s">
        <v>7750</v>
      </c>
      <c r="K34" s="274" t="s">
        <v>7850</v>
      </c>
      <c r="L34" s="275" t="s">
        <v>7851</v>
      </c>
      <c r="M34" s="3953"/>
      <c r="N34" s="3761"/>
      <c r="O34" s="3761"/>
      <c r="P34" s="3761"/>
      <c r="Q34" s="3761"/>
      <c r="R34" s="3761"/>
      <c r="S34" s="49"/>
      <c r="T34" s="242"/>
      <c r="U34" s="43" t="s">
        <v>7852</v>
      </c>
      <c r="V34" s="43" t="str">
        <f t="shared" si="3"/>
        <v>催泪瓦斯</v>
      </c>
      <c r="W34" s="243"/>
      <c r="X34" s="244"/>
      <c r="Y34" s="244"/>
      <c r="Z34" s="244"/>
      <c r="AA34" s="244"/>
      <c r="AB34" s="244"/>
      <c r="AC34" s="244"/>
      <c r="AD34" s="244"/>
      <c r="AE34" s="244"/>
      <c r="AF34" s="246"/>
    </row>
    <row r="35" spans="1:37" ht="14.25" customHeight="1">
      <c r="A35" s="4041"/>
      <c r="B35" s="247" t="str">
        <f t="shared" si="2"/>
        <v>双节棍</v>
      </c>
      <c r="C35" s="248" t="s">
        <v>3753</v>
      </c>
      <c r="D35" s="249" t="s">
        <v>7799</v>
      </c>
      <c r="E35" s="249" t="s">
        <v>7773</v>
      </c>
      <c r="F35" s="249" t="s">
        <v>239</v>
      </c>
      <c r="G35" s="249" t="s">
        <v>7748</v>
      </c>
      <c r="H35" s="249" t="s">
        <v>148</v>
      </c>
      <c r="I35" s="249" t="s">
        <v>148</v>
      </c>
      <c r="J35" s="249" t="s">
        <v>7750</v>
      </c>
      <c r="K35" s="249" t="s">
        <v>7774</v>
      </c>
      <c r="L35" s="250" t="s">
        <v>7853</v>
      </c>
      <c r="M35" s="3953"/>
      <c r="N35" s="3761"/>
      <c r="O35" s="3761"/>
      <c r="P35" s="3761"/>
      <c r="Q35" s="3761"/>
      <c r="R35" s="3761"/>
      <c r="S35" s="49"/>
      <c r="T35" s="242" t="s">
        <v>7802</v>
      </c>
      <c r="U35" s="43" t="s">
        <v>7226</v>
      </c>
      <c r="V35" s="43" t="str">
        <f t="shared" si="3"/>
        <v>双节棍</v>
      </c>
      <c r="W35" s="243"/>
      <c r="X35" s="244"/>
      <c r="Y35" s="244"/>
      <c r="Z35" s="244"/>
      <c r="AA35" s="244"/>
      <c r="AB35" s="244"/>
      <c r="AC35" s="244"/>
      <c r="AD35" s="244"/>
      <c r="AE35" s="244"/>
      <c r="AF35" s="246"/>
    </row>
    <row r="36" spans="1:37" ht="14.25" customHeight="1">
      <c r="A36" s="4041"/>
      <c r="B36" s="252" t="str">
        <f t="shared" si="2"/>
        <v>投石</v>
      </c>
      <c r="C36" s="253" t="s">
        <v>206</v>
      </c>
      <c r="D36" s="254" t="s">
        <v>7770</v>
      </c>
      <c r="E36" s="254" t="s">
        <v>7854</v>
      </c>
      <c r="F36" s="254" t="s">
        <v>239</v>
      </c>
      <c r="G36" s="254" t="s">
        <v>7748</v>
      </c>
      <c r="H36" s="254" t="s">
        <v>148</v>
      </c>
      <c r="I36" s="254" t="s">
        <v>148</v>
      </c>
      <c r="J36" s="254" t="s">
        <v>7750</v>
      </c>
      <c r="K36" s="254" t="s">
        <v>148</v>
      </c>
      <c r="L36" s="255" t="s">
        <v>148</v>
      </c>
      <c r="M36" s="3953"/>
      <c r="N36" s="3761" t="s">
        <v>7855</v>
      </c>
      <c r="O36" s="3761"/>
      <c r="P36" s="3761"/>
      <c r="Q36" s="3761"/>
      <c r="R36" s="3761"/>
      <c r="S36" s="49"/>
      <c r="T36" s="242" t="s">
        <v>7856</v>
      </c>
      <c r="U36" s="43" t="s">
        <v>7857</v>
      </c>
      <c r="V36" s="43" t="str">
        <f t="shared" si="3"/>
        <v>投石</v>
      </c>
      <c r="W36" s="244"/>
      <c r="X36" s="244"/>
      <c r="Y36" s="244"/>
      <c r="Z36" s="244"/>
      <c r="AA36" s="244"/>
      <c r="AB36" s="244"/>
      <c r="AC36" s="244"/>
      <c r="AD36" s="244"/>
      <c r="AE36" s="244"/>
      <c r="AF36" s="246"/>
    </row>
    <row r="37" spans="1:37" ht="14.25" customHeight="1">
      <c r="A37" s="4041"/>
      <c r="B37" s="247" t="str">
        <f t="shared" si="2"/>
        <v>手里剑</v>
      </c>
      <c r="C37" s="248" t="s">
        <v>206</v>
      </c>
      <c r="D37" s="249" t="s">
        <v>7777</v>
      </c>
      <c r="E37" s="249" t="s">
        <v>7858</v>
      </c>
      <c r="F37" s="249" t="s">
        <v>7761</v>
      </c>
      <c r="G37" s="249" t="s">
        <v>7859</v>
      </c>
      <c r="H37" s="249" t="s">
        <v>7860</v>
      </c>
      <c r="I37" s="249" t="s">
        <v>6729</v>
      </c>
      <c r="J37" s="249" t="s">
        <v>7750</v>
      </c>
      <c r="K37" s="249" t="s">
        <v>7814</v>
      </c>
      <c r="L37" s="250" t="s">
        <v>148</v>
      </c>
      <c r="M37" s="3953"/>
      <c r="N37" s="3761"/>
      <c r="O37" s="3761"/>
      <c r="P37" s="3761"/>
      <c r="Q37" s="3761"/>
      <c r="R37" s="3761"/>
      <c r="S37" s="49"/>
      <c r="T37" s="242" t="s">
        <v>7780</v>
      </c>
      <c r="U37" s="43" t="s">
        <v>7861</v>
      </c>
      <c r="V37" s="43" t="str">
        <f t="shared" si="3"/>
        <v>手里剑</v>
      </c>
      <c r="W37" s="244"/>
      <c r="X37" s="244"/>
      <c r="Y37" s="244"/>
      <c r="Z37" s="244"/>
      <c r="AA37" s="244"/>
      <c r="AB37" s="244"/>
      <c r="AC37" s="244"/>
      <c r="AD37" s="244"/>
      <c r="AE37" s="244"/>
      <c r="AF37" s="246"/>
    </row>
    <row r="38" spans="1:37" ht="14.25" customHeight="1">
      <c r="A38" s="4041"/>
      <c r="B38" s="252" t="str">
        <f t="shared" si="2"/>
        <v>矛、骑士长枪</v>
      </c>
      <c r="C38" s="253" t="s">
        <v>3773</v>
      </c>
      <c r="D38" s="254" t="s">
        <v>7862</v>
      </c>
      <c r="E38" s="254" t="s">
        <v>7773</v>
      </c>
      <c r="F38" s="254" t="s">
        <v>7761</v>
      </c>
      <c r="G38" s="254" t="s">
        <v>7748</v>
      </c>
      <c r="H38" s="254" t="s">
        <v>148</v>
      </c>
      <c r="I38" s="254" t="s">
        <v>148</v>
      </c>
      <c r="J38" s="254" t="s">
        <v>7750</v>
      </c>
      <c r="K38" s="254" t="s">
        <v>7863</v>
      </c>
      <c r="L38" s="255" t="s">
        <v>148</v>
      </c>
      <c r="M38" s="3953"/>
      <c r="N38" s="3761" t="s">
        <v>7864</v>
      </c>
      <c r="O38" s="3761"/>
      <c r="P38" s="3761"/>
      <c r="Q38" s="3761"/>
      <c r="R38" s="3761"/>
      <c r="S38" s="49"/>
      <c r="T38" s="242" t="s">
        <v>7862</v>
      </c>
      <c r="U38" s="43" t="s">
        <v>7865</v>
      </c>
      <c r="V38" s="43" t="str">
        <f t="shared" si="3"/>
        <v>矛、骑士长枪</v>
      </c>
      <c r="X38" s="244"/>
      <c r="Y38" s="244"/>
      <c r="Z38" s="244"/>
      <c r="AA38" s="244"/>
      <c r="AB38" s="244"/>
      <c r="AC38" s="244"/>
      <c r="AD38" s="244"/>
      <c r="AE38" s="244"/>
      <c r="AF38" s="246"/>
    </row>
    <row r="39" spans="1:37" ht="14.25" customHeight="1">
      <c r="A39" s="4041"/>
      <c r="B39" s="247" t="str">
        <f t="shared" si="2"/>
        <v>*掷矛</v>
      </c>
      <c r="C39" s="248" t="s">
        <v>206</v>
      </c>
      <c r="D39" s="249" t="s">
        <v>7756</v>
      </c>
      <c r="E39" s="249" t="s">
        <v>7866</v>
      </c>
      <c r="F39" s="249" t="s">
        <v>7761</v>
      </c>
      <c r="G39" s="249" t="s">
        <v>7748</v>
      </c>
      <c r="H39" s="249" t="s">
        <v>148</v>
      </c>
      <c r="I39" s="249" t="s">
        <v>148</v>
      </c>
      <c r="J39" s="249" t="s">
        <v>7867</v>
      </c>
      <c r="K39" s="249" t="s">
        <v>7868</v>
      </c>
      <c r="L39" s="250" t="s">
        <v>148</v>
      </c>
      <c r="M39" s="3953"/>
      <c r="N39" s="3761"/>
      <c r="O39" s="3761"/>
      <c r="P39" s="3761"/>
      <c r="Q39" s="3761"/>
      <c r="R39" s="3761"/>
      <c r="S39" s="49"/>
      <c r="T39" s="242" t="s">
        <v>7869</v>
      </c>
      <c r="U39" s="43" t="s">
        <v>7870</v>
      </c>
      <c r="V39" s="43" t="s">
        <v>7870</v>
      </c>
      <c r="X39" s="244"/>
      <c r="Y39" s="244"/>
      <c r="Z39" s="244"/>
      <c r="AA39" s="244"/>
      <c r="AB39" s="244"/>
      <c r="AC39" s="244"/>
      <c r="AD39" s="244"/>
      <c r="AE39" s="244"/>
      <c r="AF39" s="246"/>
    </row>
    <row r="40" spans="1:37" ht="14.25" customHeight="1">
      <c r="A40" s="4041"/>
      <c r="B40" s="252" t="str">
        <f t="shared" si="2"/>
        <v>大型剑（马刀）</v>
      </c>
      <c r="C40" s="253" t="s">
        <v>3708</v>
      </c>
      <c r="D40" s="254" t="s">
        <v>7821</v>
      </c>
      <c r="E40" s="254" t="s">
        <v>7773</v>
      </c>
      <c r="F40" s="254" t="s">
        <v>7761</v>
      </c>
      <c r="G40" s="254" t="s">
        <v>7748</v>
      </c>
      <c r="H40" s="254" t="s">
        <v>148</v>
      </c>
      <c r="I40" s="254" t="s">
        <v>148</v>
      </c>
      <c r="J40" s="254" t="s">
        <v>7750</v>
      </c>
      <c r="K40" s="254" t="s">
        <v>7871</v>
      </c>
      <c r="L40" s="255" t="s">
        <v>148</v>
      </c>
      <c r="M40" s="3953"/>
      <c r="N40" s="3761"/>
      <c r="O40" s="3761"/>
      <c r="P40" s="3761"/>
      <c r="Q40" s="3761"/>
      <c r="R40" s="3761"/>
      <c r="S40" s="49"/>
      <c r="T40" s="242" t="s">
        <v>7872</v>
      </c>
      <c r="U40" s="43" t="s">
        <v>7873</v>
      </c>
      <c r="V40" s="43" t="str">
        <f>IF(OR(J40="1920s,现代",$U$1="其他",J40=$U$1,AND(J40="1920s,罕见",$U$1="1920s"),J40="罕见"),U40,"-"&amp;U40)</f>
        <v>大型剑（马刀）</v>
      </c>
      <c r="X40" s="244"/>
      <c r="Y40" s="244"/>
      <c r="Z40" s="244"/>
      <c r="AA40" s="244"/>
      <c r="AB40" s="244"/>
      <c r="AC40" s="244"/>
      <c r="AD40" s="244"/>
      <c r="AE40" s="244"/>
      <c r="AF40" s="246"/>
    </row>
    <row r="41" spans="1:37" ht="14.25" customHeight="1">
      <c r="A41" s="4041"/>
      <c r="B41" s="247" t="str">
        <f t="shared" si="2"/>
        <v>中型剑（佩剑、重剑）</v>
      </c>
      <c r="C41" s="248" t="s">
        <v>3708</v>
      </c>
      <c r="D41" s="249" t="s">
        <v>7788</v>
      </c>
      <c r="E41" s="249" t="s">
        <v>7773</v>
      </c>
      <c r="F41" s="249" t="s">
        <v>7761</v>
      </c>
      <c r="G41" s="249" t="s">
        <v>7748</v>
      </c>
      <c r="H41" s="249" t="s">
        <v>148</v>
      </c>
      <c r="I41" s="249" t="s">
        <v>148</v>
      </c>
      <c r="J41" s="249" t="s">
        <v>7750</v>
      </c>
      <c r="K41" s="249" t="s">
        <v>7785</v>
      </c>
      <c r="L41" s="250" t="s">
        <v>148</v>
      </c>
      <c r="M41" s="276"/>
      <c r="N41" s="277"/>
      <c r="O41" s="277"/>
      <c r="P41" s="277"/>
      <c r="Q41" s="277"/>
      <c r="R41" s="277"/>
      <c r="S41" s="49"/>
      <c r="T41" s="242" t="s">
        <v>7818</v>
      </c>
      <c r="U41" s="43" t="s">
        <v>7874</v>
      </c>
      <c r="V41" s="43" t="str">
        <f>IF(OR(J41="1920s,现代",$U$1="其他",J41=$U$1,AND(J41="1920s,罕见",$U$1="1920s"),J41="罕见"),U41,"-"&amp;U41)</f>
        <v>中型剑（佩剑、重剑）</v>
      </c>
      <c r="X41" s="244"/>
      <c r="Y41" s="244"/>
      <c r="Z41" s="244"/>
      <c r="AA41" s="244"/>
      <c r="AB41" s="244"/>
      <c r="AC41" s="244"/>
      <c r="AD41" s="244"/>
      <c r="AE41" s="244"/>
      <c r="AF41" s="246"/>
    </row>
    <row r="42" spans="1:37" ht="14.25" customHeight="1">
      <c r="A42" s="4041"/>
      <c r="B42" s="252" t="str">
        <f t="shared" si="2"/>
        <v>轻型剑（花剑、剑杖）</v>
      </c>
      <c r="C42" s="253" t="s">
        <v>3708</v>
      </c>
      <c r="D42" s="254" t="s">
        <v>7807</v>
      </c>
      <c r="E42" s="254" t="s">
        <v>7773</v>
      </c>
      <c r="F42" s="254" t="s">
        <v>7761</v>
      </c>
      <c r="G42" s="254" t="s">
        <v>7748</v>
      </c>
      <c r="H42" s="254" t="s">
        <v>148</v>
      </c>
      <c r="I42" s="254" t="s">
        <v>148</v>
      </c>
      <c r="J42" s="254" t="s">
        <v>7750</v>
      </c>
      <c r="K42" s="254" t="s">
        <v>7789</v>
      </c>
      <c r="L42" s="255" t="s">
        <v>148</v>
      </c>
      <c r="M42" s="276"/>
      <c r="N42" s="277"/>
      <c r="O42" s="277"/>
      <c r="P42" s="277"/>
      <c r="Q42" s="277"/>
      <c r="R42" s="277"/>
      <c r="S42" s="49"/>
      <c r="T42" s="242" t="s">
        <v>7808</v>
      </c>
      <c r="U42" s="43" t="s">
        <v>7875</v>
      </c>
      <c r="V42" s="43" t="str">
        <f>IF(OR(J42="1920s,现代",$U$1="其他",J42=$U$1,AND(J42="1920s,罕见",$U$1="1920s"),J42="罕见"),U42,"-"&amp;U42)</f>
        <v>轻型剑（花剑、剑杖）</v>
      </c>
      <c r="X42" s="244"/>
      <c r="Y42" s="244"/>
      <c r="Z42" s="244"/>
      <c r="AA42" s="244"/>
      <c r="AB42" s="244"/>
      <c r="AC42" s="244"/>
      <c r="AD42" s="244"/>
      <c r="AE42" s="244"/>
      <c r="AF42" s="246"/>
    </row>
    <row r="43" spans="1:37" ht="14.25" customHeight="1">
      <c r="A43" s="4041"/>
      <c r="B43" s="278" t="str">
        <f t="shared" si="2"/>
        <v>-电棍、电击枪(接触)</v>
      </c>
      <c r="C43" s="279" t="s">
        <v>209</v>
      </c>
      <c r="D43" s="280" t="s">
        <v>7876</v>
      </c>
      <c r="E43" s="280" t="s">
        <v>7773</v>
      </c>
      <c r="F43" s="280" t="s">
        <v>239</v>
      </c>
      <c r="G43" s="280" t="s">
        <v>7748</v>
      </c>
      <c r="H43" s="280" t="s">
        <v>148</v>
      </c>
      <c r="I43" s="280" t="s">
        <v>7749</v>
      </c>
      <c r="J43" s="280" t="s">
        <v>5312</v>
      </c>
      <c r="K43" s="280" t="s">
        <v>7877</v>
      </c>
      <c r="L43" s="281" t="s">
        <v>7878</v>
      </c>
      <c r="M43" s="276"/>
      <c r="S43" s="49"/>
      <c r="T43" s="242" t="s">
        <v>7879</v>
      </c>
      <c r="U43" s="43" t="s">
        <v>7880</v>
      </c>
      <c r="V43" s="43" t="str">
        <f>IF(OR(J43="1920s,现代",$U$1="其他",J43=$U$1,AND(J43="1920s,罕见",$U$1="1920s"),J43="罕见"),U43,"-"&amp;U43)</f>
        <v>-电棍、电击枪(接触)</v>
      </c>
      <c r="Y43" s="244"/>
      <c r="Z43" s="244"/>
      <c r="AA43" s="244"/>
      <c r="AB43" s="244"/>
      <c r="AC43" s="244"/>
      <c r="AD43" s="244"/>
      <c r="AE43" s="244"/>
      <c r="AF43" s="246"/>
    </row>
    <row r="44" spans="1:37" ht="14.25" customHeight="1">
      <c r="A44" s="4041"/>
      <c r="B44" s="278" t="str">
        <f t="shared" si="2"/>
        <v>-电击枪(远程)</v>
      </c>
      <c r="C44" s="279" t="s">
        <v>211</v>
      </c>
      <c r="D44" s="280" t="s">
        <v>7876</v>
      </c>
      <c r="E44" s="280" t="s">
        <v>7784</v>
      </c>
      <c r="F44" s="280" t="s">
        <v>239</v>
      </c>
      <c r="G44" s="280" t="s">
        <v>7748</v>
      </c>
      <c r="H44" s="280" t="s">
        <v>7881</v>
      </c>
      <c r="I44" s="280" t="s">
        <v>7796</v>
      </c>
      <c r="J44" s="280" t="s">
        <v>5312</v>
      </c>
      <c r="K44" s="280" t="s">
        <v>7882</v>
      </c>
      <c r="L44" s="281" t="s">
        <v>7883</v>
      </c>
      <c r="M44" s="276"/>
      <c r="S44" s="49"/>
      <c r="T44" s="242" t="s">
        <v>7879</v>
      </c>
      <c r="U44" s="43" t="s">
        <v>7884</v>
      </c>
      <c r="V44" s="43" t="str">
        <f>IF(OR(J44="1920s,现代",$U$1="其他",J44=$U$1,AND(J44="1920s,罕见",$U$1="1920s"),J44="罕见"),U44,"-"&amp;U44)</f>
        <v>-电击枪(远程)</v>
      </c>
      <c r="Y44" s="244"/>
      <c r="Z44" s="244"/>
      <c r="AA44" s="244"/>
      <c r="AB44" s="244"/>
      <c r="AC44" s="244"/>
      <c r="AD44" s="244"/>
      <c r="AE44" s="244"/>
      <c r="AF44" s="246"/>
    </row>
    <row r="45" spans="1:37" ht="14.25" customHeight="1">
      <c r="A45" s="4041"/>
      <c r="B45" s="247" t="str">
        <f t="shared" si="2"/>
        <v>*战斗回力镖</v>
      </c>
      <c r="C45" s="248" t="s">
        <v>206</v>
      </c>
      <c r="D45" s="249" t="s">
        <v>7756</v>
      </c>
      <c r="E45" s="249" t="s">
        <v>7858</v>
      </c>
      <c r="F45" s="249" t="s">
        <v>239</v>
      </c>
      <c r="G45" s="249" t="s">
        <v>7748</v>
      </c>
      <c r="H45" s="249" t="s">
        <v>148</v>
      </c>
      <c r="I45" s="249" t="s">
        <v>148</v>
      </c>
      <c r="J45" s="249" t="s">
        <v>7867</v>
      </c>
      <c r="K45" s="249" t="s">
        <v>7885</v>
      </c>
      <c r="L45" s="250" t="s">
        <v>148</v>
      </c>
      <c r="M45" s="282"/>
      <c r="S45" s="49"/>
      <c r="T45" s="242" t="s">
        <v>7869</v>
      </c>
      <c r="U45" s="43" t="s">
        <v>7886</v>
      </c>
      <c r="V45" s="43" t="s">
        <v>7886</v>
      </c>
      <c r="AF45" s="246"/>
    </row>
    <row r="46" spans="1:37" ht="14.25" customHeight="1">
      <c r="B46" s="283" t="str">
        <f t="shared" si="2"/>
        <v>*遂发枪</v>
      </c>
      <c r="C46" s="284" t="s">
        <v>211</v>
      </c>
      <c r="D46" s="285" t="s">
        <v>7887</v>
      </c>
      <c r="E46" s="285" t="s">
        <v>7888</v>
      </c>
      <c r="F46" s="285" t="s">
        <v>7761</v>
      </c>
      <c r="G46" s="285" t="s">
        <v>7889</v>
      </c>
      <c r="H46" s="285" t="s">
        <v>7748</v>
      </c>
      <c r="I46" s="285" t="s">
        <v>7796</v>
      </c>
      <c r="J46" s="285" t="s">
        <v>7867</v>
      </c>
      <c r="K46" s="285" t="s">
        <v>7890</v>
      </c>
      <c r="L46" s="286" t="s">
        <v>7891</v>
      </c>
      <c r="M46" s="3954" t="s">
        <v>7892</v>
      </c>
      <c r="N46" s="4059" t="s">
        <v>7893</v>
      </c>
      <c r="O46" s="4210" t="s">
        <v>7894</v>
      </c>
      <c r="P46" s="4211"/>
      <c r="R46" s="287"/>
      <c r="S46" s="49"/>
      <c r="T46" s="242" t="s">
        <v>7887</v>
      </c>
      <c r="U46" s="43" t="s">
        <v>7895</v>
      </c>
      <c r="V46" s="43" t="s">
        <v>7895</v>
      </c>
      <c r="Y46" s="244"/>
      <c r="Z46" s="244"/>
      <c r="AA46" s="244"/>
      <c r="AB46" s="244"/>
      <c r="AC46" s="244"/>
      <c r="AD46" s="244"/>
      <c r="AE46" s="244"/>
      <c r="AF46" s="246"/>
    </row>
    <row r="47" spans="1:37" ht="14.25" customHeight="1">
      <c r="B47" s="247" t="str">
        <f t="shared" si="2"/>
        <v>.22(5.6mm)小型自动手枪</v>
      </c>
      <c r="C47" s="248" t="s">
        <v>211</v>
      </c>
      <c r="D47" s="249" t="s">
        <v>7793</v>
      </c>
      <c r="E47" s="249" t="s">
        <v>7888</v>
      </c>
      <c r="F47" s="249" t="s">
        <v>7761</v>
      </c>
      <c r="G47" s="249" t="s">
        <v>7896</v>
      </c>
      <c r="H47" s="249" t="s">
        <v>7897</v>
      </c>
      <c r="I47" s="249" t="s">
        <v>6729</v>
      </c>
      <c r="J47" s="249" t="s">
        <v>7750</v>
      </c>
      <c r="K47" s="249" t="s">
        <v>7898</v>
      </c>
      <c r="L47" s="250" t="s">
        <v>7899</v>
      </c>
      <c r="M47" s="3955"/>
      <c r="N47" s="4060"/>
      <c r="O47" s="4212"/>
      <c r="P47" s="4213"/>
      <c r="Q47" s="287"/>
      <c r="R47" s="287"/>
      <c r="S47" s="49"/>
      <c r="T47" s="242" t="s">
        <v>7793</v>
      </c>
      <c r="U47" s="43" t="s">
        <v>7900</v>
      </c>
      <c r="V47" s="43" t="str">
        <f t="shared" ref="V47:V61" si="4">IF(OR(J47="1920s,现代",$U$1="其他",J47=$U$1,AND(J47="1920s,罕见",$U$1="1920s"),J47="罕见"),U47,"-"&amp;U47)</f>
        <v>.22(5.6mm)小型自动手枪</v>
      </c>
      <c r="Y47" s="244"/>
      <c r="Z47" s="244"/>
      <c r="AA47" s="244"/>
      <c r="AB47" s="244"/>
      <c r="AC47" s="244"/>
      <c r="AD47" s="244"/>
      <c r="AE47" s="244"/>
      <c r="AF47" s="246"/>
      <c r="AG47" s="62"/>
      <c r="AH47" s="62"/>
      <c r="AI47" s="62"/>
      <c r="AJ47" s="62"/>
      <c r="AK47" s="62"/>
    </row>
    <row r="48" spans="1:37" ht="14.25" customHeight="1">
      <c r="B48" s="288" t="str">
        <f t="shared" si="2"/>
        <v>.25(6.35mm)短口手枪(单管)</v>
      </c>
      <c r="C48" s="289" t="s">
        <v>211</v>
      </c>
      <c r="D48" s="290" t="s">
        <v>7793</v>
      </c>
      <c r="E48" s="290" t="s">
        <v>7881</v>
      </c>
      <c r="F48" s="290" t="s">
        <v>7761</v>
      </c>
      <c r="G48" s="290" t="s">
        <v>7748</v>
      </c>
      <c r="H48" s="290">
        <v>1</v>
      </c>
      <c r="I48" s="290" t="s">
        <v>6729</v>
      </c>
      <c r="J48" s="290" t="s">
        <v>46</v>
      </c>
      <c r="K48" s="290" t="s">
        <v>7901</v>
      </c>
      <c r="L48" s="291" t="s">
        <v>7902</v>
      </c>
      <c r="M48" s="3955"/>
      <c r="N48" s="4060"/>
      <c r="O48" s="4212"/>
      <c r="P48" s="4213"/>
      <c r="Q48" s="287"/>
      <c r="R48" s="287"/>
      <c r="S48" s="49"/>
      <c r="T48" s="242" t="s">
        <v>7793</v>
      </c>
      <c r="U48" s="43" t="s">
        <v>7903</v>
      </c>
      <c r="V48" s="43" t="str">
        <f t="shared" si="4"/>
        <v>.25(6.35mm)短口手枪(单管)</v>
      </c>
      <c r="W48" s="66"/>
      <c r="X48" s="244"/>
      <c r="Y48" s="244"/>
      <c r="Z48" s="244"/>
      <c r="AA48" s="244"/>
      <c r="AB48" s="244"/>
      <c r="AC48" s="244"/>
      <c r="AD48" s="244"/>
      <c r="AE48" s="244"/>
      <c r="AF48" s="246"/>
      <c r="AG48" s="62"/>
      <c r="AH48" s="62"/>
      <c r="AI48" s="62"/>
      <c r="AJ48" s="62"/>
      <c r="AK48" s="62"/>
    </row>
    <row r="49" spans="2:37" ht="14.25" customHeight="1">
      <c r="B49" s="247" t="str">
        <f t="shared" si="2"/>
        <v>.32(7.65mm)左轮手枪</v>
      </c>
      <c r="C49" s="248" t="s">
        <v>211</v>
      </c>
      <c r="D49" s="249" t="s">
        <v>7904</v>
      </c>
      <c r="E49" s="249" t="s">
        <v>7905</v>
      </c>
      <c r="F49" s="249" t="s">
        <v>7761</v>
      </c>
      <c r="G49" s="249" t="s">
        <v>7896</v>
      </c>
      <c r="H49" s="249" t="s">
        <v>7897</v>
      </c>
      <c r="I49" s="249" t="s">
        <v>6729</v>
      </c>
      <c r="J49" s="249" t="s">
        <v>7750</v>
      </c>
      <c r="K49" s="249" t="s">
        <v>7906</v>
      </c>
      <c r="L49" s="250" t="s">
        <v>7907</v>
      </c>
      <c r="M49" s="3955"/>
      <c r="N49" s="4060"/>
      <c r="O49" s="4212"/>
      <c r="P49" s="4213"/>
      <c r="Q49" s="287"/>
      <c r="R49" s="287"/>
      <c r="S49" s="49"/>
      <c r="T49" s="242" t="s">
        <v>7904</v>
      </c>
      <c r="U49" s="43" t="s">
        <v>7908</v>
      </c>
      <c r="V49" s="43" t="str">
        <f t="shared" si="4"/>
        <v>.32(7.65mm)左轮手枪</v>
      </c>
      <c r="W49" s="66"/>
      <c r="X49" s="244"/>
      <c r="Y49" s="244"/>
      <c r="Z49" s="244"/>
      <c r="AA49" s="244"/>
      <c r="AB49" s="244"/>
      <c r="AC49" s="244"/>
      <c r="AD49" s="244"/>
      <c r="AE49" s="244"/>
      <c r="AF49" s="246"/>
      <c r="AG49" s="62"/>
      <c r="AH49" s="62"/>
      <c r="AI49" s="62"/>
      <c r="AJ49" s="62"/>
      <c r="AK49" s="62"/>
    </row>
    <row r="50" spans="2:37" ht="14.25" customHeight="1">
      <c r="B50" s="288" t="str">
        <f t="shared" si="2"/>
        <v>.32(7.65mm)自动手枪</v>
      </c>
      <c r="C50" s="289" t="s">
        <v>211</v>
      </c>
      <c r="D50" s="290" t="s">
        <v>7904</v>
      </c>
      <c r="E50" s="290" t="s">
        <v>7905</v>
      </c>
      <c r="F50" s="290" t="s">
        <v>7761</v>
      </c>
      <c r="G50" s="290" t="s">
        <v>7896</v>
      </c>
      <c r="H50" s="290" t="s">
        <v>7909</v>
      </c>
      <c r="I50" s="290" t="s">
        <v>7910</v>
      </c>
      <c r="J50" s="290" t="s">
        <v>7750</v>
      </c>
      <c r="K50" s="290" t="s">
        <v>7911</v>
      </c>
      <c r="L50" s="291" t="s">
        <v>7907</v>
      </c>
      <c r="M50" s="3955"/>
      <c r="N50" s="4060"/>
      <c r="O50" s="4212"/>
      <c r="P50" s="4213"/>
      <c r="Q50" s="287"/>
      <c r="R50" s="287"/>
      <c r="S50" s="49"/>
      <c r="T50" s="242" t="s">
        <v>7904</v>
      </c>
      <c r="U50" s="43" t="s">
        <v>7912</v>
      </c>
      <c r="V50" s="43" t="str">
        <f t="shared" si="4"/>
        <v>.32(7.65mm)自动手枪</v>
      </c>
      <c r="W50" s="66"/>
      <c r="X50" s="244"/>
      <c r="Y50" s="244"/>
      <c r="Z50" s="244"/>
      <c r="AA50" s="244"/>
      <c r="AB50" s="244"/>
      <c r="AC50" s="244"/>
      <c r="AD50" s="244"/>
      <c r="AE50" s="244"/>
      <c r="AF50" s="246"/>
      <c r="AG50" s="62"/>
      <c r="AH50" s="62"/>
      <c r="AI50" s="62"/>
      <c r="AJ50" s="62"/>
      <c r="AK50" s="62"/>
    </row>
    <row r="51" spans="2:37" ht="14.25" customHeight="1">
      <c r="B51" s="247" t="str">
        <f t="shared" si="2"/>
        <v>-.357 马格南左轮</v>
      </c>
      <c r="C51" s="248" t="s">
        <v>211</v>
      </c>
      <c r="D51" s="249" t="s">
        <v>7913</v>
      </c>
      <c r="E51" s="249" t="s">
        <v>7905</v>
      </c>
      <c r="F51" s="249" t="s">
        <v>7761</v>
      </c>
      <c r="G51" s="249" t="s">
        <v>7896</v>
      </c>
      <c r="H51" s="249" t="s">
        <v>7897</v>
      </c>
      <c r="I51" s="249" t="s">
        <v>6729</v>
      </c>
      <c r="J51" s="249" t="s">
        <v>5312</v>
      </c>
      <c r="K51" s="249" t="s">
        <v>7914</v>
      </c>
      <c r="L51" s="250" t="s">
        <v>7915</v>
      </c>
      <c r="M51" s="3955"/>
      <c r="N51" s="4060"/>
      <c r="O51" s="4212"/>
      <c r="P51" s="4213"/>
      <c r="Q51" s="287"/>
      <c r="R51" s="287"/>
      <c r="S51" s="49"/>
      <c r="T51" s="242" t="s">
        <v>7913</v>
      </c>
      <c r="U51" s="43" t="s">
        <v>7916</v>
      </c>
      <c r="V51" s="43" t="str">
        <f t="shared" si="4"/>
        <v>-.357 马格南左轮</v>
      </c>
      <c r="W51" s="66"/>
      <c r="X51" s="244"/>
      <c r="Y51" s="244"/>
      <c r="Z51" s="244"/>
      <c r="AA51" s="244"/>
      <c r="AB51" s="244"/>
      <c r="AC51" s="244"/>
      <c r="AD51" s="244"/>
      <c r="AE51" s="244"/>
      <c r="AF51" s="246"/>
      <c r="AG51" s="62"/>
      <c r="AH51" s="62"/>
      <c r="AI51" s="62"/>
      <c r="AJ51" s="62"/>
      <c r="AK51" s="62"/>
    </row>
    <row r="52" spans="2:37" ht="14.25" customHeight="1">
      <c r="B52" s="288" t="str">
        <f t="shared" si="2"/>
        <v>.38(9mm)左轮手枪</v>
      </c>
      <c r="C52" s="289" t="s">
        <v>211</v>
      </c>
      <c r="D52" s="290" t="s">
        <v>1106</v>
      </c>
      <c r="E52" s="290" t="s">
        <v>7905</v>
      </c>
      <c r="F52" s="290" t="s">
        <v>7761</v>
      </c>
      <c r="G52" s="290" t="s">
        <v>7896</v>
      </c>
      <c r="H52" s="290" t="s">
        <v>7897</v>
      </c>
      <c r="I52" s="290" t="s">
        <v>6729</v>
      </c>
      <c r="J52" s="290" t="s">
        <v>7750</v>
      </c>
      <c r="K52" s="290" t="s">
        <v>7917</v>
      </c>
      <c r="L52" s="291" t="s">
        <v>7918</v>
      </c>
      <c r="M52" s="3955"/>
      <c r="N52" s="4060"/>
      <c r="O52" s="4212"/>
      <c r="P52" s="4213"/>
      <c r="Q52" s="287"/>
      <c r="R52" s="287"/>
      <c r="S52" s="49"/>
      <c r="T52" s="242" t="s">
        <v>1106</v>
      </c>
      <c r="U52" s="43" t="s">
        <v>7919</v>
      </c>
      <c r="V52" s="43" t="str">
        <f t="shared" si="4"/>
        <v>.38(9mm)左轮手枪</v>
      </c>
      <c r="X52" s="244"/>
      <c r="Y52" s="244"/>
      <c r="Z52" s="244"/>
      <c r="AA52" s="244"/>
      <c r="AB52" s="244"/>
      <c r="AC52" s="244"/>
      <c r="AD52" s="244"/>
      <c r="AE52" s="244"/>
      <c r="AF52" s="246"/>
      <c r="AG52" s="62"/>
      <c r="AH52" s="62"/>
      <c r="AI52" s="62"/>
      <c r="AJ52" s="62"/>
      <c r="AK52" s="62"/>
    </row>
    <row r="53" spans="2:37" ht="14.25" customHeight="1">
      <c r="B53" s="247" t="str">
        <f t="shared" si="2"/>
        <v>.38(9mm)自动手枪</v>
      </c>
      <c r="C53" s="248" t="s">
        <v>211</v>
      </c>
      <c r="D53" s="249" t="s">
        <v>1106</v>
      </c>
      <c r="E53" s="249" t="s">
        <v>7905</v>
      </c>
      <c r="F53" s="249" t="s">
        <v>7761</v>
      </c>
      <c r="G53" s="249" t="s">
        <v>7896</v>
      </c>
      <c r="H53" s="249" t="s">
        <v>7909</v>
      </c>
      <c r="I53" s="249" t="s">
        <v>7910</v>
      </c>
      <c r="J53" s="249" t="s">
        <v>7750</v>
      </c>
      <c r="K53" s="249" t="s">
        <v>7920</v>
      </c>
      <c r="L53" s="250" t="s">
        <v>7918</v>
      </c>
      <c r="M53" s="3955"/>
      <c r="N53" s="4060"/>
      <c r="O53" s="4212"/>
      <c r="P53" s="4213"/>
      <c r="Q53" s="287"/>
      <c r="R53" s="287"/>
      <c r="S53" s="49"/>
      <c r="T53" s="242" t="s">
        <v>1106</v>
      </c>
      <c r="U53" s="43" t="s">
        <v>7921</v>
      </c>
      <c r="V53" s="43" t="str">
        <f t="shared" si="4"/>
        <v>.38(9mm)自动手枪</v>
      </c>
      <c r="X53" s="244"/>
      <c r="Y53" s="244"/>
      <c r="Z53" s="244"/>
      <c r="AA53" s="244"/>
      <c r="AB53" s="244"/>
      <c r="AC53" s="244"/>
      <c r="AD53" s="244"/>
      <c r="AE53" s="244"/>
      <c r="AF53" s="246"/>
      <c r="AG53" s="62"/>
      <c r="AH53" s="62"/>
      <c r="AI53" s="62"/>
      <c r="AJ53" s="62"/>
      <c r="AK53" s="62"/>
    </row>
    <row r="54" spans="2:37" ht="14.25" customHeight="1">
      <c r="B54" s="288" t="str">
        <f t="shared" si="2"/>
        <v>-贝瑞塔 M9</v>
      </c>
      <c r="C54" s="289" t="s">
        <v>211</v>
      </c>
      <c r="D54" s="290" t="s">
        <v>1106</v>
      </c>
      <c r="E54" s="290" t="s">
        <v>7905</v>
      </c>
      <c r="F54" s="290" t="s">
        <v>7761</v>
      </c>
      <c r="G54" s="290" t="s">
        <v>7896</v>
      </c>
      <c r="H54" s="290" t="s">
        <v>7905</v>
      </c>
      <c r="I54" s="290" t="s">
        <v>7922</v>
      </c>
      <c r="J54" s="290" t="s">
        <v>5312</v>
      </c>
      <c r="K54" s="290" t="s">
        <v>7923</v>
      </c>
      <c r="L54" s="291" t="s">
        <v>7924</v>
      </c>
      <c r="M54" s="3955"/>
      <c r="N54" s="4060" t="s">
        <v>7925</v>
      </c>
      <c r="O54" s="4212"/>
      <c r="P54" s="4213"/>
      <c r="Q54" s="287"/>
      <c r="R54" s="287"/>
      <c r="S54" s="49"/>
      <c r="T54" s="242" t="s">
        <v>1106</v>
      </c>
      <c r="U54" s="43" t="s">
        <v>7926</v>
      </c>
      <c r="V54" s="43" t="str">
        <f t="shared" si="4"/>
        <v>-贝瑞塔 M9</v>
      </c>
      <c r="X54" s="244"/>
      <c r="Y54" s="244"/>
      <c r="Z54" s="244"/>
      <c r="AA54" s="244"/>
      <c r="AB54" s="244"/>
      <c r="AC54" s="244"/>
      <c r="AD54" s="244"/>
      <c r="AE54" s="244"/>
      <c r="AF54" s="246"/>
      <c r="AG54" s="62"/>
      <c r="AH54" s="62"/>
      <c r="AI54" s="62"/>
      <c r="AJ54" s="62"/>
      <c r="AK54" s="62"/>
    </row>
    <row r="55" spans="2:37" ht="14.25" customHeight="1">
      <c r="B55" s="247" t="str">
        <f t="shared" si="2"/>
        <v>-9mm 格洛克 17</v>
      </c>
      <c r="C55" s="248" t="s">
        <v>211</v>
      </c>
      <c r="D55" s="249" t="s">
        <v>1106</v>
      </c>
      <c r="E55" s="249" t="s">
        <v>7905</v>
      </c>
      <c r="F55" s="249" t="s">
        <v>7761</v>
      </c>
      <c r="G55" s="249" t="s">
        <v>7896</v>
      </c>
      <c r="H55" s="249" t="s">
        <v>7927</v>
      </c>
      <c r="I55" s="249" t="s">
        <v>7922</v>
      </c>
      <c r="J55" s="249" t="s">
        <v>5312</v>
      </c>
      <c r="K55" s="249" t="s">
        <v>7923</v>
      </c>
      <c r="L55" s="250" t="s">
        <v>7928</v>
      </c>
      <c r="M55" s="3955"/>
      <c r="N55" s="4060"/>
      <c r="O55" s="4212"/>
      <c r="P55" s="4213"/>
      <c r="Q55" s="287"/>
      <c r="R55" s="287"/>
      <c r="S55" s="49"/>
      <c r="T55" s="242" t="s">
        <v>1106</v>
      </c>
      <c r="U55" s="43" t="s">
        <v>7929</v>
      </c>
      <c r="V55" s="43" t="str">
        <f t="shared" si="4"/>
        <v>-9mm 格洛克 17</v>
      </c>
      <c r="W55" s="66"/>
      <c r="X55" s="244"/>
      <c r="Y55" s="244"/>
      <c r="Z55" s="244"/>
      <c r="AA55" s="244"/>
      <c r="AB55" s="244"/>
      <c r="AC55" s="244"/>
      <c r="AD55" s="244"/>
      <c r="AE55" s="244"/>
      <c r="AF55" s="246"/>
      <c r="AG55" s="62"/>
      <c r="AH55" s="62"/>
      <c r="AI55" s="62"/>
      <c r="AJ55" s="62"/>
      <c r="AK55" s="62"/>
    </row>
    <row r="56" spans="2:37" ht="14.25" customHeight="1">
      <c r="B56" s="288" t="str">
        <f t="shared" si="2"/>
        <v>9mm 鲁格 P08</v>
      </c>
      <c r="C56" s="289" t="s">
        <v>211</v>
      </c>
      <c r="D56" s="290" t="s">
        <v>1106</v>
      </c>
      <c r="E56" s="290" t="s">
        <v>7905</v>
      </c>
      <c r="F56" s="290" t="s">
        <v>7761</v>
      </c>
      <c r="G56" s="290" t="s">
        <v>7896</v>
      </c>
      <c r="H56" s="290" t="s">
        <v>7909</v>
      </c>
      <c r="I56" s="290" t="s">
        <v>7910</v>
      </c>
      <c r="J56" s="290" t="s">
        <v>7750</v>
      </c>
      <c r="K56" s="290" t="s">
        <v>7930</v>
      </c>
      <c r="L56" s="291" t="s">
        <v>7931</v>
      </c>
      <c r="M56" s="3955"/>
      <c r="N56" s="4060"/>
      <c r="O56" s="4212"/>
      <c r="P56" s="4213"/>
      <c r="Q56" s="287"/>
      <c r="R56" s="287"/>
      <c r="S56" s="49"/>
      <c r="T56" s="242" t="s">
        <v>1106</v>
      </c>
      <c r="U56" s="43" t="s">
        <v>7932</v>
      </c>
      <c r="V56" s="43" t="str">
        <f t="shared" si="4"/>
        <v>9mm 鲁格 P08</v>
      </c>
      <c r="W56" s="66"/>
      <c r="X56" s="244"/>
      <c r="Y56" s="244"/>
      <c r="Z56" s="244"/>
      <c r="AA56" s="244"/>
      <c r="AB56" s="244"/>
      <c r="AC56" s="244"/>
      <c r="AD56" s="244"/>
      <c r="AE56" s="244"/>
      <c r="AF56" s="246"/>
      <c r="AG56" s="62"/>
    </row>
    <row r="57" spans="2:37" ht="14.25" customHeight="1">
      <c r="B57" s="247" t="str">
        <f t="shared" si="2"/>
        <v>-*.41(10.4mm) 左轮手枪</v>
      </c>
      <c r="C57" s="248" t="s">
        <v>211</v>
      </c>
      <c r="D57" s="249" t="s">
        <v>1106</v>
      </c>
      <c r="E57" s="249" t="s">
        <v>7905</v>
      </c>
      <c r="F57" s="249" t="s">
        <v>7761</v>
      </c>
      <c r="G57" s="249" t="s">
        <v>7896</v>
      </c>
      <c r="H57" s="249" t="s">
        <v>7909</v>
      </c>
      <c r="I57" s="249" t="s">
        <v>6729</v>
      </c>
      <c r="J57" s="292" t="s">
        <v>7933</v>
      </c>
      <c r="K57" s="249" t="s">
        <v>7934</v>
      </c>
      <c r="L57" s="250" t="s">
        <v>7935</v>
      </c>
      <c r="M57" s="3955"/>
      <c r="N57" s="4060"/>
      <c r="O57" s="4212"/>
      <c r="P57" s="4213"/>
      <c r="Q57" s="287"/>
      <c r="R57" s="287"/>
      <c r="S57" s="49"/>
      <c r="T57" s="242" t="s">
        <v>1106</v>
      </c>
      <c r="U57" s="43" t="s">
        <v>7936</v>
      </c>
      <c r="V57" s="43" t="str">
        <f t="shared" si="4"/>
        <v>*.41(10.4mm) 左轮手枪</v>
      </c>
      <c r="W57" s="66"/>
      <c r="X57" s="244"/>
      <c r="Y57" s="244"/>
      <c r="Z57" s="244"/>
      <c r="AA57" s="244"/>
      <c r="AB57" s="244"/>
      <c r="AC57" s="244"/>
      <c r="AD57" s="244"/>
      <c r="AE57" s="244"/>
      <c r="AF57" s="246"/>
      <c r="AG57" s="62"/>
    </row>
    <row r="58" spans="2:37" ht="14.25" customHeight="1">
      <c r="B58" s="288" t="str">
        <f t="shared" si="2"/>
        <v>-.44(11.2mm) 马格南左轮手枪</v>
      </c>
      <c r="C58" s="289" t="s">
        <v>211</v>
      </c>
      <c r="D58" s="290" t="s">
        <v>7937</v>
      </c>
      <c r="E58" s="290" t="s">
        <v>7905</v>
      </c>
      <c r="F58" s="290" t="s">
        <v>7761</v>
      </c>
      <c r="G58" s="290" t="s">
        <v>7896</v>
      </c>
      <c r="H58" s="290" t="s">
        <v>7897</v>
      </c>
      <c r="I58" s="290" t="s">
        <v>6729</v>
      </c>
      <c r="J58" s="290" t="s">
        <v>5312</v>
      </c>
      <c r="K58" s="290">
        <v>475</v>
      </c>
      <c r="L58" s="291" t="s">
        <v>7938</v>
      </c>
      <c r="M58" s="3955"/>
      <c r="N58" s="4060"/>
      <c r="O58" s="4212"/>
      <c r="P58" s="4213"/>
      <c r="Q58" s="287"/>
      <c r="R58" s="287"/>
      <c r="S58" s="49"/>
      <c r="T58" s="242" t="s">
        <v>7937</v>
      </c>
      <c r="U58" s="43" t="s">
        <v>7939</v>
      </c>
      <c r="V58" s="43" t="str">
        <f t="shared" si="4"/>
        <v>-.44(11.2mm) 马格南左轮手枪</v>
      </c>
      <c r="W58" s="66"/>
      <c r="X58" s="244"/>
      <c r="Y58" s="244"/>
      <c r="Z58" s="244"/>
      <c r="AA58" s="244"/>
      <c r="AB58" s="244"/>
      <c r="AC58" s="244"/>
      <c r="AD58" s="244"/>
      <c r="AE58" s="244"/>
      <c r="AF58" s="246"/>
      <c r="AG58" s="62"/>
    </row>
    <row r="59" spans="2:37" ht="14.25" customHeight="1">
      <c r="B59" s="247" t="str">
        <f t="shared" si="2"/>
        <v>.45(11.43mm) 左轮手枪</v>
      </c>
      <c r="C59" s="248" t="s">
        <v>211</v>
      </c>
      <c r="D59" s="249" t="s">
        <v>7940</v>
      </c>
      <c r="E59" s="249" t="s">
        <v>7905</v>
      </c>
      <c r="F59" s="249" t="s">
        <v>7761</v>
      </c>
      <c r="G59" s="249" t="s">
        <v>7896</v>
      </c>
      <c r="H59" s="249" t="s">
        <v>7897</v>
      </c>
      <c r="I59" s="249" t="s">
        <v>6729</v>
      </c>
      <c r="J59" s="249" t="s">
        <v>7750</v>
      </c>
      <c r="K59" s="249" t="s">
        <v>7890</v>
      </c>
      <c r="L59" s="250" t="s">
        <v>7941</v>
      </c>
      <c r="M59" s="3955"/>
      <c r="N59" s="4060"/>
      <c r="O59" s="4212"/>
      <c r="P59" s="4213"/>
      <c r="Q59" s="287"/>
      <c r="R59" s="287"/>
      <c r="S59" s="49"/>
      <c r="T59" s="242" t="s">
        <v>7940</v>
      </c>
      <c r="U59" s="43" t="s">
        <v>7942</v>
      </c>
      <c r="V59" s="43" t="str">
        <f t="shared" si="4"/>
        <v>.45(11.43mm) 左轮手枪</v>
      </c>
      <c r="W59" s="66"/>
      <c r="X59" s="244"/>
      <c r="Y59" s="244"/>
      <c r="Z59" s="244"/>
      <c r="AA59" s="244"/>
      <c r="AB59" s="244"/>
      <c r="AC59" s="244"/>
      <c r="AD59" s="244"/>
      <c r="AE59" s="244"/>
      <c r="AF59" s="246"/>
      <c r="AG59" s="62"/>
    </row>
    <row r="60" spans="2:37" ht="14.25" customHeight="1">
      <c r="B60" s="288" t="str">
        <f t="shared" si="2"/>
        <v>.45(11.43mm) 自动手枪</v>
      </c>
      <c r="C60" s="289" t="s">
        <v>211</v>
      </c>
      <c r="D60" s="290" t="s">
        <v>7940</v>
      </c>
      <c r="E60" s="290" t="s">
        <v>7905</v>
      </c>
      <c r="F60" s="290" t="s">
        <v>7761</v>
      </c>
      <c r="G60" s="290" t="s">
        <v>7896</v>
      </c>
      <c r="H60" s="290" t="s">
        <v>7943</v>
      </c>
      <c r="I60" s="290" t="s">
        <v>6729</v>
      </c>
      <c r="J60" s="290" t="s">
        <v>7750</v>
      </c>
      <c r="K60" s="290" t="s">
        <v>7944</v>
      </c>
      <c r="L60" s="291" t="s">
        <v>7941</v>
      </c>
      <c r="M60" s="3955"/>
      <c r="N60" s="4060"/>
      <c r="O60" s="4212"/>
      <c r="P60" s="4213"/>
      <c r="Q60" s="287"/>
      <c r="R60" s="287"/>
      <c r="S60" s="49"/>
      <c r="T60" s="242" t="s">
        <v>7940</v>
      </c>
      <c r="U60" s="43" t="s">
        <v>7945</v>
      </c>
      <c r="V60" s="43" t="str">
        <f t="shared" si="4"/>
        <v>.45(11.43mm) 自动手枪</v>
      </c>
      <c r="W60" s="66"/>
      <c r="X60" s="244"/>
      <c r="Y60" s="244"/>
      <c r="Z60" s="244"/>
      <c r="AA60" s="244"/>
      <c r="AB60" s="244"/>
      <c r="AC60" s="244"/>
      <c r="AD60" s="244"/>
      <c r="AE60" s="244"/>
      <c r="AF60" s="246"/>
      <c r="AG60" s="62"/>
    </row>
    <row r="61" spans="2:37" ht="14.25" customHeight="1">
      <c r="B61" s="293" t="str">
        <f t="shared" si="2"/>
        <v>-IMI 沙漠之鹰</v>
      </c>
      <c r="C61" s="294" t="s">
        <v>211</v>
      </c>
      <c r="D61" s="295" t="s">
        <v>7946</v>
      </c>
      <c r="E61" s="295" t="s">
        <v>7905</v>
      </c>
      <c r="F61" s="295" t="s">
        <v>7761</v>
      </c>
      <c r="G61" s="295" t="s">
        <v>7896</v>
      </c>
      <c r="H61" s="295" t="s">
        <v>7943</v>
      </c>
      <c r="I61" s="295" t="s">
        <v>7947</v>
      </c>
      <c r="J61" s="295" t="s">
        <v>5312</v>
      </c>
      <c r="K61" s="295">
        <v>650</v>
      </c>
      <c r="L61" s="296" t="s">
        <v>7948</v>
      </c>
      <c r="M61" s="3956"/>
      <c r="N61" s="4061"/>
      <c r="O61" s="4214"/>
      <c r="P61" s="4215"/>
      <c r="Q61" s="287"/>
      <c r="R61" s="287"/>
      <c r="S61" s="49"/>
      <c r="T61" s="242" t="s">
        <v>7946</v>
      </c>
      <c r="U61" s="43" t="s">
        <v>7949</v>
      </c>
      <c r="V61" s="43" t="str">
        <f t="shared" si="4"/>
        <v>-IMI 沙漠之鹰</v>
      </c>
      <c r="W61" s="66"/>
      <c r="X61" s="244"/>
      <c r="Y61" s="244"/>
      <c r="Z61" s="244"/>
      <c r="AA61" s="244"/>
      <c r="AB61" s="244"/>
      <c r="AC61" s="244"/>
      <c r="AD61" s="244"/>
      <c r="AE61" s="244"/>
      <c r="AF61" s="246"/>
      <c r="AG61" s="62"/>
    </row>
    <row r="62" spans="2:37" ht="14.25" customHeight="1">
      <c r="B62" s="297" t="str">
        <f t="shared" si="2"/>
        <v>*.58 (14.7mm)1855 年式春田步枪</v>
      </c>
      <c r="C62" s="298" t="s">
        <v>3817</v>
      </c>
      <c r="D62" s="299" t="s">
        <v>7950</v>
      </c>
      <c r="E62" s="299" t="s">
        <v>7951</v>
      </c>
      <c r="F62" s="299" t="s">
        <v>7761</v>
      </c>
      <c r="G62" s="299" t="s">
        <v>7889</v>
      </c>
      <c r="H62" s="299" t="s">
        <v>7748</v>
      </c>
      <c r="I62" s="299" t="s">
        <v>7796</v>
      </c>
      <c r="J62" s="299" t="s">
        <v>7867</v>
      </c>
      <c r="K62" s="299" t="s">
        <v>7952</v>
      </c>
      <c r="L62" s="300" t="s">
        <v>7953</v>
      </c>
      <c r="M62" s="3957" t="s">
        <v>7954</v>
      </c>
      <c r="N62" s="4171" t="s">
        <v>7955</v>
      </c>
      <c r="O62" s="4216" t="s">
        <v>7956</v>
      </c>
      <c r="P62" s="4217"/>
      <c r="Q62" s="301"/>
      <c r="R62" s="287"/>
      <c r="S62" s="49"/>
      <c r="T62" s="242" t="s">
        <v>7950</v>
      </c>
      <c r="U62" s="43" t="s">
        <v>7957</v>
      </c>
      <c r="V62" s="43" t="s">
        <v>7957</v>
      </c>
      <c r="W62" s="66"/>
      <c r="X62" s="244"/>
      <c r="Y62" s="244"/>
      <c r="Z62" s="244"/>
      <c r="AA62" s="244"/>
      <c r="AB62" s="244"/>
      <c r="AC62" s="244"/>
      <c r="AD62" s="244"/>
      <c r="AE62" s="244"/>
      <c r="AF62" s="246"/>
      <c r="AG62" s="62"/>
    </row>
    <row r="63" spans="2:37" ht="14.25" customHeight="1">
      <c r="B63" s="247" t="str">
        <f t="shared" si="2"/>
        <v>.22 (5.6mm)栓式枪机步枪</v>
      </c>
      <c r="C63" s="248" t="s">
        <v>3817</v>
      </c>
      <c r="D63" s="249" t="s">
        <v>7887</v>
      </c>
      <c r="E63" s="249" t="s">
        <v>7958</v>
      </c>
      <c r="F63" s="249" t="s">
        <v>7761</v>
      </c>
      <c r="G63" s="249" t="s">
        <v>7748</v>
      </c>
      <c r="H63" s="249" t="s">
        <v>7897</v>
      </c>
      <c r="I63" s="249" t="s">
        <v>7910</v>
      </c>
      <c r="J63" s="249" t="s">
        <v>7750</v>
      </c>
      <c r="K63" s="249" t="s">
        <v>7959</v>
      </c>
      <c r="L63" s="250" t="s">
        <v>7899</v>
      </c>
      <c r="M63" s="3958"/>
      <c r="N63" s="4172"/>
      <c r="O63" s="4218"/>
      <c r="P63" s="4219"/>
      <c r="Q63" s="301"/>
      <c r="R63" s="287"/>
      <c r="S63" s="49"/>
      <c r="T63" s="242" t="s">
        <v>7887</v>
      </c>
      <c r="U63" s="43" t="s">
        <v>7960</v>
      </c>
      <c r="V63" s="43" t="str">
        <f t="shared" ref="V63:V121" si="5">IF(OR(J63="1920s,现代",$U$1="其他",J63=$U$1,AND(J63="1920s,罕见",$U$1="1920s"),J63="罕见"),U63,"-"&amp;U63)</f>
        <v>.22 (5.6mm)栓式枪机步枪</v>
      </c>
      <c r="W63" s="66"/>
      <c r="X63" s="244"/>
      <c r="Y63" s="244"/>
      <c r="Z63" s="244"/>
      <c r="AA63" s="244"/>
      <c r="AB63" s="244"/>
      <c r="AC63" s="244"/>
      <c r="AD63" s="244"/>
      <c r="AE63" s="244"/>
      <c r="AF63" s="246"/>
      <c r="AG63" s="62"/>
    </row>
    <row r="64" spans="2:37" ht="14.25" customHeight="1">
      <c r="B64" s="252" t="str">
        <f t="shared" si="2"/>
        <v>.30 (7.62mm)杠杆式枪机步枪</v>
      </c>
      <c r="C64" s="302" t="s">
        <v>3817</v>
      </c>
      <c r="D64" s="303" t="s">
        <v>7961</v>
      </c>
      <c r="E64" s="303" t="s">
        <v>6719</v>
      </c>
      <c r="F64" s="303" t="s">
        <v>7761</v>
      </c>
      <c r="G64" s="303" t="s">
        <v>7748</v>
      </c>
      <c r="H64" s="303" t="s">
        <v>7897</v>
      </c>
      <c r="I64" s="303" t="s">
        <v>7922</v>
      </c>
      <c r="J64" s="303" t="s">
        <v>7750</v>
      </c>
      <c r="K64" s="303" t="s">
        <v>7962</v>
      </c>
      <c r="L64" s="304" t="s">
        <v>7963</v>
      </c>
      <c r="M64" s="3958"/>
      <c r="N64" s="4172"/>
      <c r="O64" s="4218"/>
      <c r="P64" s="4219"/>
      <c r="Q64" s="301"/>
      <c r="R64" s="287"/>
      <c r="S64" s="49"/>
      <c r="T64" s="242" t="s">
        <v>7961</v>
      </c>
      <c r="U64" s="43" t="s">
        <v>7964</v>
      </c>
      <c r="V64" s="43" t="str">
        <f t="shared" si="5"/>
        <v>.30 (7.62mm)杠杆式枪机步枪</v>
      </c>
      <c r="W64" s="66"/>
      <c r="X64" s="244"/>
      <c r="Y64" s="244"/>
      <c r="Z64" s="244"/>
      <c r="AA64" s="244"/>
      <c r="AB64" s="244"/>
      <c r="AC64" s="244"/>
      <c r="AD64" s="244"/>
      <c r="AE64" s="244"/>
      <c r="AF64" s="246"/>
      <c r="AG64" s="62"/>
    </row>
    <row r="65" spans="2:34" ht="14.25" customHeight="1">
      <c r="B65" s="247" t="str">
        <f t="shared" si="2"/>
        <v>.45 马提尼·亨利步枪</v>
      </c>
      <c r="C65" s="248" t="s">
        <v>3817</v>
      </c>
      <c r="D65" s="249" t="s">
        <v>7965</v>
      </c>
      <c r="E65" s="249" t="s">
        <v>7966</v>
      </c>
      <c r="F65" s="249" t="s">
        <v>7761</v>
      </c>
      <c r="G65" s="249" t="s">
        <v>7967</v>
      </c>
      <c r="H65" s="249" t="s">
        <v>7748</v>
      </c>
      <c r="I65" s="249" t="s">
        <v>6729</v>
      </c>
      <c r="J65" s="249" t="s">
        <v>46</v>
      </c>
      <c r="K65" s="249" t="s">
        <v>7968</v>
      </c>
      <c r="L65" s="250" t="s">
        <v>7969</v>
      </c>
      <c r="M65" s="3958"/>
      <c r="N65" s="4172"/>
      <c r="O65" s="4218"/>
      <c r="P65" s="4219"/>
      <c r="Q65" s="301"/>
      <c r="R65" s="287"/>
      <c r="S65" s="49"/>
      <c r="T65" s="242" t="s">
        <v>7965</v>
      </c>
      <c r="U65" s="43" t="s">
        <v>7970</v>
      </c>
      <c r="V65" s="43" t="str">
        <f t="shared" si="5"/>
        <v>.45 马提尼·亨利步枪</v>
      </c>
      <c r="W65" s="66"/>
      <c r="X65" s="244"/>
      <c r="Y65" s="244"/>
      <c r="Z65" s="244"/>
      <c r="AA65" s="244"/>
      <c r="AB65" s="244"/>
      <c r="AC65" s="244"/>
      <c r="AD65" s="244"/>
      <c r="AE65" s="244"/>
      <c r="AF65" s="246"/>
      <c r="AG65" s="62"/>
    </row>
    <row r="66" spans="2:34" ht="14.25" customHeight="1">
      <c r="B66" s="305" t="str">
        <f t="shared" si="2"/>
        <v>莫兰上校的气动步枪</v>
      </c>
      <c r="C66" s="306" t="s">
        <v>3817</v>
      </c>
      <c r="D66" s="307" t="s">
        <v>7971</v>
      </c>
      <c r="E66" s="307" t="s">
        <v>7972</v>
      </c>
      <c r="F66" s="307" t="s">
        <v>7761</v>
      </c>
      <c r="G66" s="307" t="s">
        <v>7967</v>
      </c>
      <c r="H66" s="307" t="s">
        <v>7748</v>
      </c>
      <c r="I66" s="307" t="s">
        <v>7973</v>
      </c>
      <c r="J66" s="307" t="s">
        <v>46</v>
      </c>
      <c r="K66" s="307" t="s">
        <v>7974</v>
      </c>
      <c r="L66" s="308" t="s">
        <v>7941</v>
      </c>
      <c r="M66" s="3958"/>
      <c r="N66" s="4172"/>
      <c r="O66" s="4218"/>
      <c r="P66" s="4219"/>
      <c r="Q66" s="301"/>
      <c r="R66" s="287"/>
      <c r="S66" s="49"/>
      <c r="T66" s="242" t="s">
        <v>7971</v>
      </c>
      <c r="U66" s="43" t="s">
        <v>7975</v>
      </c>
      <c r="V66" s="43" t="str">
        <f t="shared" si="5"/>
        <v>莫兰上校的气动步枪</v>
      </c>
      <c r="W66" s="66"/>
      <c r="X66" s="244"/>
      <c r="Y66" s="244"/>
      <c r="Z66" s="244"/>
      <c r="AA66" s="244"/>
      <c r="AB66" s="244"/>
      <c r="AC66" s="244"/>
      <c r="AD66" s="244"/>
      <c r="AE66" s="244"/>
      <c r="AF66" s="246"/>
      <c r="AG66" s="62"/>
    </row>
    <row r="67" spans="2:34" ht="14.25" customHeight="1">
      <c r="B67" s="252" t="str">
        <f t="shared" si="2"/>
        <v>加兰德M1、M2步枪</v>
      </c>
      <c r="C67" s="309" t="s">
        <v>3817</v>
      </c>
      <c r="D67" s="310" t="s">
        <v>7976</v>
      </c>
      <c r="E67" s="310" t="s">
        <v>7977</v>
      </c>
      <c r="F67" s="310" t="s">
        <v>7761</v>
      </c>
      <c r="G67" s="310" t="s">
        <v>7748</v>
      </c>
      <c r="H67" s="310" t="s">
        <v>7909</v>
      </c>
      <c r="I67" s="310" t="s">
        <v>6729</v>
      </c>
      <c r="J67" s="310" t="s">
        <v>7750</v>
      </c>
      <c r="K67" s="310" t="s">
        <v>7978</v>
      </c>
      <c r="L67" s="311" t="s">
        <v>7979</v>
      </c>
      <c r="M67" s="3958"/>
      <c r="N67" s="4172"/>
      <c r="O67" s="4218"/>
      <c r="P67" s="4219"/>
      <c r="Q67" s="301"/>
      <c r="R67" s="287"/>
      <c r="S67" s="49"/>
      <c r="T67" s="242" t="s">
        <v>7976</v>
      </c>
      <c r="U67" s="43" t="s">
        <v>7980</v>
      </c>
      <c r="V67" s="43" t="str">
        <f t="shared" si="5"/>
        <v>加兰德M1、M2步枪</v>
      </c>
      <c r="AF67" s="246"/>
      <c r="AG67" s="62"/>
    </row>
    <row r="68" spans="2:34" ht="14.25" customHeight="1">
      <c r="B68" s="247" t="str">
        <f t="shared" si="2"/>
        <v>-SKS 半自动步枪(56 半)</v>
      </c>
      <c r="C68" s="312" t="s">
        <v>3817</v>
      </c>
      <c r="D68" s="313" t="s">
        <v>7971</v>
      </c>
      <c r="E68" s="313" t="s">
        <v>7981</v>
      </c>
      <c r="F68" s="313" t="s">
        <v>7761</v>
      </c>
      <c r="G68" s="313" t="s">
        <v>7982</v>
      </c>
      <c r="H68" s="313" t="s">
        <v>7888</v>
      </c>
      <c r="I68" s="313" t="s">
        <v>7749</v>
      </c>
      <c r="J68" s="313" t="s">
        <v>5312</v>
      </c>
      <c r="K68" s="313" t="s">
        <v>6738</v>
      </c>
      <c r="L68" s="314" t="s">
        <v>7983</v>
      </c>
      <c r="M68" s="3958"/>
      <c r="N68" s="4172"/>
      <c r="O68" s="4218"/>
      <c r="P68" s="4219"/>
      <c r="Q68" s="301"/>
      <c r="R68" s="287"/>
      <c r="S68" s="49"/>
      <c r="T68" s="242" t="s">
        <v>7971</v>
      </c>
      <c r="U68" s="43" t="s">
        <v>7984</v>
      </c>
      <c r="V68" s="43" t="str">
        <f t="shared" si="5"/>
        <v>-SKS 半自动步枪(56 半)</v>
      </c>
      <c r="W68" s="66"/>
      <c r="X68" s="244"/>
      <c r="Y68" s="244"/>
      <c r="Z68" s="244"/>
      <c r="AA68" s="244"/>
      <c r="AB68" s="244"/>
      <c r="AC68" s="244"/>
      <c r="AD68" s="244"/>
      <c r="AE68" s="244"/>
      <c r="AF68" s="246"/>
      <c r="AG68" s="315"/>
      <c r="AH68" s="315"/>
    </row>
    <row r="69" spans="2:34" ht="14.25" customHeight="1">
      <c r="B69" s="252" t="str">
        <f t="shared" si="2"/>
        <v>.303 (7.7mm) 李·恩菲尔德</v>
      </c>
      <c r="C69" s="309" t="s">
        <v>3817</v>
      </c>
      <c r="D69" s="310" t="s">
        <v>7976</v>
      </c>
      <c r="E69" s="310" t="s">
        <v>7977</v>
      </c>
      <c r="F69" s="310" t="s">
        <v>7761</v>
      </c>
      <c r="G69" s="310" t="s">
        <v>7748</v>
      </c>
      <c r="H69" s="310">
        <v>10</v>
      </c>
      <c r="I69" s="310" t="s">
        <v>6729</v>
      </c>
      <c r="J69" s="310" t="s">
        <v>7750</v>
      </c>
      <c r="K69" s="310" t="s">
        <v>7985</v>
      </c>
      <c r="L69" s="311" t="s">
        <v>7986</v>
      </c>
      <c r="M69" s="3958"/>
      <c r="N69" s="4172"/>
      <c r="O69" s="4218"/>
      <c r="P69" s="4219"/>
      <c r="Q69" s="301"/>
      <c r="R69" s="287"/>
      <c r="S69" s="49"/>
      <c r="T69" s="242" t="s">
        <v>7976</v>
      </c>
      <c r="U69" s="43" t="s">
        <v>7987</v>
      </c>
      <c r="V69" s="43" t="str">
        <f t="shared" si="5"/>
        <v>.303 (7.7mm) 李·恩菲尔德</v>
      </c>
      <c r="W69" s="66"/>
      <c r="X69" s="244"/>
      <c r="Y69" s="244"/>
      <c r="Z69" s="244"/>
      <c r="AA69" s="244"/>
      <c r="AB69" s="244"/>
      <c r="AC69" s="244"/>
      <c r="AD69" s="244"/>
      <c r="AE69" s="244"/>
      <c r="AF69" s="316"/>
      <c r="AG69" s="315"/>
      <c r="AH69" s="315"/>
    </row>
    <row r="70" spans="2:34" ht="14.25" customHeight="1">
      <c r="B70" s="247" t="str">
        <f t="shared" si="2"/>
        <v>.30——06 (7.62mm) 栓式枪机步枪</v>
      </c>
      <c r="C70" s="312" t="s">
        <v>3817</v>
      </c>
      <c r="D70" s="313" t="s">
        <v>7976</v>
      </c>
      <c r="E70" s="313" t="s">
        <v>7977</v>
      </c>
      <c r="F70" s="313" t="s">
        <v>7761</v>
      </c>
      <c r="G70" s="313" t="s">
        <v>7748</v>
      </c>
      <c r="H70" s="313" t="s">
        <v>7988</v>
      </c>
      <c r="I70" s="313" t="s">
        <v>6729</v>
      </c>
      <c r="J70" s="313" t="s">
        <v>7750</v>
      </c>
      <c r="K70" s="313" t="s">
        <v>7989</v>
      </c>
      <c r="L70" s="314" t="s">
        <v>7963</v>
      </c>
      <c r="M70" s="3958"/>
      <c r="N70" s="4172"/>
      <c r="O70" s="4218"/>
      <c r="P70" s="4219"/>
      <c r="Q70" s="301"/>
      <c r="R70" s="287"/>
      <c r="S70" s="49"/>
      <c r="T70" s="242" t="s">
        <v>7976</v>
      </c>
      <c r="U70" s="43" t="s">
        <v>7990</v>
      </c>
      <c r="V70" s="43" t="str">
        <f t="shared" si="5"/>
        <v>.30——06 (7.62mm) 栓式枪机步枪</v>
      </c>
      <c r="W70" s="66"/>
      <c r="X70" s="244"/>
      <c r="Y70" s="244"/>
      <c r="Z70" s="244"/>
      <c r="AA70" s="244"/>
      <c r="AB70" s="244"/>
      <c r="AC70" s="244"/>
      <c r="AD70" s="244"/>
      <c r="AE70" s="244"/>
      <c r="AF70" s="316"/>
      <c r="AG70" s="315"/>
      <c r="AH70" s="315"/>
    </row>
    <row r="71" spans="2:34" ht="14.25" customHeight="1">
      <c r="B71" s="252" t="str">
        <f t="shared" si="2"/>
        <v>-.30——06 (7.62mm) 半自动步枪</v>
      </c>
      <c r="C71" s="309" t="s">
        <v>3817</v>
      </c>
      <c r="D71" s="310" t="s">
        <v>7976</v>
      </c>
      <c r="E71" s="310" t="s">
        <v>7977</v>
      </c>
      <c r="F71" s="310" t="s">
        <v>7761</v>
      </c>
      <c r="G71" s="310" t="s">
        <v>7748</v>
      </c>
      <c r="H71" s="310" t="s">
        <v>7988</v>
      </c>
      <c r="I71" s="310" t="s">
        <v>6729</v>
      </c>
      <c r="J71" s="310" t="s">
        <v>5312</v>
      </c>
      <c r="K71" s="310" t="s">
        <v>7991</v>
      </c>
      <c r="L71" s="311" t="s">
        <v>7992</v>
      </c>
      <c r="M71" s="3958"/>
      <c r="N71" s="4172"/>
      <c r="O71" s="4218"/>
      <c r="P71" s="4219"/>
      <c r="Q71" s="301"/>
      <c r="R71" s="287"/>
      <c r="S71" s="49"/>
      <c r="T71" s="242" t="s">
        <v>7976</v>
      </c>
      <c r="U71" s="43" t="s">
        <v>7993</v>
      </c>
      <c r="V71" s="43" t="str">
        <f t="shared" si="5"/>
        <v>-.30——06 (7.62mm) 半自动步枪</v>
      </c>
      <c r="W71" s="66"/>
      <c r="X71" s="244"/>
      <c r="Y71" s="244"/>
      <c r="Z71" s="244"/>
      <c r="AA71" s="244"/>
      <c r="AB71" s="244"/>
      <c r="AC71" s="244"/>
      <c r="AD71" s="244"/>
      <c r="AE71" s="244"/>
      <c r="AF71" s="316"/>
      <c r="AG71" s="62"/>
      <c r="AH71" s="315"/>
    </row>
    <row r="72" spans="2:34" ht="14.25" customHeight="1">
      <c r="B72" s="247" t="str">
        <f t="shared" si="2"/>
        <v>-.444 (11.28mm) 马林步枪</v>
      </c>
      <c r="C72" s="312" t="s">
        <v>3817</v>
      </c>
      <c r="D72" s="313" t="s">
        <v>7994</v>
      </c>
      <c r="E72" s="313" t="s">
        <v>7977</v>
      </c>
      <c r="F72" s="313" t="s">
        <v>7761</v>
      </c>
      <c r="G72" s="313" t="s">
        <v>7748</v>
      </c>
      <c r="H72" s="313" t="s">
        <v>7988</v>
      </c>
      <c r="I72" s="313" t="s">
        <v>7922</v>
      </c>
      <c r="J72" s="313" t="s">
        <v>5312</v>
      </c>
      <c r="K72" s="313">
        <v>400</v>
      </c>
      <c r="L72" s="314" t="s">
        <v>7844</v>
      </c>
      <c r="M72" s="3958"/>
      <c r="N72" s="4172"/>
      <c r="O72" s="4218"/>
      <c r="P72" s="4219"/>
      <c r="Q72" s="301"/>
      <c r="R72" s="287"/>
      <c r="S72" s="49"/>
      <c r="T72" s="242" t="s">
        <v>7994</v>
      </c>
      <c r="U72" s="43" t="s">
        <v>7995</v>
      </c>
      <c r="V72" s="43" t="str">
        <f t="shared" si="5"/>
        <v>-.444 (11.28mm) 马林步枪</v>
      </c>
      <c r="W72" s="66"/>
      <c r="X72" s="244"/>
      <c r="Y72" s="244"/>
      <c r="Z72" s="244"/>
      <c r="AA72" s="244"/>
      <c r="AB72" s="244"/>
      <c r="AC72" s="244"/>
      <c r="AD72" s="244"/>
      <c r="AE72" s="244"/>
      <c r="AF72" s="316"/>
      <c r="AG72" s="62"/>
      <c r="AH72" s="315"/>
    </row>
    <row r="73" spans="2:34" ht="14.25" customHeight="1">
      <c r="B73" s="252" t="str">
        <f t="shared" si="2"/>
        <v>猎象枪(双管)</v>
      </c>
      <c r="C73" s="309" t="s">
        <v>3817</v>
      </c>
      <c r="D73" s="310" t="s">
        <v>7996</v>
      </c>
      <c r="E73" s="310" t="s">
        <v>6729</v>
      </c>
      <c r="F73" s="310" t="s">
        <v>7761</v>
      </c>
      <c r="G73" s="310" t="s">
        <v>7997</v>
      </c>
      <c r="H73" s="310" t="s">
        <v>7859</v>
      </c>
      <c r="I73" s="310" t="s">
        <v>6729</v>
      </c>
      <c r="J73" s="310" t="s">
        <v>7750</v>
      </c>
      <c r="K73" s="310" t="s">
        <v>7998</v>
      </c>
      <c r="L73" s="311" t="s">
        <v>7999</v>
      </c>
      <c r="M73" s="3959" t="s">
        <v>8000</v>
      </c>
      <c r="N73" s="3902" t="s">
        <v>8001</v>
      </c>
      <c r="O73" s="3900" t="s">
        <v>8002</v>
      </c>
      <c r="P73" s="3902" t="s">
        <v>8003</v>
      </c>
      <c r="Q73" s="301"/>
      <c r="R73" s="287"/>
      <c r="S73" s="49"/>
      <c r="T73" s="242" t="s">
        <v>7996</v>
      </c>
      <c r="U73" s="43" t="s">
        <v>8004</v>
      </c>
      <c r="V73" s="43" t="str">
        <f t="shared" si="5"/>
        <v>猎象枪(双管)</v>
      </c>
      <c r="W73" s="66"/>
      <c r="X73" s="244"/>
      <c r="Y73" s="244"/>
      <c r="Z73" s="244"/>
      <c r="AA73" s="244"/>
      <c r="AB73" s="244"/>
      <c r="AC73" s="244"/>
      <c r="AD73" s="244"/>
      <c r="AE73" s="244"/>
      <c r="AF73" s="316"/>
      <c r="AG73" s="62"/>
      <c r="AH73" s="315"/>
    </row>
    <row r="74" spans="2:34" ht="14.25" customHeight="1">
      <c r="B74" s="252" t="str">
        <f t="shared" si="2"/>
        <v>20 号霰弹枪(双管)</v>
      </c>
      <c r="C74" s="253" t="s">
        <v>3817</v>
      </c>
      <c r="D74" s="303" t="s">
        <v>8005</v>
      </c>
      <c r="E74" s="303" t="s">
        <v>8006</v>
      </c>
      <c r="F74" s="303" t="s">
        <v>239</v>
      </c>
      <c r="G74" s="303" t="s">
        <v>7997</v>
      </c>
      <c r="H74" s="303" t="s">
        <v>7859</v>
      </c>
      <c r="I74" s="303" t="s">
        <v>6729</v>
      </c>
      <c r="J74" s="303" t="s">
        <v>46</v>
      </c>
      <c r="K74" s="303" t="s">
        <v>8007</v>
      </c>
      <c r="L74" s="317" t="s">
        <v>8008</v>
      </c>
      <c r="M74" s="3960"/>
      <c r="N74" s="3903"/>
      <c r="O74" s="3901"/>
      <c r="P74" s="3903"/>
      <c r="Q74" s="301"/>
      <c r="R74" s="287"/>
      <c r="S74" s="49"/>
      <c r="T74" s="242" t="s">
        <v>7961</v>
      </c>
      <c r="U74" s="43" t="s">
        <v>8009</v>
      </c>
      <c r="V74" s="43" t="str">
        <f t="shared" si="5"/>
        <v>20 号霰弹枪(双管)</v>
      </c>
      <c r="W74" s="66"/>
      <c r="X74" s="244"/>
      <c r="Y74" s="244"/>
      <c r="Z74" s="244"/>
      <c r="AA74" s="244"/>
      <c r="AB74" s="244"/>
      <c r="AC74" s="244"/>
      <c r="AD74" s="244"/>
      <c r="AE74" s="244"/>
      <c r="AF74" s="316"/>
      <c r="AG74" s="62"/>
      <c r="AH74" s="315"/>
    </row>
    <row r="75" spans="2:34" ht="14.25" customHeight="1">
      <c r="B75" s="247" t="str">
        <f t="shared" si="2"/>
        <v>16 号霰弹枪(双管)</v>
      </c>
      <c r="C75" s="248" t="s">
        <v>3817</v>
      </c>
      <c r="D75" s="249" t="s">
        <v>8010</v>
      </c>
      <c r="E75" s="249" t="s">
        <v>8006</v>
      </c>
      <c r="F75" s="249" t="s">
        <v>239</v>
      </c>
      <c r="G75" s="249" t="s">
        <v>7997</v>
      </c>
      <c r="H75" s="249" t="s">
        <v>7859</v>
      </c>
      <c r="I75" s="249" t="s">
        <v>6729</v>
      </c>
      <c r="J75" s="249" t="s">
        <v>46</v>
      </c>
      <c r="K75" s="249" t="s">
        <v>8011</v>
      </c>
      <c r="L75" s="318" t="s">
        <v>8008</v>
      </c>
      <c r="M75" s="3960"/>
      <c r="N75" s="3903"/>
      <c r="O75" s="3901"/>
      <c r="P75" s="3903"/>
      <c r="Q75" s="301"/>
      <c r="R75" s="287"/>
      <c r="S75" s="49"/>
      <c r="T75" s="242" t="s">
        <v>8012</v>
      </c>
      <c r="U75" s="43" t="s">
        <v>8013</v>
      </c>
      <c r="V75" s="43" t="str">
        <f t="shared" si="5"/>
        <v>16 号霰弹枪(双管)</v>
      </c>
      <c r="W75" s="66"/>
      <c r="X75" s="244"/>
      <c r="Y75" s="244"/>
      <c r="Z75" s="244"/>
      <c r="AA75" s="244"/>
      <c r="AB75" s="244"/>
      <c r="AC75" s="244"/>
      <c r="AD75" s="244"/>
      <c r="AE75" s="244"/>
      <c r="AF75" s="316"/>
      <c r="AG75" s="62"/>
    </row>
    <row r="76" spans="2:34" ht="14.25" customHeight="1">
      <c r="B76" s="252" t="str">
        <f t="shared" si="2"/>
        <v>12 号霰弹枪(双管)</v>
      </c>
      <c r="C76" s="302" t="s">
        <v>3817</v>
      </c>
      <c r="D76" s="303" t="s">
        <v>8014</v>
      </c>
      <c r="E76" s="303" t="s">
        <v>8006</v>
      </c>
      <c r="F76" s="303" t="s">
        <v>239</v>
      </c>
      <c r="G76" s="303" t="s">
        <v>7997</v>
      </c>
      <c r="H76" s="303" t="s">
        <v>7859</v>
      </c>
      <c r="I76" s="303" t="s">
        <v>6729</v>
      </c>
      <c r="J76" s="303" t="s">
        <v>7750</v>
      </c>
      <c r="K76" s="303" t="s">
        <v>8015</v>
      </c>
      <c r="L76" s="317" t="s">
        <v>8008</v>
      </c>
      <c r="M76" s="3960"/>
      <c r="N76" s="3903"/>
      <c r="O76" s="3901"/>
      <c r="P76" s="3903"/>
      <c r="Q76" s="301"/>
      <c r="R76" s="287"/>
      <c r="S76" s="49"/>
      <c r="T76" s="242" t="s">
        <v>8016</v>
      </c>
      <c r="U76" s="43" t="s">
        <v>8017</v>
      </c>
      <c r="V76" s="43" t="str">
        <f t="shared" si="5"/>
        <v>12 号霰弹枪(双管)</v>
      </c>
      <c r="W76" s="66"/>
      <c r="X76" s="244"/>
      <c r="Y76" s="244"/>
      <c r="Z76" s="244"/>
      <c r="AA76" s="244"/>
      <c r="AB76" s="244"/>
      <c r="AC76" s="244"/>
      <c r="AD76" s="244"/>
      <c r="AE76" s="244"/>
      <c r="AF76" s="316"/>
      <c r="AG76" s="62"/>
    </row>
    <row r="77" spans="2:34" ht="14.25" customHeight="1">
      <c r="B77" s="247" t="str">
        <f t="shared" si="2"/>
        <v>12 号霰弹枪(泵动)</v>
      </c>
      <c r="C77" s="248" t="s">
        <v>3817</v>
      </c>
      <c r="D77" s="249" t="s">
        <v>8014</v>
      </c>
      <c r="E77" s="249" t="s">
        <v>8006</v>
      </c>
      <c r="F77" s="249" t="s">
        <v>239</v>
      </c>
      <c r="G77" s="249" t="s">
        <v>7748</v>
      </c>
      <c r="H77" s="249" t="s">
        <v>7988</v>
      </c>
      <c r="I77" s="249" t="s">
        <v>6729</v>
      </c>
      <c r="J77" s="249" t="s">
        <v>7750</v>
      </c>
      <c r="K77" s="249" t="s">
        <v>8018</v>
      </c>
      <c r="L77" s="318" t="s">
        <v>8019</v>
      </c>
      <c r="M77" s="3960"/>
      <c r="N77" s="3903"/>
      <c r="O77" s="3901"/>
      <c r="P77" s="3903"/>
      <c r="Q77" s="301"/>
      <c r="R77" s="287"/>
      <c r="S77" s="49"/>
      <c r="T77" s="242" t="s">
        <v>8016</v>
      </c>
      <c r="U77" s="43" t="s">
        <v>8020</v>
      </c>
      <c r="V77" s="43" t="str">
        <f t="shared" si="5"/>
        <v>12 号霰弹枪(泵动)</v>
      </c>
      <c r="AF77" s="316"/>
      <c r="AG77" s="62"/>
    </row>
    <row r="78" spans="2:34" ht="14.25" customHeight="1">
      <c r="B78" s="252" t="str">
        <f t="shared" si="2"/>
        <v>-12 号霰弹枪(半自动)</v>
      </c>
      <c r="C78" s="302" t="s">
        <v>3817</v>
      </c>
      <c r="D78" s="303" t="s">
        <v>8014</v>
      </c>
      <c r="E78" s="303" t="s">
        <v>8006</v>
      </c>
      <c r="F78" s="303" t="s">
        <v>239</v>
      </c>
      <c r="G78" s="303" t="s">
        <v>7982</v>
      </c>
      <c r="H78" s="303" t="s">
        <v>7988</v>
      </c>
      <c r="I78" s="303" t="s">
        <v>6729</v>
      </c>
      <c r="J78" s="303" t="s">
        <v>5312</v>
      </c>
      <c r="K78" s="303" t="s">
        <v>8018</v>
      </c>
      <c r="L78" s="317" t="s">
        <v>7931</v>
      </c>
      <c r="M78" s="3960"/>
      <c r="N78" s="3903"/>
      <c r="O78" s="3901"/>
      <c r="P78" s="3903"/>
      <c r="Q78" s="301"/>
      <c r="R78" s="287"/>
      <c r="S78" s="49"/>
      <c r="T78" s="242" t="s">
        <v>8016</v>
      </c>
      <c r="U78" s="43" t="s">
        <v>8021</v>
      </c>
      <c r="V78" s="43" t="str">
        <f t="shared" si="5"/>
        <v>-12 号霰弹枪(半自动)</v>
      </c>
      <c r="W78" s="66"/>
      <c r="X78" s="244"/>
      <c r="Y78" s="244"/>
      <c r="Z78" s="244"/>
      <c r="AA78" s="244"/>
      <c r="AB78" s="244"/>
      <c r="AC78" s="244"/>
      <c r="AD78" s="244"/>
      <c r="AE78" s="244"/>
      <c r="AF78" s="316"/>
      <c r="AG78" s="62"/>
    </row>
    <row r="79" spans="2:34" ht="14.25" customHeight="1">
      <c r="B79" s="247" t="str">
        <f t="shared" si="2"/>
        <v>12 号霰弹枪(双管,锯短)</v>
      </c>
      <c r="C79" s="248" t="s">
        <v>3817</v>
      </c>
      <c r="D79" s="249" t="s">
        <v>8022</v>
      </c>
      <c r="E79" s="249" t="s">
        <v>8023</v>
      </c>
      <c r="F79" s="249" t="s">
        <v>239</v>
      </c>
      <c r="G79" s="249" t="s">
        <v>7997</v>
      </c>
      <c r="H79" s="249" t="s">
        <v>7859</v>
      </c>
      <c r="I79" s="249" t="s">
        <v>6729</v>
      </c>
      <c r="J79" s="249" t="s">
        <v>46</v>
      </c>
      <c r="K79" s="249" t="s">
        <v>8024</v>
      </c>
      <c r="L79" s="318" t="s">
        <v>8025</v>
      </c>
      <c r="M79" s="3960"/>
      <c r="N79" s="3903"/>
      <c r="O79" s="3901"/>
      <c r="P79" s="3903"/>
      <c r="Q79" s="301"/>
      <c r="R79" s="287"/>
      <c r="S79" s="49"/>
      <c r="T79" s="242" t="s">
        <v>8016</v>
      </c>
      <c r="U79" s="43" t="s">
        <v>8026</v>
      </c>
      <c r="V79" s="43" t="str">
        <f t="shared" si="5"/>
        <v>12 号霰弹枪(双管,锯短)</v>
      </c>
      <c r="AF79" s="319"/>
      <c r="AG79" s="62"/>
    </row>
    <row r="80" spans="2:34" ht="14.25" customHeight="1">
      <c r="B80" s="252" t="str">
        <f t="shared" si="2"/>
        <v>-*10 号霰弹枪(双管)</v>
      </c>
      <c r="C80" s="302" t="s">
        <v>3817</v>
      </c>
      <c r="D80" s="303" t="s">
        <v>8027</v>
      </c>
      <c r="E80" s="303" t="s">
        <v>8006</v>
      </c>
      <c r="F80" s="303" t="s">
        <v>239</v>
      </c>
      <c r="G80" s="303" t="s">
        <v>7997</v>
      </c>
      <c r="H80" s="303" t="s">
        <v>7859</v>
      </c>
      <c r="I80" s="303" t="s">
        <v>6729</v>
      </c>
      <c r="J80" s="303" t="s">
        <v>7933</v>
      </c>
      <c r="K80" s="303" t="s">
        <v>8028</v>
      </c>
      <c r="L80" s="317" t="s">
        <v>8025</v>
      </c>
      <c r="M80" s="3960"/>
      <c r="N80" s="3903"/>
      <c r="O80" s="3901"/>
      <c r="P80" s="3903"/>
      <c r="Q80" s="301"/>
      <c r="R80" s="287"/>
      <c r="S80" s="49"/>
      <c r="T80" s="242" t="s">
        <v>8029</v>
      </c>
      <c r="U80" s="43" t="s">
        <v>8030</v>
      </c>
      <c r="V80" s="43" t="str">
        <f t="shared" si="5"/>
        <v>*10 号霰弹枪(双管)</v>
      </c>
      <c r="AF80" s="319"/>
      <c r="AG80" s="62"/>
    </row>
    <row r="81" spans="2:37" ht="14.25" customHeight="1">
      <c r="B81" s="247" t="str">
        <f t="shared" si="2"/>
        <v>-12 号贝里尼 M3(折叠式枪托)</v>
      </c>
      <c r="C81" s="248" t="s">
        <v>3817</v>
      </c>
      <c r="D81" s="249" t="s">
        <v>8014</v>
      </c>
      <c r="E81" s="249" t="s">
        <v>8006</v>
      </c>
      <c r="F81" s="249" t="s">
        <v>239</v>
      </c>
      <c r="G81" s="249" t="s">
        <v>7982</v>
      </c>
      <c r="H81" s="249" t="s">
        <v>7943</v>
      </c>
      <c r="I81" s="249" t="s">
        <v>6729</v>
      </c>
      <c r="J81" s="249" t="s">
        <v>5312</v>
      </c>
      <c r="K81" s="249" t="s">
        <v>8031</v>
      </c>
      <c r="L81" s="318" t="s">
        <v>8032</v>
      </c>
      <c r="M81" s="3960"/>
      <c r="N81" s="3903"/>
      <c r="O81" s="3901"/>
      <c r="P81" s="3903"/>
      <c r="Q81" s="301"/>
      <c r="R81" s="287"/>
      <c r="S81" s="49"/>
      <c r="T81" s="242" t="s">
        <v>8016</v>
      </c>
      <c r="U81" s="43" t="s">
        <v>8033</v>
      </c>
      <c r="V81" s="43" t="str">
        <f t="shared" si="5"/>
        <v>-12 号贝里尼 M3(折叠式枪托)</v>
      </c>
      <c r="AF81" s="319"/>
      <c r="AG81" s="62"/>
      <c r="AH81" s="62"/>
      <c r="AI81" s="62"/>
      <c r="AJ81" s="62"/>
      <c r="AK81" s="62"/>
    </row>
    <row r="82" spans="2:37" ht="14.25" customHeight="1">
      <c r="B82" s="320" t="str">
        <f t="shared" si="2"/>
        <v>-12 号 SPAS (折叠式枪托)</v>
      </c>
      <c r="C82" s="321" t="s">
        <v>3817</v>
      </c>
      <c r="D82" s="322" t="s">
        <v>8014</v>
      </c>
      <c r="E82" s="322" t="s">
        <v>8006</v>
      </c>
      <c r="F82" s="322" t="s">
        <v>239</v>
      </c>
      <c r="G82" s="322" t="s">
        <v>7748</v>
      </c>
      <c r="H82" s="322" t="s">
        <v>7909</v>
      </c>
      <c r="I82" s="322" t="s">
        <v>7922</v>
      </c>
      <c r="J82" s="322" t="s">
        <v>5312</v>
      </c>
      <c r="K82" s="322" t="s">
        <v>8034</v>
      </c>
      <c r="L82" s="323" t="s">
        <v>8035</v>
      </c>
      <c r="M82" s="3961"/>
      <c r="N82" s="4173"/>
      <c r="O82" s="3901"/>
      <c r="P82" s="3903"/>
      <c r="Q82" s="301"/>
      <c r="R82" s="287"/>
      <c r="S82" s="49"/>
      <c r="T82" s="242" t="s">
        <v>8016</v>
      </c>
      <c r="U82" s="43" t="s">
        <v>8036</v>
      </c>
      <c r="V82" s="43" t="str">
        <f t="shared" si="5"/>
        <v>-12 号 SPAS (折叠式枪托)</v>
      </c>
      <c r="AF82" s="319"/>
      <c r="AG82" s="62"/>
      <c r="AH82" s="62"/>
      <c r="AI82" s="62"/>
      <c r="AJ82" s="62"/>
      <c r="AK82" s="62"/>
    </row>
    <row r="83" spans="2:37" ht="14.25" customHeight="1">
      <c r="B83" s="324" t="str">
        <f t="shared" si="2"/>
        <v>-AK-47 或 AKM</v>
      </c>
      <c r="C83" s="325" t="s">
        <v>3817</v>
      </c>
      <c r="D83" s="326" t="s">
        <v>7971</v>
      </c>
      <c r="E83" s="326" t="s">
        <v>6729</v>
      </c>
      <c r="F83" s="326" t="s">
        <v>7761</v>
      </c>
      <c r="G83" s="326" t="s">
        <v>8037</v>
      </c>
      <c r="H83" s="326" t="s">
        <v>7958</v>
      </c>
      <c r="I83" s="326" t="s">
        <v>6729</v>
      </c>
      <c r="J83" s="326" t="s">
        <v>5312</v>
      </c>
      <c r="K83" s="326" t="s">
        <v>7877</v>
      </c>
      <c r="L83" s="327" t="s">
        <v>8038</v>
      </c>
      <c r="M83" s="3962" t="s">
        <v>8039</v>
      </c>
      <c r="N83" s="4174" t="s">
        <v>8040</v>
      </c>
      <c r="O83" s="4157" t="s">
        <v>8041</v>
      </c>
      <c r="P83" s="4158"/>
      <c r="Q83" s="3937" t="s">
        <v>8042</v>
      </c>
      <c r="R83" s="3938"/>
      <c r="S83" s="49"/>
      <c r="T83" s="242" t="s">
        <v>7971</v>
      </c>
      <c r="U83" s="43" t="s">
        <v>8043</v>
      </c>
      <c r="V83" s="43" t="str">
        <f t="shared" si="5"/>
        <v>-AK-47 或 AKM</v>
      </c>
      <c r="AF83" s="319"/>
      <c r="AH83" s="62"/>
      <c r="AI83" s="62"/>
      <c r="AJ83" s="62"/>
      <c r="AK83" s="62"/>
    </row>
    <row r="84" spans="2:37" ht="14.25" customHeight="1">
      <c r="B84" s="328" t="str">
        <f t="shared" si="2"/>
        <v>-AK-74</v>
      </c>
      <c r="C84" s="312" t="s">
        <v>3817</v>
      </c>
      <c r="D84" s="313" t="s">
        <v>7971</v>
      </c>
      <c r="E84" s="313" t="s">
        <v>7977</v>
      </c>
      <c r="F84" s="313" t="s">
        <v>7761</v>
      </c>
      <c r="G84" s="313" t="s">
        <v>8037</v>
      </c>
      <c r="H84" s="313" t="s">
        <v>7958</v>
      </c>
      <c r="I84" s="313" t="s">
        <v>7749</v>
      </c>
      <c r="J84" s="313" t="s">
        <v>5312</v>
      </c>
      <c r="K84" s="313" t="s">
        <v>8044</v>
      </c>
      <c r="L84" s="314" t="s">
        <v>7883</v>
      </c>
      <c r="M84" s="3963"/>
      <c r="N84" s="3941"/>
      <c r="O84" s="3944" t="s">
        <v>8045</v>
      </c>
      <c r="P84" s="3945"/>
      <c r="Q84" s="3939"/>
      <c r="R84" s="3940"/>
      <c r="S84" s="49"/>
      <c r="T84" s="242" t="s">
        <v>7961</v>
      </c>
      <c r="U84" s="43" t="s">
        <v>8046</v>
      </c>
      <c r="V84" s="43" t="str">
        <f t="shared" si="5"/>
        <v>-AK-74</v>
      </c>
      <c r="AF84" s="319"/>
    </row>
    <row r="85" spans="2:37" ht="14.25" customHeight="1">
      <c r="B85" s="329" t="str">
        <f t="shared" si="2"/>
        <v>-巴雷特M82</v>
      </c>
      <c r="C85" s="330" t="s">
        <v>3817</v>
      </c>
      <c r="D85" s="331" t="s">
        <v>8047</v>
      </c>
      <c r="E85" s="331" t="s">
        <v>8048</v>
      </c>
      <c r="F85" s="331" t="s">
        <v>7761</v>
      </c>
      <c r="G85" s="331" t="s">
        <v>7748</v>
      </c>
      <c r="H85" s="331" t="s">
        <v>8049</v>
      </c>
      <c r="I85" s="331" t="s">
        <v>8050</v>
      </c>
      <c r="J85" s="331" t="s">
        <v>5312</v>
      </c>
      <c r="K85" s="331" t="s">
        <v>8051</v>
      </c>
      <c r="L85" s="332" t="s">
        <v>8052</v>
      </c>
      <c r="M85" s="3963"/>
      <c r="N85" s="3941"/>
      <c r="O85" s="3944"/>
      <c r="P85" s="3945"/>
      <c r="Q85" s="3939"/>
      <c r="R85" s="3940"/>
      <c r="S85" s="49"/>
      <c r="T85" s="242" t="s">
        <v>8047</v>
      </c>
      <c r="U85" s="43" t="s">
        <v>8053</v>
      </c>
      <c r="V85" s="43" t="str">
        <f t="shared" si="5"/>
        <v>-巴雷特M82</v>
      </c>
      <c r="AF85" s="319"/>
    </row>
    <row r="86" spans="2:37" ht="14.25" customHeight="1">
      <c r="B86" s="328" t="str">
        <f t="shared" si="2"/>
        <v>-FN FAL</v>
      </c>
      <c r="C86" s="312" t="s">
        <v>3817</v>
      </c>
      <c r="D86" s="313" t="s">
        <v>7976</v>
      </c>
      <c r="E86" s="313" t="s">
        <v>7977</v>
      </c>
      <c r="F86" s="313" t="s">
        <v>7761</v>
      </c>
      <c r="G86" s="313" t="s">
        <v>8054</v>
      </c>
      <c r="H86" s="313" t="s">
        <v>7972</v>
      </c>
      <c r="I86" s="313" t="s">
        <v>7749</v>
      </c>
      <c r="J86" s="313" t="s">
        <v>5312</v>
      </c>
      <c r="K86" s="313" t="s">
        <v>8055</v>
      </c>
      <c r="L86" s="314" t="s">
        <v>8056</v>
      </c>
      <c r="M86" s="3963"/>
      <c r="N86" s="3941"/>
      <c r="O86" s="3944"/>
      <c r="P86" s="3945"/>
      <c r="Q86" s="3939"/>
      <c r="R86" s="3940"/>
      <c r="S86" s="49"/>
      <c r="T86" s="242" t="s">
        <v>7976</v>
      </c>
      <c r="U86" s="43" t="s">
        <v>8057</v>
      </c>
      <c r="V86" s="43" t="str">
        <f t="shared" si="5"/>
        <v>-FN FAL</v>
      </c>
      <c r="AF86" s="319"/>
    </row>
    <row r="87" spans="2:37" ht="14.25" customHeight="1">
      <c r="B87" s="329" t="str">
        <f t="shared" si="2"/>
        <v>-加利尔突击步枪</v>
      </c>
      <c r="C87" s="330" t="s">
        <v>3817</v>
      </c>
      <c r="D87" s="331" t="s">
        <v>7961</v>
      </c>
      <c r="E87" s="331" t="s">
        <v>7977</v>
      </c>
      <c r="F87" s="331" t="s">
        <v>7761</v>
      </c>
      <c r="G87" s="331" t="s">
        <v>8058</v>
      </c>
      <c r="H87" s="331" t="s">
        <v>7972</v>
      </c>
      <c r="I87" s="331" t="s">
        <v>7922</v>
      </c>
      <c r="J87" s="331" t="s">
        <v>5312</v>
      </c>
      <c r="K87" s="331" t="s">
        <v>8059</v>
      </c>
      <c r="L87" s="332" t="s">
        <v>8060</v>
      </c>
      <c r="M87" s="3963"/>
      <c r="N87" s="3941"/>
      <c r="O87" s="3944"/>
      <c r="P87" s="3945"/>
      <c r="Q87" s="3939"/>
      <c r="R87" s="3940"/>
      <c r="S87" s="49"/>
      <c r="T87" s="242" t="s">
        <v>7961</v>
      </c>
      <c r="U87" s="43" t="s">
        <v>8061</v>
      </c>
      <c r="V87" s="43" t="str">
        <f t="shared" si="5"/>
        <v>-加利尔突击步枪</v>
      </c>
      <c r="AF87" s="319"/>
      <c r="AG87" s="62"/>
    </row>
    <row r="88" spans="2:37" ht="14.25" customHeight="1">
      <c r="B88" s="328" t="str">
        <f t="shared" si="2"/>
        <v>-M16A2</v>
      </c>
      <c r="C88" s="312" t="s">
        <v>3817</v>
      </c>
      <c r="D88" s="313" t="s">
        <v>7961</v>
      </c>
      <c r="E88" s="313" t="s">
        <v>7977</v>
      </c>
      <c r="F88" s="313" t="s">
        <v>7761</v>
      </c>
      <c r="G88" s="313" t="s">
        <v>8054</v>
      </c>
      <c r="H88" s="313" t="s">
        <v>7958</v>
      </c>
      <c r="I88" s="313" t="s">
        <v>7749</v>
      </c>
      <c r="J88" s="313" t="s">
        <v>5312</v>
      </c>
      <c r="K88" s="313" t="s">
        <v>8024</v>
      </c>
      <c r="L88" s="314" t="s">
        <v>8062</v>
      </c>
      <c r="M88" s="3963"/>
      <c r="N88" s="3941"/>
      <c r="O88" s="3944"/>
      <c r="P88" s="3945"/>
      <c r="Q88" s="3939"/>
      <c r="R88" s="3940"/>
      <c r="S88" s="49"/>
      <c r="T88" s="242" t="s">
        <v>7961</v>
      </c>
      <c r="U88" s="43" t="s">
        <v>8063</v>
      </c>
      <c r="V88" s="43" t="str">
        <f t="shared" si="5"/>
        <v>-M16A2</v>
      </c>
      <c r="AF88" s="319"/>
      <c r="AG88" s="62"/>
    </row>
    <row r="89" spans="2:37" ht="14.25" customHeight="1">
      <c r="B89" s="329" t="str">
        <f t="shared" si="2"/>
        <v>-M4</v>
      </c>
      <c r="C89" s="330" t="s">
        <v>3817</v>
      </c>
      <c r="D89" s="331" t="s">
        <v>7961</v>
      </c>
      <c r="E89" s="331" t="s">
        <v>7981</v>
      </c>
      <c r="F89" s="331" t="s">
        <v>7761</v>
      </c>
      <c r="G89" s="331" t="s">
        <v>8064</v>
      </c>
      <c r="H89" s="331" t="s">
        <v>7958</v>
      </c>
      <c r="I89" s="331" t="s">
        <v>7749</v>
      </c>
      <c r="J89" s="331" t="s">
        <v>5312</v>
      </c>
      <c r="K89" s="331" t="s">
        <v>8024</v>
      </c>
      <c r="L89" s="332" t="s">
        <v>8065</v>
      </c>
      <c r="M89" s="3963"/>
      <c r="N89" s="3941"/>
      <c r="O89" s="3944"/>
      <c r="P89" s="3945"/>
      <c r="Q89" s="3939"/>
      <c r="R89" s="3940"/>
      <c r="S89" s="49"/>
      <c r="T89" s="242" t="s">
        <v>7961</v>
      </c>
      <c r="U89" s="43" t="s">
        <v>8066</v>
      </c>
      <c r="V89" s="43" t="str">
        <f t="shared" si="5"/>
        <v>-M4</v>
      </c>
      <c r="AF89" s="319"/>
      <c r="AG89" s="62"/>
    </row>
    <row r="90" spans="2:37" ht="14.25" customHeight="1">
      <c r="B90" s="328" t="str">
        <f t="shared" si="2"/>
        <v>-斯泰尔 AUG</v>
      </c>
      <c r="C90" s="312" t="s">
        <v>3817</v>
      </c>
      <c r="D90" s="313" t="s">
        <v>7961</v>
      </c>
      <c r="E90" s="313" t="s">
        <v>7977</v>
      </c>
      <c r="F90" s="313" t="s">
        <v>7761</v>
      </c>
      <c r="G90" s="313" t="s">
        <v>8037</v>
      </c>
      <c r="H90" s="313" t="s">
        <v>7958</v>
      </c>
      <c r="I90" s="313" t="s">
        <v>7910</v>
      </c>
      <c r="J90" s="313" t="s">
        <v>5312</v>
      </c>
      <c r="K90" s="313" t="s">
        <v>8067</v>
      </c>
      <c r="L90" s="314" t="s">
        <v>8068</v>
      </c>
      <c r="M90" s="3963"/>
      <c r="N90" s="3941"/>
      <c r="O90" s="3944"/>
      <c r="P90" s="3945"/>
      <c r="Q90" s="3939"/>
      <c r="R90" s="3940"/>
      <c r="S90" s="49"/>
      <c r="T90" s="242" t="s">
        <v>7961</v>
      </c>
      <c r="U90" s="43" t="s">
        <v>8069</v>
      </c>
      <c r="V90" s="43" t="str">
        <f t="shared" si="5"/>
        <v>-斯泰尔 AUG</v>
      </c>
      <c r="AF90" s="319"/>
      <c r="AG90" s="62"/>
    </row>
    <row r="91" spans="2:37" ht="14.25" customHeight="1">
      <c r="B91" s="329" t="str">
        <f t="shared" si="2"/>
        <v>-贝雷塔 M70/90</v>
      </c>
      <c r="C91" s="330" t="s">
        <v>3817</v>
      </c>
      <c r="D91" s="331" t="s">
        <v>7961</v>
      </c>
      <c r="E91" s="331" t="s">
        <v>7977</v>
      </c>
      <c r="F91" s="331" t="s">
        <v>7761</v>
      </c>
      <c r="G91" s="331" t="s">
        <v>8070</v>
      </c>
      <c r="H91" s="331" t="s">
        <v>7958</v>
      </c>
      <c r="I91" s="331" t="s">
        <v>7910</v>
      </c>
      <c r="J91" s="331" t="s">
        <v>5312</v>
      </c>
      <c r="K91" s="331" t="s">
        <v>8071</v>
      </c>
      <c r="L91" s="332" t="s">
        <v>8072</v>
      </c>
      <c r="M91" s="3964"/>
      <c r="N91" s="3941"/>
      <c r="O91" s="3944"/>
      <c r="P91" s="3945"/>
      <c r="Q91" s="3939"/>
      <c r="R91" s="3940"/>
      <c r="S91" s="49"/>
      <c r="T91" s="242" t="s">
        <v>7961</v>
      </c>
      <c r="U91" s="43" t="s">
        <v>8073</v>
      </c>
      <c r="V91" s="43" t="str">
        <f t="shared" si="5"/>
        <v>-贝雷塔 M70/90</v>
      </c>
      <c r="W91" s="66"/>
      <c r="X91" s="244"/>
      <c r="Y91" s="244"/>
      <c r="Z91" s="244"/>
      <c r="AA91" s="333"/>
      <c r="AB91" s="244"/>
      <c r="AC91" s="244"/>
      <c r="AD91" s="244"/>
      <c r="AE91" s="244"/>
      <c r="AF91" s="319"/>
      <c r="AG91" s="62"/>
      <c r="AH91" s="62"/>
      <c r="AI91" s="62"/>
      <c r="AJ91" s="62"/>
      <c r="AK91" s="62"/>
    </row>
    <row r="92" spans="2:37" ht="14.25" customHeight="1">
      <c r="B92" s="328" t="str">
        <f t="shared" si="2"/>
        <v>MP18I/MP28II</v>
      </c>
      <c r="C92" s="312" t="s">
        <v>3848</v>
      </c>
      <c r="D92" s="313" t="s">
        <v>1106</v>
      </c>
      <c r="E92" s="313" t="s">
        <v>7972</v>
      </c>
      <c r="F92" s="313" t="s">
        <v>7761</v>
      </c>
      <c r="G92" s="313" t="s">
        <v>8037</v>
      </c>
      <c r="H92" s="313" t="s">
        <v>8074</v>
      </c>
      <c r="I92" s="313" t="s">
        <v>8050</v>
      </c>
      <c r="J92" s="313" t="s">
        <v>46</v>
      </c>
      <c r="K92" s="313" t="s">
        <v>8075</v>
      </c>
      <c r="L92" s="314" t="s">
        <v>8076</v>
      </c>
      <c r="M92" s="3965" t="s">
        <v>8077</v>
      </c>
      <c r="N92" s="3941"/>
      <c r="O92" s="3944"/>
      <c r="P92" s="3945"/>
      <c r="Q92" s="3939"/>
      <c r="R92" s="3940"/>
      <c r="S92" s="49"/>
      <c r="T92" s="242" t="s">
        <v>1106</v>
      </c>
      <c r="U92" s="43" t="s">
        <v>8078</v>
      </c>
      <c r="V92" s="43" t="str">
        <f t="shared" si="5"/>
        <v>MP18I/MP28II</v>
      </c>
      <c r="W92" s="66"/>
      <c r="X92" s="244"/>
      <c r="Y92" s="244"/>
      <c r="Z92" s="244"/>
      <c r="AA92" s="333"/>
      <c r="AB92" s="244"/>
      <c r="AC92" s="244"/>
      <c r="AD92" s="244"/>
      <c r="AE92" s="244"/>
      <c r="AF92" s="319"/>
      <c r="AG92" s="62"/>
      <c r="AH92" s="62"/>
      <c r="AI92" s="62"/>
      <c r="AJ92" s="62"/>
      <c r="AK92" s="62"/>
    </row>
    <row r="93" spans="2:37" ht="14.25" customHeight="1">
      <c r="B93" s="329" t="str">
        <f t="shared" si="2"/>
        <v>-MP5</v>
      </c>
      <c r="C93" s="330" t="s">
        <v>3848</v>
      </c>
      <c r="D93" s="331" t="s">
        <v>1106</v>
      </c>
      <c r="E93" s="331" t="s">
        <v>7972</v>
      </c>
      <c r="F93" s="331" t="s">
        <v>7761</v>
      </c>
      <c r="G93" s="331" t="s">
        <v>8037</v>
      </c>
      <c r="H93" s="331" t="s">
        <v>8079</v>
      </c>
      <c r="I93" s="331" t="s">
        <v>7749</v>
      </c>
      <c r="J93" s="331" t="s">
        <v>5312</v>
      </c>
      <c r="K93" s="331" t="s">
        <v>8024</v>
      </c>
      <c r="L93" s="332" t="s">
        <v>8080</v>
      </c>
      <c r="M93" s="3965"/>
      <c r="N93" s="3941"/>
      <c r="O93" s="3944"/>
      <c r="P93" s="3945"/>
      <c r="Q93" s="3939"/>
      <c r="R93" s="3940"/>
      <c r="S93" s="49"/>
      <c r="T93" s="242" t="s">
        <v>1106</v>
      </c>
      <c r="U93" s="43" t="s">
        <v>8081</v>
      </c>
      <c r="V93" s="43" t="str">
        <f t="shared" si="5"/>
        <v>-MP5</v>
      </c>
      <c r="W93" s="66"/>
      <c r="X93" s="244"/>
      <c r="Y93" s="244"/>
      <c r="Z93" s="244"/>
      <c r="AA93" s="333"/>
      <c r="AB93" s="244"/>
      <c r="AC93" s="244"/>
      <c r="AD93" s="244"/>
      <c r="AE93" s="244"/>
      <c r="AF93" s="319"/>
      <c r="AG93" s="62"/>
      <c r="AH93" s="62"/>
      <c r="AI93" s="62"/>
      <c r="AJ93" s="62"/>
      <c r="AK93" s="62"/>
    </row>
    <row r="94" spans="2:37" ht="14.25" customHeight="1">
      <c r="B94" s="328" t="str">
        <f t="shared" si="2"/>
        <v>-MAC-11</v>
      </c>
      <c r="C94" s="312" t="s">
        <v>3848</v>
      </c>
      <c r="D94" s="313" t="s">
        <v>1106</v>
      </c>
      <c r="E94" s="313" t="s">
        <v>7905</v>
      </c>
      <c r="F94" s="313" t="s">
        <v>7761</v>
      </c>
      <c r="G94" s="313" t="s">
        <v>8082</v>
      </c>
      <c r="H94" s="313" t="s">
        <v>8083</v>
      </c>
      <c r="I94" s="313" t="s">
        <v>8050</v>
      </c>
      <c r="J94" s="313" t="s">
        <v>5312</v>
      </c>
      <c r="K94" s="313" t="s">
        <v>8084</v>
      </c>
      <c r="L94" s="314" t="s">
        <v>8072</v>
      </c>
      <c r="M94" s="3965"/>
      <c r="N94" s="3941"/>
      <c r="O94" s="3944"/>
      <c r="P94" s="3945"/>
      <c r="Q94" s="3939"/>
      <c r="R94" s="3940"/>
      <c r="S94" s="49"/>
      <c r="T94" s="242" t="s">
        <v>1106</v>
      </c>
      <c r="U94" s="43" t="s">
        <v>8085</v>
      </c>
      <c r="V94" s="43" t="str">
        <f t="shared" si="5"/>
        <v>-MAC-11</v>
      </c>
      <c r="W94" s="66"/>
      <c r="X94" s="244"/>
      <c r="Y94" s="244"/>
      <c r="Z94" s="244"/>
      <c r="AA94" s="333"/>
      <c r="AB94" s="244"/>
      <c r="AC94" s="244"/>
      <c r="AD94" s="244"/>
      <c r="AE94" s="244"/>
      <c r="AF94" s="319"/>
      <c r="AG94" s="62"/>
      <c r="AH94" s="62"/>
      <c r="AI94" s="62"/>
      <c r="AJ94" s="62"/>
      <c r="AK94" s="62"/>
    </row>
    <row r="95" spans="2:37" ht="14.25" customHeight="1">
      <c r="B95" s="329" t="str">
        <f t="shared" si="2"/>
        <v>-蝎式冲锋枪</v>
      </c>
      <c r="C95" s="330" t="s">
        <v>3848</v>
      </c>
      <c r="D95" s="331" t="s">
        <v>7904</v>
      </c>
      <c r="E95" s="331" t="s">
        <v>7905</v>
      </c>
      <c r="F95" s="331" t="s">
        <v>7761</v>
      </c>
      <c r="G95" s="331" t="s">
        <v>8082</v>
      </c>
      <c r="H95" s="331" t="s">
        <v>7972</v>
      </c>
      <c r="I95" s="331" t="s">
        <v>8050</v>
      </c>
      <c r="J95" s="331" t="s">
        <v>5312</v>
      </c>
      <c r="K95" s="331" t="s">
        <v>8024</v>
      </c>
      <c r="L95" s="332" t="s">
        <v>8086</v>
      </c>
      <c r="M95" s="3965"/>
      <c r="N95" s="3941"/>
      <c r="O95" s="3944"/>
      <c r="P95" s="3945"/>
      <c r="Q95" s="3939"/>
      <c r="R95" s="3940"/>
      <c r="S95" s="49"/>
      <c r="T95" s="242" t="s">
        <v>7904</v>
      </c>
      <c r="U95" s="43" t="s">
        <v>8087</v>
      </c>
      <c r="V95" s="43" t="str">
        <f t="shared" si="5"/>
        <v>-蝎式冲锋枪</v>
      </c>
      <c r="AF95" s="319"/>
      <c r="AG95" s="62"/>
      <c r="AH95" s="62"/>
      <c r="AI95" s="62"/>
      <c r="AJ95" s="62"/>
      <c r="AK95" s="62"/>
    </row>
    <row r="96" spans="2:37" ht="14.25" customHeight="1">
      <c r="B96" s="328" t="str">
        <f t="shared" si="2"/>
        <v>汤普森冲锋枪</v>
      </c>
      <c r="C96" s="312" t="s">
        <v>3848</v>
      </c>
      <c r="D96" s="313" t="s">
        <v>7940</v>
      </c>
      <c r="E96" s="313" t="s">
        <v>7972</v>
      </c>
      <c r="F96" s="313" t="s">
        <v>7761</v>
      </c>
      <c r="G96" s="313" t="s">
        <v>8070</v>
      </c>
      <c r="H96" s="313" t="s">
        <v>8088</v>
      </c>
      <c r="I96" s="313" t="s">
        <v>8050</v>
      </c>
      <c r="J96" s="313" t="s">
        <v>46</v>
      </c>
      <c r="K96" s="313" t="s">
        <v>8089</v>
      </c>
      <c r="L96" s="314" t="s">
        <v>8090</v>
      </c>
      <c r="M96" s="3965"/>
      <c r="N96" s="3941"/>
      <c r="O96" s="3944"/>
      <c r="P96" s="3945"/>
      <c r="Q96" s="3939"/>
      <c r="R96" s="3940"/>
      <c r="S96" s="49"/>
      <c r="T96" s="242" t="s">
        <v>7940</v>
      </c>
      <c r="U96" s="43" t="s">
        <v>7440</v>
      </c>
      <c r="V96" s="43" t="str">
        <f t="shared" si="5"/>
        <v>汤普森冲锋枪</v>
      </c>
      <c r="W96" s="66"/>
      <c r="X96" s="244"/>
      <c r="Y96" s="244"/>
      <c r="Z96" s="244"/>
      <c r="AA96" s="333"/>
      <c r="AB96" s="244"/>
      <c r="AC96" s="244"/>
      <c r="AD96" s="244"/>
      <c r="AE96" s="244"/>
      <c r="AF96" s="319"/>
      <c r="AG96" s="62"/>
      <c r="AH96" s="62"/>
      <c r="AI96" s="62"/>
      <c r="AJ96" s="62"/>
      <c r="AK96" s="62"/>
    </row>
    <row r="97" spans="2:37" ht="14.25" customHeight="1">
      <c r="B97" s="329" t="str">
        <f t="shared" ref="B97:B121" si="6">IF(OR(J97="1920s,现代",$U$1="其他",J97=$U$1,J97="罕见"),U97,"-"&amp;U97)</f>
        <v>-乌兹微型冲锋枪</v>
      </c>
      <c r="C97" s="330" t="s">
        <v>3848</v>
      </c>
      <c r="D97" s="331" t="s">
        <v>1106</v>
      </c>
      <c r="E97" s="331" t="s">
        <v>7972</v>
      </c>
      <c r="F97" s="331" t="s">
        <v>7761</v>
      </c>
      <c r="G97" s="331" t="s">
        <v>8037</v>
      </c>
      <c r="H97" s="331" t="s">
        <v>8083</v>
      </c>
      <c r="I97" s="331" t="s">
        <v>7922</v>
      </c>
      <c r="J97" s="331" t="s">
        <v>5312</v>
      </c>
      <c r="K97" s="331" t="s">
        <v>8044</v>
      </c>
      <c r="L97" s="332" t="s">
        <v>8056</v>
      </c>
      <c r="M97" s="3965"/>
      <c r="N97" s="3941"/>
      <c r="O97" s="3946"/>
      <c r="P97" s="3947"/>
      <c r="Q97" s="3939"/>
      <c r="R97" s="3940"/>
      <c r="S97" s="49"/>
      <c r="T97" s="242" t="s">
        <v>1106</v>
      </c>
      <c r="U97" s="43" t="s">
        <v>8091</v>
      </c>
      <c r="V97" s="43" t="str">
        <f t="shared" si="5"/>
        <v>-乌兹微型冲锋枪</v>
      </c>
      <c r="W97" s="66"/>
      <c r="X97" s="244"/>
      <c r="Y97" s="244"/>
      <c r="Z97" s="244"/>
      <c r="AA97" s="244"/>
      <c r="AB97" s="244"/>
      <c r="AC97" s="244"/>
      <c r="AD97" s="244"/>
      <c r="AE97" s="333"/>
      <c r="AF97" s="319"/>
      <c r="AG97" s="62"/>
      <c r="AH97" s="62"/>
      <c r="AI97" s="62"/>
      <c r="AJ97" s="62"/>
      <c r="AK97" s="62"/>
    </row>
    <row r="98" spans="2:37" ht="14.25" customHeight="1">
      <c r="B98" s="328" t="str">
        <f t="shared" si="6"/>
        <v>-*1882 年式加特林</v>
      </c>
      <c r="C98" s="312" t="s">
        <v>3938</v>
      </c>
      <c r="D98" s="313" t="s">
        <v>7976</v>
      </c>
      <c r="E98" s="313" t="s">
        <v>6729</v>
      </c>
      <c r="F98" s="313" t="s">
        <v>7761</v>
      </c>
      <c r="G98" s="313" t="s">
        <v>8092</v>
      </c>
      <c r="H98" s="313" t="s">
        <v>7974</v>
      </c>
      <c r="I98" s="313" t="s">
        <v>8050</v>
      </c>
      <c r="J98" s="313" t="s">
        <v>7933</v>
      </c>
      <c r="K98" s="313" t="s">
        <v>8093</v>
      </c>
      <c r="L98" s="314" t="s">
        <v>8094</v>
      </c>
      <c r="M98" s="3966" t="s">
        <v>8095</v>
      </c>
      <c r="N98" s="4175"/>
      <c r="O98" s="4220" t="s">
        <v>8096</v>
      </c>
      <c r="P98" s="4221"/>
      <c r="Q98" s="3941"/>
      <c r="R98" s="3940"/>
      <c r="S98" s="49"/>
      <c r="T98" s="242" t="s">
        <v>7976</v>
      </c>
      <c r="U98" s="43" t="s">
        <v>8097</v>
      </c>
      <c r="V98" s="43" t="str">
        <f t="shared" si="5"/>
        <v>*1882 年式加特林</v>
      </c>
      <c r="W98" s="66"/>
      <c r="X98" s="244"/>
      <c r="Y98" s="244"/>
      <c r="Z98" s="244"/>
      <c r="AA98" s="244"/>
      <c r="AB98" s="244"/>
      <c r="AC98" s="244"/>
      <c r="AD98" s="244"/>
      <c r="AE98" s="333"/>
      <c r="AF98" s="319"/>
      <c r="AG98" s="62"/>
      <c r="AH98" s="62"/>
      <c r="AJ98" s="62"/>
      <c r="AK98" s="62"/>
    </row>
    <row r="99" spans="2:37" ht="14.25" customHeight="1">
      <c r="B99" s="329" t="str">
        <f t="shared" si="6"/>
        <v>M1918 式勃朗宁自动步枪</v>
      </c>
      <c r="C99" s="330" t="s">
        <v>3938</v>
      </c>
      <c r="D99" s="331" t="s">
        <v>7976</v>
      </c>
      <c r="E99" s="331" t="s">
        <v>7981</v>
      </c>
      <c r="F99" s="331" t="s">
        <v>7761</v>
      </c>
      <c r="G99" s="331" t="s">
        <v>8037</v>
      </c>
      <c r="H99" s="331" t="s">
        <v>7972</v>
      </c>
      <c r="I99" s="331" t="s">
        <v>6729</v>
      </c>
      <c r="J99" s="331" t="s">
        <v>46</v>
      </c>
      <c r="K99" s="331" t="s">
        <v>8098</v>
      </c>
      <c r="L99" s="332" t="s">
        <v>8076</v>
      </c>
      <c r="M99" s="3966"/>
      <c r="N99" s="4175"/>
      <c r="O99" s="4222"/>
      <c r="P99" s="4223"/>
      <c r="Q99" s="3941"/>
      <c r="R99" s="3940"/>
      <c r="S99" s="49"/>
      <c r="T99" s="242" t="s">
        <v>7976</v>
      </c>
      <c r="U99" s="43" t="s">
        <v>8099</v>
      </c>
      <c r="V99" s="43" t="str">
        <f t="shared" si="5"/>
        <v>M1918 式勃朗宁自动步枪</v>
      </c>
      <c r="W99" s="66"/>
      <c r="X99" s="244"/>
      <c r="Y99" s="244"/>
      <c r="Z99" s="244"/>
      <c r="AA99" s="244"/>
      <c r="AB99" s="244"/>
      <c r="AC99" s="244"/>
      <c r="AD99" s="244"/>
      <c r="AE99" s="333"/>
      <c r="AF99" s="319"/>
      <c r="AG99" s="62"/>
      <c r="AH99" s="62"/>
      <c r="AJ99" s="62"/>
      <c r="AK99" s="62"/>
    </row>
    <row r="100" spans="2:37" ht="14.25" customHeight="1">
      <c r="B100" s="328" t="str">
        <f t="shared" si="6"/>
        <v>勃朗宁 M1917A1(7.62mm)</v>
      </c>
      <c r="C100" s="312" t="s">
        <v>3938</v>
      </c>
      <c r="D100" s="313" t="s">
        <v>7976</v>
      </c>
      <c r="E100" s="313" t="s">
        <v>6736</v>
      </c>
      <c r="F100" s="313" t="s">
        <v>7761</v>
      </c>
      <c r="G100" s="313" t="s">
        <v>8092</v>
      </c>
      <c r="H100" s="313" t="s">
        <v>8048</v>
      </c>
      <c r="I100" s="313" t="s">
        <v>8050</v>
      </c>
      <c r="J100" s="313" t="s">
        <v>46</v>
      </c>
      <c r="K100" s="313" t="s">
        <v>8100</v>
      </c>
      <c r="L100" s="314" t="s">
        <v>8101</v>
      </c>
      <c r="M100" s="3966"/>
      <c r="N100" s="4175"/>
      <c r="O100" s="4222"/>
      <c r="P100" s="4223"/>
      <c r="Q100" s="3941"/>
      <c r="R100" s="3940"/>
      <c r="S100" s="49"/>
      <c r="T100" s="242" t="s">
        <v>7976</v>
      </c>
      <c r="U100" s="43" t="s">
        <v>8102</v>
      </c>
      <c r="V100" s="43" t="str">
        <f t="shared" si="5"/>
        <v>勃朗宁 M1917A1(7.62mm)</v>
      </c>
      <c r="W100" s="66"/>
      <c r="X100" s="244"/>
      <c r="Y100" s="244"/>
      <c r="Z100" s="244"/>
      <c r="AA100" s="244"/>
      <c r="AB100" s="244"/>
      <c r="AC100" s="244"/>
      <c r="AD100" s="244"/>
      <c r="AE100" s="333"/>
      <c r="AF100" s="319"/>
      <c r="AG100" s="62"/>
      <c r="AH100" s="62"/>
      <c r="AJ100" s="62"/>
      <c r="AK100" s="62"/>
    </row>
    <row r="101" spans="2:37" ht="14.25" customHeight="1">
      <c r="B101" s="329" t="str">
        <f t="shared" si="6"/>
        <v>布伦轻机枪</v>
      </c>
      <c r="C101" s="330" t="s">
        <v>3938</v>
      </c>
      <c r="D101" s="331" t="s">
        <v>7976</v>
      </c>
      <c r="E101" s="331" t="s">
        <v>7977</v>
      </c>
      <c r="F101" s="331" t="s">
        <v>7761</v>
      </c>
      <c r="G101" s="331" t="s">
        <v>8070</v>
      </c>
      <c r="H101" s="331" t="s">
        <v>8103</v>
      </c>
      <c r="I101" s="331" t="s">
        <v>8050</v>
      </c>
      <c r="J101" s="331" t="s">
        <v>46</v>
      </c>
      <c r="K101" s="331" t="s">
        <v>8104</v>
      </c>
      <c r="L101" s="332" t="s">
        <v>8090</v>
      </c>
      <c r="M101" s="3966"/>
      <c r="N101" s="4175"/>
      <c r="O101" s="4222"/>
      <c r="P101" s="4223"/>
      <c r="Q101" s="3941"/>
      <c r="R101" s="3940"/>
      <c r="S101" s="49"/>
      <c r="T101" s="242" t="s">
        <v>7976</v>
      </c>
      <c r="U101" s="43" t="s">
        <v>8105</v>
      </c>
      <c r="V101" s="43" t="str">
        <f t="shared" si="5"/>
        <v>布伦轻机枪</v>
      </c>
      <c r="W101" s="66"/>
      <c r="X101" s="244"/>
      <c r="Y101" s="244"/>
      <c r="Z101" s="244"/>
      <c r="AA101" s="244"/>
      <c r="AB101" s="244"/>
      <c r="AC101" s="244"/>
      <c r="AD101" s="244"/>
      <c r="AE101" s="333"/>
      <c r="AF101" s="319"/>
      <c r="AG101" s="62"/>
      <c r="AH101" s="62"/>
      <c r="AJ101" s="62"/>
      <c r="AK101" s="62"/>
    </row>
    <row r="102" spans="2:37" ht="14.25" customHeight="1">
      <c r="B102" s="328" t="str">
        <f t="shared" si="6"/>
        <v>路易斯Ⅰ型机枪</v>
      </c>
      <c r="C102" s="312" t="s">
        <v>3938</v>
      </c>
      <c r="D102" s="313" t="s">
        <v>7976</v>
      </c>
      <c r="E102" s="313" t="s">
        <v>7977</v>
      </c>
      <c r="F102" s="313" t="s">
        <v>7761</v>
      </c>
      <c r="G102" s="313" t="s">
        <v>8092</v>
      </c>
      <c r="H102" s="313" t="s">
        <v>8106</v>
      </c>
      <c r="I102" s="313" t="s">
        <v>8050</v>
      </c>
      <c r="J102" s="313" t="s">
        <v>46</v>
      </c>
      <c r="K102" s="313" t="s">
        <v>8107</v>
      </c>
      <c r="L102" s="314" t="s">
        <v>8008</v>
      </c>
      <c r="M102" s="3966"/>
      <c r="N102" s="4175"/>
      <c r="O102" s="4222"/>
      <c r="P102" s="4223"/>
      <c r="Q102" s="3941"/>
      <c r="R102" s="3940"/>
      <c r="S102" s="49"/>
      <c r="T102" s="242" t="s">
        <v>7976</v>
      </c>
      <c r="U102" s="43" t="s">
        <v>8108</v>
      </c>
      <c r="V102" s="43" t="str">
        <f t="shared" si="5"/>
        <v>路易斯Ⅰ型机枪</v>
      </c>
      <c r="W102" s="66"/>
      <c r="X102" s="244"/>
      <c r="Y102" s="244"/>
      <c r="Z102" s="244"/>
      <c r="AA102" s="244"/>
      <c r="AB102" s="244"/>
      <c r="AC102" s="244"/>
      <c r="AD102" s="244"/>
      <c r="AE102" s="333"/>
      <c r="AF102" s="319"/>
      <c r="AH102" s="62"/>
      <c r="AJ102" s="62"/>
      <c r="AK102" s="62"/>
    </row>
    <row r="103" spans="2:37" ht="14.25" customHeight="1">
      <c r="B103" s="334" t="str">
        <f t="shared" si="6"/>
        <v>-GE M134 式 7.62mm 速射机枪</v>
      </c>
      <c r="C103" s="335" t="s">
        <v>3938</v>
      </c>
      <c r="D103" s="336" t="s">
        <v>7976</v>
      </c>
      <c r="E103" s="336" t="s">
        <v>7974</v>
      </c>
      <c r="F103" s="336" t="s">
        <v>7761</v>
      </c>
      <c r="G103" s="336" t="s">
        <v>8092</v>
      </c>
      <c r="H103" s="336" t="s">
        <v>8109</v>
      </c>
      <c r="I103" s="336" t="s">
        <v>7922</v>
      </c>
      <c r="J103" s="336" t="s">
        <v>5312</v>
      </c>
      <c r="K103" s="336" t="s">
        <v>8024</v>
      </c>
      <c r="L103" s="337" t="s">
        <v>8110</v>
      </c>
      <c r="M103" s="3966"/>
      <c r="N103" s="4175"/>
      <c r="O103" s="4222"/>
      <c r="P103" s="4223"/>
      <c r="Q103" s="3941"/>
      <c r="R103" s="3940"/>
      <c r="S103" s="49"/>
      <c r="T103" s="242" t="s">
        <v>7976</v>
      </c>
      <c r="U103" s="43" t="s">
        <v>8111</v>
      </c>
      <c r="V103" s="43" t="str">
        <f t="shared" si="5"/>
        <v>-GE M134 式 7.62mm 速射机枪</v>
      </c>
      <c r="W103" s="66"/>
      <c r="X103" s="244"/>
      <c r="Y103" s="244"/>
      <c r="Z103" s="244"/>
      <c r="AA103" s="244"/>
      <c r="AB103" s="244"/>
      <c r="AC103" s="244"/>
      <c r="AD103" s="244"/>
      <c r="AE103" s="333"/>
      <c r="AF103" s="319"/>
      <c r="AH103" s="62"/>
      <c r="AJ103" s="62"/>
      <c r="AK103" s="62"/>
    </row>
    <row r="104" spans="2:37" ht="14.25" customHeight="1">
      <c r="B104" s="328" t="str">
        <f t="shared" si="6"/>
        <v>-FN 米尼米(5.56mm)，弹夹/弹带</v>
      </c>
      <c r="C104" s="312" t="s">
        <v>3938</v>
      </c>
      <c r="D104" s="313" t="s">
        <v>7961</v>
      </c>
      <c r="E104" s="313" t="s">
        <v>7977</v>
      </c>
      <c r="F104" s="313" t="s">
        <v>7761</v>
      </c>
      <c r="G104" s="313" t="s">
        <v>8092</v>
      </c>
      <c r="H104" s="313" t="s">
        <v>8112</v>
      </c>
      <c r="I104" s="313" t="s">
        <v>7910</v>
      </c>
      <c r="J104" s="313" t="s">
        <v>5312</v>
      </c>
      <c r="K104" s="313" t="s">
        <v>8024</v>
      </c>
      <c r="L104" s="314" t="s">
        <v>7948</v>
      </c>
      <c r="M104" s="3966"/>
      <c r="N104" s="4175"/>
      <c r="O104" s="4222"/>
      <c r="P104" s="4223"/>
      <c r="Q104" s="3941"/>
      <c r="R104" s="3940"/>
      <c r="S104" s="49"/>
      <c r="T104" s="242" t="s">
        <v>7961</v>
      </c>
      <c r="U104" s="43" t="s">
        <v>8113</v>
      </c>
      <c r="V104" s="43" t="str">
        <f t="shared" si="5"/>
        <v>-FN 米尼米(5.56mm)，弹夹/弹带</v>
      </c>
      <c r="W104" s="244"/>
      <c r="X104" s="244"/>
      <c r="Y104" s="244"/>
      <c r="Z104" s="244"/>
      <c r="AA104" s="244"/>
      <c r="AB104" s="244"/>
      <c r="AC104" s="244"/>
      <c r="AD104" s="244"/>
      <c r="AE104" s="244"/>
      <c r="AF104" s="246"/>
      <c r="AH104" s="62"/>
      <c r="AJ104" s="62"/>
      <c r="AK104" s="62"/>
    </row>
    <row r="105" spans="2:37" ht="14.25" customHeight="1">
      <c r="B105" s="338" t="str">
        <f t="shared" si="6"/>
        <v>维克斯.303 机枪</v>
      </c>
      <c r="C105" s="339" t="s">
        <v>3938</v>
      </c>
      <c r="D105" s="340" t="s">
        <v>7976</v>
      </c>
      <c r="E105" s="340" t="s">
        <v>7977</v>
      </c>
      <c r="F105" s="340" t="s">
        <v>7761</v>
      </c>
      <c r="G105" s="340" t="s">
        <v>8092</v>
      </c>
      <c r="H105" s="340" t="s">
        <v>8048</v>
      </c>
      <c r="I105" s="340" t="s">
        <v>7910</v>
      </c>
      <c r="J105" s="340" t="s">
        <v>46</v>
      </c>
      <c r="K105" s="340" t="s">
        <v>8024</v>
      </c>
      <c r="L105" s="341" t="s">
        <v>7851</v>
      </c>
      <c r="M105" s="3966"/>
      <c r="N105" s="4176"/>
      <c r="O105" s="4222"/>
      <c r="P105" s="4224"/>
      <c r="Q105" s="3942"/>
      <c r="R105" s="3943"/>
      <c r="S105" s="49"/>
      <c r="T105" s="242" t="s">
        <v>7976</v>
      </c>
      <c r="U105" s="43" t="s">
        <v>8114</v>
      </c>
      <c r="V105" s="43" t="str">
        <f t="shared" si="5"/>
        <v>维克斯.303 机枪</v>
      </c>
      <c r="W105" s="244"/>
      <c r="X105" s="244"/>
      <c r="Y105" s="244"/>
      <c r="Z105" s="244"/>
      <c r="AA105" s="244"/>
      <c r="AB105" s="244"/>
      <c r="AC105" s="244"/>
      <c r="AD105" s="244"/>
      <c r="AE105" s="244"/>
      <c r="AF105" s="246"/>
      <c r="AH105" s="62"/>
      <c r="AJ105" s="62"/>
      <c r="AK105" s="62"/>
    </row>
    <row r="106" spans="2:37" ht="14.25" customHeight="1">
      <c r="B106" s="342" t="str">
        <f t="shared" si="6"/>
        <v>莫洛托夫燃烧瓶</v>
      </c>
      <c r="C106" s="343" t="s">
        <v>206</v>
      </c>
      <c r="D106" s="344" t="s">
        <v>8115</v>
      </c>
      <c r="E106" s="344" t="s">
        <v>7866</v>
      </c>
      <c r="F106" s="344" t="s">
        <v>7761</v>
      </c>
      <c r="G106" s="344" t="s">
        <v>7762</v>
      </c>
      <c r="H106" s="344" t="s">
        <v>7860</v>
      </c>
      <c r="I106" s="344" t="s">
        <v>7796</v>
      </c>
      <c r="J106" s="344" t="s">
        <v>7750</v>
      </c>
      <c r="K106" s="344" t="s">
        <v>8024</v>
      </c>
      <c r="L106" s="345" t="s">
        <v>7979</v>
      </c>
      <c r="M106" s="3967" t="s">
        <v>8116</v>
      </c>
      <c r="N106" s="3869" t="s">
        <v>8117</v>
      </c>
      <c r="O106" s="3869"/>
      <c r="P106" s="346" t="s">
        <v>8118</v>
      </c>
      <c r="Q106" s="3923" t="s">
        <v>8119</v>
      </c>
      <c r="R106" s="3923"/>
      <c r="S106" s="49"/>
      <c r="T106" s="242" t="s">
        <v>7961</v>
      </c>
      <c r="U106" s="43" t="s">
        <v>8120</v>
      </c>
      <c r="V106" s="43" t="str">
        <f t="shared" si="5"/>
        <v>莫洛托夫燃烧瓶</v>
      </c>
      <c r="W106" s="244"/>
      <c r="X106" s="244"/>
      <c r="Y106" s="244"/>
      <c r="Z106" s="244"/>
      <c r="AA106" s="244"/>
      <c r="AB106" s="244"/>
      <c r="AC106" s="244"/>
      <c r="AD106" s="244"/>
      <c r="AE106" s="244"/>
      <c r="AF106" s="246"/>
    </row>
    <row r="107" spans="2:37" ht="14.25" customHeight="1">
      <c r="B107" s="247" t="str">
        <f t="shared" si="6"/>
        <v>信号枪(信号弹枪)</v>
      </c>
      <c r="C107" s="248" t="s">
        <v>211</v>
      </c>
      <c r="D107" s="249" t="s">
        <v>8121</v>
      </c>
      <c r="E107" s="249" t="s">
        <v>7888</v>
      </c>
      <c r="F107" s="249" t="s">
        <v>7761</v>
      </c>
      <c r="G107" s="249" t="s">
        <v>7762</v>
      </c>
      <c r="H107" s="249" t="s">
        <v>7748</v>
      </c>
      <c r="I107" s="249" t="s">
        <v>6729</v>
      </c>
      <c r="J107" s="249" t="s">
        <v>7750</v>
      </c>
      <c r="K107" s="249" t="s">
        <v>8122</v>
      </c>
      <c r="L107" s="250" t="s">
        <v>8123</v>
      </c>
      <c r="M107" s="3967"/>
      <c r="N107" s="3869"/>
      <c r="O107" s="3869"/>
      <c r="P107" s="346" t="s">
        <v>8124</v>
      </c>
      <c r="Q107" s="3923"/>
      <c r="R107" s="3923"/>
      <c r="S107" s="49"/>
      <c r="T107" s="242" t="s">
        <v>8125</v>
      </c>
      <c r="U107" s="43" t="s">
        <v>8126</v>
      </c>
      <c r="V107" s="43" t="str">
        <f t="shared" si="5"/>
        <v>信号枪(信号弹枪)</v>
      </c>
      <c r="W107" s="244"/>
      <c r="X107" s="244"/>
      <c r="Y107" s="244"/>
      <c r="Z107" s="244"/>
      <c r="AA107" s="244"/>
      <c r="AB107" s="244"/>
      <c r="AC107" s="244"/>
      <c r="AD107" s="244"/>
      <c r="AE107" s="244"/>
      <c r="AF107" s="246"/>
    </row>
    <row r="108" spans="2:37" ht="14.25" customHeight="1">
      <c r="B108" s="347" t="str">
        <f t="shared" si="6"/>
        <v>-M79 40mm 榴弹发射器</v>
      </c>
      <c r="C108" s="309" t="s">
        <v>3965</v>
      </c>
      <c r="D108" s="310" t="s">
        <v>8127</v>
      </c>
      <c r="E108" s="310" t="s">
        <v>7972</v>
      </c>
      <c r="F108" s="310" t="s">
        <v>7761</v>
      </c>
      <c r="G108" s="310" t="s">
        <v>7967</v>
      </c>
      <c r="H108" s="310" t="s">
        <v>7748</v>
      </c>
      <c r="I108" s="310" t="s">
        <v>7910</v>
      </c>
      <c r="J108" s="310" t="s">
        <v>5312</v>
      </c>
      <c r="K108" s="310" t="s">
        <v>8024</v>
      </c>
      <c r="L108" s="311" t="s">
        <v>8008</v>
      </c>
      <c r="M108" s="3968"/>
      <c r="N108" s="3869"/>
      <c r="O108" s="3869"/>
      <c r="P108" s="346" t="s">
        <v>1134</v>
      </c>
      <c r="Q108" s="3923"/>
      <c r="R108" s="3923"/>
      <c r="S108" s="49"/>
      <c r="T108" s="242" t="s">
        <v>8128</v>
      </c>
      <c r="U108" s="43" t="s">
        <v>8129</v>
      </c>
      <c r="V108" s="43" t="str">
        <f t="shared" si="5"/>
        <v>-M79 40mm 榴弹发射器</v>
      </c>
      <c r="W108" s="244"/>
      <c r="X108" s="244"/>
      <c r="Y108" s="244"/>
      <c r="Z108" s="244"/>
      <c r="AA108" s="244"/>
      <c r="AB108" s="244"/>
      <c r="AC108" s="244"/>
      <c r="AD108" s="244"/>
      <c r="AE108" s="244"/>
      <c r="AF108" s="246"/>
    </row>
    <row r="109" spans="2:37" ht="14.25" customHeight="1">
      <c r="B109" s="347" t="str">
        <f t="shared" si="6"/>
        <v>炸药棒</v>
      </c>
      <c r="C109" s="312" t="s">
        <v>206</v>
      </c>
      <c r="D109" s="313" t="s">
        <v>8130</v>
      </c>
      <c r="E109" s="313" t="s">
        <v>7854</v>
      </c>
      <c r="F109" s="313" t="s">
        <v>7761</v>
      </c>
      <c r="G109" s="313" t="s">
        <v>7762</v>
      </c>
      <c r="H109" s="313" t="s">
        <v>7860</v>
      </c>
      <c r="I109" s="313" t="s">
        <v>7910</v>
      </c>
      <c r="J109" s="313" t="s">
        <v>7750</v>
      </c>
      <c r="K109" s="313" t="s">
        <v>8131</v>
      </c>
      <c r="L109" s="314" t="s">
        <v>8132</v>
      </c>
      <c r="M109" s="3967"/>
      <c r="N109" s="3869"/>
      <c r="O109" s="3869"/>
      <c r="P109" s="346" t="s">
        <v>1289</v>
      </c>
      <c r="Q109" s="3924"/>
      <c r="R109" s="3924"/>
      <c r="S109" s="49"/>
      <c r="T109" s="242" t="s">
        <v>1134</v>
      </c>
      <c r="U109" s="43" t="s">
        <v>8133</v>
      </c>
      <c r="V109" s="43" t="str">
        <f t="shared" si="5"/>
        <v>炸药棒</v>
      </c>
      <c r="W109" s="244"/>
      <c r="X109" s="244"/>
      <c r="Y109" s="244"/>
      <c r="Z109" s="244"/>
      <c r="AA109" s="244"/>
      <c r="AB109" s="244"/>
      <c r="AC109" s="244"/>
      <c r="AD109" s="244"/>
      <c r="AE109" s="244"/>
      <c r="AF109" s="246"/>
    </row>
    <row r="110" spans="2:37" ht="14.25" customHeight="1">
      <c r="B110" s="347" t="str">
        <f t="shared" si="6"/>
        <v>雷管</v>
      </c>
      <c r="C110" s="309" t="s">
        <v>156</v>
      </c>
      <c r="D110" s="310" t="s">
        <v>8134</v>
      </c>
      <c r="E110" s="310" t="s">
        <v>8024</v>
      </c>
      <c r="F110" s="310" t="s">
        <v>7761</v>
      </c>
      <c r="G110" s="310" t="s">
        <v>8024</v>
      </c>
      <c r="H110" s="310" t="s">
        <v>7860</v>
      </c>
      <c r="I110" s="310" t="s">
        <v>6729</v>
      </c>
      <c r="J110" s="310" t="s">
        <v>7750</v>
      </c>
      <c r="K110" s="310" t="s">
        <v>8135</v>
      </c>
      <c r="L110" s="311" t="s">
        <v>8136</v>
      </c>
      <c r="M110" s="3967"/>
      <c r="N110" s="3869"/>
      <c r="O110" s="3869"/>
      <c r="P110" s="346" t="s">
        <v>1106</v>
      </c>
      <c r="Q110" s="4225" t="s">
        <v>8137</v>
      </c>
      <c r="R110" s="4225"/>
      <c r="S110" s="49"/>
      <c r="T110" s="242" t="s">
        <v>1289</v>
      </c>
      <c r="U110" s="43" t="s">
        <v>8138</v>
      </c>
      <c r="V110" s="43" t="str">
        <f t="shared" si="5"/>
        <v>雷管</v>
      </c>
      <c r="W110" s="244"/>
      <c r="X110" s="244"/>
      <c r="Y110" s="244"/>
      <c r="Z110" s="244"/>
      <c r="AA110" s="244"/>
      <c r="AB110" s="244"/>
      <c r="AC110" s="244"/>
      <c r="AD110" s="244"/>
      <c r="AE110" s="244"/>
      <c r="AF110" s="246"/>
    </row>
    <row r="111" spans="2:37" ht="14.25" customHeight="1">
      <c r="B111" s="347" t="str">
        <f t="shared" si="6"/>
        <v>爆破筒</v>
      </c>
      <c r="C111" s="312" t="s">
        <v>163</v>
      </c>
      <c r="D111" s="313" t="s">
        <v>8139</v>
      </c>
      <c r="E111" s="313" t="s">
        <v>8140</v>
      </c>
      <c r="F111" s="313" t="s">
        <v>7761</v>
      </c>
      <c r="G111" s="313" t="s">
        <v>8141</v>
      </c>
      <c r="H111" s="313" t="s">
        <v>7860</v>
      </c>
      <c r="I111" s="313" t="s">
        <v>7796</v>
      </c>
      <c r="J111" s="313" t="s">
        <v>7750</v>
      </c>
      <c r="K111" s="313" t="s">
        <v>8024</v>
      </c>
      <c r="L111" s="314" t="s">
        <v>8142</v>
      </c>
      <c r="M111" s="3967"/>
      <c r="N111" s="3868" t="s">
        <v>8143</v>
      </c>
      <c r="O111" s="3868"/>
      <c r="P111" s="346" t="s">
        <v>7904</v>
      </c>
      <c r="Q111" s="4226"/>
      <c r="R111" s="4226"/>
      <c r="S111" s="49"/>
      <c r="T111" s="242" t="s">
        <v>1106</v>
      </c>
      <c r="U111" s="43" t="s">
        <v>8144</v>
      </c>
      <c r="V111" s="43" t="str">
        <f t="shared" si="5"/>
        <v>爆破筒</v>
      </c>
      <c r="W111" s="244"/>
      <c r="X111" s="244"/>
      <c r="Y111" s="244"/>
      <c r="Z111" s="244"/>
      <c r="AA111" s="244"/>
      <c r="AB111" s="244"/>
      <c r="AC111" s="244"/>
      <c r="AD111" s="244"/>
      <c r="AE111" s="244"/>
      <c r="AF111" s="246"/>
    </row>
    <row r="112" spans="2:37" ht="14.25" customHeight="1">
      <c r="B112" s="347" t="str">
        <f t="shared" si="6"/>
        <v>-塑胶炸弹(C4) 100克</v>
      </c>
      <c r="C112" s="309" t="s">
        <v>163</v>
      </c>
      <c r="D112" s="310" t="s">
        <v>8145</v>
      </c>
      <c r="E112" s="310" t="s">
        <v>8140</v>
      </c>
      <c r="F112" s="310" t="s">
        <v>7761</v>
      </c>
      <c r="G112" s="310" t="s">
        <v>8141</v>
      </c>
      <c r="H112" s="310" t="s">
        <v>7860</v>
      </c>
      <c r="I112" s="310" t="s">
        <v>7910</v>
      </c>
      <c r="J112" s="310" t="s">
        <v>5312</v>
      </c>
      <c r="K112" s="310" t="s">
        <v>8024</v>
      </c>
      <c r="L112" s="311" t="s">
        <v>8146</v>
      </c>
      <c r="M112" s="3967"/>
      <c r="N112" s="3868"/>
      <c r="O112" s="3868"/>
      <c r="P112" s="346" t="s">
        <v>7793</v>
      </c>
      <c r="Q112" s="4226"/>
      <c r="R112" s="4226"/>
      <c r="S112" s="49"/>
      <c r="T112" s="242" t="s">
        <v>8147</v>
      </c>
      <c r="U112" s="43" t="s">
        <v>8148</v>
      </c>
      <c r="V112" s="43" t="str">
        <f t="shared" si="5"/>
        <v>-塑胶炸弹(C4) 100克</v>
      </c>
      <c r="W112" s="244"/>
      <c r="X112" s="244"/>
      <c r="Y112" s="244"/>
      <c r="Z112" s="244"/>
      <c r="AA112" s="244"/>
      <c r="AB112" s="244"/>
      <c r="AC112" s="244"/>
      <c r="AD112" s="244"/>
      <c r="AE112" s="244"/>
      <c r="AF112" s="246"/>
    </row>
    <row r="113" spans="1:32" ht="14.25" customHeight="1">
      <c r="B113" s="347" t="str">
        <f t="shared" si="6"/>
        <v>手榴弹</v>
      </c>
      <c r="C113" s="312" t="s">
        <v>206</v>
      </c>
      <c r="D113" s="313" t="s">
        <v>8130</v>
      </c>
      <c r="E113" s="313" t="s">
        <v>7854</v>
      </c>
      <c r="F113" s="313" t="s">
        <v>7761</v>
      </c>
      <c r="G113" s="313" t="s">
        <v>7762</v>
      </c>
      <c r="H113" s="313" t="s">
        <v>7860</v>
      </c>
      <c r="I113" s="313" t="s">
        <v>7910</v>
      </c>
      <c r="J113" s="313" t="s">
        <v>7750</v>
      </c>
      <c r="K113" s="313" t="s">
        <v>8024</v>
      </c>
      <c r="L113" s="314" t="s">
        <v>8149</v>
      </c>
      <c r="M113" s="3967"/>
      <c r="N113" s="3868"/>
      <c r="O113" s="3868"/>
      <c r="P113" s="346" t="s">
        <v>8150</v>
      </c>
      <c r="Q113" s="4226"/>
      <c r="R113" s="4226"/>
      <c r="S113" s="49"/>
      <c r="T113" s="242" t="s">
        <v>1134</v>
      </c>
      <c r="U113" s="43" t="s">
        <v>8151</v>
      </c>
      <c r="V113" s="43" t="str">
        <f t="shared" si="5"/>
        <v>手榴弹</v>
      </c>
      <c r="W113" s="244"/>
      <c r="X113" s="244"/>
      <c r="Y113" s="244"/>
      <c r="Z113" s="244"/>
      <c r="AA113" s="244"/>
      <c r="AB113" s="244"/>
      <c r="AC113" s="244"/>
      <c r="AD113" s="244"/>
      <c r="AE113" s="244"/>
      <c r="AF113" s="246"/>
    </row>
    <row r="114" spans="1:32" ht="14.25" customHeight="1">
      <c r="B114" s="347" t="str">
        <f t="shared" si="6"/>
        <v>-81mm迫击炮</v>
      </c>
      <c r="C114" s="309" t="s">
        <v>204</v>
      </c>
      <c r="D114" s="310" t="s">
        <v>8152</v>
      </c>
      <c r="E114" s="310" t="s">
        <v>8153</v>
      </c>
      <c r="F114" s="310" t="s">
        <v>7761</v>
      </c>
      <c r="G114" s="310" t="s">
        <v>7859</v>
      </c>
      <c r="H114" s="310" t="s">
        <v>8154</v>
      </c>
      <c r="I114" s="310" t="s">
        <v>6729</v>
      </c>
      <c r="J114" s="310" t="s">
        <v>5312</v>
      </c>
      <c r="K114" s="310" t="s">
        <v>8024</v>
      </c>
      <c r="L114" s="311" t="s">
        <v>7941</v>
      </c>
      <c r="M114" s="3967"/>
      <c r="N114" s="4159" t="s">
        <v>8155</v>
      </c>
      <c r="O114" s="4159"/>
      <c r="P114" s="4159"/>
      <c r="Q114" s="4159"/>
      <c r="R114" s="4159"/>
      <c r="S114" s="49"/>
      <c r="T114" s="242" t="s">
        <v>8147</v>
      </c>
      <c r="U114" s="43" t="s">
        <v>8156</v>
      </c>
      <c r="V114" s="43" t="str">
        <f t="shared" si="5"/>
        <v>-81mm迫击炮</v>
      </c>
      <c r="W114" s="244"/>
      <c r="X114" s="244"/>
      <c r="Y114" s="244"/>
      <c r="Z114" s="244"/>
      <c r="AA114" s="244"/>
      <c r="AB114" s="244"/>
      <c r="AC114" s="244"/>
      <c r="AD114" s="244"/>
      <c r="AE114" s="244"/>
      <c r="AF114" s="246"/>
    </row>
    <row r="115" spans="1:32" ht="14.25" customHeight="1">
      <c r="B115" s="347" t="str">
        <f t="shared" si="6"/>
        <v>75mm野战火炮</v>
      </c>
      <c r="C115" s="248" t="s">
        <v>204</v>
      </c>
      <c r="D115" s="249" t="s">
        <v>8157</v>
      </c>
      <c r="E115" s="249" t="s">
        <v>8153</v>
      </c>
      <c r="F115" s="249" t="s">
        <v>7761</v>
      </c>
      <c r="G115" s="249" t="s">
        <v>7889</v>
      </c>
      <c r="H115" s="249" t="s">
        <v>8154</v>
      </c>
      <c r="I115" s="249" t="s">
        <v>7910</v>
      </c>
      <c r="J115" s="249" t="s">
        <v>7750</v>
      </c>
      <c r="K115" s="249" t="s">
        <v>8158</v>
      </c>
      <c r="L115" s="250" t="s">
        <v>8159</v>
      </c>
      <c r="M115" s="3967"/>
      <c r="N115" s="3869" t="s">
        <v>8160</v>
      </c>
      <c r="O115" s="3869"/>
      <c r="P115" s="3869"/>
      <c r="Q115" s="3871" t="s">
        <v>8161</v>
      </c>
      <c r="R115" s="3871"/>
      <c r="S115" s="49"/>
      <c r="T115" s="242" t="s">
        <v>8162</v>
      </c>
      <c r="U115" s="43" t="s">
        <v>8163</v>
      </c>
      <c r="V115" s="43" t="str">
        <f t="shared" si="5"/>
        <v>75mm野战火炮</v>
      </c>
      <c r="W115" s="244"/>
      <c r="X115" s="244"/>
      <c r="Y115" s="244"/>
      <c r="Z115" s="244"/>
      <c r="AA115" s="244"/>
      <c r="AB115" s="244"/>
      <c r="AC115" s="244"/>
      <c r="AD115" s="244"/>
      <c r="AE115" s="244"/>
      <c r="AF115" s="246"/>
    </row>
    <row r="116" spans="1:32" ht="14.25" customHeight="1">
      <c r="B116" s="347" t="str">
        <f t="shared" si="6"/>
        <v>-120mm坦克炮(稳定)</v>
      </c>
      <c r="C116" s="309" t="s">
        <v>204</v>
      </c>
      <c r="D116" s="310" t="s">
        <v>8157</v>
      </c>
      <c r="E116" s="310" t="s">
        <v>8164</v>
      </c>
      <c r="F116" s="310" t="s">
        <v>7761</v>
      </c>
      <c r="G116" s="310" t="s">
        <v>7748</v>
      </c>
      <c r="H116" s="310" t="s">
        <v>8154</v>
      </c>
      <c r="I116" s="310" t="s">
        <v>6729</v>
      </c>
      <c r="J116" s="310" t="s">
        <v>5312</v>
      </c>
      <c r="K116" s="310" t="s">
        <v>8024</v>
      </c>
      <c r="L116" s="311" t="s">
        <v>8101</v>
      </c>
      <c r="M116" s="3967"/>
      <c r="N116" s="3869"/>
      <c r="O116" s="3869"/>
      <c r="P116" s="3869"/>
      <c r="Q116" s="3871"/>
      <c r="R116" s="3871"/>
      <c r="S116" s="49"/>
      <c r="T116" s="242" t="s">
        <v>8165</v>
      </c>
      <c r="U116" s="43" t="s">
        <v>8166</v>
      </c>
      <c r="V116" s="43" t="str">
        <f t="shared" si="5"/>
        <v>-120mm坦克炮(稳定)</v>
      </c>
      <c r="W116" s="244"/>
      <c r="X116" s="244"/>
      <c r="Y116" s="244"/>
      <c r="Z116" s="244"/>
      <c r="AA116" s="244"/>
      <c r="AB116" s="244"/>
      <c r="AC116" s="244"/>
      <c r="AD116" s="244"/>
      <c r="AE116" s="244"/>
      <c r="AF116" s="246"/>
    </row>
    <row r="117" spans="1:32" ht="14.25" customHeight="1">
      <c r="B117" s="347" t="str">
        <f t="shared" si="6"/>
        <v>-5英寸舰载炮(稳定)</v>
      </c>
      <c r="C117" s="248" t="s">
        <v>204</v>
      </c>
      <c r="D117" s="249" t="s">
        <v>8167</v>
      </c>
      <c r="E117" s="249" t="s">
        <v>8168</v>
      </c>
      <c r="F117" s="249" t="s">
        <v>7761</v>
      </c>
      <c r="G117" s="249">
        <v>1</v>
      </c>
      <c r="H117" s="249" t="s">
        <v>8169</v>
      </c>
      <c r="I117" s="249" t="s">
        <v>7922</v>
      </c>
      <c r="J117" s="249" t="s">
        <v>5312</v>
      </c>
      <c r="K117" s="249" t="s">
        <v>8024</v>
      </c>
      <c r="L117" s="250" t="s">
        <v>8170</v>
      </c>
      <c r="M117" s="3967"/>
      <c r="N117" s="3869"/>
      <c r="O117" s="3869"/>
      <c r="P117" s="3869"/>
      <c r="Q117" s="3871"/>
      <c r="R117" s="3871"/>
      <c r="S117" s="49"/>
      <c r="T117" s="242" t="s">
        <v>8171</v>
      </c>
      <c r="U117" s="43" t="s">
        <v>8172</v>
      </c>
      <c r="V117" s="43" t="str">
        <f t="shared" si="5"/>
        <v>-5英寸舰载炮(稳定)</v>
      </c>
      <c r="W117" s="244"/>
      <c r="X117" s="244"/>
      <c r="Y117" s="244"/>
      <c r="Z117" s="244"/>
      <c r="AA117" s="244"/>
      <c r="AB117" s="244"/>
      <c r="AC117" s="244"/>
      <c r="AD117" s="244"/>
      <c r="AE117" s="244"/>
      <c r="AF117" s="246"/>
    </row>
    <row r="118" spans="1:32" ht="14.25" customHeight="1">
      <c r="B118" s="347" t="str">
        <f t="shared" si="6"/>
        <v>反步兵地雷</v>
      </c>
      <c r="C118" s="309" t="s">
        <v>163</v>
      </c>
      <c r="D118" s="310" t="s">
        <v>8173</v>
      </c>
      <c r="E118" s="310" t="s">
        <v>8140</v>
      </c>
      <c r="F118" s="310" t="s">
        <v>7761</v>
      </c>
      <c r="G118" s="310" t="s">
        <v>8174</v>
      </c>
      <c r="H118" s="310" t="s">
        <v>7860</v>
      </c>
      <c r="I118" s="310" t="s">
        <v>7910</v>
      </c>
      <c r="J118" s="310" t="s">
        <v>7750</v>
      </c>
      <c r="K118" s="310" t="s">
        <v>8024</v>
      </c>
      <c r="L118" s="311" t="s">
        <v>8175</v>
      </c>
      <c r="M118" s="3967"/>
      <c r="N118" s="3869"/>
      <c r="O118" s="3869"/>
      <c r="P118" s="3869"/>
      <c r="Q118" s="3871"/>
      <c r="R118" s="3871"/>
      <c r="S118" s="49"/>
      <c r="T118" s="242" t="s">
        <v>1134</v>
      </c>
      <c r="U118" s="43" t="s">
        <v>8176</v>
      </c>
      <c r="V118" s="43" t="str">
        <f t="shared" si="5"/>
        <v>反步兵地雷</v>
      </c>
      <c r="W118" s="244"/>
      <c r="X118" s="244"/>
      <c r="Y118" s="244"/>
      <c r="Z118" s="244"/>
      <c r="AA118" s="244"/>
      <c r="AB118" s="244"/>
      <c r="AC118" s="244"/>
      <c r="AD118" s="244"/>
      <c r="AE118" s="244"/>
      <c r="AF118" s="246"/>
    </row>
    <row r="119" spans="1:32" ht="14.25" customHeight="1">
      <c r="B119" s="347" t="str">
        <f t="shared" si="6"/>
        <v>-阔剑地雷</v>
      </c>
      <c r="C119" s="348" t="s">
        <v>163</v>
      </c>
      <c r="D119" s="349" t="s">
        <v>8177</v>
      </c>
      <c r="E119" s="349" t="s">
        <v>8140</v>
      </c>
      <c r="F119" s="349" t="s">
        <v>7761</v>
      </c>
      <c r="G119" s="349" t="s">
        <v>8174</v>
      </c>
      <c r="H119" s="349" t="s">
        <v>7860</v>
      </c>
      <c r="I119" s="349" t="s">
        <v>7910</v>
      </c>
      <c r="J119" s="349" t="s">
        <v>5312</v>
      </c>
      <c r="K119" s="349" t="s">
        <v>8024</v>
      </c>
      <c r="L119" s="350" t="s">
        <v>7963</v>
      </c>
      <c r="M119" s="3967"/>
      <c r="N119" s="3869"/>
      <c r="O119" s="3869"/>
      <c r="P119" s="3869"/>
      <c r="Q119" s="3871"/>
      <c r="R119" s="3871"/>
      <c r="S119" s="49"/>
      <c r="T119" s="242" t="s">
        <v>8178</v>
      </c>
      <c r="U119" s="43" t="s">
        <v>8179</v>
      </c>
      <c r="V119" s="43" t="str">
        <f t="shared" si="5"/>
        <v>-阔剑地雷</v>
      </c>
      <c r="W119" s="244"/>
      <c r="X119" s="244"/>
      <c r="Y119" s="244"/>
      <c r="Z119" s="244"/>
      <c r="AA119" s="244"/>
      <c r="AB119" s="244"/>
      <c r="AC119" s="244"/>
      <c r="AD119" s="244"/>
      <c r="AE119" s="244"/>
      <c r="AF119" s="246"/>
    </row>
    <row r="120" spans="1:32" ht="14.25" customHeight="1">
      <c r="B120" s="347" t="str">
        <f t="shared" si="6"/>
        <v>火焰喷射器</v>
      </c>
      <c r="C120" s="309" t="s">
        <v>3887</v>
      </c>
      <c r="D120" s="310" t="s">
        <v>8115</v>
      </c>
      <c r="E120" s="310" t="s">
        <v>8180</v>
      </c>
      <c r="F120" s="310" t="s">
        <v>7761</v>
      </c>
      <c r="G120" s="310" t="s">
        <v>7748</v>
      </c>
      <c r="H120" s="310" t="s">
        <v>8181</v>
      </c>
      <c r="I120" s="310" t="s">
        <v>8182</v>
      </c>
      <c r="J120" s="310" t="s">
        <v>7750</v>
      </c>
      <c r="K120" s="310" t="s">
        <v>8024</v>
      </c>
      <c r="L120" s="311" t="s">
        <v>8183</v>
      </c>
      <c r="M120" s="3967"/>
      <c r="N120" s="3869"/>
      <c r="O120" s="3869"/>
      <c r="P120" s="3869"/>
      <c r="Q120" s="3871"/>
      <c r="R120" s="3871"/>
      <c r="S120" s="49"/>
      <c r="T120" s="242" t="s">
        <v>7961</v>
      </c>
      <c r="U120" s="43" t="s">
        <v>8184</v>
      </c>
      <c r="V120" s="43" t="str">
        <f t="shared" si="5"/>
        <v>火焰喷射器</v>
      </c>
      <c r="W120" s="244"/>
      <c r="X120" s="244"/>
      <c r="Y120" s="244"/>
      <c r="Z120" s="244"/>
      <c r="AA120" s="244"/>
      <c r="AB120" s="244"/>
      <c r="AC120" s="244"/>
      <c r="AD120" s="244"/>
      <c r="AE120" s="244"/>
      <c r="AF120" s="246"/>
    </row>
    <row r="121" spans="1:32" ht="17" customHeight="1">
      <c r="A121" s="209"/>
      <c r="B121" s="351" t="str">
        <f t="shared" si="6"/>
        <v>-M72 式单发轻型反坦克炮</v>
      </c>
      <c r="C121" s="352" t="s">
        <v>3965</v>
      </c>
      <c r="D121" s="353" t="s">
        <v>8185</v>
      </c>
      <c r="E121" s="353" t="s">
        <v>8186</v>
      </c>
      <c r="F121" s="353" t="s">
        <v>7761</v>
      </c>
      <c r="G121" s="353" t="s">
        <v>7748</v>
      </c>
      <c r="H121" s="353" t="s">
        <v>7748</v>
      </c>
      <c r="I121" s="353" t="s">
        <v>7922</v>
      </c>
      <c r="J121" s="353" t="s">
        <v>5312</v>
      </c>
      <c r="K121" s="353" t="s">
        <v>8024</v>
      </c>
      <c r="L121" s="354" t="s">
        <v>8110</v>
      </c>
      <c r="M121" s="3968"/>
      <c r="N121" s="3870"/>
      <c r="O121" s="3870"/>
      <c r="P121" s="3870"/>
      <c r="Q121" s="3872"/>
      <c r="R121" s="3872"/>
      <c r="S121" s="49"/>
      <c r="T121" s="242" t="s">
        <v>8187</v>
      </c>
      <c r="U121" s="43" t="s">
        <v>8188</v>
      </c>
      <c r="V121" s="43" t="str">
        <f t="shared" si="5"/>
        <v>-M72 式单发轻型反坦克炮</v>
      </c>
      <c r="W121" s="244"/>
      <c r="X121" s="244"/>
      <c r="Y121" s="244"/>
      <c r="Z121" s="244"/>
      <c r="AA121" s="244"/>
      <c r="AB121" s="244"/>
      <c r="AC121" s="244"/>
      <c r="AD121" s="244"/>
      <c r="AE121" s="244"/>
      <c r="AF121" s="246"/>
    </row>
    <row r="122" spans="1:32">
      <c r="A122" s="209"/>
      <c r="B122" s="355"/>
      <c r="C122" s="355"/>
      <c r="D122" s="198"/>
      <c r="E122" s="198"/>
      <c r="F122" s="198"/>
      <c r="G122" s="198"/>
      <c r="H122" s="198"/>
      <c r="I122" s="198"/>
      <c r="J122" s="198"/>
      <c r="K122" s="49"/>
      <c r="L122" s="49"/>
      <c r="M122" s="49"/>
      <c r="N122" s="4160"/>
      <c r="O122" s="4160"/>
      <c r="P122" s="4160"/>
      <c r="Q122" s="4160"/>
      <c r="R122" s="4160"/>
      <c r="S122" s="49"/>
      <c r="T122" s="49"/>
    </row>
    <row r="123" spans="1:32" ht="16.5">
      <c r="A123" s="209"/>
      <c r="B123" s="4161" t="s">
        <v>8189</v>
      </c>
      <c r="C123" s="4162"/>
      <c r="D123" s="4162"/>
      <c r="E123" s="4162"/>
      <c r="F123" s="4162"/>
      <c r="G123" s="4162"/>
      <c r="H123" s="4162"/>
      <c r="I123" s="4162"/>
      <c r="J123" s="4162"/>
      <c r="K123" s="4162"/>
      <c r="L123" s="4163"/>
      <c r="M123" s="211"/>
      <c r="N123" s="211"/>
      <c r="O123" s="211"/>
      <c r="P123" s="211"/>
      <c r="Q123" s="211"/>
      <c r="R123" s="211"/>
      <c r="S123" s="211"/>
      <c r="T123" s="211"/>
    </row>
    <row r="124" spans="1:32" ht="15" customHeight="1">
      <c r="A124" s="209"/>
      <c r="B124" s="4164" t="s">
        <v>8190</v>
      </c>
      <c r="C124" s="3973"/>
      <c r="D124" s="3973"/>
      <c r="E124" s="3973"/>
      <c r="F124" s="3973"/>
      <c r="G124" s="3973"/>
      <c r="H124" s="3973"/>
      <c r="I124" s="3973"/>
      <c r="J124" s="3973"/>
      <c r="K124" s="3973"/>
      <c r="L124" s="3974"/>
      <c r="M124" s="211"/>
      <c r="N124" s="4165" t="s">
        <v>8191</v>
      </c>
      <c r="O124" s="4166"/>
      <c r="P124" s="4166"/>
      <c r="Q124" s="4166"/>
      <c r="R124" s="4167"/>
      <c r="S124" s="211"/>
      <c r="T124" s="211"/>
    </row>
    <row r="125" spans="1:32" ht="16.5">
      <c r="A125" s="209"/>
      <c r="B125" s="4025" t="s">
        <v>8192</v>
      </c>
      <c r="C125" s="4148"/>
      <c r="D125" s="4148"/>
      <c r="E125" s="4148"/>
      <c r="F125" s="4148"/>
      <c r="G125" s="4148"/>
      <c r="H125" s="4148"/>
      <c r="I125" s="4148"/>
      <c r="J125" s="4148"/>
      <c r="K125" s="4148"/>
      <c r="L125" s="4026"/>
      <c r="M125" s="211"/>
      <c r="N125" s="4168" t="s">
        <v>8193</v>
      </c>
      <c r="O125" s="4169"/>
      <c r="P125" s="358" t="s">
        <v>8194</v>
      </c>
      <c r="Q125" s="4169" t="s">
        <v>8195</v>
      </c>
      <c r="R125" s="4170"/>
      <c r="S125" s="211"/>
      <c r="T125" s="211"/>
    </row>
    <row r="126" spans="1:32" ht="16.5">
      <c r="A126" s="209"/>
      <c r="B126" s="4025" t="s">
        <v>8196</v>
      </c>
      <c r="C126" s="4148"/>
      <c r="D126" s="4148"/>
      <c r="E126" s="4148"/>
      <c r="F126" s="4148"/>
      <c r="G126" s="4148"/>
      <c r="H126" s="4148"/>
      <c r="I126" s="4148"/>
      <c r="J126" s="4148"/>
      <c r="K126" s="4148"/>
      <c r="L126" s="4026"/>
      <c r="M126" s="211"/>
      <c r="N126" s="3906" t="s">
        <v>8197</v>
      </c>
      <c r="O126" s="3907"/>
      <c r="P126" s="359" t="s">
        <v>8198</v>
      </c>
      <c r="Q126" s="3909" t="s">
        <v>8199</v>
      </c>
      <c r="R126" s="3910"/>
      <c r="S126" s="211"/>
      <c r="T126" s="211"/>
    </row>
    <row r="127" spans="1:32" ht="16" customHeight="1">
      <c r="A127" s="209"/>
      <c r="B127" s="4149" t="s">
        <v>8200</v>
      </c>
      <c r="C127" s="4150"/>
      <c r="D127" s="4150"/>
      <c r="E127" s="4150"/>
      <c r="F127" s="4150"/>
      <c r="G127" s="4150"/>
      <c r="H127" s="4150"/>
      <c r="I127" s="4150"/>
      <c r="J127" s="4150"/>
      <c r="K127" s="4150"/>
      <c r="L127" s="4151"/>
      <c r="M127" s="211"/>
      <c r="N127" s="3908"/>
      <c r="O127" s="3874"/>
      <c r="P127" s="360" t="s">
        <v>8201</v>
      </c>
      <c r="Q127" s="3911"/>
      <c r="R127" s="3910"/>
      <c r="S127" s="211"/>
      <c r="T127" s="211"/>
    </row>
    <row r="128" spans="1:32" ht="16.5">
      <c r="A128" s="209"/>
      <c r="B128" s="4049" t="s">
        <v>8202</v>
      </c>
      <c r="C128" s="4019"/>
      <c r="D128" s="4019"/>
      <c r="E128" s="4019"/>
      <c r="F128" s="4019"/>
      <c r="G128" s="4019"/>
      <c r="H128" s="4019"/>
      <c r="I128" s="4019"/>
      <c r="J128" s="4019"/>
      <c r="K128" s="4019"/>
      <c r="L128" s="4152"/>
      <c r="M128" s="211"/>
      <c r="N128" s="361"/>
      <c r="O128" s="49"/>
      <c r="P128" s="360"/>
      <c r="Q128" s="3909" t="s">
        <v>8203</v>
      </c>
      <c r="R128" s="3910"/>
      <c r="S128" s="211"/>
      <c r="T128" s="211"/>
    </row>
    <row r="129" spans="1:20" ht="16.5">
      <c r="A129" s="209"/>
      <c r="B129" s="4049" t="s">
        <v>8204</v>
      </c>
      <c r="C129" s="4019"/>
      <c r="D129" s="4019"/>
      <c r="E129" s="4019"/>
      <c r="F129" s="4019"/>
      <c r="G129" s="4019"/>
      <c r="H129" s="4019"/>
      <c r="I129" s="4019"/>
      <c r="J129" s="4019"/>
      <c r="K129" s="4019"/>
      <c r="L129" s="4152"/>
      <c r="M129" s="211"/>
      <c r="N129" s="361"/>
      <c r="O129" s="49"/>
      <c r="P129" s="360" t="s">
        <v>8205</v>
      </c>
      <c r="Q129" s="3911"/>
      <c r="R129" s="3910"/>
      <c r="S129" s="211"/>
      <c r="T129" s="211"/>
    </row>
    <row r="130" spans="1:20" ht="16.5">
      <c r="A130" s="209"/>
      <c r="B130" s="4153" t="s">
        <v>8206</v>
      </c>
      <c r="C130" s="4154"/>
      <c r="D130" s="4154"/>
      <c r="E130" s="4154"/>
      <c r="F130" s="4154"/>
      <c r="G130" s="4154"/>
      <c r="H130" s="4154"/>
      <c r="I130" s="4154"/>
      <c r="J130" s="4154"/>
      <c r="K130" s="4154"/>
      <c r="L130" s="4155"/>
      <c r="M130" s="211"/>
      <c r="N130" s="361"/>
      <c r="O130" s="49"/>
      <c r="P130" s="360" t="s">
        <v>8207</v>
      </c>
      <c r="Q130" s="3909" t="s">
        <v>8208</v>
      </c>
      <c r="R130" s="3910"/>
      <c r="S130" s="211"/>
      <c r="T130" s="211"/>
    </row>
    <row r="131" spans="1:20" ht="16.5">
      <c r="A131" s="209"/>
      <c r="B131" s="4149" t="s">
        <v>8209</v>
      </c>
      <c r="C131" s="4150"/>
      <c r="D131" s="4150"/>
      <c r="E131" s="4150"/>
      <c r="F131" s="4150"/>
      <c r="G131" s="4150"/>
      <c r="H131" s="4150"/>
      <c r="I131" s="4150"/>
      <c r="J131" s="4150"/>
      <c r="K131" s="4150"/>
      <c r="L131" s="4151"/>
      <c r="M131" s="211"/>
      <c r="N131" s="3873" t="s">
        <v>8210</v>
      </c>
      <c r="O131" s="3874"/>
      <c r="P131" s="360"/>
      <c r="Q131" s="3911"/>
      <c r="R131" s="3910"/>
      <c r="S131" s="211"/>
      <c r="T131" s="211"/>
    </row>
    <row r="132" spans="1:20" ht="16.5">
      <c r="A132" s="209"/>
      <c r="B132" s="4132" t="s">
        <v>8211</v>
      </c>
      <c r="C132" s="4133"/>
      <c r="D132" s="4133"/>
      <c r="E132" s="4133"/>
      <c r="F132" s="4133"/>
      <c r="G132" s="4133"/>
      <c r="H132" s="4133"/>
      <c r="I132" s="4133"/>
      <c r="J132" s="4133"/>
      <c r="K132" s="4133"/>
      <c r="L132" s="4134"/>
      <c r="M132" s="211"/>
      <c r="N132" s="3908"/>
      <c r="O132" s="3874"/>
      <c r="P132" s="360" t="s">
        <v>8212</v>
      </c>
      <c r="Q132" s="3911" t="s">
        <v>8213</v>
      </c>
      <c r="R132" s="3910"/>
      <c r="S132" s="211"/>
      <c r="T132" s="211"/>
    </row>
    <row r="133" spans="1:20" ht="16.5">
      <c r="A133" s="209"/>
      <c r="B133" s="4049" t="s">
        <v>8214</v>
      </c>
      <c r="C133" s="4019"/>
      <c r="D133" s="4019"/>
      <c r="E133" s="4019"/>
      <c r="F133" s="4019"/>
      <c r="G133" s="4019"/>
      <c r="H133" s="4019"/>
      <c r="I133" s="4019"/>
      <c r="J133" s="4019"/>
      <c r="K133" s="4019"/>
      <c r="L133" s="4152"/>
      <c r="M133" s="211"/>
      <c r="N133" s="362"/>
      <c r="O133" s="211"/>
      <c r="P133" s="360" t="s">
        <v>8215</v>
      </c>
      <c r="Q133" s="3911" t="s">
        <v>8216</v>
      </c>
      <c r="R133" s="3910"/>
      <c r="S133" s="211"/>
      <c r="T133" s="211"/>
    </row>
    <row r="134" spans="1:20" ht="16.5">
      <c r="A134" s="209"/>
      <c r="B134" s="4132" t="s">
        <v>8217</v>
      </c>
      <c r="C134" s="4133"/>
      <c r="D134" s="4133"/>
      <c r="E134" s="4133"/>
      <c r="F134" s="4133"/>
      <c r="G134" s="4133"/>
      <c r="H134" s="4133"/>
      <c r="I134" s="4133"/>
      <c r="J134" s="4133"/>
      <c r="K134" s="4133"/>
      <c r="L134" s="4134"/>
      <c r="M134" s="211"/>
      <c r="N134" s="3913"/>
      <c r="O134" s="3914"/>
      <c r="P134" s="363"/>
      <c r="Q134" s="3909" t="s">
        <v>8218</v>
      </c>
      <c r="R134" s="3912"/>
      <c r="S134" s="211"/>
      <c r="T134" s="211"/>
    </row>
    <row r="135" spans="1:20" ht="16.5">
      <c r="A135" s="209"/>
      <c r="B135" s="4135" t="s">
        <v>8219</v>
      </c>
      <c r="C135" s="4136"/>
      <c r="D135" s="4136"/>
      <c r="E135" s="4136"/>
      <c r="F135" s="4136"/>
      <c r="G135" s="4136"/>
      <c r="H135" s="4136"/>
      <c r="I135" s="4136"/>
      <c r="J135" s="4136"/>
      <c r="K135" s="4136"/>
      <c r="L135" s="4137"/>
      <c r="M135" s="211"/>
      <c r="N135" s="3913"/>
      <c r="O135" s="3914"/>
      <c r="P135" s="363"/>
      <c r="Q135" s="3909"/>
      <c r="R135" s="3912"/>
      <c r="S135" s="211"/>
      <c r="T135" s="211"/>
    </row>
    <row r="136" spans="1:20" ht="16.5">
      <c r="A136" s="209"/>
      <c r="B136" s="364"/>
      <c r="C136" s="364"/>
      <c r="D136" s="213"/>
      <c r="E136" s="213"/>
      <c r="F136" s="213"/>
      <c r="G136" s="213"/>
      <c r="H136" s="213"/>
      <c r="I136" s="213"/>
      <c r="J136" s="213"/>
      <c r="K136" s="211"/>
      <c r="L136" s="211"/>
      <c r="M136" s="211"/>
      <c r="N136" s="3873" t="s">
        <v>8220</v>
      </c>
      <c r="O136" s="3874"/>
      <c r="P136" s="363"/>
      <c r="Q136" s="3909" t="s">
        <v>8221</v>
      </c>
      <c r="R136" s="3912"/>
      <c r="S136" s="211"/>
      <c r="T136" s="211"/>
    </row>
    <row r="137" spans="1:20" ht="16.5">
      <c r="A137" s="209"/>
      <c r="B137" s="4044" t="s">
        <v>8222</v>
      </c>
      <c r="C137" s="4021" t="s">
        <v>8223</v>
      </c>
      <c r="D137" s="4021"/>
      <c r="E137" s="3877" t="s">
        <v>8224</v>
      </c>
      <c r="F137" s="3877"/>
      <c r="G137" s="3877"/>
      <c r="H137" s="3877"/>
      <c r="I137" s="3877"/>
      <c r="J137" s="3877"/>
      <c r="K137" s="3877"/>
      <c r="L137" s="3878"/>
      <c r="M137" s="211"/>
      <c r="N137" s="3875"/>
      <c r="O137" s="3876"/>
      <c r="P137" s="365"/>
      <c r="Q137" s="3921"/>
      <c r="R137" s="3922"/>
      <c r="S137" s="211"/>
      <c r="T137" s="211"/>
    </row>
    <row r="138" spans="1:20" ht="16.5">
      <c r="A138" s="209"/>
      <c r="B138" s="4045"/>
      <c r="C138" s="4022"/>
      <c r="D138" s="4022"/>
      <c r="E138" s="3879"/>
      <c r="F138" s="3879"/>
      <c r="G138" s="3879"/>
      <c r="H138" s="3879"/>
      <c r="I138" s="3879"/>
      <c r="J138" s="3879"/>
      <c r="K138" s="3879"/>
      <c r="L138" s="3880"/>
      <c r="M138" s="211"/>
      <c r="N138" s="211"/>
      <c r="O138" s="211"/>
      <c r="P138" s="211"/>
      <c r="Q138" s="211"/>
      <c r="R138" s="211"/>
      <c r="S138" s="211"/>
      <c r="T138" s="211"/>
    </row>
    <row r="139" spans="1:20" ht="16.5">
      <c r="A139" s="209"/>
      <c r="B139" s="4025" t="s">
        <v>8225</v>
      </c>
      <c r="C139" s="4019" t="s">
        <v>7879</v>
      </c>
      <c r="D139" s="4019"/>
      <c r="E139" s="3969" t="s">
        <v>8226</v>
      </c>
      <c r="F139" s="3969"/>
      <c r="G139" s="3969"/>
      <c r="H139" s="3969"/>
      <c r="I139" s="3969"/>
      <c r="J139" s="3969"/>
      <c r="K139" s="3969"/>
      <c r="L139" s="3970"/>
      <c r="M139" s="211"/>
      <c r="N139" s="4138" t="s">
        <v>8227</v>
      </c>
      <c r="O139" s="4139"/>
      <c r="P139" s="4139"/>
      <c r="Q139" s="4139"/>
      <c r="R139" s="4139"/>
      <c r="S139" s="4139"/>
      <c r="T139" s="4140"/>
    </row>
    <row r="140" spans="1:20" ht="16.5">
      <c r="A140" s="209"/>
      <c r="B140" s="4025"/>
      <c r="C140" s="4019"/>
      <c r="D140" s="4019"/>
      <c r="E140" s="3969"/>
      <c r="F140" s="3969"/>
      <c r="G140" s="3969"/>
      <c r="H140" s="3969"/>
      <c r="I140" s="3969"/>
      <c r="J140" s="3969"/>
      <c r="K140" s="3969"/>
      <c r="L140" s="3970"/>
      <c r="M140" s="211"/>
      <c r="N140" s="4141" t="s">
        <v>8228</v>
      </c>
      <c r="O140" s="3915" t="s">
        <v>8229</v>
      </c>
      <c r="P140" s="3916"/>
      <c r="Q140" s="3916"/>
      <c r="R140" s="3916"/>
      <c r="S140" s="3916"/>
      <c r="T140" s="3917"/>
    </row>
    <row r="141" spans="1:20" ht="16.5">
      <c r="A141" s="209"/>
      <c r="B141" s="4025"/>
      <c r="C141" s="4019"/>
      <c r="D141" s="4019"/>
      <c r="E141" s="3969"/>
      <c r="F141" s="3969"/>
      <c r="G141" s="3969"/>
      <c r="H141" s="3969"/>
      <c r="I141" s="3969"/>
      <c r="J141" s="3969"/>
      <c r="K141" s="3969"/>
      <c r="L141" s="3970"/>
      <c r="M141" s="211"/>
      <c r="N141" s="4142"/>
      <c r="O141" s="3918"/>
      <c r="P141" s="3919"/>
      <c r="Q141" s="3919"/>
      <c r="R141" s="3919"/>
      <c r="S141" s="3919"/>
      <c r="T141" s="3920"/>
    </row>
    <row r="142" spans="1:20" ht="16.5">
      <c r="A142" s="209"/>
      <c r="B142" s="4046" t="s">
        <v>8230</v>
      </c>
      <c r="C142" s="3893" t="s">
        <v>7793</v>
      </c>
      <c r="D142" s="3893"/>
      <c r="E142" s="3971" t="s">
        <v>8231</v>
      </c>
      <c r="F142" s="3971"/>
      <c r="G142" s="3971"/>
      <c r="H142" s="3971"/>
      <c r="I142" s="3971"/>
      <c r="J142" s="3971"/>
      <c r="K142" s="3971"/>
      <c r="L142" s="3972"/>
      <c r="M142" s="211"/>
      <c r="N142" s="4143" t="s">
        <v>8232</v>
      </c>
      <c r="O142" s="3881" t="s">
        <v>8233</v>
      </c>
      <c r="P142" s="3882"/>
      <c r="Q142" s="3882"/>
      <c r="R142" s="3882"/>
      <c r="S142" s="3882"/>
      <c r="T142" s="3883"/>
    </row>
    <row r="143" spans="1:20" ht="16.5">
      <c r="A143" s="209"/>
      <c r="B143" s="4046"/>
      <c r="C143" s="3893"/>
      <c r="D143" s="3893"/>
      <c r="E143" s="3971"/>
      <c r="F143" s="3971"/>
      <c r="G143" s="3971"/>
      <c r="H143" s="3971"/>
      <c r="I143" s="3971"/>
      <c r="J143" s="3971"/>
      <c r="K143" s="3971"/>
      <c r="L143" s="3972"/>
      <c r="M143" s="211"/>
      <c r="N143" s="4144"/>
      <c r="O143" s="3884"/>
      <c r="P143" s="3885"/>
      <c r="Q143" s="3885"/>
      <c r="R143" s="3885"/>
      <c r="S143" s="3885"/>
      <c r="T143" s="3886"/>
    </row>
    <row r="144" spans="1:20" ht="16.5">
      <c r="A144" s="209"/>
      <c r="B144" s="4046"/>
      <c r="C144" s="3893"/>
      <c r="D144" s="3893"/>
      <c r="E144" s="3971"/>
      <c r="F144" s="3971"/>
      <c r="G144" s="3971"/>
      <c r="H144" s="3971"/>
      <c r="I144" s="3971"/>
      <c r="J144" s="3971"/>
      <c r="K144" s="3971"/>
      <c r="L144" s="3972"/>
      <c r="M144" s="211"/>
      <c r="N144" s="4145" t="s">
        <v>8234</v>
      </c>
      <c r="O144" s="3887" t="s">
        <v>8235</v>
      </c>
      <c r="P144" s="3888"/>
      <c r="Q144" s="3888"/>
      <c r="R144" s="3888"/>
      <c r="S144" s="3888"/>
      <c r="T144" s="3889"/>
    </row>
    <row r="145" spans="1:20" ht="16.5">
      <c r="A145" s="209"/>
      <c r="B145" s="4025" t="s">
        <v>8236</v>
      </c>
      <c r="C145" s="4019" t="s">
        <v>1106</v>
      </c>
      <c r="D145" s="4019"/>
      <c r="E145" s="3973" t="s">
        <v>8237</v>
      </c>
      <c r="F145" s="3973"/>
      <c r="G145" s="3973"/>
      <c r="H145" s="3973"/>
      <c r="I145" s="3973"/>
      <c r="J145" s="3973"/>
      <c r="K145" s="3973"/>
      <c r="L145" s="3974"/>
      <c r="M145" s="211"/>
      <c r="N145" s="4145"/>
      <c r="O145" s="3887"/>
      <c r="P145" s="3888"/>
      <c r="Q145" s="3888"/>
      <c r="R145" s="3888"/>
      <c r="S145" s="3888"/>
      <c r="T145" s="3889"/>
    </row>
    <row r="146" spans="1:20" ht="16.5">
      <c r="A146" s="209"/>
      <c r="B146" s="4025"/>
      <c r="C146" s="4019"/>
      <c r="D146" s="4019"/>
      <c r="E146" s="3973"/>
      <c r="F146" s="3973"/>
      <c r="G146" s="3973"/>
      <c r="H146" s="3973"/>
      <c r="I146" s="3973"/>
      <c r="J146" s="3973"/>
      <c r="K146" s="3973"/>
      <c r="L146" s="3974"/>
      <c r="M146" s="211"/>
      <c r="N146" s="4145"/>
      <c r="O146" s="3887"/>
      <c r="P146" s="3888"/>
      <c r="Q146" s="3888"/>
      <c r="R146" s="3888"/>
      <c r="S146" s="3888"/>
      <c r="T146" s="3889"/>
    </row>
    <row r="147" spans="1:20" ht="16.5">
      <c r="A147" s="209"/>
      <c r="B147" s="4025"/>
      <c r="C147" s="4019"/>
      <c r="D147" s="4019"/>
      <c r="E147" s="3973"/>
      <c r="F147" s="3973"/>
      <c r="G147" s="3973"/>
      <c r="H147" s="3973"/>
      <c r="I147" s="3973"/>
      <c r="J147" s="3973"/>
      <c r="K147" s="3973"/>
      <c r="L147" s="3974"/>
      <c r="M147" s="211"/>
      <c r="N147" s="4145"/>
      <c r="O147" s="3887"/>
      <c r="P147" s="3888"/>
      <c r="Q147" s="3888"/>
      <c r="R147" s="3888"/>
      <c r="S147" s="3888"/>
      <c r="T147" s="3889"/>
    </row>
    <row r="148" spans="1:20" ht="16.5">
      <c r="A148" s="209"/>
      <c r="B148" s="4047" t="s">
        <v>8238</v>
      </c>
      <c r="C148" s="3893" t="s">
        <v>1289</v>
      </c>
      <c r="D148" s="4020"/>
      <c r="E148" s="3895" t="s">
        <v>8239</v>
      </c>
      <c r="F148" s="3895"/>
      <c r="G148" s="3895"/>
      <c r="H148" s="3895"/>
      <c r="I148" s="3895"/>
      <c r="J148" s="3895"/>
      <c r="K148" s="3895"/>
      <c r="L148" s="3896"/>
      <c r="M148" s="211"/>
      <c r="N148" s="4146"/>
      <c r="O148" s="3890"/>
      <c r="P148" s="3891"/>
      <c r="Q148" s="3891"/>
      <c r="R148" s="3891"/>
      <c r="S148" s="3891"/>
      <c r="T148" s="3892"/>
    </row>
    <row r="149" spans="1:20" ht="16.5">
      <c r="A149" s="209"/>
      <c r="B149" s="4048"/>
      <c r="C149" s="4020"/>
      <c r="D149" s="4020"/>
      <c r="E149" s="3895"/>
      <c r="F149" s="3895"/>
      <c r="G149" s="3895"/>
      <c r="H149" s="3895"/>
      <c r="I149" s="3895"/>
      <c r="J149" s="3895"/>
      <c r="K149" s="3895"/>
      <c r="L149" s="3896"/>
      <c r="M149" s="211"/>
      <c r="N149" s="4147" t="s">
        <v>8240</v>
      </c>
      <c r="O149" s="3881" t="s">
        <v>8241</v>
      </c>
      <c r="P149" s="3882"/>
      <c r="Q149" s="3882"/>
      <c r="R149" s="3882"/>
      <c r="S149" s="3882"/>
      <c r="T149" s="3883"/>
    </row>
    <row r="150" spans="1:20" ht="16.5">
      <c r="A150" s="209"/>
      <c r="B150" s="4048"/>
      <c r="C150" s="4020"/>
      <c r="D150" s="4020"/>
      <c r="E150" s="3895"/>
      <c r="F150" s="3895"/>
      <c r="G150" s="3895"/>
      <c r="H150" s="3895"/>
      <c r="I150" s="3895"/>
      <c r="J150" s="3895"/>
      <c r="K150" s="3895"/>
      <c r="L150" s="3896"/>
      <c r="M150" s="211"/>
      <c r="N150" s="4147"/>
      <c r="O150" s="3881"/>
      <c r="P150" s="3882"/>
      <c r="Q150" s="3882"/>
      <c r="R150" s="3882"/>
      <c r="S150" s="3882"/>
      <c r="T150" s="3883"/>
    </row>
    <row r="151" spans="1:20" ht="16.5">
      <c r="A151" s="209"/>
      <c r="B151" s="4049" t="s">
        <v>8242</v>
      </c>
      <c r="C151" s="4019" t="s">
        <v>1134</v>
      </c>
      <c r="D151" s="4019"/>
      <c r="E151" s="3975" t="s">
        <v>8243</v>
      </c>
      <c r="F151" s="3975"/>
      <c r="G151" s="3975"/>
      <c r="H151" s="3975"/>
      <c r="I151" s="3975"/>
      <c r="J151" s="3975"/>
      <c r="K151" s="3975"/>
      <c r="L151" s="3976"/>
      <c r="M151" s="211"/>
      <c r="N151" s="4147"/>
      <c r="O151" s="3881"/>
      <c r="P151" s="3882"/>
      <c r="Q151" s="3882"/>
      <c r="R151" s="3882"/>
      <c r="S151" s="3882"/>
      <c r="T151" s="3883"/>
    </row>
    <row r="152" spans="1:20" ht="16.5">
      <c r="A152" s="209"/>
      <c r="B152" s="4049"/>
      <c r="C152" s="4019"/>
      <c r="D152" s="4019"/>
      <c r="E152" s="3975"/>
      <c r="F152" s="3975"/>
      <c r="G152" s="3975"/>
      <c r="H152" s="3975"/>
      <c r="I152" s="3975"/>
      <c r="J152" s="3975"/>
      <c r="K152" s="3975"/>
      <c r="L152" s="3976"/>
      <c r="M152" s="211"/>
      <c r="N152" s="4147"/>
      <c r="O152" s="3881"/>
      <c r="P152" s="3882"/>
      <c r="Q152" s="3882"/>
      <c r="R152" s="3882"/>
      <c r="S152" s="3882"/>
      <c r="T152" s="3883"/>
    </row>
    <row r="153" spans="1:20" ht="16.5">
      <c r="A153" s="209"/>
      <c r="B153" s="4049"/>
      <c r="C153" s="4019"/>
      <c r="D153" s="4019"/>
      <c r="E153" s="3975"/>
      <c r="F153" s="3975"/>
      <c r="G153" s="3975"/>
      <c r="H153" s="3975"/>
      <c r="I153" s="3975"/>
      <c r="J153" s="3975"/>
      <c r="K153" s="3975"/>
      <c r="L153" s="3976"/>
      <c r="M153" s="211"/>
      <c r="N153" s="4147"/>
      <c r="O153" s="3881"/>
      <c r="P153" s="3882"/>
      <c r="Q153" s="3882"/>
      <c r="R153" s="3882"/>
      <c r="S153" s="3882"/>
      <c r="T153" s="3883"/>
    </row>
    <row r="154" spans="1:20" ht="16.5">
      <c r="A154" s="209"/>
      <c r="B154" s="4047" t="s">
        <v>8244</v>
      </c>
      <c r="C154" s="3893" t="s">
        <v>8124</v>
      </c>
      <c r="D154" s="3893"/>
      <c r="E154" s="3895" t="s">
        <v>8245</v>
      </c>
      <c r="F154" s="3895"/>
      <c r="G154" s="3895"/>
      <c r="H154" s="3895"/>
      <c r="I154" s="3895"/>
      <c r="J154" s="3895"/>
      <c r="K154" s="3895"/>
      <c r="L154" s="3896"/>
      <c r="M154" s="211"/>
      <c r="N154" s="4147"/>
      <c r="O154" s="3881"/>
      <c r="P154" s="3882"/>
      <c r="Q154" s="3882"/>
      <c r="R154" s="3882"/>
      <c r="S154" s="3882"/>
      <c r="T154" s="3883"/>
    </row>
    <row r="155" spans="1:20" ht="16.5">
      <c r="A155" s="209"/>
      <c r="B155" s="4047"/>
      <c r="C155" s="3893"/>
      <c r="D155" s="3893"/>
      <c r="E155" s="3895"/>
      <c r="F155" s="3895"/>
      <c r="G155" s="3895"/>
      <c r="H155" s="3895"/>
      <c r="I155" s="3895"/>
      <c r="J155" s="3895"/>
      <c r="K155" s="3895"/>
      <c r="L155" s="3896"/>
      <c r="M155" s="211"/>
      <c r="N155" s="4147"/>
      <c r="O155" s="3881"/>
      <c r="P155" s="3882"/>
      <c r="Q155" s="3882"/>
      <c r="R155" s="3882"/>
      <c r="S155" s="3882"/>
      <c r="T155" s="3883"/>
    </row>
    <row r="156" spans="1:20" ht="16.5">
      <c r="A156" s="209"/>
      <c r="B156" s="4050"/>
      <c r="C156" s="3894"/>
      <c r="D156" s="3894"/>
      <c r="E156" s="3897"/>
      <c r="F156" s="3897"/>
      <c r="G156" s="3897"/>
      <c r="H156" s="3897"/>
      <c r="I156" s="3897"/>
      <c r="J156" s="3897"/>
      <c r="K156" s="3897"/>
      <c r="L156" s="3898"/>
      <c r="M156" s="211"/>
      <c r="N156" s="4147"/>
      <c r="O156" s="3881"/>
      <c r="P156" s="3882"/>
      <c r="Q156" s="3882"/>
      <c r="R156" s="3882"/>
      <c r="S156" s="3882"/>
      <c r="T156" s="3883"/>
    </row>
    <row r="157" spans="1:20">
      <c r="A157" s="209"/>
      <c r="B157" s="198"/>
      <c r="C157" s="198"/>
      <c r="D157" s="198"/>
      <c r="E157" s="198"/>
      <c r="F157" s="198"/>
      <c r="G157" s="198"/>
      <c r="H157" s="198"/>
      <c r="I157" s="198"/>
      <c r="J157" s="198"/>
      <c r="K157" s="49"/>
      <c r="L157" s="49"/>
      <c r="M157" s="49"/>
      <c r="N157" s="366"/>
      <c r="O157" s="366"/>
      <c r="P157" s="366"/>
      <c r="Q157" s="366"/>
      <c r="R157" s="366"/>
      <c r="S157" s="366"/>
      <c r="T157" s="366"/>
    </row>
    <row r="158" spans="1:20">
      <c r="A158" s="209"/>
      <c r="B158" s="3977" t="s">
        <v>8246</v>
      </c>
      <c r="C158" s="3978"/>
      <c r="D158" s="3978"/>
      <c r="E158" s="3978"/>
      <c r="F158" s="3978"/>
      <c r="G158" s="3978"/>
      <c r="H158" s="3978"/>
      <c r="I158" s="3978"/>
      <c r="J158" s="3978"/>
      <c r="K158" s="3978"/>
      <c r="L158" s="3978"/>
      <c r="M158" s="3978"/>
      <c r="N158" s="3978"/>
      <c r="O158" s="3978"/>
      <c r="P158" s="3978"/>
      <c r="Q158" s="3978"/>
      <c r="R158" s="3978"/>
      <c r="S158" s="3978"/>
      <c r="T158" s="3979"/>
    </row>
    <row r="159" spans="1:20">
      <c r="A159" s="209"/>
      <c r="B159" s="3980"/>
      <c r="C159" s="3981"/>
      <c r="D159" s="3981"/>
      <c r="E159" s="3981"/>
      <c r="F159" s="3981"/>
      <c r="G159" s="3981"/>
      <c r="H159" s="3981"/>
      <c r="I159" s="3981"/>
      <c r="J159" s="3981"/>
      <c r="K159" s="3981"/>
      <c r="L159" s="3981"/>
      <c r="M159" s="3981"/>
      <c r="N159" s="3981"/>
      <c r="O159" s="3981"/>
      <c r="P159" s="3981"/>
      <c r="Q159" s="3981"/>
      <c r="R159" s="3981"/>
      <c r="S159" s="3981"/>
      <c r="T159" s="3982"/>
    </row>
    <row r="160" spans="1:20">
      <c r="A160" s="209"/>
      <c r="B160" s="3983"/>
      <c r="C160" s="3984"/>
      <c r="D160" s="3984"/>
      <c r="E160" s="3984"/>
      <c r="F160" s="3984"/>
      <c r="G160" s="3984"/>
      <c r="H160" s="3984"/>
      <c r="I160" s="3984"/>
      <c r="J160" s="3984"/>
      <c r="K160" s="3984"/>
      <c r="L160" s="3984"/>
      <c r="M160" s="3984"/>
      <c r="N160" s="3984"/>
      <c r="O160" s="3984"/>
      <c r="P160" s="3984"/>
      <c r="Q160" s="3984"/>
      <c r="R160" s="3984"/>
      <c r="S160" s="3984"/>
      <c r="T160" s="3985"/>
    </row>
    <row r="161" spans="1:21" ht="16.5">
      <c r="A161" s="209"/>
      <c r="B161" s="364"/>
      <c r="C161" s="364"/>
      <c r="D161" s="364"/>
      <c r="E161" s="364"/>
      <c r="F161" s="364"/>
      <c r="G161" s="364"/>
      <c r="H161" s="213"/>
      <c r="I161" s="213"/>
      <c r="J161" s="213"/>
      <c r="K161" s="211"/>
      <c r="L161" s="211"/>
      <c r="M161" s="211"/>
      <c r="N161" s="211"/>
      <c r="O161" s="211"/>
      <c r="P161" s="211"/>
      <c r="Q161" s="211"/>
      <c r="R161" s="211"/>
      <c r="S161" s="211"/>
      <c r="T161" s="211"/>
    </row>
    <row r="162" spans="1:21" ht="23" customHeight="1">
      <c r="A162" s="209"/>
      <c r="B162" s="367" t="s">
        <v>8247</v>
      </c>
      <c r="C162" s="364"/>
      <c r="D162" s="4002" t="s">
        <v>8248</v>
      </c>
      <c r="E162" s="4003"/>
      <c r="F162" s="4002" t="s">
        <v>8249</v>
      </c>
      <c r="G162" s="4023"/>
      <c r="H162" s="4023"/>
      <c r="I162" s="4003"/>
      <c r="J162" s="213"/>
      <c r="K162" s="3925" t="s">
        <v>8250</v>
      </c>
      <c r="L162" s="3926"/>
      <c r="M162" s="3927"/>
      <c r="N162" s="211"/>
      <c r="O162" s="3925" t="s">
        <v>8251</v>
      </c>
      <c r="P162" s="3927"/>
      <c r="Q162" s="211"/>
      <c r="R162" s="3925" t="s">
        <v>8252</v>
      </c>
      <c r="S162" s="3926"/>
      <c r="T162" s="3927"/>
    </row>
    <row r="163" spans="1:21" ht="16.5">
      <c r="A163" s="209"/>
      <c r="B163" s="4051" t="s">
        <v>8253</v>
      </c>
      <c r="C163" s="368"/>
      <c r="D163" s="3986" t="s">
        <v>8254</v>
      </c>
      <c r="E163" s="3987"/>
      <c r="F163" s="3986" t="s">
        <v>8255</v>
      </c>
      <c r="G163" s="3990"/>
      <c r="H163" s="3990"/>
      <c r="I163" s="3987"/>
      <c r="J163" s="368"/>
      <c r="K163" s="3992" t="s">
        <v>8256</v>
      </c>
      <c r="L163" s="3882"/>
      <c r="M163" s="3883"/>
      <c r="N163" s="369"/>
      <c r="O163" s="3992" t="s">
        <v>8257</v>
      </c>
      <c r="P163" s="3883"/>
      <c r="Q163" s="369"/>
      <c r="R163" s="3996" t="s">
        <v>8258</v>
      </c>
      <c r="S163" s="3997"/>
      <c r="T163" s="3998"/>
    </row>
    <row r="164" spans="1:21" ht="16.5">
      <c r="A164" s="209"/>
      <c r="B164" s="4051"/>
      <c r="C164" s="368"/>
      <c r="D164" s="3986"/>
      <c r="E164" s="3987"/>
      <c r="F164" s="3986"/>
      <c r="G164" s="3990"/>
      <c r="H164" s="3990"/>
      <c r="I164" s="3987"/>
      <c r="J164" s="368"/>
      <c r="K164" s="3992"/>
      <c r="L164" s="3882"/>
      <c r="M164" s="3883"/>
      <c r="N164" s="369"/>
      <c r="O164" s="3992"/>
      <c r="P164" s="3883"/>
      <c r="Q164" s="369"/>
      <c r="R164" s="3996"/>
      <c r="S164" s="3997"/>
      <c r="T164" s="3998"/>
    </row>
    <row r="165" spans="1:21" ht="16.5">
      <c r="A165" s="209"/>
      <c r="B165" s="4051"/>
      <c r="C165" s="368"/>
      <c r="D165" s="3986"/>
      <c r="E165" s="3987"/>
      <c r="F165" s="3986"/>
      <c r="G165" s="3990"/>
      <c r="H165" s="3990"/>
      <c r="I165" s="3987"/>
      <c r="J165" s="368"/>
      <c r="K165" s="3992"/>
      <c r="L165" s="3882"/>
      <c r="M165" s="3883"/>
      <c r="N165" s="369"/>
      <c r="O165" s="3992"/>
      <c r="P165" s="3883"/>
      <c r="Q165" s="369"/>
      <c r="R165" s="3996"/>
      <c r="S165" s="3997"/>
      <c r="T165" s="3998"/>
    </row>
    <row r="166" spans="1:21" ht="16.5">
      <c r="A166" s="209"/>
      <c r="B166" s="4051"/>
      <c r="C166" s="368"/>
      <c r="D166" s="3986"/>
      <c r="E166" s="3987"/>
      <c r="F166" s="3986"/>
      <c r="G166" s="3990"/>
      <c r="H166" s="3990"/>
      <c r="I166" s="3987"/>
      <c r="J166" s="368"/>
      <c r="K166" s="3992"/>
      <c r="L166" s="3882"/>
      <c r="M166" s="3883"/>
      <c r="N166" s="369"/>
      <c r="O166" s="3992"/>
      <c r="P166" s="3883"/>
      <c r="Q166" s="369"/>
      <c r="R166" s="3996"/>
      <c r="S166" s="3997"/>
      <c r="T166" s="3998"/>
    </row>
    <row r="167" spans="1:21" ht="16.5">
      <c r="A167" s="209"/>
      <c r="B167" s="4051"/>
      <c r="C167" s="368"/>
      <c r="D167" s="3986"/>
      <c r="E167" s="3987"/>
      <c r="F167" s="3986"/>
      <c r="G167" s="3990"/>
      <c r="H167" s="3990"/>
      <c r="I167" s="3987"/>
      <c r="J167" s="368"/>
      <c r="K167" s="3992"/>
      <c r="L167" s="3882"/>
      <c r="M167" s="3883"/>
      <c r="N167" s="369"/>
      <c r="O167" s="3992"/>
      <c r="P167" s="3883"/>
      <c r="Q167" s="369"/>
      <c r="R167" s="3996"/>
      <c r="S167" s="3997"/>
      <c r="T167" s="3998"/>
    </row>
    <row r="168" spans="1:21" ht="16.5">
      <c r="A168" s="209"/>
      <c r="B168" s="4051"/>
      <c r="C168" s="368"/>
      <c r="D168" s="3986"/>
      <c r="E168" s="3987"/>
      <c r="F168" s="3986"/>
      <c r="G168" s="3990"/>
      <c r="H168" s="3990"/>
      <c r="I168" s="3987"/>
      <c r="J168" s="368"/>
      <c r="K168" s="3992"/>
      <c r="L168" s="3882"/>
      <c r="M168" s="3883"/>
      <c r="N168" s="369"/>
      <c r="O168" s="3992"/>
      <c r="P168" s="3883"/>
      <c r="Q168" s="369"/>
      <c r="R168" s="3996"/>
      <c r="S168" s="3997"/>
      <c r="T168" s="3998"/>
    </row>
    <row r="169" spans="1:21" ht="16.5">
      <c r="A169" s="209"/>
      <c r="B169" s="4051"/>
      <c r="C169" s="368"/>
      <c r="D169" s="3986"/>
      <c r="E169" s="3987"/>
      <c r="F169" s="3986"/>
      <c r="G169" s="3990"/>
      <c r="H169" s="3990"/>
      <c r="I169" s="3987"/>
      <c r="J169" s="368"/>
      <c r="K169" s="3992"/>
      <c r="L169" s="3882"/>
      <c r="M169" s="3883"/>
      <c r="N169" s="369"/>
      <c r="O169" s="3992"/>
      <c r="P169" s="3883"/>
      <c r="Q169" s="369"/>
      <c r="R169" s="3996"/>
      <c r="S169" s="3997"/>
      <c r="T169" s="3998"/>
    </row>
    <row r="170" spans="1:21" ht="16.5">
      <c r="A170" s="209"/>
      <c r="B170" s="4051"/>
      <c r="C170" s="368"/>
      <c r="D170" s="3986"/>
      <c r="E170" s="3987"/>
      <c r="F170" s="3986"/>
      <c r="G170" s="3990"/>
      <c r="H170" s="3990"/>
      <c r="I170" s="3987"/>
      <c r="J170" s="368"/>
      <c r="K170" s="3992"/>
      <c r="L170" s="3882"/>
      <c r="M170" s="3883"/>
      <c r="N170" s="369"/>
      <c r="O170" s="3992"/>
      <c r="P170" s="3883"/>
      <c r="Q170" s="369"/>
      <c r="R170" s="3996"/>
      <c r="S170" s="3997"/>
      <c r="T170" s="3998"/>
    </row>
    <row r="171" spans="1:21" ht="16.5">
      <c r="A171" s="209"/>
      <c r="B171" s="4052"/>
      <c r="C171" s="368"/>
      <c r="D171" s="3988"/>
      <c r="E171" s="3989"/>
      <c r="F171" s="3988"/>
      <c r="G171" s="3991"/>
      <c r="H171" s="3991"/>
      <c r="I171" s="3989"/>
      <c r="J171" s="368"/>
      <c r="K171" s="3993"/>
      <c r="L171" s="3994"/>
      <c r="M171" s="3995"/>
      <c r="N171" s="369"/>
      <c r="O171" s="3993"/>
      <c r="P171" s="3995"/>
      <c r="Q171" s="369"/>
      <c r="R171" s="3999"/>
      <c r="S171" s="4000"/>
      <c r="T171" s="4001"/>
    </row>
    <row r="172" spans="1:21" ht="16.5">
      <c r="A172" s="209"/>
      <c r="B172" s="364"/>
      <c r="C172" s="364"/>
      <c r="D172" s="364"/>
      <c r="E172" s="364"/>
      <c r="F172" s="364"/>
      <c r="G172" s="364"/>
      <c r="H172" s="364"/>
      <c r="I172" s="364"/>
      <c r="J172" s="364"/>
      <c r="K172" s="211"/>
      <c r="L172" s="211"/>
      <c r="M172" s="211"/>
      <c r="N172" s="211"/>
      <c r="O172" s="211"/>
      <c r="P172" s="211"/>
      <c r="Q172" s="211"/>
      <c r="R172" s="211"/>
      <c r="S172" s="211"/>
      <c r="T172" s="211"/>
    </row>
    <row r="173" spans="1:21" ht="16.5">
      <c r="A173" s="209"/>
      <c r="B173" s="4002" t="s">
        <v>8259</v>
      </c>
      <c r="C173" s="4002" t="s">
        <v>8260</v>
      </c>
      <c r="D173" s="4003"/>
      <c r="E173" s="364"/>
      <c r="F173" s="4002" t="s">
        <v>8261</v>
      </c>
      <c r="G173" s="4023"/>
      <c r="H173" s="4023"/>
      <c r="I173" s="4023"/>
      <c r="J173" s="4023"/>
      <c r="K173" s="4002" t="s">
        <v>8262</v>
      </c>
      <c r="L173" s="4003"/>
      <c r="M173" s="211"/>
      <c r="N173" s="3925" t="s">
        <v>8263</v>
      </c>
      <c r="O173" s="3926"/>
      <c r="P173" s="3926"/>
      <c r="Q173" s="3926"/>
      <c r="R173" s="3926"/>
      <c r="S173" s="3926"/>
      <c r="T173" s="3927"/>
    </row>
    <row r="174" spans="1:21" ht="16.5">
      <c r="A174" s="209"/>
      <c r="B174" s="4004"/>
      <c r="C174" s="4004"/>
      <c r="D174" s="4005"/>
      <c r="E174" s="364"/>
      <c r="F174" s="4004"/>
      <c r="G174" s="4024"/>
      <c r="H174" s="4024"/>
      <c r="I174" s="4024"/>
      <c r="J174" s="4024"/>
      <c r="K174" s="4004"/>
      <c r="L174" s="4005"/>
      <c r="M174" s="211"/>
      <c r="N174" s="3928"/>
      <c r="O174" s="3929"/>
      <c r="P174" s="3929"/>
      <c r="Q174" s="3929"/>
      <c r="R174" s="3929"/>
      <c r="S174" s="3929"/>
      <c r="T174" s="3930"/>
    </row>
    <row r="175" spans="1:21" ht="16.5">
      <c r="A175" s="209"/>
      <c r="B175" s="4025" t="s">
        <v>8264</v>
      </c>
      <c r="C175" s="4025" t="s">
        <v>8265</v>
      </c>
      <c r="D175" s="4026"/>
      <c r="E175" s="364"/>
      <c r="F175" s="4027" t="s">
        <v>8266</v>
      </c>
      <c r="G175" s="4028"/>
      <c r="H175" s="4028"/>
      <c r="I175" s="4028"/>
      <c r="J175" s="4028"/>
      <c r="K175" s="3986" t="s">
        <v>8267</v>
      </c>
      <c r="L175" s="3987"/>
      <c r="M175" s="211"/>
      <c r="N175" s="4098" t="s">
        <v>8268</v>
      </c>
      <c r="O175" s="4099"/>
      <c r="P175" s="4099"/>
      <c r="Q175" s="4100"/>
      <c r="R175" s="4104" t="s">
        <v>8269</v>
      </c>
      <c r="S175" s="4105"/>
      <c r="T175" s="4106"/>
      <c r="U175" s="224"/>
    </row>
    <row r="176" spans="1:21" ht="16.5">
      <c r="A176" s="209"/>
      <c r="B176" s="4025"/>
      <c r="C176" s="4025"/>
      <c r="D176" s="4026"/>
      <c r="E176" s="364"/>
      <c r="F176" s="4027"/>
      <c r="G176" s="4028"/>
      <c r="H176" s="4028"/>
      <c r="I176" s="4028"/>
      <c r="J176" s="4028"/>
      <c r="K176" s="3986"/>
      <c r="L176" s="3987"/>
      <c r="M176" s="211"/>
      <c r="N176" s="4101"/>
      <c r="O176" s="4102"/>
      <c r="P176" s="3969"/>
      <c r="Q176" s="4103"/>
      <c r="R176" s="4068"/>
      <c r="S176" s="4069"/>
      <c r="T176" s="4037"/>
      <c r="U176" s="224"/>
    </row>
    <row r="177" spans="2:21" ht="16.5">
      <c r="B177" s="4025"/>
      <c r="C177" s="4025"/>
      <c r="D177" s="4026"/>
      <c r="E177" s="213"/>
      <c r="F177" s="4027"/>
      <c r="G177" s="4028"/>
      <c r="H177" s="4028"/>
      <c r="I177" s="4028"/>
      <c r="J177" s="4028"/>
      <c r="K177" s="3986"/>
      <c r="L177" s="3987"/>
      <c r="M177" s="211"/>
      <c r="N177" s="4107" t="s">
        <v>8270</v>
      </c>
      <c r="O177" s="4108"/>
      <c r="P177" s="4109"/>
      <c r="Q177" s="4110"/>
      <c r="R177" s="4110"/>
      <c r="S177" s="4110"/>
      <c r="T177" s="4111"/>
    </row>
    <row r="178" spans="2:21" ht="16.5">
      <c r="B178" s="4025"/>
      <c r="C178" s="370" t="s">
        <v>8271</v>
      </c>
      <c r="D178" s="371" t="s">
        <v>1463</v>
      </c>
      <c r="E178" s="213"/>
      <c r="F178" s="4027"/>
      <c r="G178" s="4028"/>
      <c r="H178" s="4028"/>
      <c r="I178" s="4028"/>
      <c r="J178" s="4028"/>
      <c r="K178" s="3986"/>
      <c r="L178" s="3987"/>
      <c r="M178" s="211"/>
      <c r="N178" s="4112"/>
      <c r="O178" s="4113"/>
      <c r="P178" s="4114"/>
      <c r="Q178" s="4113"/>
      <c r="R178" s="4113"/>
      <c r="S178" s="4113"/>
      <c r="T178" s="4115"/>
    </row>
    <row r="179" spans="2:21" ht="16.5">
      <c r="B179" s="4025"/>
      <c r="C179" s="356" t="s">
        <v>8272</v>
      </c>
      <c r="D179" s="357" t="s">
        <v>1445</v>
      </c>
      <c r="E179" s="213"/>
      <c r="F179" s="4027"/>
      <c r="G179" s="4028"/>
      <c r="H179" s="4028"/>
      <c r="I179" s="4028"/>
      <c r="J179" s="4028"/>
      <c r="K179" s="3986"/>
      <c r="L179" s="3987"/>
      <c r="M179" s="211"/>
      <c r="N179" s="4064" t="s">
        <v>8273</v>
      </c>
      <c r="O179" s="3969"/>
      <c r="P179" s="3969"/>
      <c r="Q179" s="3969"/>
      <c r="R179" s="3969"/>
      <c r="S179" s="3969"/>
      <c r="T179" s="3970"/>
    </row>
    <row r="180" spans="2:21" ht="16.5">
      <c r="B180" s="4025"/>
      <c r="C180" s="356" t="s">
        <v>8274</v>
      </c>
      <c r="D180" s="357" t="s">
        <v>8275</v>
      </c>
      <c r="E180" s="213"/>
      <c r="F180" s="4027"/>
      <c r="G180" s="4028"/>
      <c r="H180" s="4028"/>
      <c r="I180" s="4028"/>
      <c r="J180" s="4028"/>
      <c r="K180" s="3986"/>
      <c r="L180" s="3987"/>
      <c r="M180" s="211"/>
      <c r="N180" s="4084" t="s">
        <v>8276</v>
      </c>
      <c r="O180" s="4085"/>
      <c r="P180" s="4085"/>
      <c r="Q180" s="4085"/>
      <c r="R180" s="4085"/>
      <c r="S180" s="4085"/>
      <c r="T180" s="4086"/>
    </row>
    <row r="181" spans="2:21" ht="16.5">
      <c r="B181" s="4025"/>
      <c r="C181" s="356" t="s">
        <v>8277</v>
      </c>
      <c r="D181" s="357" t="s">
        <v>8278</v>
      </c>
      <c r="E181" s="213"/>
      <c r="F181" s="4027"/>
      <c r="G181" s="4028"/>
      <c r="H181" s="4028"/>
      <c r="I181" s="4028"/>
      <c r="J181" s="4028"/>
      <c r="K181" s="3986"/>
      <c r="L181" s="3987"/>
      <c r="M181" s="211"/>
      <c r="N181" s="4116" t="s">
        <v>8279</v>
      </c>
      <c r="O181" s="3969"/>
      <c r="P181" s="3969"/>
      <c r="Q181" s="4117"/>
      <c r="R181" s="3969" t="s">
        <v>8280</v>
      </c>
      <c r="S181" s="3969"/>
      <c r="T181" s="3970"/>
    </row>
    <row r="182" spans="2:21" ht="16.5">
      <c r="B182" s="4025"/>
      <c r="C182" s="356" t="s">
        <v>8281</v>
      </c>
      <c r="D182" s="357" t="s">
        <v>1215</v>
      </c>
      <c r="E182" s="213"/>
      <c r="F182" s="4027"/>
      <c r="G182" s="4028"/>
      <c r="H182" s="4028"/>
      <c r="I182" s="4028"/>
      <c r="J182" s="4028"/>
      <c r="K182" s="3986"/>
      <c r="L182" s="3987"/>
      <c r="M182" s="211"/>
      <c r="N182" s="4064"/>
      <c r="O182" s="3969"/>
      <c r="P182" s="3969"/>
      <c r="Q182" s="4117"/>
      <c r="R182" s="3969"/>
      <c r="S182" s="3969"/>
      <c r="T182" s="3970"/>
    </row>
    <row r="183" spans="2:21" ht="16.5">
      <c r="B183" s="4025"/>
      <c r="C183" s="356" t="s">
        <v>8282</v>
      </c>
      <c r="D183" s="357" t="s">
        <v>1236</v>
      </c>
      <c r="E183" s="213"/>
      <c r="F183" s="4027"/>
      <c r="G183" s="4028"/>
      <c r="H183" s="4028"/>
      <c r="I183" s="4028"/>
      <c r="J183" s="4028"/>
      <c r="K183" s="3986"/>
      <c r="L183" s="3987"/>
      <c r="M183" s="211"/>
      <c r="N183" s="4064"/>
      <c r="O183" s="3969"/>
      <c r="P183" s="3969"/>
      <c r="Q183" s="4117"/>
      <c r="R183" s="3969"/>
      <c r="S183" s="3969"/>
      <c r="T183" s="3970"/>
      <c r="U183" s="224"/>
    </row>
    <row r="184" spans="2:21" ht="16.5">
      <c r="B184" s="4053"/>
      <c r="C184" s="372">
        <v>20</v>
      </c>
      <c r="D184" s="373" t="s">
        <v>525</v>
      </c>
      <c r="E184" s="213"/>
      <c r="F184" s="4029"/>
      <c r="G184" s="4030"/>
      <c r="H184" s="4030"/>
      <c r="I184" s="4030"/>
      <c r="J184" s="4030"/>
      <c r="K184" s="3988"/>
      <c r="L184" s="3989"/>
      <c r="M184" s="211"/>
      <c r="N184" s="4065"/>
      <c r="O184" s="4066"/>
      <c r="P184" s="4066"/>
      <c r="Q184" s="4118"/>
      <c r="R184" s="4066"/>
      <c r="S184" s="4066"/>
      <c r="T184" s="4067"/>
      <c r="U184" s="224"/>
    </row>
    <row r="185" spans="2:21" ht="16.5">
      <c r="B185" s="213"/>
      <c r="C185" s="213"/>
      <c r="D185" s="213"/>
      <c r="E185" s="213"/>
      <c r="F185" s="213"/>
      <c r="G185" s="213"/>
      <c r="H185" s="213"/>
      <c r="I185" s="213"/>
      <c r="J185" s="213"/>
      <c r="K185" s="211"/>
      <c r="L185" s="211"/>
      <c r="M185" s="211"/>
      <c r="N185" s="215"/>
      <c r="O185" s="215"/>
      <c r="P185" s="215"/>
      <c r="Q185" s="215"/>
      <c r="R185" s="214"/>
      <c r="S185" s="214"/>
      <c r="T185" s="214"/>
      <c r="U185" s="224"/>
    </row>
    <row r="186" spans="2:21" ht="16.5">
      <c r="B186" s="3925" t="s">
        <v>8283</v>
      </c>
      <c r="C186" s="3927"/>
      <c r="D186" s="3925" t="s">
        <v>8284</v>
      </c>
      <c r="E186" s="3926"/>
      <c r="F186" s="3926"/>
      <c r="G186" s="3927"/>
      <c r="H186" s="198"/>
      <c r="I186" s="4031" t="s">
        <v>8285</v>
      </c>
      <c r="J186" s="4032"/>
      <c r="K186" s="4032"/>
      <c r="L186" s="4032"/>
      <c r="M186" s="4032"/>
      <c r="N186" s="4032"/>
      <c r="O186" s="4033"/>
      <c r="P186" s="49"/>
      <c r="Q186" s="3925" t="s">
        <v>8286</v>
      </c>
      <c r="R186" s="3926"/>
      <c r="S186" s="3926"/>
      <c r="T186" s="3927"/>
      <c r="U186" s="224"/>
    </row>
    <row r="187" spans="2:21" ht="16.5">
      <c r="B187" s="3928"/>
      <c r="C187" s="3930"/>
      <c r="D187" s="3928"/>
      <c r="E187" s="3929"/>
      <c r="F187" s="3929"/>
      <c r="G187" s="3930"/>
      <c r="H187" s="198"/>
      <c r="I187" s="4034"/>
      <c r="J187" s="4035"/>
      <c r="K187" s="4035"/>
      <c r="L187" s="4035"/>
      <c r="M187" s="4035"/>
      <c r="N187" s="4035"/>
      <c r="O187" s="4036"/>
      <c r="P187" s="49"/>
      <c r="Q187" s="3928"/>
      <c r="R187" s="3929"/>
      <c r="S187" s="3929"/>
      <c r="T187" s="3930"/>
      <c r="U187" s="224"/>
    </row>
    <row r="188" spans="2:21" ht="16.5">
      <c r="B188" s="3873" t="s">
        <v>8287</v>
      </c>
      <c r="C188" s="4037"/>
      <c r="D188" s="4064" t="s">
        <v>8288</v>
      </c>
      <c r="E188" s="3969"/>
      <c r="F188" s="3969"/>
      <c r="G188" s="3970"/>
      <c r="H188" s="215"/>
      <c r="I188" s="3873" t="s">
        <v>8289</v>
      </c>
      <c r="J188" s="4069"/>
      <c r="K188" s="4069"/>
      <c r="L188" s="4069"/>
      <c r="M188" s="4069"/>
      <c r="N188" s="4069"/>
      <c r="O188" s="4037"/>
      <c r="P188" s="49"/>
      <c r="Q188" s="4064" t="s">
        <v>8290</v>
      </c>
      <c r="R188" s="3969"/>
      <c r="S188" s="3969"/>
      <c r="T188" s="3970"/>
      <c r="U188" s="224"/>
    </row>
    <row r="189" spans="2:21" ht="16.5">
      <c r="B189" s="3873"/>
      <c r="C189" s="4037"/>
      <c r="D189" s="4064"/>
      <c r="E189" s="3969"/>
      <c r="F189" s="3969"/>
      <c r="G189" s="3970"/>
      <c r="H189" s="215"/>
      <c r="I189" s="3873"/>
      <c r="J189" s="4069"/>
      <c r="K189" s="4069"/>
      <c r="L189" s="4069"/>
      <c r="M189" s="4069"/>
      <c r="N189" s="4069"/>
      <c r="O189" s="4037"/>
      <c r="P189" s="49"/>
      <c r="Q189" s="4064"/>
      <c r="R189" s="3969"/>
      <c r="S189" s="3969"/>
      <c r="T189" s="3970"/>
      <c r="U189" s="224"/>
    </row>
    <row r="190" spans="2:21" ht="16.5">
      <c r="B190" s="3873"/>
      <c r="C190" s="4037"/>
      <c r="D190" s="4064"/>
      <c r="E190" s="3969"/>
      <c r="F190" s="3969"/>
      <c r="G190" s="3970"/>
      <c r="H190" s="215"/>
      <c r="I190" s="3873"/>
      <c r="J190" s="4069"/>
      <c r="K190" s="4069"/>
      <c r="L190" s="4069"/>
      <c r="M190" s="4069"/>
      <c r="N190" s="4069"/>
      <c r="O190" s="4037"/>
      <c r="P190" s="49"/>
      <c r="Q190" s="4064"/>
      <c r="R190" s="3969"/>
      <c r="S190" s="3969"/>
      <c r="T190" s="3970"/>
      <c r="U190" s="224"/>
    </row>
    <row r="191" spans="2:21" ht="16.5">
      <c r="B191" s="3873"/>
      <c r="C191" s="4037"/>
      <c r="D191" s="4064"/>
      <c r="E191" s="3969"/>
      <c r="F191" s="3969"/>
      <c r="G191" s="3970"/>
      <c r="H191" s="215"/>
      <c r="I191" s="3873"/>
      <c r="J191" s="4069"/>
      <c r="K191" s="4069"/>
      <c r="L191" s="4069"/>
      <c r="M191" s="4069"/>
      <c r="N191" s="4069"/>
      <c r="O191" s="4037"/>
      <c r="P191" s="49"/>
      <c r="Q191" s="4064"/>
      <c r="R191" s="3969"/>
      <c r="S191" s="3969"/>
      <c r="T191" s="3970"/>
    </row>
    <row r="192" spans="2:21" ht="16.5">
      <c r="B192" s="3873"/>
      <c r="C192" s="4037"/>
      <c r="D192" s="4064"/>
      <c r="E192" s="3969"/>
      <c r="F192" s="3969"/>
      <c r="G192" s="3970"/>
      <c r="H192" s="215"/>
      <c r="I192" s="3873"/>
      <c r="J192" s="4069"/>
      <c r="K192" s="4069"/>
      <c r="L192" s="4069"/>
      <c r="M192" s="4069"/>
      <c r="N192" s="4069"/>
      <c r="O192" s="4037"/>
      <c r="P192" s="49"/>
      <c r="Q192" s="4064"/>
      <c r="R192" s="3969"/>
      <c r="S192" s="3969"/>
      <c r="T192" s="3970"/>
    </row>
    <row r="193" spans="2:30" ht="16.5">
      <c r="B193" s="3873"/>
      <c r="C193" s="4037"/>
      <c r="D193" s="4064"/>
      <c r="E193" s="3969"/>
      <c r="F193" s="3969"/>
      <c r="G193" s="3970"/>
      <c r="H193" s="215"/>
      <c r="I193" s="3873"/>
      <c r="J193" s="4069"/>
      <c r="K193" s="4069"/>
      <c r="L193" s="4069"/>
      <c r="M193" s="4069"/>
      <c r="N193" s="4069"/>
      <c r="O193" s="4037"/>
      <c r="P193" s="49"/>
      <c r="Q193" s="4064"/>
      <c r="R193" s="3969"/>
      <c r="S193" s="3969"/>
      <c r="T193" s="3970"/>
    </row>
    <row r="194" spans="2:30" ht="16.5">
      <c r="B194" s="3873"/>
      <c r="C194" s="4037"/>
      <c r="D194" s="4064"/>
      <c r="E194" s="3969"/>
      <c r="F194" s="3969"/>
      <c r="G194" s="3970"/>
      <c r="H194" s="215"/>
      <c r="I194" s="3873"/>
      <c r="J194" s="4069"/>
      <c r="K194" s="4069"/>
      <c r="L194" s="4069"/>
      <c r="M194" s="4069"/>
      <c r="N194" s="4069"/>
      <c r="O194" s="4037"/>
      <c r="P194" s="49"/>
      <c r="Q194" s="4064"/>
      <c r="R194" s="3969"/>
      <c r="S194" s="3969"/>
      <c r="T194" s="3970"/>
    </row>
    <row r="195" spans="2:30" ht="16.5">
      <c r="B195" s="3873"/>
      <c r="C195" s="4037"/>
      <c r="D195" s="4064"/>
      <c r="E195" s="3969"/>
      <c r="F195" s="3969"/>
      <c r="G195" s="3970"/>
      <c r="H195" s="215"/>
      <c r="I195" s="3873"/>
      <c r="J195" s="4069"/>
      <c r="K195" s="4069"/>
      <c r="L195" s="4069"/>
      <c r="M195" s="4069"/>
      <c r="N195" s="4069"/>
      <c r="O195" s="4037"/>
      <c r="P195" s="49"/>
      <c r="Q195" s="4064"/>
      <c r="R195" s="3969"/>
      <c r="S195" s="3969"/>
      <c r="T195" s="3970"/>
    </row>
    <row r="196" spans="2:30" ht="16.5">
      <c r="B196" s="4038"/>
      <c r="C196" s="4039"/>
      <c r="D196" s="4065"/>
      <c r="E196" s="4066"/>
      <c r="F196" s="4066"/>
      <c r="G196" s="4067"/>
      <c r="H196" s="215"/>
      <c r="I196" s="4038"/>
      <c r="J196" s="4119"/>
      <c r="K196" s="4119"/>
      <c r="L196" s="4119"/>
      <c r="M196" s="4119"/>
      <c r="N196" s="4119"/>
      <c r="O196" s="4039"/>
      <c r="P196" s="49"/>
      <c r="Q196" s="4065"/>
      <c r="R196" s="4066"/>
      <c r="S196" s="4066"/>
      <c r="T196" s="4067"/>
    </row>
    <row r="197" spans="2:30" ht="16.5">
      <c r="B197" s="214"/>
      <c r="C197" s="214"/>
      <c r="D197" s="215"/>
      <c r="E197" s="215"/>
      <c r="F197" s="215"/>
      <c r="G197" s="215"/>
      <c r="H197" s="215"/>
      <c r="I197" s="214"/>
      <c r="J197" s="214"/>
      <c r="K197" s="214"/>
      <c r="L197" s="214"/>
      <c r="M197" s="214"/>
      <c r="N197" s="214"/>
      <c r="O197" s="214"/>
      <c r="P197" s="49"/>
      <c r="Q197" s="215"/>
      <c r="R197" s="215"/>
      <c r="S197" s="215"/>
      <c r="T197" s="215"/>
    </row>
    <row r="198" spans="2:30" ht="17" customHeight="1">
      <c r="B198" s="4120" t="s">
        <v>8291</v>
      </c>
      <c r="C198" s="4121"/>
      <c r="D198" s="4121"/>
      <c r="E198" s="4121"/>
      <c r="F198" s="4121"/>
      <c r="G198" s="4121"/>
      <c r="H198" s="4121"/>
      <c r="I198" s="4121"/>
      <c r="J198" s="4121"/>
      <c r="K198" s="4122"/>
      <c r="L198" s="49"/>
      <c r="M198" s="4126" t="s">
        <v>1038</v>
      </c>
      <c r="N198" s="4127"/>
      <c r="O198" s="4127"/>
      <c r="P198" s="4127"/>
      <c r="Q198" s="4127"/>
      <c r="R198" s="4127"/>
      <c r="S198" s="4127"/>
      <c r="T198" s="4128"/>
      <c r="U198" s="374"/>
      <c r="AC198" s="374"/>
      <c r="AD198" s="374"/>
    </row>
    <row r="199" spans="2:30" ht="17" customHeight="1">
      <c r="B199" s="4123"/>
      <c r="C199" s="4124"/>
      <c r="D199" s="4124"/>
      <c r="E199" s="4124"/>
      <c r="F199" s="4124"/>
      <c r="G199" s="4124"/>
      <c r="H199" s="4124"/>
      <c r="I199" s="4124"/>
      <c r="J199" s="4124"/>
      <c r="K199" s="4125"/>
      <c r="L199" s="49"/>
      <c r="M199" s="4129"/>
      <c r="N199" s="4130"/>
      <c r="O199" s="4130"/>
      <c r="P199" s="4130"/>
      <c r="Q199" s="4130"/>
      <c r="R199" s="4130"/>
      <c r="S199" s="4130"/>
      <c r="T199" s="4131"/>
      <c r="U199" s="374"/>
      <c r="Y199" s="374"/>
      <c r="Z199" s="374"/>
      <c r="AA199" s="374"/>
      <c r="AB199" s="374"/>
      <c r="AC199" s="374"/>
      <c r="AD199" s="374"/>
    </row>
    <row r="200" spans="2:30" ht="17" customHeight="1">
      <c r="B200" s="4087" t="s">
        <v>8292</v>
      </c>
      <c r="C200" s="4088"/>
      <c r="D200" s="4088"/>
      <c r="E200" s="4088"/>
      <c r="F200" s="4068" t="s">
        <v>8293</v>
      </c>
      <c r="G200" s="4069"/>
      <c r="H200" s="4069"/>
      <c r="I200" s="4069"/>
      <c r="J200" s="4069"/>
      <c r="K200" s="4037"/>
      <c r="L200" s="49"/>
      <c r="M200" s="4089" t="s">
        <v>1051</v>
      </c>
      <c r="N200" s="4090"/>
      <c r="O200" s="4091" t="s">
        <v>1052</v>
      </c>
      <c r="P200" s="4092"/>
      <c r="Q200" s="4091" t="s">
        <v>8294</v>
      </c>
      <c r="R200" s="4092"/>
      <c r="S200" s="4090" t="s">
        <v>228</v>
      </c>
      <c r="T200" s="4093"/>
      <c r="Y200" s="375"/>
      <c r="Z200" s="375"/>
      <c r="AA200" s="375"/>
      <c r="AB200" s="375"/>
      <c r="AC200" s="375"/>
      <c r="AD200" s="375"/>
    </row>
    <row r="201" spans="2:30" ht="17" customHeight="1">
      <c r="B201" s="4054" t="s">
        <v>8295</v>
      </c>
      <c r="C201" s="4073" t="s">
        <v>8296</v>
      </c>
      <c r="D201" s="4073"/>
      <c r="E201" s="4073"/>
      <c r="F201" s="4068"/>
      <c r="G201" s="4069"/>
      <c r="H201" s="4069"/>
      <c r="I201" s="4069"/>
      <c r="J201" s="4069"/>
      <c r="K201" s="4037"/>
      <c r="L201" s="49"/>
      <c r="M201" s="3765" t="s">
        <v>1405</v>
      </c>
      <c r="N201" s="3766"/>
      <c r="O201" s="4074" t="str">
        <f>IF($M201=0,"",VLOOKUP($M201,附表!I38:M49,2,FALSE))</f>
        <v xml:space="preserve"> </v>
      </c>
      <c r="P201" s="4075"/>
      <c r="Q201" s="3439" t="str">
        <f>IF($M201=0,"",VLOOKUP($M201,附表!I38:M49,3,FALSE))</f>
        <v xml:space="preserve"> </v>
      </c>
      <c r="R201" s="1333"/>
      <c r="S201" s="4076" t="str">
        <f>IF($M201=0,"",VLOOKUP($M201,附表!I38:M49,4,FALSE))</f>
        <v xml:space="preserve"> </v>
      </c>
      <c r="T201" s="4077"/>
      <c r="Y201" s="375"/>
      <c r="Z201" s="375"/>
      <c r="AA201" s="375"/>
      <c r="AB201" s="375"/>
      <c r="AC201" s="375"/>
      <c r="AD201" s="375"/>
    </row>
    <row r="202" spans="2:30" ht="17" customHeight="1">
      <c r="B202" s="4054"/>
      <c r="C202" s="4073"/>
      <c r="D202" s="4073"/>
      <c r="E202" s="4073"/>
      <c r="F202" s="4068"/>
      <c r="G202" s="4069"/>
      <c r="H202" s="4069"/>
      <c r="I202" s="4069"/>
      <c r="J202" s="4069"/>
      <c r="K202" s="4037"/>
      <c r="L202" s="49"/>
      <c r="M202" s="3765"/>
      <c r="N202" s="3766"/>
      <c r="O202" s="4074"/>
      <c r="P202" s="4075"/>
      <c r="Q202" s="3439"/>
      <c r="R202" s="1333"/>
      <c r="S202" s="4076"/>
      <c r="T202" s="4077"/>
      <c r="U202" s="375"/>
      <c r="Y202" s="375"/>
      <c r="Z202" s="375"/>
      <c r="AA202" s="375"/>
      <c r="AB202" s="375"/>
      <c r="AC202" s="375"/>
      <c r="AD202" s="375"/>
    </row>
    <row r="203" spans="2:30" ht="17" customHeight="1">
      <c r="B203" s="377" t="s">
        <v>8297</v>
      </c>
      <c r="C203" s="3874" t="s">
        <v>8298</v>
      </c>
      <c r="D203" s="3874"/>
      <c r="E203" s="3874"/>
      <c r="F203" s="4068"/>
      <c r="G203" s="4069"/>
      <c r="H203" s="4069"/>
      <c r="I203" s="4069"/>
      <c r="J203" s="4069"/>
      <c r="K203" s="4037"/>
      <c r="L203" s="49"/>
      <c r="M203" s="3765"/>
      <c r="N203" s="3766"/>
      <c r="O203" s="4074"/>
      <c r="P203" s="4075"/>
      <c r="Q203" s="3439"/>
      <c r="R203" s="1333"/>
      <c r="S203" s="4076"/>
      <c r="T203" s="4077"/>
      <c r="Y203" s="375"/>
      <c r="Z203" s="375"/>
      <c r="AA203" s="375"/>
      <c r="AB203" s="375"/>
      <c r="AC203" s="375"/>
      <c r="AD203" s="375"/>
    </row>
    <row r="204" spans="2:30" ht="17" customHeight="1">
      <c r="B204" s="376" t="s">
        <v>8299</v>
      </c>
      <c r="C204" s="4094" t="s">
        <v>8300</v>
      </c>
      <c r="D204" s="4094"/>
      <c r="E204" s="4094"/>
      <c r="F204" s="4068"/>
      <c r="G204" s="4069"/>
      <c r="H204" s="4069"/>
      <c r="I204" s="4069"/>
      <c r="J204" s="4069"/>
      <c r="K204" s="4037"/>
      <c r="L204" s="49"/>
      <c r="M204" s="4095" t="s">
        <v>321</v>
      </c>
      <c r="N204" s="4096"/>
      <c r="O204" s="4096"/>
      <c r="P204" s="4096"/>
      <c r="Q204" s="4096"/>
      <c r="R204" s="4096"/>
      <c r="S204" s="4096"/>
      <c r="T204" s="4097"/>
      <c r="U204" s="375"/>
      <c r="Y204" s="375"/>
      <c r="Z204" s="375"/>
      <c r="AA204" s="375"/>
      <c r="AB204" s="375"/>
      <c r="AC204" s="375"/>
      <c r="AD204" s="375"/>
    </row>
    <row r="205" spans="2:30" ht="17" customHeight="1">
      <c r="B205" s="377" t="s">
        <v>8301</v>
      </c>
      <c r="C205" s="3874" t="s">
        <v>8302</v>
      </c>
      <c r="D205" s="3874"/>
      <c r="E205" s="3874"/>
      <c r="F205" s="4068"/>
      <c r="G205" s="4069"/>
      <c r="H205" s="4069"/>
      <c r="I205" s="4069"/>
      <c r="J205" s="4069"/>
      <c r="K205" s="4037"/>
      <c r="L205" s="49"/>
      <c r="M205" s="4078" t="str">
        <f>IF($M201=0,"",VLOOKUP($M201,附表!I38:M49,5,FALSE))</f>
        <v xml:space="preserve"> </v>
      </c>
      <c r="N205" s="4079"/>
      <c r="O205" s="4079"/>
      <c r="P205" s="4079"/>
      <c r="Q205" s="4079"/>
      <c r="R205" s="4079"/>
      <c r="S205" s="4079"/>
      <c r="T205" s="4080"/>
      <c r="Y205" s="375"/>
      <c r="Z205" s="375"/>
      <c r="AA205" s="375"/>
      <c r="AB205" s="375"/>
      <c r="AC205" s="375"/>
      <c r="AD205" s="375"/>
    </row>
    <row r="206" spans="2:30" ht="17" customHeight="1">
      <c r="B206" s="4062" t="s">
        <v>8303</v>
      </c>
      <c r="C206" s="4063"/>
      <c r="D206" s="4063"/>
      <c r="E206" s="4063"/>
      <c r="F206" s="4070"/>
      <c r="G206" s="4071"/>
      <c r="H206" s="4071"/>
      <c r="I206" s="4071"/>
      <c r="J206" s="4071"/>
      <c r="K206" s="4072"/>
      <c r="L206" s="49"/>
      <c r="M206" s="4078"/>
      <c r="N206" s="4079"/>
      <c r="O206" s="4079"/>
      <c r="P206" s="4079"/>
      <c r="Q206" s="4079"/>
      <c r="R206" s="4079"/>
      <c r="S206" s="4079"/>
      <c r="T206" s="4080"/>
      <c r="U206" s="375"/>
      <c r="Y206" s="375"/>
      <c r="Z206" s="375"/>
      <c r="AA206" s="375"/>
      <c r="AB206" s="375"/>
      <c r="AC206" s="375"/>
      <c r="AD206" s="375"/>
    </row>
    <row r="207" spans="2:30" ht="17" customHeight="1">
      <c r="B207" s="4064" t="s">
        <v>8304</v>
      </c>
      <c r="C207" s="3969"/>
      <c r="D207" s="3969"/>
      <c r="E207" s="3969"/>
      <c r="F207" s="3969"/>
      <c r="G207" s="3969"/>
      <c r="H207" s="3969"/>
      <c r="I207" s="3969"/>
      <c r="J207" s="3969"/>
      <c r="K207" s="3970"/>
      <c r="L207" s="49"/>
      <c r="M207" s="4078"/>
      <c r="N207" s="4079"/>
      <c r="O207" s="4079"/>
      <c r="P207" s="4079"/>
      <c r="Q207" s="4079"/>
      <c r="R207" s="4079"/>
      <c r="S207" s="4079"/>
      <c r="T207" s="4080"/>
      <c r="Y207" s="375"/>
      <c r="Z207" s="375"/>
      <c r="AA207" s="375"/>
      <c r="AB207" s="375"/>
      <c r="AC207" s="375"/>
      <c r="AD207" s="375"/>
    </row>
    <row r="208" spans="2:30" ht="17" customHeight="1">
      <c r="B208" s="4064" t="s">
        <v>8305</v>
      </c>
      <c r="C208" s="3969"/>
      <c r="D208" s="3969"/>
      <c r="E208" s="3969"/>
      <c r="F208" s="3969"/>
      <c r="G208" s="3969"/>
      <c r="H208" s="3969"/>
      <c r="I208" s="3969"/>
      <c r="J208" s="3969"/>
      <c r="K208" s="3970"/>
      <c r="L208" s="49"/>
      <c r="M208" s="4078"/>
      <c r="N208" s="4079"/>
      <c r="O208" s="4079"/>
      <c r="P208" s="4079"/>
      <c r="Q208" s="4079"/>
      <c r="R208" s="4079"/>
      <c r="S208" s="4079"/>
      <c r="T208" s="4080"/>
      <c r="U208" s="375"/>
      <c r="Y208" s="375"/>
      <c r="Z208" s="375"/>
      <c r="AA208" s="375"/>
      <c r="AB208" s="375"/>
      <c r="AC208" s="375"/>
      <c r="AD208" s="375"/>
    </row>
    <row r="209" spans="2:30" ht="17" customHeight="1">
      <c r="B209" s="4065" t="s">
        <v>8306</v>
      </c>
      <c r="C209" s="4066"/>
      <c r="D209" s="4066"/>
      <c r="E209" s="4066"/>
      <c r="F209" s="4066"/>
      <c r="G209" s="4066"/>
      <c r="H209" s="4066"/>
      <c r="I209" s="4066"/>
      <c r="J209" s="4066"/>
      <c r="K209" s="4067"/>
      <c r="L209" s="49"/>
      <c r="M209" s="4081"/>
      <c r="N209" s="4082"/>
      <c r="O209" s="4082"/>
      <c r="P209" s="4082"/>
      <c r="Q209" s="4082"/>
      <c r="R209" s="4082"/>
      <c r="S209" s="4082"/>
      <c r="T209" s="4083"/>
      <c r="Y209" s="375"/>
      <c r="Z209" s="375"/>
      <c r="AA209" s="375"/>
      <c r="AB209" s="375"/>
      <c r="AC209" s="375"/>
      <c r="AD209" s="375"/>
    </row>
    <row r="210" spans="2:30" ht="17" customHeight="1">
      <c r="B210" s="216"/>
      <c r="C210" s="216"/>
      <c r="D210" s="216"/>
      <c r="E210" s="216"/>
      <c r="F210" s="216"/>
      <c r="G210" s="216"/>
      <c r="H210" s="216"/>
      <c r="I210" s="216"/>
      <c r="J210" s="216"/>
      <c r="K210" s="49"/>
      <c r="L210" s="49"/>
      <c r="M210" s="378"/>
      <c r="N210" s="378"/>
      <c r="O210" s="378"/>
      <c r="P210" s="378"/>
      <c r="Q210" s="378"/>
      <c r="R210" s="378"/>
      <c r="S210" s="378"/>
      <c r="T210" s="378"/>
      <c r="Y210" s="375"/>
      <c r="Z210" s="375"/>
      <c r="AA210" s="375"/>
      <c r="AB210" s="375"/>
      <c r="AC210" s="375"/>
      <c r="AD210" s="375"/>
    </row>
    <row r="211" spans="2:30" ht="17" customHeight="1">
      <c r="B211" s="3874"/>
      <c r="C211" s="3874"/>
      <c r="D211" s="3874"/>
      <c r="E211" s="3874"/>
      <c r="F211" s="3874"/>
      <c r="G211" s="3874"/>
      <c r="H211" s="3874"/>
      <c r="I211" s="3874"/>
      <c r="J211" s="3874"/>
      <c r="K211" s="3874"/>
      <c r="L211" s="3874"/>
      <c r="M211" s="3874"/>
      <c r="N211" s="3874"/>
      <c r="O211" s="3874"/>
      <c r="P211" s="3874"/>
      <c r="Q211" s="3874"/>
      <c r="R211" s="3874"/>
      <c r="S211" s="3874"/>
      <c r="T211" s="3874"/>
    </row>
    <row r="212" spans="2:30" ht="18" customHeight="1">
      <c r="B212" s="3810" t="s">
        <v>8307</v>
      </c>
      <c r="C212" s="3811"/>
      <c r="D212" s="3811"/>
      <c r="E212" s="3811"/>
      <c r="F212" s="3811"/>
      <c r="G212" s="3811"/>
      <c r="H212" s="3811"/>
      <c r="I212" s="3811"/>
      <c r="J212" s="3811"/>
      <c r="K212" s="3811"/>
      <c r="L212" s="3811"/>
      <c r="M212" s="3811"/>
      <c r="N212" s="3811"/>
      <c r="O212" s="3811"/>
      <c r="P212" s="3811"/>
      <c r="Q212" s="3811"/>
      <c r="R212" s="3811"/>
      <c r="S212" s="3811"/>
      <c r="T212" s="3812"/>
      <c r="U212" s="379"/>
    </row>
    <row r="213" spans="2:30" ht="18" customHeight="1">
      <c r="B213" s="3813"/>
      <c r="C213" s="3814"/>
      <c r="D213" s="3814"/>
      <c r="E213" s="3814"/>
      <c r="F213" s="3814"/>
      <c r="G213" s="3814"/>
      <c r="H213" s="3814"/>
      <c r="I213" s="3814"/>
      <c r="J213" s="3814"/>
      <c r="K213" s="3814"/>
      <c r="L213" s="3814"/>
      <c r="M213" s="3814"/>
      <c r="N213" s="3814"/>
      <c r="O213" s="3814"/>
      <c r="P213" s="3814"/>
      <c r="Q213" s="3814"/>
      <c r="R213" s="3814"/>
      <c r="S213" s="3814"/>
      <c r="T213" s="3815"/>
      <c r="U213" s="379"/>
    </row>
    <row r="214" spans="2:30" ht="18" customHeight="1">
      <c r="B214" s="3816"/>
      <c r="C214" s="3817"/>
      <c r="D214" s="3817"/>
      <c r="E214" s="3817"/>
      <c r="F214" s="3817"/>
      <c r="G214" s="3817"/>
      <c r="H214" s="3817"/>
      <c r="I214" s="3817"/>
      <c r="J214" s="3817"/>
      <c r="K214" s="3817"/>
      <c r="L214" s="3817"/>
      <c r="M214" s="3817"/>
      <c r="N214" s="3817"/>
      <c r="O214" s="3817"/>
      <c r="P214" s="3817"/>
      <c r="Q214" s="3817"/>
      <c r="R214" s="3817"/>
      <c r="S214" s="3817"/>
      <c r="T214" s="3818"/>
      <c r="U214" s="379"/>
    </row>
    <row r="215" spans="2:30" ht="18" customHeight="1">
      <c r="B215" s="219"/>
      <c r="C215" s="219"/>
      <c r="D215" s="219"/>
      <c r="E215" s="219"/>
      <c r="F215" s="219"/>
      <c r="G215" s="219"/>
      <c r="H215" s="219"/>
      <c r="I215" s="219"/>
      <c r="J215" s="219"/>
      <c r="K215" s="220"/>
      <c r="L215" s="220"/>
      <c r="M215" s="220"/>
      <c r="N215" s="220"/>
      <c r="O215" s="220"/>
      <c r="P215" s="220"/>
      <c r="Q215" s="220"/>
      <c r="R215" s="220"/>
      <c r="S215" s="220"/>
      <c r="T215" s="220"/>
      <c r="U215" s="380"/>
    </row>
    <row r="216" spans="2:30" ht="18" customHeight="1">
      <c r="B216" s="219"/>
      <c r="C216" s="3819" t="s">
        <v>8307</v>
      </c>
      <c r="D216" s="3820"/>
      <c r="E216" s="3821"/>
      <c r="F216" s="219"/>
      <c r="G216" s="219"/>
      <c r="H216" s="219"/>
      <c r="I216" s="219"/>
      <c r="J216" s="381"/>
      <c r="K216" s="220"/>
      <c r="L216" s="220"/>
      <c r="M216" s="220"/>
      <c r="N216" s="3819" t="s">
        <v>8308</v>
      </c>
      <c r="O216" s="3820"/>
      <c r="P216" s="3820"/>
      <c r="Q216" s="3820"/>
      <c r="R216" s="3821"/>
      <c r="S216" s="220"/>
      <c r="T216" s="220"/>
    </row>
    <row r="217" spans="2:30" ht="18" customHeight="1">
      <c r="B217" s="219"/>
      <c r="C217" s="3822"/>
      <c r="D217" s="3823"/>
      <c r="E217" s="3824"/>
      <c r="F217" s="219"/>
      <c r="G217" s="219"/>
      <c r="H217" s="219"/>
      <c r="I217" s="219"/>
      <c r="J217" s="381"/>
      <c r="K217" s="220"/>
      <c r="L217" s="220"/>
      <c r="M217" s="220"/>
      <c r="N217" s="3822"/>
      <c r="O217" s="3823"/>
      <c r="P217" s="3823"/>
      <c r="Q217" s="3823"/>
      <c r="R217" s="3824"/>
      <c r="S217" s="220"/>
      <c r="T217" s="220"/>
    </row>
    <row r="218" spans="2:30" ht="18" customHeight="1">
      <c r="B218" s="219"/>
      <c r="C218" s="219"/>
      <c r="D218" s="219"/>
      <c r="E218" s="219"/>
      <c r="F218" s="219"/>
      <c r="G218" s="219"/>
      <c r="H218" s="219"/>
      <c r="I218" s="219"/>
      <c r="J218" s="381"/>
      <c r="K218" s="220"/>
      <c r="L218" s="220"/>
      <c r="M218" s="220"/>
      <c r="N218" s="220"/>
      <c r="O218" s="220"/>
      <c r="P218" s="220"/>
      <c r="Q218" s="220"/>
      <c r="R218" s="220"/>
      <c r="S218" s="220"/>
      <c r="T218" s="220"/>
    </row>
    <row r="219" spans="2:30" ht="18" customHeight="1">
      <c r="B219" s="4055" t="s">
        <v>8309</v>
      </c>
      <c r="C219" s="219"/>
      <c r="D219" s="219"/>
      <c r="E219" s="3825" t="s">
        <v>8310</v>
      </c>
      <c r="F219" s="3780"/>
      <c r="G219" s="3780"/>
      <c r="H219" s="3781"/>
      <c r="I219" s="219"/>
      <c r="J219" s="381"/>
      <c r="K219" s="220"/>
      <c r="L219" s="220"/>
      <c r="M219" s="220"/>
      <c r="N219" s="220"/>
      <c r="O219" s="3827" t="s">
        <v>8311</v>
      </c>
      <c r="P219" s="3828"/>
      <c r="Q219" s="3829"/>
      <c r="R219" s="220"/>
      <c r="S219" s="220"/>
      <c r="T219" s="220"/>
    </row>
    <row r="220" spans="2:30" ht="18" customHeight="1">
      <c r="B220" s="4056"/>
      <c r="C220" s="219"/>
      <c r="D220" s="219"/>
      <c r="E220" s="3782"/>
      <c r="F220" s="3768"/>
      <c r="G220" s="3768"/>
      <c r="H220" s="3783"/>
      <c r="I220" s="219"/>
      <c r="J220" s="381"/>
      <c r="K220" s="220"/>
      <c r="L220" s="382"/>
      <c r="M220" s="382"/>
      <c r="N220" s="382"/>
      <c r="O220" s="3830"/>
      <c r="P220" s="3831"/>
      <c r="Q220" s="3832"/>
      <c r="R220" s="382"/>
      <c r="S220" s="382"/>
      <c r="T220" s="220"/>
    </row>
    <row r="221" spans="2:30" ht="18" customHeight="1">
      <c r="B221" s="4056"/>
      <c r="C221" s="3826" t="s">
        <v>8312</v>
      </c>
      <c r="D221" s="3826"/>
      <c r="E221" s="3782"/>
      <c r="F221" s="3768"/>
      <c r="G221" s="3768"/>
      <c r="H221" s="3783"/>
      <c r="I221" s="219"/>
      <c r="J221" s="381"/>
      <c r="K221" s="4058" t="s">
        <v>8313</v>
      </c>
      <c r="L221" s="383"/>
      <c r="M221" s="220"/>
      <c r="N221" s="220"/>
      <c r="O221" s="3833"/>
      <c r="P221" s="3834"/>
      <c r="Q221" s="3835"/>
      <c r="R221" s="220"/>
      <c r="S221" s="220"/>
      <c r="T221" s="3905" t="s">
        <v>8313</v>
      </c>
    </row>
    <row r="222" spans="2:30" ht="18" customHeight="1">
      <c r="B222" s="4056"/>
      <c r="C222" s="3826"/>
      <c r="D222" s="3826"/>
      <c r="E222" s="3782"/>
      <c r="F222" s="3768"/>
      <c r="G222" s="3768"/>
      <c r="H222" s="3783"/>
      <c r="I222" s="219"/>
      <c r="J222" s="381"/>
      <c r="K222" s="4058"/>
      <c r="L222" s="383"/>
      <c r="M222" s="220"/>
      <c r="N222" s="220"/>
      <c r="O222" s="220"/>
      <c r="P222" s="384" t="s">
        <v>8313</v>
      </c>
      <c r="Q222" s="220"/>
      <c r="R222" s="220"/>
      <c r="S222" s="220"/>
      <c r="T222" s="3905"/>
    </row>
    <row r="223" spans="2:30" ht="18" customHeight="1">
      <c r="B223" s="4056"/>
      <c r="C223" s="219"/>
      <c r="D223" s="219"/>
      <c r="E223" s="3782"/>
      <c r="F223" s="3768"/>
      <c r="G223" s="3768"/>
      <c r="H223" s="3783"/>
      <c r="I223" s="219"/>
      <c r="J223" s="381"/>
      <c r="K223" s="3827" t="s">
        <v>8314</v>
      </c>
      <c r="L223" s="3828"/>
      <c r="M223" s="3829"/>
      <c r="N223" s="220"/>
      <c r="O223" s="3827" t="s">
        <v>8315</v>
      </c>
      <c r="P223" s="3828"/>
      <c r="Q223" s="3829"/>
      <c r="R223" s="220"/>
      <c r="S223" s="3827" t="s">
        <v>8316</v>
      </c>
      <c r="T223" s="3829"/>
      <c r="U223" s="220"/>
      <c r="V223" s="220"/>
    </row>
    <row r="224" spans="2:30" ht="18" customHeight="1">
      <c r="B224" s="4057"/>
      <c r="C224" s="219"/>
      <c r="D224" s="219"/>
      <c r="E224" s="3784"/>
      <c r="F224" s="3785"/>
      <c r="G224" s="3785"/>
      <c r="H224" s="3786"/>
      <c r="I224" s="219"/>
      <c r="J224" s="381"/>
      <c r="K224" s="3830"/>
      <c r="L224" s="3831"/>
      <c r="M224" s="3832"/>
      <c r="N224" s="220"/>
      <c r="O224" s="3830"/>
      <c r="P224" s="3831"/>
      <c r="Q224" s="3832"/>
      <c r="R224" s="220"/>
      <c r="S224" s="3830"/>
      <c r="T224" s="3832"/>
      <c r="U224" s="220"/>
      <c r="V224" s="220"/>
    </row>
    <row r="225" spans="2:27" ht="18" customHeight="1">
      <c r="B225" s="384" t="s">
        <v>8313</v>
      </c>
      <c r="C225" s="385"/>
      <c r="D225" s="385"/>
      <c r="E225" s="386" t="s">
        <v>8313</v>
      </c>
      <c r="F225" s="386"/>
      <c r="G225" s="386" t="s">
        <v>8313</v>
      </c>
      <c r="H225" s="219"/>
      <c r="I225" s="219"/>
      <c r="J225" s="381"/>
      <c r="K225" s="3833"/>
      <c r="L225" s="3834"/>
      <c r="M225" s="3835"/>
      <c r="N225" s="220"/>
      <c r="O225" s="3833"/>
      <c r="P225" s="3834"/>
      <c r="Q225" s="3835"/>
      <c r="R225" s="220"/>
      <c r="S225" s="3833"/>
      <c r="T225" s="3835"/>
      <c r="U225" s="220"/>
      <c r="V225" s="220"/>
    </row>
    <row r="226" spans="2:27" ht="18" customHeight="1">
      <c r="B226" s="4055" t="s">
        <v>8317</v>
      </c>
      <c r="C226" s="219"/>
      <c r="D226" s="219"/>
      <c r="E226" s="4013" t="s">
        <v>8318</v>
      </c>
      <c r="F226" s="4014"/>
      <c r="G226" s="4013" t="s">
        <v>8319</v>
      </c>
      <c r="H226" s="4014"/>
      <c r="I226" s="219"/>
      <c r="J226" s="381"/>
      <c r="K226" s="3857" t="s">
        <v>8313</v>
      </c>
      <c r="L226" s="3857"/>
      <c r="M226" s="3857"/>
      <c r="N226" s="220"/>
      <c r="O226" s="220"/>
      <c r="P226" s="384" t="s">
        <v>8313</v>
      </c>
      <c r="Q226" s="220"/>
      <c r="R226" s="220"/>
      <c r="S226" s="3857" t="s">
        <v>8313</v>
      </c>
      <c r="T226" s="3857"/>
    </row>
    <row r="227" spans="2:27" ht="18" customHeight="1">
      <c r="B227" s="4056"/>
      <c r="C227" s="219"/>
      <c r="D227" s="219"/>
      <c r="E227" s="4015"/>
      <c r="F227" s="4016"/>
      <c r="G227" s="4015"/>
      <c r="H227" s="4016"/>
      <c r="I227" s="219"/>
      <c r="J227" s="381"/>
      <c r="K227" s="3836" t="s">
        <v>8320</v>
      </c>
      <c r="L227" s="3837"/>
      <c r="M227" s="3838"/>
      <c r="N227" s="220"/>
      <c r="O227" s="3845" t="s">
        <v>8321</v>
      </c>
      <c r="P227" s="3846"/>
      <c r="Q227" s="3847"/>
      <c r="R227" s="220"/>
      <c r="S227" s="3931" t="s">
        <v>636</v>
      </c>
      <c r="T227" s="3932"/>
    </row>
    <row r="228" spans="2:27" ht="18" customHeight="1">
      <c r="B228" s="4056"/>
      <c r="C228" s="219"/>
      <c r="D228" s="219"/>
      <c r="E228" s="4015"/>
      <c r="F228" s="4016"/>
      <c r="G228" s="4015"/>
      <c r="H228" s="4016"/>
      <c r="I228" s="219"/>
      <c r="J228" s="381"/>
      <c r="K228" s="3839"/>
      <c r="L228" s="3840"/>
      <c r="M228" s="3841"/>
      <c r="N228" s="220"/>
      <c r="O228" s="3848"/>
      <c r="P228" s="3849"/>
      <c r="Q228" s="3850"/>
      <c r="R228" s="220"/>
      <c r="S228" s="3933"/>
      <c r="T228" s="3934"/>
    </row>
    <row r="229" spans="2:27" ht="18" customHeight="1">
      <c r="B229" s="4056"/>
      <c r="C229" s="219"/>
      <c r="D229" s="219"/>
      <c r="E229" s="4017"/>
      <c r="F229" s="4018"/>
      <c r="G229" s="4017"/>
      <c r="H229" s="4018"/>
      <c r="I229" s="219"/>
      <c r="J229" s="381"/>
      <c r="K229" s="3839"/>
      <c r="L229" s="3840"/>
      <c r="M229" s="3841"/>
      <c r="N229" s="220"/>
      <c r="O229" s="3848"/>
      <c r="P229" s="3849"/>
      <c r="Q229" s="3850"/>
      <c r="R229" s="220"/>
      <c r="S229" s="3933"/>
      <c r="T229" s="3934"/>
    </row>
    <row r="230" spans="2:27" ht="18" customHeight="1">
      <c r="B230" s="4056"/>
      <c r="C230" s="3854" t="s">
        <v>8312</v>
      </c>
      <c r="D230" s="3854"/>
      <c r="E230" s="219"/>
      <c r="F230" s="219"/>
      <c r="G230" s="219"/>
      <c r="H230" s="219"/>
      <c r="I230" s="219"/>
      <c r="J230" s="381"/>
      <c r="K230" s="3842"/>
      <c r="L230" s="3843"/>
      <c r="M230" s="3844"/>
      <c r="N230" s="220"/>
      <c r="O230" s="3851"/>
      <c r="P230" s="3852"/>
      <c r="Q230" s="3853"/>
      <c r="R230" s="220"/>
      <c r="S230" s="3935"/>
      <c r="T230" s="3936"/>
    </row>
    <row r="231" spans="2:27" ht="18" customHeight="1">
      <c r="B231" s="4057"/>
      <c r="C231" s="3854"/>
      <c r="D231" s="3854"/>
      <c r="E231" s="3825" t="s">
        <v>8322</v>
      </c>
      <c r="F231" s="3855"/>
      <c r="G231" s="3855"/>
      <c r="H231" s="3776"/>
      <c r="I231" s="219"/>
      <c r="J231" s="381"/>
      <c r="K231" s="220"/>
      <c r="L231" s="220"/>
      <c r="M231" s="220"/>
      <c r="N231" s="220"/>
      <c r="O231" s="220"/>
      <c r="P231" s="220"/>
      <c r="Q231" s="220"/>
      <c r="R231" s="220"/>
      <c r="S231" s="220"/>
      <c r="T231" s="220"/>
    </row>
    <row r="232" spans="2:27" ht="18" customHeight="1">
      <c r="B232" s="384" t="s">
        <v>8313</v>
      </c>
      <c r="C232" s="219"/>
      <c r="D232" s="219"/>
      <c r="E232" s="3856"/>
      <c r="F232" s="3857"/>
      <c r="G232" s="3857"/>
      <c r="H232" s="3858"/>
      <c r="I232" s="219"/>
      <c r="J232" s="381"/>
      <c r="K232" s="387"/>
      <c r="L232" s="387"/>
      <c r="M232" s="387"/>
      <c r="N232" s="387"/>
      <c r="O232" s="387"/>
      <c r="P232" s="387"/>
      <c r="Q232" s="387"/>
      <c r="R232" s="387"/>
      <c r="S232" s="387"/>
      <c r="T232" s="387"/>
    </row>
    <row r="233" spans="2:27" ht="18" customHeight="1">
      <c r="B233" s="3860" t="s">
        <v>8323</v>
      </c>
      <c r="C233" s="3861"/>
      <c r="D233" s="384" t="s">
        <v>8324</v>
      </c>
      <c r="E233" s="3856"/>
      <c r="F233" s="3857"/>
      <c r="G233" s="3857"/>
      <c r="H233" s="3858"/>
      <c r="I233" s="219"/>
      <c r="J233" s="381"/>
      <c r="K233" s="220"/>
      <c r="L233" s="220"/>
      <c r="M233" s="220"/>
      <c r="N233" s="220"/>
      <c r="O233" s="3827" t="s">
        <v>8325</v>
      </c>
      <c r="P233" s="3828"/>
      <c r="Q233" s="3829"/>
      <c r="R233" s="220"/>
      <c r="S233" s="220"/>
      <c r="T233" s="220"/>
    </row>
    <row r="234" spans="2:27" ht="18" customHeight="1">
      <c r="B234" s="3862"/>
      <c r="C234" s="3863"/>
      <c r="D234" s="219"/>
      <c r="E234" s="3856"/>
      <c r="F234" s="3857"/>
      <c r="G234" s="3857"/>
      <c r="H234" s="3858"/>
      <c r="I234" s="219"/>
      <c r="J234" s="381"/>
      <c r="K234" s="3787" t="s">
        <v>8326</v>
      </c>
      <c r="L234" s="3788"/>
      <c r="M234" s="3781"/>
      <c r="N234" s="220"/>
      <c r="O234" s="3833"/>
      <c r="P234" s="3834"/>
      <c r="Q234" s="3835"/>
      <c r="R234" s="220"/>
      <c r="S234" s="220"/>
      <c r="T234" s="220"/>
      <c r="V234" s="380"/>
      <c r="W234" s="228"/>
      <c r="X234" s="228"/>
      <c r="Y234" s="228"/>
      <c r="Z234" s="228"/>
      <c r="AA234" s="228"/>
    </row>
    <row r="235" spans="2:27" ht="18" customHeight="1">
      <c r="B235" s="3862"/>
      <c r="C235" s="3863"/>
      <c r="D235" s="219"/>
      <c r="E235" s="3856"/>
      <c r="F235" s="3857"/>
      <c r="G235" s="3857"/>
      <c r="H235" s="3858"/>
      <c r="I235" s="219"/>
      <c r="J235" s="381"/>
      <c r="K235" s="3782"/>
      <c r="L235" s="3768"/>
      <c r="M235" s="3783"/>
      <c r="N235" s="220"/>
      <c r="O235" s="388"/>
      <c r="P235" s="384" t="s">
        <v>8313</v>
      </c>
      <c r="Q235" s="388"/>
      <c r="R235" s="220"/>
      <c r="S235" s="220"/>
      <c r="T235" s="220"/>
    </row>
    <row r="236" spans="2:27" ht="18" customHeight="1">
      <c r="B236" s="3862"/>
      <c r="C236" s="3863"/>
      <c r="D236" s="219"/>
      <c r="E236" s="3856"/>
      <c r="F236" s="3857"/>
      <c r="G236" s="3857"/>
      <c r="H236" s="3858"/>
      <c r="I236" s="219"/>
      <c r="J236" s="381"/>
      <c r="K236" s="3782"/>
      <c r="L236" s="3768"/>
      <c r="M236" s="3783"/>
      <c r="N236" s="3899" t="s">
        <v>8327</v>
      </c>
      <c r="O236" s="3827" t="s">
        <v>8328</v>
      </c>
      <c r="P236" s="3828"/>
      <c r="Q236" s="3829"/>
      <c r="R236" s="3899" t="s">
        <v>8329</v>
      </c>
      <c r="S236" s="3762" t="s">
        <v>8330</v>
      </c>
      <c r="T236" s="3764"/>
    </row>
    <row r="237" spans="2:27" ht="18" customHeight="1">
      <c r="B237" s="3862"/>
      <c r="C237" s="3863"/>
      <c r="D237" s="219"/>
      <c r="E237" s="3856"/>
      <c r="F237" s="3857"/>
      <c r="G237" s="3857"/>
      <c r="H237" s="3858"/>
      <c r="I237" s="219"/>
      <c r="J237" s="381"/>
      <c r="K237" s="3784"/>
      <c r="L237" s="3785"/>
      <c r="M237" s="3786"/>
      <c r="N237" s="3899"/>
      <c r="O237" s="3830"/>
      <c r="P237" s="3831"/>
      <c r="Q237" s="3832"/>
      <c r="R237" s="3899"/>
      <c r="S237" s="3765"/>
      <c r="T237" s="3767"/>
    </row>
    <row r="238" spans="2:27" ht="18" customHeight="1">
      <c r="B238" s="3862"/>
      <c r="C238" s="3863"/>
      <c r="D238" s="219"/>
      <c r="E238" s="3856"/>
      <c r="F238" s="3857"/>
      <c r="G238" s="3857"/>
      <c r="H238" s="3858"/>
      <c r="I238" s="219"/>
      <c r="J238" s="381"/>
      <c r="K238" s="220"/>
      <c r="L238" s="220"/>
      <c r="M238" s="220"/>
      <c r="N238" s="220"/>
      <c r="O238" s="3833"/>
      <c r="P238" s="3834"/>
      <c r="Q238" s="3835"/>
      <c r="R238" s="220"/>
      <c r="S238" s="3866"/>
      <c r="T238" s="3867"/>
    </row>
    <row r="239" spans="2:27" ht="18" customHeight="1">
      <c r="B239" s="3864"/>
      <c r="C239" s="3865"/>
      <c r="D239" s="219"/>
      <c r="E239" s="3777"/>
      <c r="F239" s="3859"/>
      <c r="G239" s="3859"/>
      <c r="H239" s="3778"/>
      <c r="I239" s="219"/>
      <c r="J239" s="381"/>
      <c r="K239" s="220"/>
      <c r="L239" s="220"/>
      <c r="M239" s="220"/>
      <c r="N239" s="220"/>
      <c r="O239" s="220"/>
      <c r="P239" s="220"/>
      <c r="Q239" s="220"/>
      <c r="R239" s="220"/>
      <c r="S239" s="4040" t="s">
        <v>8313</v>
      </c>
      <c r="T239" s="4040"/>
      <c r="U239" s="380"/>
    </row>
    <row r="240" spans="2:27" ht="18" customHeight="1">
      <c r="B240" s="3857" t="s">
        <v>8313</v>
      </c>
      <c r="C240" s="3857"/>
      <c r="D240" s="219"/>
      <c r="E240" s="219"/>
      <c r="F240" s="219"/>
      <c r="G240" s="219"/>
      <c r="H240" s="219"/>
      <c r="I240" s="219"/>
      <c r="J240" s="381"/>
      <c r="K240" s="3762" t="s">
        <v>8331</v>
      </c>
      <c r="L240" s="3763"/>
      <c r="M240" s="3763"/>
      <c r="N240" s="3764"/>
      <c r="O240" s="3768" t="s">
        <v>8332</v>
      </c>
      <c r="P240" s="3768"/>
      <c r="Q240" s="3769" t="s">
        <v>8333</v>
      </c>
      <c r="R240" s="3770"/>
      <c r="S240" s="3770"/>
      <c r="T240" s="3771"/>
    </row>
    <row r="241" spans="2:20" ht="18" customHeight="1">
      <c r="B241" s="3775" t="s">
        <v>8334</v>
      </c>
      <c r="C241" s="3776"/>
      <c r="D241" s="219"/>
      <c r="E241" s="3779" t="s">
        <v>8335</v>
      </c>
      <c r="F241" s="3780"/>
      <c r="G241" s="3780"/>
      <c r="H241" s="3781"/>
      <c r="I241" s="219"/>
      <c r="J241" s="381"/>
      <c r="K241" s="3765"/>
      <c r="L241" s="3766"/>
      <c r="M241" s="3766"/>
      <c r="N241" s="3767"/>
      <c r="O241" s="3768"/>
      <c r="P241" s="3768"/>
      <c r="Q241" s="3772"/>
      <c r="R241" s="3773"/>
      <c r="S241" s="3773"/>
      <c r="T241" s="3774"/>
    </row>
    <row r="242" spans="2:20" ht="18" customHeight="1">
      <c r="B242" s="3777"/>
      <c r="C242" s="3778"/>
      <c r="D242" s="219"/>
      <c r="E242" s="3782"/>
      <c r="F242" s="3768"/>
      <c r="G242" s="3768"/>
      <c r="H242" s="3783"/>
      <c r="I242" s="219"/>
      <c r="J242" s="381"/>
      <c r="K242" s="3787" t="s">
        <v>8336</v>
      </c>
      <c r="L242" s="3788"/>
      <c r="M242" s="3788"/>
      <c r="N242" s="3789"/>
      <c r="O242" s="220"/>
      <c r="P242" s="3904" t="s">
        <v>8337</v>
      </c>
      <c r="Q242" s="3791" t="s">
        <v>8338</v>
      </c>
      <c r="R242" s="220"/>
      <c r="S242" s="3791" t="s">
        <v>8339</v>
      </c>
      <c r="T242" s="3768"/>
    </row>
    <row r="243" spans="2:20" ht="18" customHeight="1">
      <c r="B243" s="219"/>
      <c r="C243" s="219"/>
      <c r="D243" s="219"/>
      <c r="E243" s="3782"/>
      <c r="F243" s="3768"/>
      <c r="G243" s="3768"/>
      <c r="H243" s="3783"/>
      <c r="I243" s="219"/>
      <c r="J243" s="381"/>
      <c r="K243" s="3790"/>
      <c r="L243" s="3791"/>
      <c r="M243" s="3791"/>
      <c r="N243" s="3792"/>
      <c r="O243" s="220"/>
      <c r="P243" s="3904"/>
      <c r="Q243" s="3791"/>
      <c r="R243" s="220"/>
      <c r="S243" s="3768"/>
      <c r="T243" s="3768"/>
    </row>
    <row r="244" spans="2:20" ht="18" customHeight="1">
      <c r="B244" s="3779" t="s">
        <v>8340</v>
      </c>
      <c r="C244" s="3796"/>
      <c r="D244" s="219"/>
      <c r="E244" s="3782"/>
      <c r="F244" s="3768"/>
      <c r="G244" s="3768"/>
      <c r="H244" s="3783"/>
      <c r="I244" s="219"/>
      <c r="J244" s="381"/>
      <c r="K244" s="3793"/>
      <c r="L244" s="3794"/>
      <c r="M244" s="3794"/>
      <c r="N244" s="3795"/>
      <c r="O244" s="3766" t="s">
        <v>8341</v>
      </c>
      <c r="P244" s="220"/>
      <c r="Q244" s="3791"/>
      <c r="R244" s="220"/>
      <c r="S244" s="3768"/>
      <c r="T244" s="3768"/>
    </row>
    <row r="245" spans="2:20" ht="18" customHeight="1">
      <c r="B245" s="3797"/>
      <c r="C245" s="3798"/>
      <c r="D245" s="219"/>
      <c r="E245" s="3782"/>
      <c r="F245" s="3768"/>
      <c r="G245" s="3768"/>
      <c r="H245" s="3783"/>
      <c r="I245" s="219"/>
      <c r="J245" s="381"/>
      <c r="K245" s="3791" t="s">
        <v>8342</v>
      </c>
      <c r="L245" s="389"/>
      <c r="N245" s="3831" t="s">
        <v>8343</v>
      </c>
      <c r="O245" s="3766"/>
      <c r="P245" s="220"/>
      <c r="Q245" s="3791"/>
      <c r="R245" s="220"/>
      <c r="S245" s="3768"/>
      <c r="T245" s="3768"/>
    </row>
    <row r="246" spans="2:20" ht="18" customHeight="1">
      <c r="B246" s="3797"/>
      <c r="C246" s="3798"/>
      <c r="D246" s="219"/>
      <c r="E246" s="3782"/>
      <c r="F246" s="3768"/>
      <c r="G246" s="3768"/>
      <c r="H246" s="3783"/>
      <c r="I246" s="219"/>
      <c r="J246" s="381"/>
      <c r="K246" s="3791"/>
      <c r="L246" s="389"/>
      <c r="N246" s="3899"/>
      <c r="O246" s="3766"/>
      <c r="P246" s="220"/>
      <c r="Q246" s="3801" t="s">
        <v>8344</v>
      </c>
      <c r="R246" s="3770"/>
      <c r="S246" s="3770"/>
      <c r="T246" s="3771"/>
    </row>
    <row r="247" spans="2:20" ht="18" customHeight="1">
      <c r="B247" s="3797"/>
      <c r="C247" s="3798"/>
      <c r="D247" s="219"/>
      <c r="E247" s="3782"/>
      <c r="F247" s="3768"/>
      <c r="G247" s="3768"/>
      <c r="H247" s="3783"/>
      <c r="I247" s="219"/>
      <c r="J247" s="381"/>
      <c r="K247" s="3791"/>
      <c r="L247" s="389"/>
      <c r="M247" s="3801" t="s">
        <v>8345</v>
      </c>
      <c r="N247" s="3770"/>
      <c r="O247" s="3771"/>
      <c r="P247" s="220"/>
      <c r="Q247" s="3772"/>
      <c r="R247" s="3773"/>
      <c r="S247" s="3773"/>
      <c r="T247" s="3774"/>
    </row>
    <row r="248" spans="2:20" ht="18" customHeight="1">
      <c r="B248" s="3797"/>
      <c r="C248" s="3798"/>
      <c r="D248" s="219"/>
      <c r="E248" s="3782"/>
      <c r="F248" s="3768"/>
      <c r="G248" s="3768"/>
      <c r="H248" s="3783"/>
      <c r="I248" s="219"/>
      <c r="J248" s="381"/>
      <c r="K248" s="3791"/>
      <c r="L248" s="389"/>
      <c r="M248" s="3772"/>
      <c r="N248" s="3773"/>
      <c r="O248" s="3774"/>
      <c r="Q248" s="224"/>
      <c r="R248" s="224"/>
      <c r="S248" s="224"/>
      <c r="T248" s="224"/>
    </row>
    <row r="249" spans="2:20" ht="19.399999999999999" customHeight="1">
      <c r="B249" s="3799"/>
      <c r="C249" s="3800"/>
      <c r="D249" s="219"/>
      <c r="E249" s="3784"/>
      <c r="F249" s="3785"/>
      <c r="G249" s="3785"/>
      <c r="H249" s="3786"/>
      <c r="I249" s="219"/>
      <c r="J249" s="381"/>
      <c r="K249" s="3791"/>
      <c r="L249" s="389"/>
      <c r="M249" s="387"/>
      <c r="N249" s="387"/>
      <c r="O249" s="387"/>
      <c r="P249" s="224"/>
      <c r="Q249" s="3779" t="s">
        <v>8346</v>
      </c>
      <c r="R249" s="3802"/>
      <c r="S249" s="3802"/>
      <c r="T249" s="3803"/>
    </row>
    <row r="250" spans="2:20" ht="15.75" customHeight="1">
      <c r="B250" s="219"/>
      <c r="C250" s="219"/>
      <c r="D250" s="219"/>
      <c r="E250" s="219"/>
      <c r="F250" s="219"/>
      <c r="G250" s="219"/>
      <c r="H250" s="219"/>
      <c r="I250" s="219"/>
      <c r="J250" s="381"/>
      <c r="K250" s="3801" t="s">
        <v>8347</v>
      </c>
      <c r="L250" s="3802"/>
      <c r="M250" s="3802"/>
      <c r="N250" s="3802"/>
      <c r="O250" s="3803"/>
      <c r="P250" s="224"/>
      <c r="Q250" s="3804"/>
      <c r="R250" s="3805"/>
      <c r="S250" s="3805"/>
      <c r="T250" s="3806"/>
    </row>
    <row r="251" spans="2:20" ht="16.5">
      <c r="B251" s="219"/>
      <c r="C251" s="219"/>
      <c r="D251" s="219"/>
      <c r="E251" s="219"/>
      <c r="F251" s="219"/>
      <c r="G251" s="219"/>
      <c r="H251" s="219"/>
      <c r="I251" s="219"/>
      <c r="J251" s="381"/>
      <c r="K251" s="3804"/>
      <c r="L251" s="3805"/>
      <c r="M251" s="3805"/>
      <c r="N251" s="3805"/>
      <c r="O251" s="3806"/>
      <c r="P251" s="224"/>
      <c r="Q251" s="3804"/>
      <c r="R251" s="3805"/>
      <c r="S251" s="3805"/>
      <c r="T251" s="3806"/>
    </row>
    <row r="252" spans="2:20" ht="16.5">
      <c r="B252" s="219"/>
      <c r="C252" s="219"/>
      <c r="D252" s="219"/>
      <c r="E252" s="219"/>
      <c r="F252" s="219"/>
      <c r="G252" s="219"/>
      <c r="H252" s="219"/>
      <c r="I252" s="219"/>
      <c r="J252" s="381"/>
      <c r="K252" s="3807"/>
      <c r="L252" s="3808"/>
      <c r="M252" s="3808"/>
      <c r="N252" s="3808"/>
      <c r="O252" s="3809"/>
      <c r="P252" s="220"/>
      <c r="Q252" s="3804"/>
      <c r="R252" s="3805"/>
      <c r="S252" s="3805"/>
      <c r="T252" s="3806"/>
    </row>
    <row r="253" spans="2:20" ht="16.5">
      <c r="B253" s="219"/>
      <c r="C253" s="219"/>
      <c r="D253" s="219"/>
      <c r="E253" s="219"/>
      <c r="F253" s="219"/>
      <c r="G253" s="219"/>
      <c r="H253" s="219"/>
      <c r="I253" s="219"/>
      <c r="J253" s="381"/>
      <c r="K253" s="220"/>
      <c r="L253" s="220"/>
      <c r="M253" s="220"/>
      <c r="N253" s="220"/>
      <c r="O253" s="220"/>
      <c r="P253" s="220"/>
      <c r="Q253" s="3804"/>
      <c r="R253" s="3805"/>
      <c r="S253" s="3805"/>
      <c r="T253" s="3806"/>
    </row>
    <row r="254" spans="2:20" ht="21.5">
      <c r="B254" s="390" t="s">
        <v>8348</v>
      </c>
      <c r="C254" s="219"/>
      <c r="D254" s="219"/>
      <c r="E254" s="219"/>
      <c r="F254" s="219"/>
      <c r="G254" s="219"/>
      <c r="H254" s="219"/>
      <c r="I254" s="219"/>
      <c r="J254" s="381"/>
      <c r="K254" s="220"/>
      <c r="L254" s="220"/>
      <c r="M254" s="220"/>
      <c r="N254" s="220"/>
      <c r="O254" s="220"/>
      <c r="P254" s="220"/>
      <c r="Q254" s="3804"/>
      <c r="R254" s="3805"/>
      <c r="S254" s="3805"/>
      <c r="T254" s="3806"/>
    </row>
    <row r="255" spans="2:20" ht="15.75" customHeight="1">
      <c r="B255" s="4006" t="s">
        <v>8349</v>
      </c>
      <c r="C255" s="219"/>
      <c r="D255" s="219"/>
      <c r="E255" s="219"/>
      <c r="F255" s="219"/>
      <c r="G255" s="219"/>
      <c r="H255" s="219"/>
      <c r="I255" s="219"/>
      <c r="J255" s="381"/>
      <c r="K255" s="220"/>
      <c r="L255" s="220"/>
      <c r="M255" s="220"/>
      <c r="N255" s="220"/>
      <c r="O255" s="220"/>
      <c r="P255" s="220"/>
      <c r="Q255" s="3804"/>
      <c r="R255" s="3805"/>
      <c r="S255" s="3805"/>
      <c r="T255" s="3806"/>
    </row>
    <row r="256" spans="2:20" ht="16.5">
      <c r="B256" s="4007"/>
      <c r="C256" s="219"/>
      <c r="D256" s="219"/>
      <c r="E256" s="219"/>
      <c r="F256" s="219"/>
      <c r="G256" s="219"/>
      <c r="H256" s="219"/>
      <c r="I256" s="219"/>
      <c r="J256" s="219"/>
      <c r="K256" s="220"/>
      <c r="L256" s="220"/>
      <c r="M256" s="220"/>
      <c r="N256" s="220"/>
      <c r="O256" s="220"/>
      <c r="P256" s="220"/>
      <c r="Q256" s="3807"/>
      <c r="R256" s="3808"/>
      <c r="S256" s="3808"/>
      <c r="T256" s="3809"/>
    </row>
    <row r="257" spans="2:20" ht="16.5">
      <c r="B257" s="4007"/>
      <c r="C257" s="219"/>
      <c r="D257" s="219"/>
      <c r="E257" s="219"/>
      <c r="F257" s="219"/>
      <c r="G257" s="219"/>
      <c r="H257" s="219"/>
      <c r="I257" s="219"/>
      <c r="J257" s="219"/>
      <c r="K257" s="220"/>
      <c r="L257" s="220"/>
      <c r="M257" s="220"/>
      <c r="N257" s="220"/>
      <c r="O257" s="220"/>
      <c r="P257" s="220"/>
      <c r="Q257" s="220"/>
      <c r="R257" s="220"/>
      <c r="S257" s="220"/>
      <c r="T257" s="220"/>
    </row>
    <row r="258" spans="2:20" ht="16.5">
      <c r="B258" s="4007"/>
      <c r="C258" s="219"/>
      <c r="D258" s="219"/>
      <c r="E258" s="219"/>
      <c r="F258" s="219"/>
      <c r="G258" s="219"/>
      <c r="H258" s="219"/>
      <c r="I258" s="219"/>
      <c r="J258" s="219"/>
      <c r="K258" s="220"/>
      <c r="L258" s="220"/>
      <c r="M258" s="220"/>
      <c r="N258" s="220"/>
      <c r="O258" s="220"/>
      <c r="P258" s="220"/>
      <c r="Q258" s="220"/>
      <c r="R258" s="220"/>
      <c r="S258" s="220"/>
      <c r="T258" s="220"/>
    </row>
    <row r="259" spans="2:20" ht="16.5">
      <c r="B259" s="4007"/>
      <c r="C259" s="219"/>
      <c r="D259" s="219"/>
      <c r="E259" s="219"/>
      <c r="F259" s="219"/>
      <c r="G259" s="219"/>
      <c r="H259" s="219"/>
      <c r="I259" s="219"/>
      <c r="J259" s="219"/>
      <c r="K259" s="220"/>
      <c r="L259" s="220"/>
      <c r="M259" s="220"/>
      <c r="N259" s="220"/>
      <c r="O259" s="220"/>
      <c r="P259" s="220"/>
      <c r="Q259" s="220"/>
      <c r="R259" s="220"/>
      <c r="S259" s="220"/>
      <c r="T259" s="220"/>
    </row>
    <row r="260" spans="2:20" ht="16.5">
      <c r="B260" s="4007"/>
      <c r="C260" s="219"/>
      <c r="D260" s="219"/>
      <c r="E260" s="219"/>
      <c r="F260" s="219"/>
      <c r="G260" s="219"/>
      <c r="H260" s="219"/>
      <c r="I260" s="219"/>
      <c r="J260" s="219"/>
      <c r="K260" s="220"/>
      <c r="L260" s="220"/>
      <c r="M260" s="220"/>
      <c r="N260" s="220"/>
      <c r="O260" s="220"/>
      <c r="P260" s="220"/>
      <c r="Q260" s="220"/>
      <c r="R260" s="220"/>
      <c r="S260" s="220"/>
      <c r="T260" s="220"/>
    </row>
    <row r="261" spans="2:20" ht="16.5">
      <c r="B261" s="4007"/>
      <c r="C261" s="219"/>
      <c r="D261" s="219"/>
      <c r="E261" s="219"/>
      <c r="F261" s="219"/>
      <c r="G261" s="219"/>
      <c r="H261" s="219"/>
      <c r="I261" s="219"/>
      <c r="J261" s="219"/>
      <c r="K261" s="220"/>
      <c r="L261" s="220"/>
      <c r="M261" s="220"/>
      <c r="N261" s="220"/>
      <c r="O261" s="220"/>
      <c r="P261" s="220"/>
      <c r="Q261" s="220"/>
      <c r="R261" s="220"/>
      <c r="S261" s="220"/>
      <c r="T261" s="220"/>
    </row>
    <row r="262" spans="2:20" ht="16.5">
      <c r="B262" s="4008"/>
      <c r="C262" s="219"/>
      <c r="D262" s="219"/>
      <c r="E262" s="219"/>
      <c r="F262" s="219"/>
      <c r="G262" s="219"/>
      <c r="H262" s="219"/>
      <c r="I262" s="219"/>
      <c r="J262" s="219"/>
      <c r="K262" s="220"/>
      <c r="L262" s="220"/>
      <c r="M262" s="220"/>
      <c r="N262" s="220"/>
      <c r="O262" s="220"/>
      <c r="P262" s="220"/>
      <c r="Q262" s="220"/>
      <c r="R262" s="220"/>
      <c r="S262" s="220"/>
      <c r="T262" s="220"/>
    </row>
    <row r="263" spans="2:20" ht="16.5">
      <c r="C263" s="219"/>
      <c r="D263" s="219"/>
      <c r="E263" s="219"/>
      <c r="F263" s="219"/>
      <c r="G263" s="219"/>
      <c r="H263" s="219"/>
      <c r="I263" s="219"/>
      <c r="J263" s="219"/>
      <c r="K263" s="220"/>
      <c r="L263" s="220"/>
      <c r="M263" s="220"/>
      <c r="N263" s="220"/>
      <c r="O263" s="220"/>
      <c r="P263" s="220"/>
      <c r="Q263" s="220"/>
      <c r="R263" s="220"/>
      <c r="S263" s="220"/>
      <c r="T263" s="220"/>
    </row>
    <row r="264" spans="2:20" ht="16.5">
      <c r="C264" s="219"/>
      <c r="D264" s="10"/>
      <c r="E264" s="10"/>
      <c r="F264" s="10"/>
      <c r="G264" s="219"/>
      <c r="H264" s="219"/>
      <c r="I264" s="219"/>
      <c r="J264" s="219"/>
      <c r="K264" s="220"/>
      <c r="L264" s="220"/>
      <c r="M264" s="220"/>
      <c r="N264" s="220"/>
      <c r="O264" s="220"/>
      <c r="P264" s="220"/>
      <c r="Q264" s="220"/>
      <c r="R264" s="220"/>
      <c r="S264" s="220"/>
      <c r="T264" s="220"/>
    </row>
    <row r="265" spans="2:20" ht="16.5">
      <c r="C265" s="219"/>
      <c r="D265" s="10"/>
      <c r="E265" s="10"/>
      <c r="F265" s="10"/>
      <c r="G265" s="219"/>
      <c r="H265" s="219"/>
      <c r="I265" s="219"/>
      <c r="J265" s="219"/>
      <c r="K265" s="220"/>
      <c r="L265" s="220"/>
      <c r="M265" s="220"/>
      <c r="N265" s="220"/>
      <c r="O265" s="220"/>
      <c r="P265" s="220"/>
      <c r="Q265" s="220"/>
      <c r="R265" s="220"/>
      <c r="S265" s="220"/>
      <c r="T265" s="220"/>
    </row>
    <row r="266" spans="2:20" ht="16.5">
      <c r="C266" s="219"/>
      <c r="D266" s="10"/>
      <c r="E266" s="10"/>
      <c r="F266" s="10"/>
      <c r="H266" s="219"/>
      <c r="I266" s="219"/>
      <c r="J266" s="219"/>
      <c r="K266" s="220"/>
      <c r="L266" s="220"/>
      <c r="M266" s="220"/>
      <c r="N266" s="220"/>
      <c r="O266" s="220"/>
      <c r="P266" s="220"/>
      <c r="Q266" s="220"/>
      <c r="R266" s="220"/>
      <c r="S266" s="220"/>
      <c r="T266" s="220"/>
    </row>
    <row r="267" spans="2:20" ht="16.5">
      <c r="C267" s="219"/>
      <c r="D267" s="10"/>
      <c r="E267" s="10"/>
      <c r="F267" s="10"/>
      <c r="H267" s="219"/>
      <c r="I267" s="219"/>
      <c r="J267" s="219"/>
      <c r="K267" s="220"/>
      <c r="L267" s="220"/>
      <c r="M267" s="220"/>
      <c r="N267" s="220"/>
      <c r="O267" s="220"/>
      <c r="P267" s="220"/>
      <c r="Q267" s="220"/>
      <c r="R267" s="220"/>
      <c r="S267" s="220"/>
      <c r="T267" s="220"/>
    </row>
    <row r="268" spans="2:20" ht="16.5">
      <c r="C268" s="219"/>
      <c r="D268" s="10"/>
      <c r="E268" s="10"/>
      <c r="F268" s="10"/>
      <c r="H268" s="219"/>
      <c r="I268" s="219"/>
      <c r="J268" s="219"/>
      <c r="K268" s="220"/>
      <c r="L268" s="220"/>
      <c r="M268" s="220"/>
      <c r="N268" s="220"/>
      <c r="O268" s="220"/>
      <c r="P268" s="220"/>
      <c r="Q268" s="220"/>
      <c r="R268" s="220"/>
      <c r="S268" s="220"/>
      <c r="T268" s="220"/>
    </row>
    <row r="269" spans="2:20" ht="16.5">
      <c r="C269" s="219"/>
      <c r="D269" s="10"/>
      <c r="E269" s="10"/>
      <c r="F269" s="10"/>
      <c r="H269" s="219"/>
      <c r="I269" s="219"/>
      <c r="J269" s="219"/>
      <c r="K269" s="220"/>
      <c r="L269" s="220"/>
      <c r="M269" s="220"/>
      <c r="N269" s="220"/>
      <c r="O269" s="220"/>
      <c r="P269" s="220"/>
      <c r="Q269" s="220"/>
      <c r="R269" s="220"/>
      <c r="S269" s="220"/>
      <c r="T269" s="220"/>
    </row>
    <row r="270" spans="2:20" ht="16.5">
      <c r="C270" s="219"/>
      <c r="D270" s="10"/>
      <c r="E270" s="10"/>
      <c r="F270" s="10"/>
      <c r="H270" s="219"/>
      <c r="I270" s="219"/>
      <c r="J270" s="219"/>
      <c r="K270" s="220"/>
      <c r="L270" s="220"/>
      <c r="M270" s="220"/>
      <c r="N270" s="220"/>
      <c r="O270" s="220"/>
      <c r="P270" s="220"/>
      <c r="Q270" s="220"/>
      <c r="R270" s="220"/>
      <c r="S270" s="220"/>
      <c r="T270" s="220"/>
    </row>
    <row r="271" spans="2:20" ht="16.5">
      <c r="C271" s="219"/>
      <c r="D271" s="10"/>
      <c r="E271" s="10"/>
      <c r="F271" s="10"/>
      <c r="H271" s="219"/>
      <c r="I271" s="219"/>
      <c r="J271" s="219"/>
      <c r="K271" s="220"/>
      <c r="L271" s="220"/>
      <c r="M271" s="220"/>
      <c r="N271" s="220"/>
      <c r="O271" s="220"/>
      <c r="P271" s="220"/>
      <c r="Q271" s="220"/>
      <c r="R271" s="220"/>
      <c r="S271" s="220"/>
      <c r="T271" s="220"/>
    </row>
    <row r="272" spans="2:20" ht="16.5">
      <c r="C272" s="219"/>
      <c r="D272" s="10"/>
      <c r="E272" s="10"/>
      <c r="F272" s="10"/>
      <c r="H272" s="219"/>
      <c r="I272" s="219"/>
      <c r="J272" s="219"/>
      <c r="K272" s="220"/>
      <c r="L272" s="220"/>
      <c r="M272" s="220"/>
      <c r="N272" s="220"/>
      <c r="O272" s="220"/>
      <c r="P272" s="220"/>
      <c r="Q272" s="220"/>
      <c r="R272" s="220"/>
      <c r="S272" s="220"/>
      <c r="T272" s="220"/>
    </row>
    <row r="318" spans="2:20" ht="16.5">
      <c r="B318" s="219"/>
      <c r="C318" s="219"/>
      <c r="D318" s="219"/>
      <c r="E318" s="219"/>
      <c r="F318" s="219"/>
      <c r="G318" s="219"/>
      <c r="H318" s="219"/>
      <c r="I318" s="219"/>
      <c r="J318" s="219"/>
      <c r="K318" s="220"/>
      <c r="L318" s="220"/>
      <c r="M318" s="220"/>
      <c r="N318" s="220"/>
      <c r="O318" s="220"/>
      <c r="P318" s="220"/>
      <c r="Q318" s="220"/>
      <c r="R318" s="220"/>
      <c r="S318" s="220"/>
      <c r="T318" s="220"/>
    </row>
    <row r="319" spans="2:20" ht="16.5">
      <c r="B319" s="219"/>
      <c r="C319" s="219"/>
      <c r="D319" s="219"/>
      <c r="E319" s="219"/>
      <c r="F319" s="219"/>
      <c r="G319" s="219"/>
      <c r="H319" s="219"/>
      <c r="I319" s="219"/>
      <c r="J319" s="219"/>
      <c r="K319" s="220"/>
      <c r="L319" s="220"/>
      <c r="M319" s="220"/>
      <c r="N319" s="220"/>
      <c r="O319" s="220"/>
      <c r="P319" s="220"/>
      <c r="Q319" s="220"/>
      <c r="R319" s="220"/>
      <c r="S319" s="220"/>
      <c r="T319" s="220"/>
    </row>
    <row r="320" spans="2:20" ht="16.5">
      <c r="B320" s="219"/>
      <c r="C320" s="219"/>
      <c r="D320" s="219"/>
      <c r="E320" s="219"/>
      <c r="F320" s="219"/>
      <c r="G320" s="219"/>
      <c r="H320" s="219"/>
      <c r="I320" s="219"/>
      <c r="J320" s="219"/>
      <c r="K320" s="220"/>
      <c r="L320" s="220"/>
      <c r="M320" s="220"/>
      <c r="N320" s="220"/>
      <c r="O320" s="220"/>
      <c r="P320" s="220"/>
      <c r="Q320" s="220"/>
      <c r="R320" s="220"/>
      <c r="S320" s="220"/>
      <c r="T320" s="220"/>
    </row>
    <row r="321" spans="2:20" ht="16.5">
      <c r="B321" s="219"/>
      <c r="C321" s="219"/>
      <c r="D321" s="219"/>
      <c r="E321" s="219"/>
      <c r="F321" s="219"/>
      <c r="G321" s="219"/>
      <c r="H321" s="219"/>
      <c r="I321" s="219"/>
      <c r="J321" s="219"/>
      <c r="K321" s="220"/>
      <c r="L321" s="220"/>
      <c r="M321" s="220"/>
      <c r="N321" s="220"/>
      <c r="O321" s="220"/>
      <c r="P321" s="220"/>
      <c r="Q321" s="220"/>
      <c r="R321" s="220"/>
      <c r="S321" s="220"/>
      <c r="T321" s="220"/>
    </row>
    <row r="322" spans="2:20" ht="16.5">
      <c r="B322" s="219"/>
      <c r="C322" s="219"/>
      <c r="D322" s="219"/>
      <c r="E322" s="219"/>
      <c r="F322" s="219"/>
      <c r="G322" s="219"/>
      <c r="H322" s="219"/>
      <c r="I322" s="219"/>
      <c r="J322" s="219"/>
      <c r="K322" s="220"/>
      <c r="L322" s="220"/>
      <c r="M322" s="220"/>
      <c r="N322" s="220"/>
      <c r="O322" s="220"/>
      <c r="P322" s="220"/>
      <c r="Q322" s="220"/>
      <c r="R322" s="220"/>
      <c r="S322" s="220"/>
      <c r="T322" s="220"/>
    </row>
    <row r="323" spans="2:20" ht="16.5">
      <c r="B323" s="219"/>
      <c r="C323" s="219"/>
      <c r="D323" s="219"/>
      <c r="E323" s="219"/>
      <c r="F323" s="219"/>
      <c r="G323" s="219"/>
      <c r="H323" s="219"/>
      <c r="I323" s="219"/>
      <c r="J323" s="219"/>
      <c r="K323" s="220"/>
      <c r="L323" s="220"/>
      <c r="M323" s="220"/>
      <c r="N323" s="220"/>
      <c r="O323" s="220"/>
      <c r="P323" s="220"/>
      <c r="Q323" s="220"/>
      <c r="R323" s="220"/>
      <c r="S323" s="220"/>
      <c r="T323" s="220"/>
    </row>
    <row r="324" spans="2:20" ht="16.5">
      <c r="B324" s="219"/>
      <c r="C324" s="219"/>
      <c r="D324" s="219"/>
      <c r="E324" s="219"/>
      <c r="F324" s="219"/>
      <c r="G324" s="219"/>
      <c r="H324" s="219"/>
      <c r="I324" s="219"/>
      <c r="J324" s="219"/>
      <c r="K324" s="220"/>
      <c r="L324" s="220"/>
      <c r="M324" s="220"/>
      <c r="N324" s="220"/>
      <c r="O324" s="220"/>
      <c r="P324" s="220"/>
      <c r="Q324" s="220"/>
      <c r="R324" s="220"/>
      <c r="S324" s="220"/>
      <c r="T324" s="220"/>
    </row>
    <row r="325" spans="2:20" ht="16.5">
      <c r="B325" s="219"/>
      <c r="C325" s="219"/>
      <c r="D325" s="219"/>
      <c r="E325" s="219"/>
      <c r="F325" s="219"/>
      <c r="G325" s="219"/>
      <c r="H325" s="219"/>
      <c r="I325" s="219"/>
      <c r="J325" s="219"/>
      <c r="K325" s="220"/>
      <c r="L325" s="220"/>
      <c r="M325" s="220"/>
      <c r="N325" s="220"/>
      <c r="O325" s="220"/>
      <c r="P325" s="220"/>
      <c r="Q325" s="220"/>
      <c r="R325" s="220"/>
      <c r="S325" s="220"/>
      <c r="T325" s="220"/>
    </row>
    <row r="326" spans="2:20" ht="16.5">
      <c r="B326" s="219"/>
      <c r="C326" s="219"/>
      <c r="D326" s="219"/>
      <c r="E326" s="219"/>
      <c r="F326" s="219"/>
      <c r="G326" s="219"/>
      <c r="H326" s="219"/>
      <c r="I326" s="219"/>
      <c r="J326" s="219"/>
      <c r="K326" s="220"/>
      <c r="L326" s="220"/>
      <c r="M326" s="220"/>
      <c r="N326" s="220"/>
      <c r="O326" s="220"/>
      <c r="P326" s="220"/>
      <c r="Q326" s="220"/>
      <c r="R326" s="220"/>
      <c r="S326" s="220"/>
      <c r="T326" s="220"/>
    </row>
    <row r="327" spans="2:20" ht="16.5">
      <c r="B327" s="219"/>
      <c r="C327" s="219"/>
      <c r="D327" s="219"/>
      <c r="E327" s="219"/>
      <c r="F327" s="219"/>
      <c r="G327" s="219"/>
      <c r="H327" s="219"/>
      <c r="I327" s="219"/>
      <c r="J327" s="219"/>
      <c r="K327" s="220"/>
      <c r="L327" s="220"/>
      <c r="M327" s="220"/>
      <c r="N327" s="220"/>
      <c r="O327" s="220"/>
      <c r="P327" s="220"/>
      <c r="Q327" s="220"/>
      <c r="R327" s="220"/>
      <c r="S327" s="220"/>
      <c r="T327" s="220"/>
    </row>
    <row r="328" spans="2:20" ht="16.5">
      <c r="B328" s="219"/>
      <c r="C328" s="219"/>
      <c r="D328" s="219"/>
      <c r="E328" s="219"/>
      <c r="F328" s="219"/>
      <c r="G328" s="219"/>
      <c r="H328" s="219"/>
      <c r="I328" s="219"/>
      <c r="J328" s="219"/>
      <c r="K328" s="220"/>
      <c r="L328" s="220"/>
      <c r="M328" s="220"/>
      <c r="N328" s="220"/>
      <c r="O328" s="220"/>
      <c r="P328" s="220"/>
      <c r="Q328" s="220"/>
      <c r="R328" s="220"/>
      <c r="S328" s="220"/>
      <c r="T328" s="220"/>
    </row>
    <row r="329" spans="2:20" ht="16.5">
      <c r="B329" s="219"/>
      <c r="C329" s="219"/>
      <c r="D329" s="219"/>
      <c r="E329" s="219"/>
      <c r="F329" s="219"/>
      <c r="G329" s="219"/>
      <c r="H329" s="219"/>
      <c r="I329" s="219"/>
      <c r="J329" s="219"/>
      <c r="K329" s="220"/>
      <c r="L329" s="220"/>
      <c r="M329" s="220"/>
      <c r="N329" s="220"/>
      <c r="O329" s="220"/>
      <c r="P329" s="220"/>
      <c r="Q329" s="220"/>
      <c r="R329" s="220"/>
      <c r="S329" s="220"/>
      <c r="T329" s="220"/>
    </row>
    <row r="330" spans="2:20" ht="16.5">
      <c r="B330" s="219"/>
      <c r="C330" s="219"/>
      <c r="D330" s="219"/>
      <c r="E330" s="219"/>
      <c r="F330" s="219"/>
      <c r="G330" s="219"/>
      <c r="H330" s="219"/>
      <c r="I330" s="219"/>
      <c r="J330" s="219"/>
      <c r="K330" s="220"/>
      <c r="L330" s="220"/>
      <c r="M330" s="220"/>
      <c r="N330" s="220"/>
      <c r="O330" s="220"/>
      <c r="P330" s="220"/>
      <c r="Q330" s="220"/>
      <c r="R330" s="220"/>
      <c r="S330" s="220"/>
      <c r="T330" s="220"/>
    </row>
    <row r="331" spans="2:20" ht="16.5">
      <c r="B331" s="219"/>
      <c r="C331" s="219"/>
      <c r="D331" s="219"/>
      <c r="E331" s="219"/>
      <c r="F331" s="219"/>
      <c r="G331" s="219"/>
      <c r="H331" s="219"/>
      <c r="I331" s="219"/>
      <c r="J331" s="219"/>
      <c r="K331" s="220"/>
      <c r="L331" s="220"/>
      <c r="M331" s="220"/>
      <c r="N331" s="220"/>
      <c r="O331" s="220"/>
      <c r="P331" s="220"/>
      <c r="Q331" s="220"/>
      <c r="R331" s="220"/>
      <c r="S331" s="220"/>
      <c r="T331" s="220"/>
    </row>
    <row r="332" spans="2:20" ht="16.5">
      <c r="B332" s="219"/>
      <c r="C332" s="219"/>
      <c r="D332" s="219"/>
      <c r="E332" s="219"/>
      <c r="F332" s="219"/>
      <c r="G332" s="219"/>
      <c r="H332" s="219"/>
      <c r="I332" s="219"/>
      <c r="J332" s="219"/>
      <c r="K332" s="220"/>
      <c r="L332" s="220"/>
      <c r="M332" s="220"/>
      <c r="N332" s="220"/>
      <c r="O332" s="220"/>
      <c r="P332" s="220"/>
      <c r="Q332" s="220"/>
      <c r="R332" s="220"/>
      <c r="S332" s="220"/>
      <c r="T332" s="220"/>
    </row>
    <row r="333" spans="2:20" ht="16.5">
      <c r="B333" s="219"/>
      <c r="C333" s="219"/>
      <c r="D333" s="219"/>
      <c r="E333" s="219"/>
      <c r="F333" s="219"/>
      <c r="G333" s="219"/>
      <c r="H333" s="219"/>
      <c r="I333" s="219"/>
      <c r="J333" s="219"/>
      <c r="K333" s="220"/>
      <c r="L333" s="220"/>
      <c r="M333" s="220"/>
      <c r="N333" s="220"/>
      <c r="O333" s="220"/>
      <c r="P333" s="220"/>
      <c r="Q333" s="220"/>
      <c r="R333" s="220"/>
      <c r="S333" s="220"/>
      <c r="T333" s="220"/>
    </row>
    <row r="334" spans="2:20" ht="16.5">
      <c r="B334" s="219"/>
      <c r="C334" s="219"/>
      <c r="D334" s="219"/>
      <c r="E334" s="219"/>
      <c r="F334" s="219"/>
      <c r="G334" s="219"/>
      <c r="H334" s="219"/>
      <c r="I334" s="219"/>
      <c r="J334" s="219"/>
      <c r="K334" s="220"/>
      <c r="L334" s="220"/>
      <c r="M334" s="220"/>
      <c r="N334" s="220"/>
      <c r="O334" s="220"/>
      <c r="P334" s="220"/>
      <c r="Q334" s="220"/>
      <c r="R334" s="220"/>
      <c r="S334" s="220"/>
      <c r="T334" s="220"/>
    </row>
    <row r="335" spans="2:20" ht="16.5">
      <c r="B335" s="219"/>
      <c r="C335" s="219"/>
      <c r="D335" s="219"/>
      <c r="E335" s="219"/>
      <c r="F335" s="219"/>
      <c r="G335" s="219"/>
      <c r="H335" s="219"/>
      <c r="I335" s="219"/>
      <c r="J335" s="219"/>
      <c r="K335" s="220"/>
      <c r="L335" s="220"/>
      <c r="M335" s="220"/>
      <c r="N335" s="220"/>
      <c r="O335" s="220"/>
      <c r="P335" s="220"/>
      <c r="Q335" s="220"/>
      <c r="R335" s="220"/>
      <c r="S335" s="220"/>
      <c r="T335" s="220"/>
    </row>
    <row r="336" spans="2:20" ht="16.5">
      <c r="B336" s="219"/>
      <c r="C336" s="219"/>
      <c r="D336" s="219"/>
      <c r="E336" s="219"/>
      <c r="F336" s="219"/>
      <c r="G336" s="219"/>
      <c r="H336" s="219"/>
      <c r="I336" s="219"/>
      <c r="J336" s="219"/>
      <c r="K336" s="220"/>
      <c r="L336" s="220"/>
      <c r="M336" s="220"/>
      <c r="N336" s="220"/>
      <c r="O336" s="220"/>
      <c r="P336" s="220"/>
      <c r="Q336" s="220"/>
      <c r="R336" s="220"/>
      <c r="S336" s="220"/>
      <c r="T336" s="220"/>
    </row>
    <row r="337" spans="2:20" ht="16.5">
      <c r="B337" s="219"/>
      <c r="C337" s="219"/>
      <c r="D337" s="219"/>
      <c r="E337" s="219"/>
      <c r="F337" s="219"/>
      <c r="G337" s="219"/>
      <c r="H337" s="219"/>
      <c r="I337" s="219"/>
      <c r="J337" s="219"/>
      <c r="K337" s="220"/>
      <c r="L337" s="220"/>
      <c r="M337" s="220"/>
      <c r="N337" s="220"/>
      <c r="O337" s="220"/>
      <c r="P337" s="220"/>
      <c r="Q337" s="220"/>
      <c r="R337" s="220"/>
      <c r="S337" s="220"/>
      <c r="T337" s="220"/>
    </row>
    <row r="338" spans="2:20" ht="16.5">
      <c r="B338" s="219"/>
      <c r="C338" s="219"/>
      <c r="D338" s="219"/>
      <c r="E338" s="219"/>
      <c r="F338" s="219"/>
      <c r="G338" s="219"/>
      <c r="H338" s="219"/>
      <c r="I338" s="219"/>
      <c r="J338" s="219"/>
      <c r="K338" s="220"/>
      <c r="L338" s="220"/>
      <c r="M338" s="220"/>
      <c r="N338" s="220"/>
      <c r="O338" s="220"/>
      <c r="P338" s="220"/>
      <c r="Q338" s="220"/>
      <c r="R338" s="220"/>
      <c r="S338" s="220"/>
      <c r="T338" s="220"/>
    </row>
    <row r="339" spans="2:20" ht="16.5">
      <c r="B339" s="219"/>
      <c r="C339" s="219"/>
      <c r="D339" s="219"/>
      <c r="E339" s="219"/>
      <c r="F339" s="219"/>
      <c r="G339" s="219"/>
      <c r="H339" s="219"/>
      <c r="I339" s="219"/>
      <c r="J339" s="219"/>
      <c r="K339" s="220"/>
      <c r="L339" s="220"/>
      <c r="M339" s="220"/>
      <c r="N339" s="220"/>
      <c r="O339" s="220"/>
      <c r="P339" s="220"/>
      <c r="Q339" s="220"/>
      <c r="R339" s="220"/>
      <c r="S339" s="220"/>
      <c r="T339" s="220"/>
    </row>
    <row r="340" spans="2:20" ht="16.5">
      <c r="B340" s="219"/>
      <c r="C340" s="219"/>
      <c r="D340" s="219"/>
      <c r="E340" s="219"/>
      <c r="F340" s="219"/>
      <c r="G340" s="219"/>
      <c r="H340" s="219"/>
      <c r="I340" s="219"/>
      <c r="J340" s="219"/>
      <c r="K340" s="220"/>
      <c r="L340" s="220"/>
      <c r="M340" s="220"/>
      <c r="N340" s="220"/>
      <c r="O340" s="220"/>
      <c r="P340" s="220"/>
      <c r="Q340" s="220"/>
      <c r="R340" s="220"/>
      <c r="S340" s="220"/>
      <c r="T340" s="220"/>
    </row>
    <row r="341" spans="2:20" ht="16.5">
      <c r="B341" s="219"/>
      <c r="C341" s="219"/>
      <c r="D341" s="219"/>
      <c r="E341" s="219"/>
      <c r="F341" s="219"/>
      <c r="G341" s="219"/>
      <c r="H341" s="219"/>
      <c r="I341" s="219"/>
      <c r="J341" s="219"/>
      <c r="K341" s="220"/>
      <c r="L341" s="220"/>
      <c r="M341" s="220"/>
      <c r="N341" s="220"/>
      <c r="O341" s="220"/>
      <c r="P341" s="220"/>
      <c r="Q341" s="220"/>
      <c r="R341" s="220"/>
      <c r="S341" s="220"/>
      <c r="T341" s="220"/>
    </row>
    <row r="342" spans="2:20" ht="16.5">
      <c r="B342" s="219"/>
      <c r="C342" s="219"/>
      <c r="D342" s="219"/>
      <c r="E342" s="219"/>
      <c r="F342" s="219"/>
      <c r="G342" s="219"/>
      <c r="H342" s="219"/>
      <c r="I342" s="219"/>
      <c r="J342" s="219"/>
      <c r="K342" s="220"/>
      <c r="L342" s="220"/>
      <c r="M342" s="220"/>
      <c r="N342" s="220"/>
      <c r="O342" s="220"/>
      <c r="P342" s="220"/>
      <c r="Q342" s="220"/>
      <c r="R342" s="220"/>
      <c r="S342" s="220"/>
      <c r="T342" s="220"/>
    </row>
    <row r="343" spans="2:20" ht="16.5">
      <c r="B343" s="219"/>
      <c r="C343" s="219"/>
      <c r="D343" s="219"/>
      <c r="E343" s="219"/>
      <c r="F343" s="219"/>
      <c r="G343" s="219"/>
      <c r="H343" s="219"/>
      <c r="I343" s="219"/>
      <c r="J343" s="219"/>
      <c r="K343" s="220"/>
      <c r="L343" s="220"/>
      <c r="M343" s="220"/>
      <c r="N343" s="220"/>
      <c r="O343" s="220"/>
      <c r="P343" s="220"/>
      <c r="Q343" s="220"/>
      <c r="R343" s="220"/>
      <c r="S343" s="220"/>
      <c r="T343" s="220"/>
    </row>
    <row r="344" spans="2:20" ht="16.5">
      <c r="B344" s="219"/>
      <c r="C344" s="219"/>
      <c r="D344" s="219"/>
      <c r="E344" s="219"/>
      <c r="F344" s="219"/>
      <c r="G344" s="219"/>
      <c r="H344" s="219"/>
      <c r="I344" s="219"/>
      <c r="J344" s="219"/>
      <c r="K344" s="220"/>
      <c r="L344" s="220"/>
      <c r="M344" s="220"/>
      <c r="N344" s="220"/>
      <c r="O344" s="220"/>
      <c r="P344" s="220"/>
      <c r="Q344" s="220"/>
      <c r="R344" s="220"/>
      <c r="S344" s="220"/>
      <c r="T344" s="220"/>
    </row>
    <row r="345" spans="2:20" ht="16.5">
      <c r="B345" s="219"/>
      <c r="C345" s="219"/>
      <c r="D345" s="219"/>
      <c r="E345" s="219"/>
      <c r="F345" s="219"/>
      <c r="G345" s="219"/>
      <c r="H345" s="219"/>
      <c r="I345" s="219"/>
      <c r="J345" s="219"/>
      <c r="K345" s="220"/>
      <c r="L345" s="220"/>
      <c r="M345" s="220"/>
      <c r="N345" s="220"/>
      <c r="O345" s="220"/>
      <c r="P345" s="220"/>
      <c r="Q345" s="220"/>
      <c r="R345" s="220"/>
      <c r="S345" s="220"/>
      <c r="T345" s="220"/>
    </row>
    <row r="346" spans="2:20" ht="16.5">
      <c r="B346" s="219"/>
      <c r="C346" s="219"/>
      <c r="D346" s="219"/>
      <c r="E346" s="219"/>
      <c r="F346" s="219"/>
      <c r="G346" s="219"/>
      <c r="H346" s="219"/>
      <c r="I346" s="219"/>
      <c r="J346" s="219"/>
      <c r="K346" s="220"/>
      <c r="L346" s="220"/>
      <c r="M346" s="220"/>
      <c r="N346" s="220"/>
      <c r="O346" s="220"/>
      <c r="P346" s="220"/>
      <c r="Q346" s="220"/>
      <c r="R346" s="220"/>
      <c r="S346" s="220"/>
      <c r="T346" s="220"/>
    </row>
    <row r="347" spans="2:20" ht="16.5">
      <c r="B347" s="219"/>
      <c r="C347" s="219"/>
      <c r="D347" s="219"/>
      <c r="E347" s="219"/>
      <c r="F347" s="219"/>
      <c r="G347" s="219"/>
      <c r="H347" s="219"/>
      <c r="I347" s="219"/>
      <c r="J347" s="219"/>
      <c r="K347" s="220"/>
      <c r="L347" s="220"/>
      <c r="M347" s="220"/>
      <c r="N347" s="220"/>
      <c r="O347" s="220"/>
      <c r="P347" s="220"/>
      <c r="Q347" s="220"/>
      <c r="R347" s="220"/>
      <c r="S347" s="220"/>
      <c r="T347" s="220"/>
    </row>
    <row r="348" spans="2:20" ht="16.5">
      <c r="B348" s="219"/>
      <c r="C348" s="219"/>
      <c r="D348" s="219"/>
      <c r="E348" s="219"/>
      <c r="F348" s="219"/>
      <c r="G348" s="219"/>
      <c r="H348" s="219"/>
      <c r="I348" s="219"/>
      <c r="J348" s="219"/>
      <c r="K348" s="220"/>
      <c r="L348" s="220"/>
      <c r="M348" s="220"/>
      <c r="N348" s="220"/>
      <c r="O348" s="220"/>
      <c r="P348" s="220"/>
      <c r="Q348" s="220"/>
      <c r="R348" s="220"/>
      <c r="S348" s="220"/>
      <c r="T348" s="220"/>
    </row>
    <row r="349" spans="2:20" ht="16.5">
      <c r="B349" s="219"/>
      <c r="C349" s="219"/>
      <c r="D349" s="219"/>
      <c r="E349" s="219"/>
      <c r="F349" s="219"/>
      <c r="G349" s="219"/>
      <c r="H349" s="219"/>
      <c r="I349" s="219"/>
      <c r="J349" s="219"/>
      <c r="K349" s="220"/>
      <c r="L349" s="220"/>
      <c r="M349" s="220"/>
      <c r="N349" s="220"/>
      <c r="O349" s="220"/>
      <c r="P349" s="220"/>
      <c r="Q349" s="220"/>
      <c r="R349" s="220"/>
      <c r="S349" s="220"/>
      <c r="T349" s="220"/>
    </row>
    <row r="350" spans="2:20" ht="16.5">
      <c r="B350" s="219"/>
      <c r="C350" s="219"/>
      <c r="D350" s="219"/>
      <c r="E350" s="219"/>
      <c r="F350" s="219"/>
      <c r="G350" s="219"/>
      <c r="H350" s="219"/>
      <c r="I350" s="219"/>
      <c r="J350" s="219"/>
      <c r="K350" s="220"/>
      <c r="L350" s="220"/>
      <c r="M350" s="220"/>
      <c r="N350" s="220"/>
      <c r="O350" s="220"/>
      <c r="P350" s="220"/>
      <c r="Q350" s="220"/>
      <c r="R350" s="220"/>
      <c r="S350" s="220"/>
      <c r="T350" s="220"/>
    </row>
    <row r="351" spans="2:20" ht="16.5">
      <c r="B351" s="219"/>
      <c r="C351" s="219"/>
      <c r="D351" s="219"/>
      <c r="E351" s="219"/>
      <c r="F351" s="219"/>
      <c r="G351" s="219"/>
      <c r="H351" s="219"/>
      <c r="I351" s="219"/>
      <c r="J351" s="219"/>
      <c r="K351" s="220"/>
      <c r="L351" s="220"/>
      <c r="M351" s="220"/>
      <c r="N351" s="220"/>
      <c r="O351" s="220"/>
      <c r="P351" s="220"/>
      <c r="Q351" s="220"/>
      <c r="R351" s="220"/>
      <c r="S351" s="220"/>
      <c r="T351" s="220"/>
    </row>
    <row r="352" spans="2:20" ht="16.5">
      <c r="B352" s="219"/>
      <c r="C352" s="219"/>
      <c r="D352" s="219"/>
      <c r="E352" s="219"/>
      <c r="F352" s="219"/>
      <c r="G352" s="219"/>
      <c r="H352" s="219"/>
      <c r="I352" s="219"/>
      <c r="J352" s="219"/>
      <c r="K352" s="220"/>
      <c r="L352" s="220"/>
      <c r="M352" s="220"/>
      <c r="N352" s="220"/>
      <c r="O352" s="220"/>
      <c r="P352" s="220"/>
      <c r="Q352" s="220"/>
      <c r="R352" s="220"/>
      <c r="S352" s="220"/>
      <c r="T352" s="220"/>
    </row>
    <row r="353" spans="2:20" ht="16.5">
      <c r="B353" s="219"/>
      <c r="C353" s="219"/>
      <c r="D353" s="219"/>
      <c r="E353" s="219"/>
      <c r="F353" s="219"/>
      <c r="G353" s="219"/>
      <c r="H353" s="219"/>
      <c r="I353" s="219"/>
      <c r="J353" s="219"/>
      <c r="K353" s="220"/>
      <c r="L353" s="220"/>
      <c r="M353" s="220"/>
      <c r="N353" s="220"/>
      <c r="O353" s="220"/>
      <c r="P353" s="220"/>
      <c r="Q353" s="220"/>
      <c r="R353" s="220"/>
      <c r="S353" s="220"/>
      <c r="T353" s="220"/>
    </row>
    <row r="354" spans="2:20" ht="16.5">
      <c r="B354" s="219"/>
      <c r="C354" s="219"/>
      <c r="D354" s="219"/>
      <c r="E354" s="219"/>
      <c r="F354" s="219"/>
      <c r="G354" s="219"/>
      <c r="H354" s="219"/>
      <c r="I354" s="219"/>
      <c r="J354" s="219"/>
      <c r="K354" s="220"/>
      <c r="L354" s="220"/>
      <c r="M354" s="220"/>
      <c r="N354" s="220"/>
      <c r="O354" s="220"/>
      <c r="P354" s="220"/>
      <c r="Q354" s="220"/>
      <c r="R354" s="220"/>
      <c r="S354" s="220"/>
      <c r="T354" s="220"/>
    </row>
    <row r="355" spans="2:20" ht="16.5">
      <c r="B355" s="219"/>
      <c r="C355" s="219"/>
      <c r="D355" s="219"/>
      <c r="E355" s="219"/>
      <c r="F355" s="219"/>
      <c r="G355" s="219"/>
      <c r="H355" s="219"/>
      <c r="I355" s="219"/>
      <c r="J355" s="219"/>
      <c r="K355" s="220"/>
      <c r="L355" s="220"/>
      <c r="M355" s="220"/>
      <c r="N355" s="220"/>
      <c r="O355" s="220"/>
      <c r="P355" s="220"/>
      <c r="Q355" s="220"/>
      <c r="R355" s="220"/>
      <c r="S355" s="220"/>
      <c r="T355" s="220"/>
    </row>
  </sheetData>
  <mergeCells count="222">
    <mergeCell ref="N26:R30"/>
    <mergeCell ref="O46:P61"/>
    <mergeCell ref="O62:P72"/>
    <mergeCell ref="O98:P105"/>
    <mergeCell ref="N106:O110"/>
    <mergeCell ref="Q110:R113"/>
    <mergeCell ref="B130:L130"/>
    <mergeCell ref="B131:L131"/>
    <mergeCell ref="B132:L132"/>
    <mergeCell ref="Q132:R132"/>
    <mergeCell ref="B133:L133"/>
    <mergeCell ref="Q133:R133"/>
    <mergeCell ref="N1:R1"/>
    <mergeCell ref="O83:P83"/>
    <mergeCell ref="N114:R114"/>
    <mergeCell ref="N122:R122"/>
    <mergeCell ref="B123:L123"/>
    <mergeCell ref="B124:L124"/>
    <mergeCell ref="N124:R124"/>
    <mergeCell ref="B125:L125"/>
    <mergeCell ref="N125:O125"/>
    <mergeCell ref="Q125:R125"/>
    <mergeCell ref="N62:N72"/>
    <mergeCell ref="N73:N82"/>
    <mergeCell ref="N83:N105"/>
    <mergeCell ref="N2:R9"/>
    <mergeCell ref="N10:R14"/>
    <mergeCell ref="N15:R17"/>
    <mergeCell ref="N18:R21"/>
    <mergeCell ref="N22:R25"/>
    <mergeCell ref="M198:T199"/>
    <mergeCell ref="B134:L134"/>
    <mergeCell ref="B135:L135"/>
    <mergeCell ref="N139:T139"/>
    <mergeCell ref="D162:E162"/>
    <mergeCell ref="F162:I162"/>
    <mergeCell ref="K162:M162"/>
    <mergeCell ref="O162:P162"/>
    <mergeCell ref="R162:T162"/>
    <mergeCell ref="N179:T179"/>
    <mergeCell ref="N140:N141"/>
    <mergeCell ref="N142:N143"/>
    <mergeCell ref="N144:N148"/>
    <mergeCell ref="N149:N156"/>
    <mergeCell ref="K175:L184"/>
    <mergeCell ref="N175:Q176"/>
    <mergeCell ref="R175:T176"/>
    <mergeCell ref="N177:T178"/>
    <mergeCell ref="N181:Q184"/>
    <mergeCell ref="R181:T184"/>
    <mergeCell ref="Q186:T187"/>
    <mergeCell ref="D188:G196"/>
    <mergeCell ref="I188:O196"/>
    <mergeCell ref="Q188:T196"/>
    <mergeCell ref="K26:K32"/>
    <mergeCell ref="K221:K222"/>
    <mergeCell ref="N46:N53"/>
    <mergeCell ref="N54:N61"/>
    <mergeCell ref="C205:E205"/>
    <mergeCell ref="B206:E206"/>
    <mergeCell ref="B207:K207"/>
    <mergeCell ref="B208:K208"/>
    <mergeCell ref="B209:K209"/>
    <mergeCell ref="B211:C211"/>
    <mergeCell ref="D211:E211"/>
    <mergeCell ref="F211:I211"/>
    <mergeCell ref="J211:T211"/>
    <mergeCell ref="F200:K206"/>
    <mergeCell ref="C201:E202"/>
    <mergeCell ref="M201:N203"/>
    <mergeCell ref="O201:P203"/>
    <mergeCell ref="Q201:R203"/>
    <mergeCell ref="S201:T203"/>
    <mergeCell ref="M205:T209"/>
    <mergeCell ref="N180:T180"/>
    <mergeCell ref="B200:E200"/>
    <mergeCell ref="M200:N200"/>
    <mergeCell ref="O200:P200"/>
    <mergeCell ref="B240:C240"/>
    <mergeCell ref="A2:A33"/>
    <mergeCell ref="A34:A45"/>
    <mergeCell ref="B26:B32"/>
    <mergeCell ref="B137:B138"/>
    <mergeCell ref="B139:B141"/>
    <mergeCell ref="B142:B144"/>
    <mergeCell ref="B145:B147"/>
    <mergeCell ref="B148:B150"/>
    <mergeCell ref="B151:B153"/>
    <mergeCell ref="B154:B156"/>
    <mergeCell ref="B163:B171"/>
    <mergeCell ref="B173:B174"/>
    <mergeCell ref="B175:B184"/>
    <mergeCell ref="B201:B202"/>
    <mergeCell ref="B219:B224"/>
    <mergeCell ref="B226:B231"/>
    <mergeCell ref="C203:E203"/>
    <mergeCell ref="C204:E204"/>
    <mergeCell ref="B198:K199"/>
    <mergeCell ref="B126:L126"/>
    <mergeCell ref="B127:L127"/>
    <mergeCell ref="B128:L128"/>
    <mergeCell ref="B129:L129"/>
    <mergeCell ref="B255:B262"/>
    <mergeCell ref="C26:C32"/>
    <mergeCell ref="E26:E32"/>
    <mergeCell ref="F26:F32"/>
    <mergeCell ref="G26:G30"/>
    <mergeCell ref="G31:G32"/>
    <mergeCell ref="H26:H32"/>
    <mergeCell ref="I26:I32"/>
    <mergeCell ref="J26:J32"/>
    <mergeCell ref="E226:F229"/>
    <mergeCell ref="G226:H229"/>
    <mergeCell ref="C139:D141"/>
    <mergeCell ref="C142:D144"/>
    <mergeCell ref="C145:D147"/>
    <mergeCell ref="C148:D150"/>
    <mergeCell ref="C151:D153"/>
    <mergeCell ref="C137:D138"/>
    <mergeCell ref="F173:J174"/>
    <mergeCell ref="C175:D177"/>
    <mergeCell ref="F175:J184"/>
    <mergeCell ref="B186:C187"/>
    <mergeCell ref="D186:G187"/>
    <mergeCell ref="I186:O187"/>
    <mergeCell ref="B188:C196"/>
    <mergeCell ref="K245:K249"/>
    <mergeCell ref="L26:L32"/>
    <mergeCell ref="M2:M25"/>
    <mergeCell ref="M26:M40"/>
    <mergeCell ref="M46:M61"/>
    <mergeCell ref="M62:M72"/>
    <mergeCell ref="M73:M82"/>
    <mergeCell ref="M83:M91"/>
    <mergeCell ref="M92:M97"/>
    <mergeCell ref="M98:M105"/>
    <mergeCell ref="M106:M121"/>
    <mergeCell ref="E139:L141"/>
    <mergeCell ref="E142:L144"/>
    <mergeCell ref="E145:L147"/>
    <mergeCell ref="E148:L150"/>
    <mergeCell ref="E151:L153"/>
    <mergeCell ref="B158:T160"/>
    <mergeCell ref="D163:E171"/>
    <mergeCell ref="F163:I171"/>
    <mergeCell ref="K163:M171"/>
    <mergeCell ref="O163:P171"/>
    <mergeCell ref="R163:T171"/>
    <mergeCell ref="C173:D174"/>
    <mergeCell ref="K173:L174"/>
    <mergeCell ref="N245:N246"/>
    <mergeCell ref="O73:O82"/>
    <mergeCell ref="O244:O246"/>
    <mergeCell ref="P73:P82"/>
    <mergeCell ref="P242:P243"/>
    <mergeCell ref="Q242:Q245"/>
    <mergeCell ref="R236:R237"/>
    <mergeCell ref="T221:T222"/>
    <mergeCell ref="N126:O127"/>
    <mergeCell ref="N131:O132"/>
    <mergeCell ref="Q126:R127"/>
    <mergeCell ref="Q134:R135"/>
    <mergeCell ref="Q128:R129"/>
    <mergeCell ref="N134:O135"/>
    <mergeCell ref="O140:T141"/>
    <mergeCell ref="Q136:R137"/>
    <mergeCell ref="Q130:R131"/>
    <mergeCell ref="Q106:R109"/>
    <mergeCell ref="N173:T174"/>
    <mergeCell ref="O219:Q221"/>
    <mergeCell ref="S227:T230"/>
    <mergeCell ref="Q83:R105"/>
    <mergeCell ref="O84:P97"/>
    <mergeCell ref="S226:T226"/>
    <mergeCell ref="O227:Q230"/>
    <mergeCell ref="C230:D231"/>
    <mergeCell ref="E231:H239"/>
    <mergeCell ref="B233:C239"/>
    <mergeCell ref="O233:Q234"/>
    <mergeCell ref="K234:M237"/>
    <mergeCell ref="O236:Q238"/>
    <mergeCell ref="S236:T238"/>
    <mergeCell ref="N111:O113"/>
    <mergeCell ref="N115:P121"/>
    <mergeCell ref="Q115:R121"/>
    <mergeCell ref="N136:O137"/>
    <mergeCell ref="E137:L138"/>
    <mergeCell ref="O142:T143"/>
    <mergeCell ref="O144:T148"/>
    <mergeCell ref="O149:T156"/>
    <mergeCell ref="C154:D156"/>
    <mergeCell ref="E154:L156"/>
    <mergeCell ref="N236:N237"/>
    <mergeCell ref="K226:M226"/>
    <mergeCell ref="S239:T239"/>
    <mergeCell ref="Q200:R200"/>
    <mergeCell ref="S200:T200"/>
    <mergeCell ref="M204:T204"/>
    <mergeCell ref="N31:R35"/>
    <mergeCell ref="N36:R37"/>
    <mergeCell ref="N38:R40"/>
    <mergeCell ref="K240:N241"/>
    <mergeCell ref="O240:P241"/>
    <mergeCell ref="Q240:T241"/>
    <mergeCell ref="B241:C242"/>
    <mergeCell ref="E241:H249"/>
    <mergeCell ref="K242:N244"/>
    <mergeCell ref="S242:T245"/>
    <mergeCell ref="B244:C249"/>
    <mergeCell ref="Q246:T247"/>
    <mergeCell ref="M247:O248"/>
    <mergeCell ref="Q249:T256"/>
    <mergeCell ref="K250:O252"/>
    <mergeCell ref="B212:T214"/>
    <mergeCell ref="C216:E217"/>
    <mergeCell ref="N216:R217"/>
    <mergeCell ref="E219:H224"/>
    <mergeCell ref="C221:D222"/>
    <mergeCell ref="K223:M225"/>
    <mergeCell ref="O223:Q225"/>
    <mergeCell ref="S223:T225"/>
    <mergeCell ref="K227:M230"/>
  </mergeCells>
  <phoneticPr fontId="282" type="noConversion"/>
  <conditionalFormatting sqref="B2:B26 B33:B121">
    <cfRule type="containsText" dxfId="1" priority="2" operator="containsText" text="-">
      <formula>NOT(ISERROR(SEARCH("-",B2)))</formula>
    </cfRule>
  </conditionalFormatting>
  <conditionalFormatting sqref="C10:E10 H10 J10 L10">
    <cfRule type="containsText" dxfId="0" priority="1" operator="containsText" text="-">
      <formula>NOT(ISERROR(SEARCH("-",C10)))</formula>
    </cfRule>
  </conditionalFormatting>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'C:\Users\Yangruixi\OneDrive - stu.cqnu.edu.cn\跑团\[COC7空白卡CY23Final.xlsx]附表'!#REF!</xm:f>
          </x14:formula1>
          <xm:sqref>M201:N203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FC355"/>
  <sheetViews>
    <sheetView showGridLines="0" showRowColHeaders="0" topLeftCell="F1" workbookViewId="0">
      <pane ySplit="1" topLeftCell="A69" activePane="bottomLeft" state="frozen"/>
      <selection pane="bottomLeft" activeCell="B35" sqref="B35"/>
    </sheetView>
  </sheetViews>
  <sheetFormatPr defaultColWidth="10" defaultRowHeight="14"/>
  <cols>
    <col min="1" max="1" width="3.36328125" style="42" customWidth="1"/>
    <col min="2" max="2" width="28.36328125" style="42" customWidth="1"/>
    <col min="3" max="3" width="11" style="42" customWidth="1"/>
    <col min="4" max="4" width="5.6328125" style="42" customWidth="1"/>
    <col min="5" max="5" width="16.81640625" style="42" customWidth="1"/>
    <col min="6" max="6" width="20" style="42" customWidth="1"/>
    <col min="7" max="7" width="4.81640625" style="42" customWidth="1"/>
    <col min="8" max="8" width="11.81640625" style="42" customWidth="1"/>
    <col min="9" max="9" width="13" style="43" customWidth="1"/>
    <col min="10" max="10" width="8.6328125" style="43" customWidth="1"/>
    <col min="11" max="11" width="9.08984375" style="43" customWidth="1"/>
    <col min="12" max="12" width="8.90625" style="43" customWidth="1"/>
    <col min="13" max="13" width="16.36328125" style="43" customWidth="1"/>
    <col min="14" max="14" width="13.90625" style="43" customWidth="1"/>
    <col min="15" max="15" width="11.90625" style="43" customWidth="1"/>
    <col min="16" max="16" width="8.90625" style="43" customWidth="1"/>
    <col min="17" max="17" width="30.54296875" style="43" customWidth="1"/>
    <col min="18" max="18" width="18.54296875" style="43" customWidth="1"/>
    <col min="19" max="19" width="7.54296875" style="43" customWidth="1"/>
    <col min="20" max="20" width="6" style="43" customWidth="1"/>
    <col min="21" max="21" width="10.6328125" style="43" customWidth="1"/>
    <col min="22" max="22" width="7.1796875" style="43" customWidth="1"/>
    <col min="23" max="23" width="10.54296875" style="43" customWidth="1"/>
    <col min="24" max="24" width="13.54296875" style="43" customWidth="1"/>
    <col min="25" max="25" width="10.81640625" style="43" customWidth="1"/>
    <col min="26" max="26" width="7.81640625" style="43" customWidth="1"/>
    <col min="27" max="27" width="9.6328125" style="43" customWidth="1"/>
    <col min="28" max="28" width="13" style="43" customWidth="1"/>
    <col min="29" max="32" width="8.90625" style="43" customWidth="1"/>
    <col min="33" max="33" width="8.90625" style="43" hidden="1"/>
    <col min="34" max="34" width="9.6328125" style="43" hidden="1"/>
    <col min="35" max="16382" width="8.90625" style="43" hidden="1"/>
    <col min="16383" max="16383" width="8.90625" style="44" hidden="1"/>
    <col min="16384" max="16384" width="8.90625" style="44" customWidth="1"/>
  </cols>
  <sheetData>
    <row r="1" spans="2:34" ht="21.9" customHeight="1">
      <c r="B1" s="45" t="s">
        <v>8350</v>
      </c>
      <c r="C1" s="46" t="s">
        <v>8351</v>
      </c>
      <c r="D1" s="47" t="s">
        <v>8352</v>
      </c>
      <c r="E1" s="46" t="s">
        <v>8353</v>
      </c>
      <c r="F1" s="46" t="s">
        <v>8354</v>
      </c>
      <c r="G1" s="47" t="s">
        <v>8355</v>
      </c>
      <c r="H1" s="46" t="s">
        <v>7742</v>
      </c>
      <c r="I1" s="48" t="s">
        <v>7743</v>
      </c>
      <c r="J1" s="48" t="s">
        <v>225</v>
      </c>
      <c r="K1" s="4431" t="s">
        <v>5602</v>
      </c>
      <c r="L1" s="4431"/>
      <c r="M1" s="4431"/>
      <c r="N1" s="4431"/>
      <c r="O1" s="4431"/>
      <c r="P1" s="49"/>
      <c r="Q1" s="50" t="s">
        <v>8356</v>
      </c>
      <c r="R1" s="51" t="s">
        <v>21</v>
      </c>
      <c r="S1" s="52" t="s">
        <v>92</v>
      </c>
      <c r="T1" s="52" t="s">
        <v>241</v>
      </c>
      <c r="U1" s="52" t="s">
        <v>8357</v>
      </c>
      <c r="V1" s="51" t="s">
        <v>8358</v>
      </c>
      <c r="W1" s="51" t="s">
        <v>8359</v>
      </c>
      <c r="X1" s="51" t="s">
        <v>8360</v>
      </c>
      <c r="Y1" s="53" t="s">
        <v>7742</v>
      </c>
      <c r="Z1" s="53" t="s">
        <v>225</v>
      </c>
      <c r="AA1" s="4432" t="s">
        <v>5602</v>
      </c>
      <c r="AB1" s="4432"/>
      <c r="AC1" s="4432"/>
      <c r="AD1" s="4432"/>
      <c r="AE1" s="4432"/>
      <c r="AF1" s="54"/>
      <c r="AG1" s="55"/>
      <c r="AH1" s="55"/>
    </row>
    <row r="2" spans="2:34" ht="14.25" customHeight="1">
      <c r="B2" s="56" t="s">
        <v>8361</v>
      </c>
      <c r="C2" s="57">
        <v>1</v>
      </c>
      <c r="D2" s="57">
        <v>0</v>
      </c>
      <c r="E2" s="57" t="s">
        <v>8362</v>
      </c>
      <c r="F2" s="57" t="s">
        <v>8363</v>
      </c>
      <c r="G2" s="57" t="s">
        <v>239</v>
      </c>
      <c r="H2" s="57" t="s">
        <v>7750</v>
      </c>
      <c r="I2" s="58" t="s">
        <v>8364</v>
      </c>
      <c r="J2" s="4445" t="s">
        <v>8365</v>
      </c>
      <c r="K2" s="4286" t="s">
        <v>8366</v>
      </c>
      <c r="L2" s="4287"/>
      <c r="M2" s="4287"/>
      <c r="N2" s="4287"/>
      <c r="O2" s="4287"/>
      <c r="P2" s="49"/>
      <c r="Q2" s="56" t="s">
        <v>352</v>
      </c>
      <c r="R2" s="57" t="s">
        <v>187</v>
      </c>
      <c r="S2" s="57">
        <v>13</v>
      </c>
      <c r="T2" s="57">
        <v>4</v>
      </c>
      <c r="U2" s="57">
        <v>1</v>
      </c>
      <c r="V2" s="57" t="s">
        <v>8367</v>
      </c>
      <c r="W2" s="1261" t="s">
        <v>8368</v>
      </c>
      <c r="X2" s="59" t="s">
        <v>8369</v>
      </c>
      <c r="Y2" s="58" t="s">
        <v>5312</v>
      </c>
      <c r="Z2" s="4453" t="s">
        <v>7142</v>
      </c>
      <c r="AA2" s="4282" t="s">
        <v>8370</v>
      </c>
      <c r="AB2" s="60"/>
      <c r="AC2" s="60"/>
      <c r="AD2" s="61"/>
      <c r="AE2" s="61"/>
      <c r="AF2" s="54"/>
      <c r="AG2" s="62"/>
      <c r="AH2" s="62"/>
    </row>
    <row r="3" spans="2:34" ht="14.25" customHeight="1">
      <c r="B3" s="63" t="s">
        <v>8371</v>
      </c>
      <c r="C3" s="64">
        <v>2</v>
      </c>
      <c r="D3" s="64">
        <v>0</v>
      </c>
      <c r="E3" s="64" t="s">
        <v>525</v>
      </c>
      <c r="F3" s="64" t="s">
        <v>8372</v>
      </c>
      <c r="G3" s="64" t="s">
        <v>7761</v>
      </c>
      <c r="H3" s="64" t="s">
        <v>46</v>
      </c>
      <c r="I3" s="65" t="s">
        <v>8024</v>
      </c>
      <c r="J3" s="4445"/>
      <c r="K3" s="4286"/>
      <c r="L3" s="4287"/>
      <c r="M3" s="4287"/>
      <c r="N3" s="4287"/>
      <c r="O3" s="4287"/>
      <c r="P3" s="49"/>
      <c r="Q3" s="56" t="s">
        <v>356</v>
      </c>
      <c r="R3" s="57" t="s">
        <v>187</v>
      </c>
      <c r="S3" s="57">
        <v>14</v>
      </c>
      <c r="T3" s="57">
        <v>5</v>
      </c>
      <c r="U3" s="57">
        <v>2</v>
      </c>
      <c r="V3" s="57">
        <v>4</v>
      </c>
      <c r="W3" s="1261" t="s">
        <v>8373</v>
      </c>
      <c r="X3" s="59" t="s">
        <v>8369</v>
      </c>
      <c r="Y3" s="58" t="s">
        <v>7750</v>
      </c>
      <c r="Z3" s="4453"/>
      <c r="AA3" s="4282"/>
      <c r="AB3" s="60"/>
      <c r="AC3" s="60"/>
      <c r="AD3" s="61"/>
      <c r="AE3" s="61"/>
      <c r="AF3" s="66"/>
      <c r="AG3" s="62"/>
      <c r="AH3" s="62"/>
    </row>
    <row r="4" spans="2:34" ht="14.25" customHeight="1">
      <c r="B4" s="56" t="s">
        <v>8374</v>
      </c>
      <c r="C4" s="57">
        <v>3</v>
      </c>
      <c r="D4" s="57" t="s">
        <v>148</v>
      </c>
      <c r="E4" s="57" t="s">
        <v>148</v>
      </c>
      <c r="F4" s="57" t="s">
        <v>148</v>
      </c>
      <c r="G4" s="57" t="s">
        <v>7761</v>
      </c>
      <c r="H4" s="57" t="s">
        <v>148</v>
      </c>
      <c r="I4" s="1262" t="s">
        <v>8375</v>
      </c>
      <c r="J4" s="4445"/>
      <c r="K4" s="4286"/>
      <c r="L4" s="4287"/>
      <c r="M4" s="4287"/>
      <c r="N4" s="4287"/>
      <c r="O4" s="4287"/>
      <c r="P4" s="49"/>
      <c r="Q4" s="67" t="s">
        <v>8376</v>
      </c>
      <c r="R4" s="68" t="s">
        <v>187</v>
      </c>
      <c r="S4" s="68">
        <v>15</v>
      </c>
      <c r="T4" s="68">
        <v>6</v>
      </c>
      <c r="U4" s="68">
        <v>2</v>
      </c>
      <c r="V4" s="68">
        <v>4</v>
      </c>
      <c r="W4" s="1263" t="s">
        <v>8373</v>
      </c>
      <c r="X4" s="69" t="s">
        <v>8369</v>
      </c>
      <c r="Y4" s="70" t="s">
        <v>5312</v>
      </c>
      <c r="Z4" s="4453"/>
      <c r="AA4" s="4282"/>
      <c r="AB4" s="60"/>
      <c r="AC4" s="60"/>
      <c r="AD4" s="61"/>
      <c r="AE4" s="61"/>
      <c r="AF4" s="54"/>
      <c r="AG4" s="62"/>
      <c r="AH4" s="62"/>
    </row>
    <row r="5" spans="2:34" ht="14.25" customHeight="1">
      <c r="B5" s="63" t="s">
        <v>8377</v>
      </c>
      <c r="C5" s="64">
        <v>5</v>
      </c>
      <c r="D5" s="64">
        <v>0</v>
      </c>
      <c r="E5" s="64" t="s">
        <v>525</v>
      </c>
      <c r="F5" s="64" t="s">
        <v>8372</v>
      </c>
      <c r="G5" s="64" t="s">
        <v>7761</v>
      </c>
      <c r="H5" s="64" t="s">
        <v>5312</v>
      </c>
      <c r="I5" s="65" t="s">
        <v>8024</v>
      </c>
      <c r="J5" s="4445"/>
      <c r="K5" s="4286"/>
      <c r="L5" s="4287"/>
      <c r="M5" s="4287"/>
      <c r="N5" s="4287"/>
      <c r="O5" s="4287"/>
      <c r="P5" s="49"/>
      <c r="Q5" s="56" t="s">
        <v>8378</v>
      </c>
      <c r="R5" s="71" t="s">
        <v>187</v>
      </c>
      <c r="S5" s="57">
        <v>16</v>
      </c>
      <c r="T5" s="57">
        <v>5</v>
      </c>
      <c r="U5" s="57">
        <v>2</v>
      </c>
      <c r="V5" s="57">
        <v>1</v>
      </c>
      <c r="W5" s="1261" t="s">
        <v>8368</v>
      </c>
      <c r="X5" s="57" t="s">
        <v>148</v>
      </c>
      <c r="Y5" s="58" t="s">
        <v>5312</v>
      </c>
      <c r="Z5" s="4453"/>
      <c r="AA5" s="4282"/>
      <c r="AB5" s="60"/>
      <c r="AC5" s="60"/>
      <c r="AD5" s="61"/>
      <c r="AE5" s="61"/>
      <c r="AF5" s="54"/>
      <c r="AG5" s="62"/>
      <c r="AH5" s="62"/>
    </row>
    <row r="6" spans="2:34" ht="14.25" customHeight="1">
      <c r="B6" s="56" t="s">
        <v>8379</v>
      </c>
      <c r="C6" s="57">
        <v>8</v>
      </c>
      <c r="D6" s="57">
        <v>0</v>
      </c>
      <c r="E6" s="57" t="s">
        <v>8362</v>
      </c>
      <c r="F6" s="57" t="s">
        <v>8363</v>
      </c>
      <c r="G6" s="57" t="s">
        <v>7761</v>
      </c>
      <c r="H6" s="57" t="s">
        <v>5312</v>
      </c>
      <c r="I6" s="58" t="s">
        <v>8024</v>
      </c>
      <c r="J6" s="4445"/>
      <c r="K6" s="4286"/>
      <c r="L6" s="4287"/>
      <c r="M6" s="4287"/>
      <c r="N6" s="4287"/>
      <c r="O6" s="4287"/>
      <c r="P6" s="49"/>
      <c r="Q6" s="67" t="s">
        <v>8380</v>
      </c>
      <c r="R6" s="57" t="s">
        <v>187</v>
      </c>
      <c r="S6" s="68">
        <v>14</v>
      </c>
      <c r="T6" s="68">
        <v>6</v>
      </c>
      <c r="U6" s="68">
        <v>2</v>
      </c>
      <c r="V6" s="68" t="s">
        <v>8381</v>
      </c>
      <c r="W6" s="1263" t="s">
        <v>8373</v>
      </c>
      <c r="X6" s="69" t="s">
        <v>8382</v>
      </c>
      <c r="Y6" s="70" t="s">
        <v>7750</v>
      </c>
      <c r="Z6" s="4453"/>
      <c r="AA6" s="4282"/>
      <c r="AB6" s="60"/>
      <c r="AC6" s="60"/>
      <c r="AD6" s="61"/>
      <c r="AE6" s="61"/>
      <c r="AF6" s="54"/>
      <c r="AG6" s="62"/>
      <c r="AH6" s="62"/>
    </row>
    <row r="7" spans="2:34" ht="14.25" customHeight="1">
      <c r="B7" s="63" t="s">
        <v>8383</v>
      </c>
      <c r="C7" s="64">
        <v>15</v>
      </c>
      <c r="D7" s="64" t="s">
        <v>148</v>
      </c>
      <c r="E7" s="64" t="s">
        <v>148</v>
      </c>
      <c r="F7" s="64" t="s">
        <v>148</v>
      </c>
      <c r="G7" s="64" t="s">
        <v>7761</v>
      </c>
      <c r="H7" s="64" t="s">
        <v>5312</v>
      </c>
      <c r="I7" s="65" t="s">
        <v>8384</v>
      </c>
      <c r="J7" s="4445"/>
      <c r="K7" s="4286"/>
      <c r="L7" s="4287"/>
      <c r="M7" s="4287"/>
      <c r="N7" s="4287"/>
      <c r="O7" s="4287"/>
      <c r="P7" s="49"/>
      <c r="Q7" s="56" t="s">
        <v>8385</v>
      </c>
      <c r="R7" s="57" t="s">
        <v>187</v>
      </c>
      <c r="S7" s="57">
        <v>13</v>
      </c>
      <c r="T7" s="57">
        <v>7</v>
      </c>
      <c r="U7" s="57">
        <v>2</v>
      </c>
      <c r="V7" s="57" t="s">
        <v>8381</v>
      </c>
      <c r="W7" s="1261" t="s">
        <v>8373</v>
      </c>
      <c r="X7" s="59" t="s">
        <v>8382</v>
      </c>
      <c r="Y7" s="58" t="s">
        <v>5312</v>
      </c>
      <c r="Z7" s="4453"/>
      <c r="AA7" s="4282"/>
      <c r="AB7" s="60"/>
      <c r="AC7" s="60"/>
      <c r="AD7" s="61"/>
      <c r="AE7" s="61"/>
      <c r="AF7" s="54"/>
      <c r="AG7" s="62"/>
      <c r="AH7" s="62"/>
    </row>
    <row r="8" spans="2:34" ht="14.25" customHeight="1">
      <c r="B8" s="56" t="s">
        <v>8386</v>
      </c>
      <c r="C8" s="57">
        <v>19</v>
      </c>
      <c r="D8" s="57" t="s">
        <v>148</v>
      </c>
      <c r="E8" s="57" t="s">
        <v>148</v>
      </c>
      <c r="F8" s="57" t="s">
        <v>148</v>
      </c>
      <c r="G8" s="57" t="s">
        <v>7761</v>
      </c>
      <c r="H8" s="57" t="s">
        <v>148</v>
      </c>
      <c r="I8" s="1262" t="s">
        <v>8387</v>
      </c>
      <c r="J8" s="4445"/>
      <c r="K8" s="4286"/>
      <c r="L8" s="4287"/>
      <c r="M8" s="4287"/>
      <c r="N8" s="4287"/>
      <c r="O8" s="4287"/>
      <c r="P8" s="49"/>
      <c r="Q8" s="67" t="s">
        <v>8388</v>
      </c>
      <c r="R8" s="68" t="s">
        <v>187</v>
      </c>
      <c r="S8" s="68">
        <v>13</v>
      </c>
      <c r="T8" s="68">
        <v>9</v>
      </c>
      <c r="U8" s="68">
        <v>2</v>
      </c>
      <c r="V8" s="68" t="s">
        <v>8389</v>
      </c>
      <c r="W8" s="1263" t="s">
        <v>8373</v>
      </c>
      <c r="X8" s="69" t="s">
        <v>8390</v>
      </c>
      <c r="Y8" s="70" t="s">
        <v>5312</v>
      </c>
      <c r="Z8" s="4453"/>
      <c r="AA8" s="4282"/>
      <c r="AB8" s="60"/>
      <c r="AC8" s="60"/>
      <c r="AD8" s="61"/>
      <c r="AE8" s="61"/>
      <c r="AF8" s="54"/>
      <c r="AG8" s="62"/>
      <c r="AH8" s="62"/>
    </row>
    <row r="9" spans="2:34" ht="14.25" customHeight="1">
      <c r="B9" s="56" t="s">
        <v>8391</v>
      </c>
      <c r="C9" s="57">
        <v>20</v>
      </c>
      <c r="D9" s="57" t="s">
        <v>148</v>
      </c>
      <c r="E9" s="57" t="s">
        <v>148</v>
      </c>
      <c r="F9" s="57" t="s">
        <v>148</v>
      </c>
      <c r="G9" s="57" t="s">
        <v>7761</v>
      </c>
      <c r="H9" s="57" t="s">
        <v>7750</v>
      </c>
      <c r="I9" s="58" t="s">
        <v>8392</v>
      </c>
      <c r="J9" s="4445"/>
      <c r="K9" s="4286"/>
      <c r="L9" s="4287"/>
      <c r="M9" s="4287"/>
      <c r="N9" s="4287"/>
      <c r="O9" s="4287"/>
      <c r="P9" s="49"/>
      <c r="Q9" s="56" t="s">
        <v>8393</v>
      </c>
      <c r="R9" s="57" t="s">
        <v>187</v>
      </c>
      <c r="S9" s="57">
        <v>13</v>
      </c>
      <c r="T9" s="57">
        <v>1</v>
      </c>
      <c r="U9" s="57">
        <v>0</v>
      </c>
      <c r="V9" s="57">
        <v>1</v>
      </c>
      <c r="W9" s="1261" t="s">
        <v>8373</v>
      </c>
      <c r="X9" s="59" t="s">
        <v>148</v>
      </c>
      <c r="Y9" s="72" t="s">
        <v>7750</v>
      </c>
      <c r="Z9" s="4453"/>
      <c r="AA9" s="4282"/>
      <c r="AB9" s="60"/>
      <c r="AC9" s="60"/>
      <c r="AD9" s="61"/>
      <c r="AE9" s="61"/>
      <c r="AF9" s="54"/>
      <c r="AG9" s="62"/>
      <c r="AH9" s="62"/>
    </row>
    <row r="10" spans="2:34" ht="14.25" customHeight="1">
      <c r="B10" s="67" t="s">
        <v>8394</v>
      </c>
      <c r="C10" s="68" t="s">
        <v>8395</v>
      </c>
      <c r="D10" s="68" t="s">
        <v>148</v>
      </c>
      <c r="E10" s="68" t="s">
        <v>8396</v>
      </c>
      <c r="F10" s="68" t="s">
        <v>8397</v>
      </c>
      <c r="G10" s="68" t="s">
        <v>898</v>
      </c>
      <c r="H10" s="68" t="s">
        <v>148</v>
      </c>
      <c r="I10" s="70" t="s">
        <v>148</v>
      </c>
      <c r="J10" s="4445"/>
      <c r="K10" s="4286"/>
      <c r="L10" s="4287"/>
      <c r="M10" s="4287"/>
      <c r="N10" s="4287"/>
      <c r="O10" s="4287"/>
      <c r="P10" s="49"/>
      <c r="Q10" s="67" t="s">
        <v>8398</v>
      </c>
      <c r="R10" s="68" t="s">
        <v>187</v>
      </c>
      <c r="S10" s="68">
        <v>16</v>
      </c>
      <c r="T10" s="68">
        <v>3</v>
      </c>
      <c r="U10" s="68">
        <v>0</v>
      </c>
      <c r="V10" s="68">
        <v>1</v>
      </c>
      <c r="W10" s="1263" t="s">
        <v>8373</v>
      </c>
      <c r="X10" s="69" t="s">
        <v>148</v>
      </c>
      <c r="Y10" s="58" t="s">
        <v>7750</v>
      </c>
      <c r="Z10" s="4453"/>
      <c r="AA10" s="4282"/>
      <c r="AB10" s="60"/>
      <c r="AC10" s="60"/>
      <c r="AD10" s="61"/>
      <c r="AE10" s="61"/>
      <c r="AF10" s="54"/>
    </row>
    <row r="11" spans="2:34" ht="14.25" customHeight="1">
      <c r="B11" s="73" t="s">
        <v>8399</v>
      </c>
      <c r="C11" s="74">
        <v>8</v>
      </c>
      <c r="D11" s="74" t="s">
        <v>8400</v>
      </c>
      <c r="E11" s="74" t="s">
        <v>8396</v>
      </c>
      <c r="F11" s="74" t="s">
        <v>8401</v>
      </c>
      <c r="G11" s="74" t="s">
        <v>898</v>
      </c>
      <c r="H11" s="74" t="s">
        <v>148</v>
      </c>
      <c r="I11" s="75" t="s">
        <v>8024</v>
      </c>
      <c r="J11" s="4445"/>
      <c r="K11" s="4286"/>
      <c r="L11" s="4287"/>
      <c r="M11" s="4287"/>
      <c r="N11" s="4287"/>
      <c r="O11" s="4287"/>
      <c r="P11" s="49"/>
      <c r="Q11" s="76" t="s">
        <v>8402</v>
      </c>
      <c r="R11" s="77" t="s">
        <v>8403</v>
      </c>
      <c r="S11" s="77">
        <v>11</v>
      </c>
      <c r="T11" s="77">
        <v>20</v>
      </c>
      <c r="U11" s="77">
        <v>24</v>
      </c>
      <c r="V11" s="77">
        <v>4</v>
      </c>
      <c r="W11" s="1264" t="s">
        <v>8368</v>
      </c>
      <c r="X11" s="1265" t="s">
        <v>8373</v>
      </c>
      <c r="Y11" s="79" t="s">
        <v>7750</v>
      </c>
      <c r="Z11" s="4454" t="s">
        <v>8404</v>
      </c>
      <c r="AA11" s="4282"/>
      <c r="AB11" s="60"/>
      <c r="AC11" s="60"/>
      <c r="AD11" s="61"/>
      <c r="AE11" s="61"/>
      <c r="AF11" s="54"/>
    </row>
    <row r="12" spans="2:34" ht="14.25" customHeight="1">
      <c r="B12" s="56" t="s">
        <v>8405</v>
      </c>
      <c r="C12" s="57">
        <v>10</v>
      </c>
      <c r="D12" s="57" t="s">
        <v>148</v>
      </c>
      <c r="E12" s="57" t="s">
        <v>148</v>
      </c>
      <c r="F12" s="57" t="s">
        <v>148</v>
      </c>
      <c r="G12" s="57" t="s">
        <v>7761</v>
      </c>
      <c r="H12" s="57" t="s">
        <v>7750</v>
      </c>
      <c r="I12" s="58" t="s">
        <v>8406</v>
      </c>
      <c r="J12" s="4445"/>
      <c r="K12" s="4286"/>
      <c r="L12" s="4287"/>
      <c r="M12" s="4287"/>
      <c r="N12" s="4287"/>
      <c r="O12" s="4287"/>
      <c r="P12" s="49"/>
      <c r="Q12" s="56" t="s">
        <v>8407</v>
      </c>
      <c r="R12" s="57" t="s">
        <v>8403</v>
      </c>
      <c r="S12" s="57">
        <v>12</v>
      </c>
      <c r="T12" s="57">
        <v>12</v>
      </c>
      <c r="U12" s="57">
        <v>1</v>
      </c>
      <c r="V12" s="57" t="s">
        <v>7121</v>
      </c>
      <c r="W12" s="1261" t="s">
        <v>8408</v>
      </c>
      <c r="X12" s="59" t="s">
        <v>8409</v>
      </c>
      <c r="Y12" s="58" t="s">
        <v>46</v>
      </c>
      <c r="Z12" s="4454"/>
      <c r="AA12" s="4282"/>
      <c r="AB12" s="60"/>
      <c r="AC12" s="60"/>
      <c r="AD12" s="61"/>
      <c r="AE12" s="61"/>
      <c r="AF12" s="54"/>
    </row>
    <row r="13" spans="2:34" ht="14.25" customHeight="1">
      <c r="B13" s="80" t="s">
        <v>8410</v>
      </c>
      <c r="C13" s="81" t="s">
        <v>8411</v>
      </c>
      <c r="D13" s="81" t="s">
        <v>148</v>
      </c>
      <c r="E13" s="81" t="s">
        <v>8412</v>
      </c>
      <c r="F13" s="81" t="s">
        <v>148</v>
      </c>
      <c r="G13" s="81" t="s">
        <v>239</v>
      </c>
      <c r="H13" s="4443" t="s">
        <v>8413</v>
      </c>
      <c r="I13" s="4444" t="s">
        <v>148</v>
      </c>
      <c r="J13" s="4446" t="s">
        <v>8414</v>
      </c>
      <c r="K13" s="4288" t="s">
        <v>8415</v>
      </c>
      <c r="L13" s="4288"/>
      <c r="M13" s="4288"/>
      <c r="N13" s="4288"/>
      <c r="O13" s="4289"/>
      <c r="P13" s="49"/>
      <c r="Q13" s="76" t="s">
        <v>8416</v>
      </c>
      <c r="R13" s="77" t="s">
        <v>8403</v>
      </c>
      <c r="S13" s="77">
        <v>15</v>
      </c>
      <c r="T13" s="77">
        <v>14</v>
      </c>
      <c r="U13" s="77">
        <v>2</v>
      </c>
      <c r="V13" s="77" t="s">
        <v>7121</v>
      </c>
      <c r="W13" s="1264" t="s">
        <v>8373</v>
      </c>
      <c r="X13" s="78" t="s">
        <v>8417</v>
      </c>
      <c r="Y13" s="79" t="s">
        <v>5312</v>
      </c>
      <c r="Z13" s="4454"/>
      <c r="AA13" s="4282"/>
      <c r="AB13" s="60"/>
      <c r="AC13" s="60"/>
      <c r="AD13" s="61"/>
      <c r="AE13" s="61"/>
      <c r="AF13" s="54"/>
    </row>
    <row r="14" spans="2:34" ht="14.25" customHeight="1">
      <c r="B14" s="80" t="s">
        <v>8418</v>
      </c>
      <c r="C14" s="83" t="s">
        <v>8419</v>
      </c>
      <c r="D14" s="83" t="s">
        <v>148</v>
      </c>
      <c r="E14" s="83" t="s">
        <v>8412</v>
      </c>
      <c r="F14" s="83" t="s">
        <v>148</v>
      </c>
      <c r="G14" s="83" t="s">
        <v>239</v>
      </c>
      <c r="H14" s="4443"/>
      <c r="I14" s="4444"/>
      <c r="J14" s="4446"/>
      <c r="K14" s="4290"/>
      <c r="L14" s="4290"/>
      <c r="M14" s="4290"/>
      <c r="N14" s="4290"/>
      <c r="O14" s="4291"/>
      <c r="P14" s="49"/>
      <c r="Q14" s="84" t="s">
        <v>8420</v>
      </c>
      <c r="R14" s="85" t="s">
        <v>8421</v>
      </c>
      <c r="S14" s="85">
        <v>11</v>
      </c>
      <c r="T14" s="85">
        <v>4</v>
      </c>
      <c r="U14" s="85">
        <v>0</v>
      </c>
      <c r="V14" s="85">
        <v>1</v>
      </c>
      <c r="W14" s="1266" t="s">
        <v>8373</v>
      </c>
      <c r="X14" s="85" t="s">
        <v>148</v>
      </c>
      <c r="Y14" s="86" t="s">
        <v>8422</v>
      </c>
      <c r="Z14" s="4455" t="s">
        <v>8423</v>
      </c>
      <c r="AA14" s="4282"/>
      <c r="AB14" s="60"/>
      <c r="AC14" s="60"/>
      <c r="AD14" s="61"/>
      <c r="AE14" s="61"/>
      <c r="AF14" s="54"/>
    </row>
    <row r="15" spans="2:34" ht="14.25" customHeight="1">
      <c r="B15" s="80" t="s">
        <v>8424</v>
      </c>
      <c r="C15" s="81" t="s">
        <v>8425</v>
      </c>
      <c r="D15" s="81" t="s">
        <v>148</v>
      </c>
      <c r="E15" s="81" t="s">
        <v>8412</v>
      </c>
      <c r="F15" s="81" t="s">
        <v>148</v>
      </c>
      <c r="G15" s="81" t="s">
        <v>239</v>
      </c>
      <c r="H15" s="4443"/>
      <c r="I15" s="4444"/>
      <c r="J15" s="4446"/>
      <c r="K15" s="4290"/>
      <c r="L15" s="4290"/>
      <c r="M15" s="4290"/>
      <c r="N15" s="4290"/>
      <c r="O15" s="4291"/>
      <c r="P15" s="49"/>
      <c r="Q15" s="56" t="s">
        <v>8426</v>
      </c>
      <c r="R15" s="57" t="s">
        <v>8427</v>
      </c>
      <c r="S15" s="57">
        <v>10</v>
      </c>
      <c r="T15" s="57">
        <v>3</v>
      </c>
      <c r="U15" s="57">
        <v>0</v>
      </c>
      <c r="V15" s="57" t="s">
        <v>8428</v>
      </c>
      <c r="W15" s="57" t="s">
        <v>8417</v>
      </c>
      <c r="X15" s="57" t="s">
        <v>8382</v>
      </c>
      <c r="Y15" s="58" t="s">
        <v>46</v>
      </c>
      <c r="Z15" s="4455"/>
      <c r="AA15" s="4282"/>
      <c r="AB15" s="60"/>
      <c r="AC15" s="60"/>
      <c r="AD15" s="61"/>
      <c r="AE15" s="61"/>
      <c r="AF15" s="54"/>
    </row>
    <row r="16" spans="2:34" ht="14.25" customHeight="1">
      <c r="B16" s="87" t="s">
        <v>8429</v>
      </c>
      <c r="C16" s="88">
        <v>2</v>
      </c>
      <c r="D16" s="88" t="s">
        <v>148</v>
      </c>
      <c r="E16" s="88" t="s">
        <v>148</v>
      </c>
      <c r="F16" s="88" t="s">
        <v>148</v>
      </c>
      <c r="G16" s="88" t="s">
        <v>239</v>
      </c>
      <c r="H16" s="88" t="s">
        <v>8430</v>
      </c>
      <c r="I16" s="1267" t="s">
        <v>8431</v>
      </c>
      <c r="J16" s="4446"/>
      <c r="K16" s="4292"/>
      <c r="L16" s="4292"/>
      <c r="M16" s="4292"/>
      <c r="N16" s="4292"/>
      <c r="O16" s="4293"/>
      <c r="P16" s="49"/>
      <c r="Q16" s="84" t="s">
        <v>7729</v>
      </c>
      <c r="R16" s="85" t="s">
        <v>8421</v>
      </c>
      <c r="S16" s="85">
        <v>10</v>
      </c>
      <c r="T16" s="85">
        <v>0.5</v>
      </c>
      <c r="U16" s="85">
        <v>0</v>
      </c>
      <c r="V16" s="85">
        <v>1</v>
      </c>
      <c r="W16" s="1266" t="s">
        <v>8373</v>
      </c>
      <c r="X16" s="85" t="s">
        <v>148</v>
      </c>
      <c r="Y16" s="86" t="s">
        <v>7750</v>
      </c>
      <c r="Z16" s="4455"/>
      <c r="AA16" s="4282"/>
      <c r="AB16" s="60"/>
      <c r="AC16" s="60"/>
      <c r="AD16" s="61"/>
      <c r="AE16" s="61"/>
      <c r="AF16" s="54"/>
    </row>
    <row r="17" spans="2:34" ht="14.25" customHeight="1">
      <c r="B17" s="90" t="s">
        <v>8432</v>
      </c>
      <c r="C17" s="81">
        <v>8</v>
      </c>
      <c r="D17" s="81" t="s">
        <v>148</v>
      </c>
      <c r="E17" s="81" t="s">
        <v>148</v>
      </c>
      <c r="F17" s="81" t="s">
        <v>148</v>
      </c>
      <c r="G17" s="81" t="s">
        <v>239</v>
      </c>
      <c r="H17" s="81" t="s">
        <v>5312</v>
      </c>
      <c r="I17" s="82">
        <v>40</v>
      </c>
      <c r="J17" s="4446"/>
      <c r="K17" s="4294" t="s">
        <v>8433</v>
      </c>
      <c r="L17" s="4295"/>
      <c r="M17" s="4295"/>
      <c r="N17" s="4295"/>
      <c r="O17" s="4295"/>
      <c r="P17" s="49"/>
      <c r="Q17" s="91" t="s">
        <v>8434</v>
      </c>
      <c r="R17" s="92" t="s">
        <v>8435</v>
      </c>
      <c r="S17" s="92">
        <v>4</v>
      </c>
      <c r="T17" s="92">
        <v>2</v>
      </c>
      <c r="U17" s="92">
        <v>0</v>
      </c>
      <c r="V17" s="92">
        <v>3</v>
      </c>
      <c r="W17" s="1268" t="s">
        <v>8436</v>
      </c>
      <c r="X17" s="93" t="s">
        <v>8369</v>
      </c>
      <c r="Y17" s="94" t="s">
        <v>7750</v>
      </c>
      <c r="Z17" s="4456" t="s">
        <v>8437</v>
      </c>
      <c r="AA17" s="4282"/>
      <c r="AB17" s="61"/>
      <c r="AC17" s="61"/>
      <c r="AD17" s="61"/>
      <c r="AE17" s="61"/>
      <c r="AF17" s="54"/>
    </row>
    <row r="18" spans="2:34" ht="14.25" customHeight="1">
      <c r="B18" s="95" t="s">
        <v>8438</v>
      </c>
      <c r="C18" s="83">
        <v>12</v>
      </c>
      <c r="D18" s="83" t="s">
        <v>148</v>
      </c>
      <c r="E18" s="83" t="s">
        <v>148</v>
      </c>
      <c r="F18" s="83" t="s">
        <v>148</v>
      </c>
      <c r="G18" s="83" t="s">
        <v>7761</v>
      </c>
      <c r="H18" s="83" t="s">
        <v>7750</v>
      </c>
      <c r="I18" s="96" t="s">
        <v>8439</v>
      </c>
      <c r="J18" s="4446"/>
      <c r="K18" s="4296"/>
      <c r="L18" s="4297"/>
      <c r="M18" s="4297"/>
      <c r="N18" s="4297"/>
      <c r="O18" s="4297"/>
      <c r="P18" s="49"/>
      <c r="Q18" s="56" t="s">
        <v>8440</v>
      </c>
      <c r="R18" s="57" t="s">
        <v>8435</v>
      </c>
      <c r="S18" s="57">
        <v>12</v>
      </c>
      <c r="T18" s="57">
        <v>4</v>
      </c>
      <c r="U18" s="57">
        <v>0</v>
      </c>
      <c r="V18" s="57">
        <v>22</v>
      </c>
      <c r="W18" s="1261" t="s">
        <v>8441</v>
      </c>
      <c r="X18" s="59" t="s">
        <v>8369</v>
      </c>
      <c r="Y18" s="58" t="s">
        <v>7750</v>
      </c>
      <c r="Z18" s="4456"/>
      <c r="AA18" s="4282"/>
      <c r="AB18" s="61"/>
      <c r="AC18" s="61"/>
      <c r="AD18" s="61"/>
      <c r="AE18" s="61"/>
      <c r="AF18" s="54"/>
    </row>
    <row r="19" spans="2:34" ht="14.25" customHeight="1">
      <c r="B19" s="90" t="s">
        <v>8442</v>
      </c>
      <c r="C19" s="81">
        <v>1</v>
      </c>
      <c r="D19" s="81" t="s">
        <v>148</v>
      </c>
      <c r="E19" s="81" t="s">
        <v>148</v>
      </c>
      <c r="F19" s="81" t="s">
        <v>148</v>
      </c>
      <c r="G19" s="81" t="s">
        <v>7761</v>
      </c>
      <c r="H19" s="81" t="s">
        <v>7750</v>
      </c>
      <c r="I19" s="82" t="s">
        <v>8443</v>
      </c>
      <c r="J19" s="4446"/>
      <c r="K19" s="4296"/>
      <c r="L19" s="4297"/>
      <c r="M19" s="4297"/>
      <c r="N19" s="4297"/>
      <c r="O19" s="4297"/>
      <c r="P19" s="49"/>
      <c r="Q19" s="91" t="s">
        <v>8444</v>
      </c>
      <c r="R19" s="92" t="s">
        <v>8445</v>
      </c>
      <c r="S19" s="92">
        <v>14</v>
      </c>
      <c r="T19" s="92">
        <v>3</v>
      </c>
      <c r="U19" s="92">
        <v>0</v>
      </c>
      <c r="V19" s="92">
        <v>6</v>
      </c>
      <c r="W19" s="1268" t="s">
        <v>8373</v>
      </c>
      <c r="X19" s="93" t="s">
        <v>8369</v>
      </c>
      <c r="Y19" s="94" t="s">
        <v>7750</v>
      </c>
      <c r="Z19" s="4456"/>
      <c r="AA19" s="4282"/>
      <c r="AB19" s="61"/>
      <c r="AC19" s="61"/>
      <c r="AD19" s="61"/>
      <c r="AE19" s="61"/>
      <c r="AF19" s="54"/>
    </row>
    <row r="20" spans="2:34" ht="14.25" customHeight="1">
      <c r="B20" s="87" t="s">
        <v>8446</v>
      </c>
      <c r="C20" s="88">
        <v>20</v>
      </c>
      <c r="D20" s="88" t="s">
        <v>148</v>
      </c>
      <c r="E20" s="88" t="s">
        <v>148</v>
      </c>
      <c r="F20" s="88" t="s">
        <v>148</v>
      </c>
      <c r="G20" s="88" t="s">
        <v>7761</v>
      </c>
      <c r="H20" s="88" t="s">
        <v>8447</v>
      </c>
      <c r="I20" s="89" t="s">
        <v>8448</v>
      </c>
      <c r="J20" s="4446"/>
      <c r="K20" s="4296"/>
      <c r="L20" s="4297"/>
      <c r="M20" s="4297"/>
      <c r="N20" s="4297"/>
      <c r="O20" s="4297"/>
      <c r="P20" s="49"/>
      <c r="Q20" s="56" t="s">
        <v>8449</v>
      </c>
      <c r="R20" s="57" t="s">
        <v>8435</v>
      </c>
      <c r="S20" s="57">
        <v>11</v>
      </c>
      <c r="T20" s="57">
        <v>32</v>
      </c>
      <c r="U20" s="57" t="s">
        <v>8450</v>
      </c>
      <c r="V20" s="57" t="s">
        <v>8451</v>
      </c>
      <c r="W20" s="1261" t="s">
        <v>8373</v>
      </c>
      <c r="X20" s="59" t="s">
        <v>8452</v>
      </c>
      <c r="Y20" s="58" t="s">
        <v>7750</v>
      </c>
      <c r="Z20" s="4456"/>
      <c r="AA20" s="4282"/>
      <c r="AB20" s="61"/>
      <c r="AC20" s="61"/>
      <c r="AD20" s="61"/>
      <c r="AE20" s="61"/>
      <c r="AF20" s="54"/>
    </row>
    <row r="21" spans="2:34" ht="14.25" customHeight="1">
      <c r="B21" s="90" t="s">
        <v>8453</v>
      </c>
      <c r="C21" s="81" t="s">
        <v>8454</v>
      </c>
      <c r="D21" s="81" t="s">
        <v>148</v>
      </c>
      <c r="E21" s="81" t="s">
        <v>148</v>
      </c>
      <c r="F21" s="81" t="s">
        <v>148</v>
      </c>
      <c r="G21" s="81" t="s">
        <v>898</v>
      </c>
      <c r="H21" s="81" t="s">
        <v>5312</v>
      </c>
      <c r="I21" s="82" t="s">
        <v>8455</v>
      </c>
      <c r="J21" s="4446"/>
      <c r="K21" s="4296"/>
      <c r="L21" s="4297"/>
      <c r="M21" s="4297"/>
      <c r="N21" s="4297"/>
      <c r="O21" s="4297"/>
      <c r="P21" s="49"/>
      <c r="Q21" s="97" t="s">
        <v>8456</v>
      </c>
      <c r="R21" s="92" t="s">
        <v>8457</v>
      </c>
      <c r="S21" s="92">
        <v>11</v>
      </c>
      <c r="T21" s="92">
        <v>65</v>
      </c>
      <c r="U21" s="92" t="s">
        <v>8450</v>
      </c>
      <c r="V21" s="92" t="s">
        <v>8458</v>
      </c>
      <c r="W21" s="1268" t="s">
        <v>8373</v>
      </c>
      <c r="X21" s="93" t="s">
        <v>8452</v>
      </c>
      <c r="Y21" s="94" t="s">
        <v>7750</v>
      </c>
      <c r="Z21" s="4456"/>
      <c r="AA21" s="4282"/>
      <c r="AB21" s="4300" t="s">
        <v>8459</v>
      </c>
      <c r="AC21" s="4301"/>
      <c r="AD21" s="4301"/>
      <c r="AE21" s="4302"/>
      <c r="AF21" s="54"/>
    </row>
    <row r="22" spans="2:34" ht="14.25" customHeight="1">
      <c r="B22" s="95" t="s">
        <v>8460</v>
      </c>
      <c r="C22" s="83">
        <v>15</v>
      </c>
      <c r="D22" s="83" t="s">
        <v>148</v>
      </c>
      <c r="E22" s="83" t="s">
        <v>148</v>
      </c>
      <c r="F22" s="83" t="s">
        <v>148</v>
      </c>
      <c r="G22" s="83" t="s">
        <v>7761</v>
      </c>
      <c r="H22" s="83" t="s">
        <v>7750</v>
      </c>
      <c r="I22" s="96" t="s">
        <v>8392</v>
      </c>
      <c r="J22" s="4446"/>
      <c r="K22" s="4296"/>
      <c r="L22" s="4297"/>
      <c r="M22" s="4297"/>
      <c r="N22" s="4297"/>
      <c r="O22" s="4297"/>
      <c r="P22" s="49"/>
      <c r="Q22" s="97" t="s">
        <v>8461</v>
      </c>
      <c r="R22" s="57" t="s">
        <v>8462</v>
      </c>
      <c r="S22" s="57">
        <v>11</v>
      </c>
      <c r="T22" s="57">
        <v>75</v>
      </c>
      <c r="U22" s="57" t="s">
        <v>8450</v>
      </c>
      <c r="V22" s="57" t="s">
        <v>8463</v>
      </c>
      <c r="W22" s="1261" t="s">
        <v>8373</v>
      </c>
      <c r="X22" s="59" t="s">
        <v>8464</v>
      </c>
      <c r="Y22" s="58" t="s">
        <v>8465</v>
      </c>
      <c r="Z22" s="4456"/>
      <c r="AA22" s="4282"/>
      <c r="AB22" s="4303"/>
      <c r="AC22" s="4304"/>
      <c r="AD22" s="4304"/>
      <c r="AE22" s="4305"/>
      <c r="AF22" s="54"/>
    </row>
    <row r="23" spans="2:34" ht="14.25" customHeight="1">
      <c r="B23" s="90" t="s">
        <v>8466</v>
      </c>
      <c r="C23" s="81">
        <v>4</v>
      </c>
      <c r="D23" s="81" t="s">
        <v>148</v>
      </c>
      <c r="E23" s="81" t="s">
        <v>8467</v>
      </c>
      <c r="F23" s="81" t="s">
        <v>148</v>
      </c>
      <c r="G23" s="81" t="s">
        <v>7761</v>
      </c>
      <c r="H23" s="81" t="s">
        <v>7750</v>
      </c>
      <c r="I23" s="82" t="s">
        <v>8468</v>
      </c>
      <c r="J23" s="4446"/>
      <c r="K23" s="4296"/>
      <c r="L23" s="4297"/>
      <c r="M23" s="4297"/>
      <c r="N23" s="4297"/>
      <c r="O23" s="4297"/>
      <c r="P23" s="49"/>
      <c r="Q23" s="97" t="s">
        <v>8469</v>
      </c>
      <c r="R23" s="92" t="s">
        <v>8462</v>
      </c>
      <c r="S23" s="92">
        <v>12</v>
      </c>
      <c r="T23" s="92">
        <v>24</v>
      </c>
      <c r="U23" s="92" t="s">
        <v>8450</v>
      </c>
      <c r="V23" s="92" t="s">
        <v>8470</v>
      </c>
      <c r="W23" s="1268" t="s">
        <v>8373</v>
      </c>
      <c r="X23" s="93" t="s">
        <v>8452</v>
      </c>
      <c r="Y23" s="94" t="s">
        <v>7750</v>
      </c>
      <c r="Z23" s="4456"/>
      <c r="AA23" s="4282"/>
      <c r="AB23" s="4306"/>
      <c r="AC23" s="4307"/>
      <c r="AD23" s="4307"/>
      <c r="AE23" s="4308"/>
      <c r="AF23" s="54"/>
    </row>
    <row r="24" spans="2:34" ht="14.25" customHeight="1">
      <c r="B24" s="95" t="s">
        <v>8471</v>
      </c>
      <c r="C24" s="83">
        <v>3</v>
      </c>
      <c r="D24" s="83" t="s">
        <v>148</v>
      </c>
      <c r="E24" s="83" t="s">
        <v>148</v>
      </c>
      <c r="F24" s="83" t="s">
        <v>148</v>
      </c>
      <c r="G24" s="83" t="s">
        <v>7761</v>
      </c>
      <c r="H24" s="83" t="s">
        <v>7750</v>
      </c>
      <c r="I24" s="1269" t="s">
        <v>8472</v>
      </c>
      <c r="J24" s="4446"/>
      <c r="K24" s="4296"/>
      <c r="L24" s="4297"/>
      <c r="M24" s="4297"/>
      <c r="N24" s="4297"/>
      <c r="O24" s="4297"/>
      <c r="P24" s="49"/>
      <c r="Q24" s="98" t="s">
        <v>8473</v>
      </c>
      <c r="R24" s="99" t="s">
        <v>187</v>
      </c>
      <c r="S24" s="99">
        <v>12</v>
      </c>
      <c r="T24" s="99">
        <v>6</v>
      </c>
      <c r="U24" s="99">
        <v>2</v>
      </c>
      <c r="V24" s="99">
        <v>80</v>
      </c>
      <c r="W24" s="1270" t="s">
        <v>8373</v>
      </c>
      <c r="X24" s="100" t="s">
        <v>8417</v>
      </c>
      <c r="Y24" s="101" t="s">
        <v>7750</v>
      </c>
      <c r="Z24" s="4457" t="s">
        <v>8474</v>
      </c>
      <c r="AA24" s="102"/>
      <c r="AB24" s="102"/>
      <c r="AC24" s="102"/>
      <c r="AD24" s="102"/>
      <c r="AE24" s="102"/>
      <c r="AF24" s="54"/>
    </row>
    <row r="25" spans="2:34" ht="14.25" customHeight="1">
      <c r="B25" s="90" t="s">
        <v>8475</v>
      </c>
      <c r="C25" s="81">
        <v>3</v>
      </c>
      <c r="D25" s="81" t="s">
        <v>148</v>
      </c>
      <c r="E25" s="81" t="s">
        <v>148</v>
      </c>
      <c r="F25" s="81" t="s">
        <v>148</v>
      </c>
      <c r="G25" s="81" t="s">
        <v>7761</v>
      </c>
      <c r="H25" s="81" t="s">
        <v>8476</v>
      </c>
      <c r="I25" s="1271" t="s">
        <v>8477</v>
      </c>
      <c r="J25" s="4446"/>
      <c r="K25" s="4296"/>
      <c r="L25" s="4297"/>
      <c r="M25" s="4297"/>
      <c r="N25" s="4297"/>
      <c r="O25" s="4297"/>
      <c r="P25" s="49"/>
      <c r="Q25" s="95" t="s">
        <v>1471</v>
      </c>
      <c r="R25" s="83" t="s">
        <v>187</v>
      </c>
      <c r="S25" s="83">
        <v>12</v>
      </c>
      <c r="T25" s="83">
        <v>7</v>
      </c>
      <c r="U25" s="83">
        <v>2</v>
      </c>
      <c r="V25" s="83">
        <v>200</v>
      </c>
      <c r="W25" s="1272" t="s">
        <v>8373</v>
      </c>
      <c r="X25" s="88" t="s">
        <v>8417</v>
      </c>
      <c r="Y25" s="96" t="s">
        <v>7750</v>
      </c>
      <c r="Z25" s="4458"/>
      <c r="AA25" s="102"/>
      <c r="AB25" s="102"/>
      <c r="AC25" s="103"/>
      <c r="AD25" s="103"/>
      <c r="AE25" s="103"/>
      <c r="AF25" s="54"/>
    </row>
    <row r="26" spans="2:34" ht="14.25" customHeight="1">
      <c r="B26" s="104" t="s">
        <v>8478</v>
      </c>
      <c r="C26" s="105">
        <v>2</v>
      </c>
      <c r="D26" s="105" t="s">
        <v>148</v>
      </c>
      <c r="E26" s="105" t="s">
        <v>148</v>
      </c>
      <c r="F26" s="105" t="s">
        <v>148</v>
      </c>
      <c r="G26" s="105" t="s">
        <v>239</v>
      </c>
      <c r="H26" s="105" t="s">
        <v>7750</v>
      </c>
      <c r="I26" s="106" t="s">
        <v>8024</v>
      </c>
      <c r="J26" s="4446"/>
      <c r="K26" s="4298"/>
      <c r="L26" s="4299"/>
      <c r="M26" s="4299"/>
      <c r="N26" s="4299"/>
      <c r="O26" s="4299"/>
      <c r="P26" s="49"/>
      <c r="Q26" s="98" t="s">
        <v>8479</v>
      </c>
      <c r="R26" s="99" t="s">
        <v>187</v>
      </c>
      <c r="S26" s="99">
        <v>12</v>
      </c>
      <c r="T26" s="99">
        <v>6</v>
      </c>
      <c r="U26" s="99">
        <v>2</v>
      </c>
      <c r="V26" s="99">
        <v>50</v>
      </c>
      <c r="W26" s="1270" t="s">
        <v>8373</v>
      </c>
      <c r="X26" s="100" t="s">
        <v>8369</v>
      </c>
      <c r="Y26" s="101" t="s">
        <v>7750</v>
      </c>
      <c r="Z26" s="4458"/>
      <c r="AA26" s="102"/>
      <c r="AB26" s="102"/>
      <c r="AC26" s="103"/>
      <c r="AD26" s="103"/>
      <c r="AE26" s="103"/>
      <c r="AF26" s="54"/>
    </row>
    <row r="27" spans="2:34" ht="14.25" customHeight="1">
      <c r="B27" s="107" t="s">
        <v>8480</v>
      </c>
      <c r="C27" s="108">
        <v>1</v>
      </c>
      <c r="D27" s="108">
        <v>0</v>
      </c>
      <c r="E27" s="108" t="s">
        <v>525</v>
      </c>
      <c r="F27" s="108" t="s">
        <v>8372</v>
      </c>
      <c r="G27" s="108" t="s">
        <v>239</v>
      </c>
      <c r="H27" s="108" t="s">
        <v>7750</v>
      </c>
      <c r="I27" s="109" t="s">
        <v>8481</v>
      </c>
      <c r="J27" s="4447" t="s">
        <v>525</v>
      </c>
      <c r="K27" s="4309" t="s">
        <v>8482</v>
      </c>
      <c r="L27" s="4310"/>
      <c r="M27" s="4310"/>
      <c r="N27" s="4310"/>
      <c r="O27" s="4311"/>
      <c r="P27" s="49"/>
      <c r="Q27" s="95" t="s">
        <v>8483</v>
      </c>
      <c r="R27" s="83" t="s">
        <v>187</v>
      </c>
      <c r="S27" s="83">
        <v>14</v>
      </c>
      <c r="T27" s="83">
        <v>5</v>
      </c>
      <c r="U27" s="83">
        <v>2</v>
      </c>
      <c r="V27" s="83" t="s">
        <v>8367</v>
      </c>
      <c r="W27" s="1272" t="s">
        <v>8368</v>
      </c>
      <c r="X27" s="88" t="s">
        <v>8369</v>
      </c>
      <c r="Y27" s="96" t="s">
        <v>5312</v>
      </c>
      <c r="Z27" s="4458"/>
      <c r="AA27" s="102"/>
      <c r="AB27" s="102"/>
      <c r="AC27" s="103"/>
      <c r="AD27" s="103"/>
      <c r="AE27" s="103"/>
      <c r="AF27" s="54"/>
    </row>
    <row r="28" spans="2:34" ht="14.25" customHeight="1">
      <c r="B28" s="95" t="s">
        <v>8484</v>
      </c>
      <c r="C28" s="83">
        <v>1</v>
      </c>
      <c r="D28" s="83">
        <v>0</v>
      </c>
      <c r="E28" s="83" t="s">
        <v>635</v>
      </c>
      <c r="F28" s="83" t="s">
        <v>8372</v>
      </c>
      <c r="G28" s="83" t="s">
        <v>7761</v>
      </c>
      <c r="H28" s="83" t="s">
        <v>7867</v>
      </c>
      <c r="I28" s="96" t="s">
        <v>8024</v>
      </c>
      <c r="J28" s="4447"/>
      <c r="K28" s="4312"/>
      <c r="L28" s="4312"/>
      <c r="M28" s="4312"/>
      <c r="N28" s="4312"/>
      <c r="O28" s="4313"/>
      <c r="P28" s="49"/>
      <c r="Q28" s="98" t="s">
        <v>8485</v>
      </c>
      <c r="R28" s="99" t="s">
        <v>187</v>
      </c>
      <c r="S28" s="99">
        <v>11</v>
      </c>
      <c r="T28" s="99">
        <v>1</v>
      </c>
      <c r="U28" s="99">
        <v>0</v>
      </c>
      <c r="V28" s="99">
        <v>1</v>
      </c>
      <c r="W28" s="1270" t="s">
        <v>8373</v>
      </c>
      <c r="X28" s="100" t="s">
        <v>148</v>
      </c>
      <c r="Y28" s="101" t="s">
        <v>5312</v>
      </c>
      <c r="Z28" s="4458"/>
      <c r="AA28" s="103"/>
      <c r="AB28" s="103"/>
      <c r="AC28" s="103"/>
      <c r="AD28" s="103"/>
      <c r="AE28" s="103"/>
      <c r="AF28" s="54"/>
    </row>
    <row r="29" spans="2:34" ht="14.25" customHeight="1">
      <c r="B29" s="107" t="s">
        <v>8486</v>
      </c>
      <c r="C29" s="108">
        <v>1</v>
      </c>
      <c r="D29" s="108">
        <v>0</v>
      </c>
      <c r="E29" s="108" t="s">
        <v>8487</v>
      </c>
      <c r="F29" s="108" t="s">
        <v>8372</v>
      </c>
      <c r="G29" s="108" t="s">
        <v>7761</v>
      </c>
      <c r="H29" s="108" t="s">
        <v>7750</v>
      </c>
      <c r="I29" s="109" t="s">
        <v>8488</v>
      </c>
      <c r="J29" s="4447"/>
      <c r="K29" s="4314"/>
      <c r="L29" s="4314"/>
      <c r="M29" s="4314"/>
      <c r="N29" s="4314"/>
      <c r="O29" s="4315"/>
      <c r="P29" s="110"/>
      <c r="Q29" s="95" t="s">
        <v>8489</v>
      </c>
      <c r="R29" s="83" t="s">
        <v>187</v>
      </c>
      <c r="S29" s="83">
        <v>14</v>
      </c>
      <c r="T29" s="83">
        <v>4</v>
      </c>
      <c r="U29" s="83">
        <v>0</v>
      </c>
      <c r="V29" s="83">
        <v>2</v>
      </c>
      <c r="W29" s="1272" t="s">
        <v>8373</v>
      </c>
      <c r="X29" s="88" t="s">
        <v>8369</v>
      </c>
      <c r="Y29" s="96" t="s">
        <v>7750</v>
      </c>
      <c r="Z29" s="4458"/>
      <c r="AA29" s="103"/>
      <c r="AB29" s="103"/>
      <c r="AC29" s="103"/>
      <c r="AD29" s="103"/>
      <c r="AE29" s="103"/>
      <c r="AF29" s="54"/>
    </row>
    <row r="30" spans="2:34" ht="14.25" customHeight="1">
      <c r="B30" s="95" t="s">
        <v>8490</v>
      </c>
      <c r="C30" s="83" t="s">
        <v>8491</v>
      </c>
      <c r="D30" s="83">
        <v>0</v>
      </c>
      <c r="E30" s="83" t="s">
        <v>8492</v>
      </c>
      <c r="F30" s="83" t="s">
        <v>8372</v>
      </c>
      <c r="G30" s="83" t="s">
        <v>7761</v>
      </c>
      <c r="H30" s="83" t="s">
        <v>7750</v>
      </c>
      <c r="I30" s="96" t="s">
        <v>8493</v>
      </c>
      <c r="J30" s="4447"/>
      <c r="K30" s="4316" t="s">
        <v>8494</v>
      </c>
      <c r="L30" s="4316"/>
      <c r="M30" s="4316"/>
      <c r="N30" s="4316"/>
      <c r="O30" s="4317"/>
      <c r="P30" s="110"/>
      <c r="Q30" s="98" t="s">
        <v>8495</v>
      </c>
      <c r="R30" s="99" t="s">
        <v>187</v>
      </c>
      <c r="S30" s="99">
        <v>14</v>
      </c>
      <c r="T30" s="99">
        <v>6</v>
      </c>
      <c r="U30" s="99">
        <v>2</v>
      </c>
      <c r="V30" s="99">
        <v>5</v>
      </c>
      <c r="W30" s="1270" t="s">
        <v>8373</v>
      </c>
      <c r="X30" s="100" t="s">
        <v>8417</v>
      </c>
      <c r="Y30" s="101" t="s">
        <v>7750</v>
      </c>
      <c r="Z30" s="4458"/>
      <c r="AA30" s="103"/>
      <c r="AB30" s="103"/>
      <c r="AC30" s="103"/>
      <c r="AD30" s="103"/>
      <c r="AE30" s="103"/>
      <c r="AF30" s="54"/>
    </row>
    <row r="31" spans="2:34" ht="14.25" customHeight="1">
      <c r="B31" s="111" t="s">
        <v>8496</v>
      </c>
      <c r="C31" s="112" t="s">
        <v>8497</v>
      </c>
      <c r="D31" s="112">
        <v>0</v>
      </c>
      <c r="E31" s="112" t="s">
        <v>8498</v>
      </c>
      <c r="F31" s="112" t="s">
        <v>8372</v>
      </c>
      <c r="G31" s="112" t="s">
        <v>7761</v>
      </c>
      <c r="H31" s="112" t="s">
        <v>5312</v>
      </c>
      <c r="I31" s="113">
        <v>15</v>
      </c>
      <c r="J31" s="4447"/>
      <c r="K31" s="4318"/>
      <c r="L31" s="4318"/>
      <c r="M31" s="4318"/>
      <c r="N31" s="4318"/>
      <c r="O31" s="4319"/>
      <c r="P31" s="110"/>
      <c r="Q31" s="95" t="s">
        <v>8499</v>
      </c>
      <c r="R31" s="83" t="s">
        <v>70</v>
      </c>
      <c r="S31" s="83" t="s">
        <v>8500</v>
      </c>
      <c r="T31" s="83">
        <v>-1</v>
      </c>
      <c r="U31" s="83">
        <v>0</v>
      </c>
      <c r="V31" s="83">
        <v>1</v>
      </c>
      <c r="W31" s="1272" t="s">
        <v>8373</v>
      </c>
      <c r="X31" s="88" t="s">
        <v>148</v>
      </c>
      <c r="Y31" s="96" t="s">
        <v>5312</v>
      </c>
      <c r="Z31" s="4458"/>
      <c r="AA31" s="103"/>
      <c r="AB31" s="103"/>
      <c r="AC31" s="103"/>
      <c r="AD31" s="103"/>
      <c r="AE31" s="103"/>
      <c r="AF31" s="54"/>
      <c r="AG31" s="62"/>
      <c r="AH31" s="62"/>
    </row>
    <row r="32" spans="2:34" ht="14.25" customHeight="1">
      <c r="B32" s="95" t="s">
        <v>8501</v>
      </c>
      <c r="C32" s="83" t="s">
        <v>7859</v>
      </c>
      <c r="D32" s="83">
        <v>0</v>
      </c>
      <c r="E32" s="83" t="s">
        <v>635</v>
      </c>
      <c r="F32" s="83" t="s">
        <v>8372</v>
      </c>
      <c r="G32" s="83" t="s">
        <v>7761</v>
      </c>
      <c r="H32" s="83" t="s">
        <v>7750</v>
      </c>
      <c r="I32" s="1269" t="s">
        <v>7774</v>
      </c>
      <c r="J32" s="4447"/>
      <c r="K32" s="4320"/>
      <c r="L32" s="4320"/>
      <c r="M32" s="4320"/>
      <c r="N32" s="4320"/>
      <c r="O32" s="4321"/>
      <c r="P32" s="110"/>
      <c r="Q32" s="98" t="s">
        <v>8502</v>
      </c>
      <c r="R32" s="99" t="s">
        <v>70</v>
      </c>
      <c r="S32" s="99" t="s">
        <v>8500</v>
      </c>
      <c r="T32" s="99">
        <v>-1</v>
      </c>
      <c r="U32" s="99">
        <v>0</v>
      </c>
      <c r="V32" s="99">
        <v>1</v>
      </c>
      <c r="W32" s="1270" t="s">
        <v>8373</v>
      </c>
      <c r="X32" s="100" t="s">
        <v>148</v>
      </c>
      <c r="Y32" s="101" t="s">
        <v>7750</v>
      </c>
      <c r="Z32" s="4458"/>
      <c r="AA32" s="103"/>
      <c r="AB32" s="103"/>
      <c r="AC32" s="103"/>
      <c r="AD32" s="103"/>
      <c r="AE32" s="103"/>
      <c r="AF32" s="54"/>
      <c r="AG32" s="62"/>
      <c r="AH32" s="62"/>
    </row>
    <row r="33" spans="2:34" ht="14.25" customHeight="1">
      <c r="B33" s="107" t="s">
        <v>8503</v>
      </c>
      <c r="C33" s="108" t="s">
        <v>8504</v>
      </c>
      <c r="D33" s="108">
        <v>0</v>
      </c>
      <c r="E33" s="108" t="s">
        <v>635</v>
      </c>
      <c r="F33" s="108" t="s">
        <v>8505</v>
      </c>
      <c r="G33" s="108" t="s">
        <v>239</v>
      </c>
      <c r="H33" s="108" t="s">
        <v>7750</v>
      </c>
      <c r="I33" s="109" t="s">
        <v>8506</v>
      </c>
      <c r="J33" s="4447"/>
      <c r="K33" s="110"/>
      <c r="L33" s="110"/>
      <c r="M33" s="110"/>
      <c r="N33" s="110"/>
      <c r="O33" s="110"/>
      <c r="P33" s="110"/>
      <c r="Q33" s="95" t="s">
        <v>8507</v>
      </c>
      <c r="R33" s="83" t="s">
        <v>189</v>
      </c>
      <c r="S33" s="83">
        <v>8</v>
      </c>
      <c r="T33" s="83">
        <v>4</v>
      </c>
      <c r="U33" s="83">
        <v>0</v>
      </c>
      <c r="V33" s="83">
        <v>1</v>
      </c>
      <c r="W33" s="1272" t="s">
        <v>8373</v>
      </c>
      <c r="X33" s="88" t="s">
        <v>148</v>
      </c>
      <c r="Y33" s="96" t="s">
        <v>7750</v>
      </c>
      <c r="Z33" s="4458"/>
      <c r="AA33" s="103"/>
      <c r="AB33" s="103"/>
      <c r="AC33" s="103"/>
      <c r="AD33" s="103"/>
      <c r="AE33" s="103"/>
      <c r="AF33" s="54"/>
      <c r="AG33" s="62"/>
      <c r="AH33" s="62"/>
    </row>
    <row r="34" spans="2:34" ht="14.25" customHeight="1">
      <c r="B34" s="95" t="s">
        <v>8508</v>
      </c>
      <c r="C34" s="83" t="s">
        <v>8509</v>
      </c>
      <c r="D34" s="83">
        <v>0</v>
      </c>
      <c r="E34" s="83" t="s">
        <v>8510</v>
      </c>
      <c r="F34" s="83" t="s">
        <v>8372</v>
      </c>
      <c r="G34" s="83" t="s">
        <v>239</v>
      </c>
      <c r="H34" s="83" t="s">
        <v>7750</v>
      </c>
      <c r="I34" s="1269" t="s">
        <v>7774</v>
      </c>
      <c r="J34" s="4447"/>
      <c r="K34" s="110"/>
      <c r="L34" s="110"/>
      <c r="M34" s="110"/>
      <c r="N34" s="110"/>
      <c r="O34" s="110"/>
      <c r="P34" s="110"/>
      <c r="Q34" s="98" t="s">
        <v>8511</v>
      </c>
      <c r="R34" s="99" t="s">
        <v>187</v>
      </c>
      <c r="S34" s="99">
        <v>10</v>
      </c>
      <c r="T34" s="99">
        <v>4</v>
      </c>
      <c r="U34" s="99">
        <v>0</v>
      </c>
      <c r="V34" s="99">
        <v>1</v>
      </c>
      <c r="W34" s="1270" t="s">
        <v>8373</v>
      </c>
      <c r="X34" s="100" t="s">
        <v>148</v>
      </c>
      <c r="Y34" s="101" t="s">
        <v>7750</v>
      </c>
      <c r="Z34" s="4458"/>
      <c r="AA34" s="103"/>
      <c r="AB34" s="103"/>
      <c r="AC34" s="103"/>
      <c r="AD34" s="103"/>
      <c r="AE34" s="103"/>
      <c r="AF34" s="54"/>
      <c r="AG34" s="62"/>
      <c r="AH34" s="62"/>
    </row>
    <row r="35" spans="2:34" ht="14.25" customHeight="1">
      <c r="B35" s="107" t="s">
        <v>8512</v>
      </c>
      <c r="C35" s="108" t="s">
        <v>7859</v>
      </c>
      <c r="D35" s="108">
        <v>0</v>
      </c>
      <c r="E35" s="108" t="s">
        <v>525</v>
      </c>
      <c r="F35" s="108" t="s">
        <v>8372</v>
      </c>
      <c r="G35" s="108" t="s">
        <v>7761</v>
      </c>
      <c r="H35" s="108" t="s">
        <v>7750</v>
      </c>
      <c r="I35" s="109" t="s">
        <v>8513</v>
      </c>
      <c r="J35" s="4447"/>
      <c r="K35" s="110"/>
      <c r="L35" s="110"/>
      <c r="M35" s="110"/>
      <c r="N35" s="110"/>
      <c r="O35" s="110"/>
      <c r="P35" s="110"/>
      <c r="Q35" s="95" t="s">
        <v>8514</v>
      </c>
      <c r="R35" s="83" t="s">
        <v>8515</v>
      </c>
      <c r="S35" s="83">
        <v>10</v>
      </c>
      <c r="T35" s="83">
        <v>4</v>
      </c>
      <c r="U35" s="83">
        <v>0</v>
      </c>
      <c r="V35" s="83">
        <v>1</v>
      </c>
      <c r="W35" s="1272" t="s">
        <v>8373</v>
      </c>
      <c r="X35" s="88" t="s">
        <v>148</v>
      </c>
      <c r="Y35" s="96" t="s">
        <v>7750</v>
      </c>
      <c r="Z35" s="4458"/>
      <c r="AA35" s="103"/>
      <c r="AB35" s="103"/>
      <c r="AC35" s="103"/>
      <c r="AD35" s="103"/>
      <c r="AE35" s="103"/>
      <c r="AF35" s="54"/>
      <c r="AG35" s="62"/>
      <c r="AH35" s="62"/>
    </row>
    <row r="36" spans="2:34" ht="14.25" customHeight="1">
      <c r="B36" s="95" t="s">
        <v>8516</v>
      </c>
      <c r="C36" s="83">
        <v>3</v>
      </c>
      <c r="D36" s="83">
        <v>0</v>
      </c>
      <c r="E36" s="83" t="s">
        <v>8517</v>
      </c>
      <c r="F36" s="83" t="s">
        <v>8372</v>
      </c>
      <c r="G36" s="83" t="s">
        <v>7761</v>
      </c>
      <c r="H36" s="83" t="s">
        <v>8518</v>
      </c>
      <c r="I36" s="96" t="s">
        <v>8024</v>
      </c>
      <c r="J36" s="4447"/>
      <c r="K36" s="110"/>
      <c r="L36" s="4322" t="s">
        <v>8519</v>
      </c>
      <c r="M36" s="4322"/>
      <c r="N36" s="4322"/>
      <c r="O36" s="4322"/>
      <c r="P36" s="49"/>
      <c r="Q36" s="98" t="s">
        <v>8520</v>
      </c>
      <c r="R36" s="99" t="s">
        <v>8521</v>
      </c>
      <c r="S36" s="99">
        <v>9</v>
      </c>
      <c r="T36" s="99">
        <v>3</v>
      </c>
      <c r="U36" s="99">
        <v>0</v>
      </c>
      <c r="V36" s="99">
        <v>2</v>
      </c>
      <c r="W36" s="1270" t="s">
        <v>8373</v>
      </c>
      <c r="X36" s="100" t="s">
        <v>8369</v>
      </c>
      <c r="Y36" s="101" t="s">
        <v>7750</v>
      </c>
      <c r="Z36" s="4458"/>
      <c r="AA36" s="103"/>
      <c r="AB36" s="103"/>
      <c r="AC36" s="103"/>
      <c r="AD36" s="103"/>
      <c r="AE36" s="103"/>
      <c r="AF36" s="54"/>
      <c r="AG36" s="62"/>
      <c r="AH36" s="62"/>
    </row>
    <row r="37" spans="2:34" ht="14.25" customHeight="1">
      <c r="B37" s="107" t="s">
        <v>8522</v>
      </c>
      <c r="C37" s="108">
        <v>3</v>
      </c>
      <c r="D37" s="108">
        <v>0</v>
      </c>
      <c r="E37" s="108" t="s">
        <v>8523</v>
      </c>
      <c r="F37" s="108" t="s">
        <v>8372</v>
      </c>
      <c r="G37" s="108" t="s">
        <v>7761</v>
      </c>
      <c r="H37" s="108" t="s">
        <v>8518</v>
      </c>
      <c r="I37" s="109" t="s">
        <v>8024</v>
      </c>
      <c r="J37" s="4447"/>
      <c r="K37" s="110"/>
      <c r="L37" s="4322"/>
      <c r="M37" s="4322"/>
      <c r="N37" s="4322"/>
      <c r="O37" s="4322"/>
      <c r="P37" s="49"/>
      <c r="Q37" s="114" t="s">
        <v>8524</v>
      </c>
      <c r="R37" s="115" t="s">
        <v>8403</v>
      </c>
      <c r="S37" s="115">
        <v>19</v>
      </c>
      <c r="T37" s="115">
        <v>65</v>
      </c>
      <c r="U37" s="115">
        <v>10</v>
      </c>
      <c r="V37" s="115">
        <v>300</v>
      </c>
      <c r="W37" s="1273" t="s">
        <v>8373</v>
      </c>
      <c r="X37" s="116" t="s">
        <v>8417</v>
      </c>
      <c r="Y37" s="117" t="s">
        <v>7750</v>
      </c>
      <c r="Z37" s="4277" t="s">
        <v>8525</v>
      </c>
      <c r="AA37" s="103"/>
      <c r="AB37" s="103"/>
      <c r="AC37" s="103"/>
      <c r="AD37" s="103"/>
      <c r="AE37" s="103"/>
      <c r="AF37" s="54"/>
      <c r="AG37" s="62"/>
      <c r="AH37" s="62"/>
    </row>
    <row r="38" spans="2:34" ht="14.25" customHeight="1">
      <c r="B38" s="95" t="s">
        <v>8526</v>
      </c>
      <c r="C38" s="83">
        <v>2</v>
      </c>
      <c r="D38" s="83">
        <v>0</v>
      </c>
      <c r="E38" s="83" t="s">
        <v>525</v>
      </c>
      <c r="F38" s="83" t="s">
        <v>8372</v>
      </c>
      <c r="G38" s="83" t="s">
        <v>7761</v>
      </c>
      <c r="H38" s="83" t="s">
        <v>8518</v>
      </c>
      <c r="I38" s="96" t="s">
        <v>8024</v>
      </c>
      <c r="J38" s="4447"/>
      <c r="K38" s="110"/>
      <c r="L38" s="4322"/>
      <c r="M38" s="4322"/>
      <c r="N38" s="4322"/>
      <c r="O38" s="4322"/>
      <c r="P38" s="49"/>
      <c r="Q38" s="95" t="s">
        <v>8527</v>
      </c>
      <c r="R38" s="83" t="s">
        <v>8528</v>
      </c>
      <c r="S38" s="83">
        <v>20</v>
      </c>
      <c r="T38" s="83">
        <v>45</v>
      </c>
      <c r="U38" s="83">
        <v>15</v>
      </c>
      <c r="V38" s="83">
        <v>1</v>
      </c>
      <c r="W38" s="1272" t="s">
        <v>8368</v>
      </c>
      <c r="X38" s="88" t="s">
        <v>8529</v>
      </c>
      <c r="Y38" s="96" t="s">
        <v>7750</v>
      </c>
      <c r="Z38" s="4277"/>
      <c r="AA38" s="103"/>
      <c r="AB38" s="103"/>
      <c r="AC38" s="103"/>
      <c r="AD38" s="103"/>
      <c r="AE38" s="103"/>
      <c r="AF38" s="54"/>
      <c r="AG38" s="62"/>
      <c r="AH38" s="62"/>
    </row>
    <row r="39" spans="2:34" ht="14.25" customHeight="1">
      <c r="B39" s="107" t="s">
        <v>8530</v>
      </c>
      <c r="C39" s="108">
        <v>4</v>
      </c>
      <c r="D39" s="108">
        <v>0</v>
      </c>
      <c r="E39" s="108" t="s">
        <v>8487</v>
      </c>
      <c r="F39" s="108" t="s">
        <v>8372</v>
      </c>
      <c r="G39" s="118" t="s">
        <v>7761</v>
      </c>
      <c r="H39" s="108" t="s">
        <v>8531</v>
      </c>
      <c r="I39" s="109" t="s">
        <v>8024</v>
      </c>
      <c r="J39" s="4447"/>
      <c r="K39" s="110"/>
      <c r="L39" s="4322"/>
      <c r="M39" s="4322"/>
      <c r="N39" s="4322"/>
      <c r="O39" s="4322"/>
      <c r="P39" s="49"/>
      <c r="Q39" s="114" t="s">
        <v>8532</v>
      </c>
      <c r="R39" s="115" t="s">
        <v>8528</v>
      </c>
      <c r="S39" s="115">
        <v>19</v>
      </c>
      <c r="T39" s="115">
        <v>53</v>
      </c>
      <c r="U39" s="115">
        <v>20</v>
      </c>
      <c r="V39" s="115">
        <v>2</v>
      </c>
      <c r="W39" s="1273" t="s">
        <v>8368</v>
      </c>
      <c r="X39" s="116" t="s">
        <v>8529</v>
      </c>
      <c r="Y39" s="117" t="s">
        <v>7750</v>
      </c>
      <c r="Z39" s="4277"/>
      <c r="AA39" s="4323" t="s">
        <v>8533</v>
      </c>
      <c r="AB39" s="4324"/>
      <c r="AC39" s="4324"/>
      <c r="AD39" s="4324"/>
      <c r="AE39" s="4325"/>
      <c r="AF39" s="54"/>
      <c r="AG39" s="62"/>
      <c r="AH39" s="62"/>
    </row>
    <row r="40" spans="2:34" ht="14.25" customHeight="1">
      <c r="B40" s="119" t="s">
        <v>8534</v>
      </c>
      <c r="C40" s="120">
        <v>4</v>
      </c>
      <c r="D40" s="120">
        <v>0</v>
      </c>
      <c r="E40" s="120" t="s">
        <v>8487</v>
      </c>
      <c r="F40" s="120" t="s">
        <v>8372</v>
      </c>
      <c r="G40" s="121" t="s">
        <v>7761</v>
      </c>
      <c r="H40" s="120" t="s">
        <v>8535</v>
      </c>
      <c r="I40" s="122" t="s">
        <v>8024</v>
      </c>
      <c r="J40" s="4447"/>
      <c r="K40" s="110"/>
      <c r="L40" s="4322"/>
      <c r="M40" s="4322"/>
      <c r="N40" s="4322"/>
      <c r="O40" s="4322"/>
      <c r="P40" s="49"/>
      <c r="Q40" s="95" t="s">
        <v>8536</v>
      </c>
      <c r="R40" s="83" t="s">
        <v>8403</v>
      </c>
      <c r="S40" s="83">
        <v>18</v>
      </c>
      <c r="T40" s="83">
        <v>35</v>
      </c>
      <c r="U40" s="83">
        <v>7</v>
      </c>
      <c r="V40" s="83" t="s">
        <v>8537</v>
      </c>
      <c r="W40" s="1272" t="s">
        <v>8373</v>
      </c>
      <c r="X40" s="88" t="s">
        <v>8417</v>
      </c>
      <c r="Y40" s="96" t="s">
        <v>5312</v>
      </c>
      <c r="Z40" s="4277"/>
      <c r="AA40" s="4326"/>
      <c r="AB40" s="4327"/>
      <c r="AC40" s="4327"/>
      <c r="AD40" s="4327"/>
      <c r="AE40" s="4328"/>
      <c r="AF40" s="54"/>
    </row>
    <row r="41" spans="2:34" ht="14.25" customHeight="1">
      <c r="B41" s="107" t="s">
        <v>8538</v>
      </c>
      <c r="C41" s="118">
        <v>1</v>
      </c>
      <c r="D41" s="108">
        <v>0</v>
      </c>
      <c r="E41" s="108" t="s">
        <v>8510</v>
      </c>
      <c r="F41" s="108" t="s">
        <v>8372</v>
      </c>
      <c r="G41" s="118" t="s">
        <v>239</v>
      </c>
      <c r="H41" s="108" t="s">
        <v>8539</v>
      </c>
      <c r="I41" s="109" t="s">
        <v>8540</v>
      </c>
      <c r="J41" s="4447"/>
      <c r="K41" s="110"/>
      <c r="L41" s="4322"/>
      <c r="M41" s="4322"/>
      <c r="N41" s="4322"/>
      <c r="O41" s="4322"/>
      <c r="P41" s="49"/>
      <c r="Q41" s="114" t="s">
        <v>8541</v>
      </c>
      <c r="R41" s="115" t="s">
        <v>8403</v>
      </c>
      <c r="S41" s="115">
        <v>18</v>
      </c>
      <c r="T41" s="115">
        <v>60</v>
      </c>
      <c r="U41" s="115">
        <v>15</v>
      </c>
      <c r="V41" s="115">
        <v>2</v>
      </c>
      <c r="W41" s="1273" t="s">
        <v>8368</v>
      </c>
      <c r="X41" s="116" t="s">
        <v>8529</v>
      </c>
      <c r="Y41" s="117" t="s">
        <v>7750</v>
      </c>
      <c r="Z41" s="4277"/>
      <c r="AA41" s="4329"/>
      <c r="AB41" s="4330"/>
      <c r="AC41" s="4330"/>
      <c r="AD41" s="4330"/>
      <c r="AE41" s="4331"/>
      <c r="AF41" s="54"/>
    </row>
    <row r="42" spans="2:34" ht="14.25" customHeight="1">
      <c r="B42" s="123" t="s">
        <v>8542</v>
      </c>
      <c r="C42" s="124">
        <v>2</v>
      </c>
      <c r="D42" s="125">
        <v>0</v>
      </c>
      <c r="E42" s="125" t="s">
        <v>8543</v>
      </c>
      <c r="F42" s="125" t="s">
        <v>8363</v>
      </c>
      <c r="G42" s="124" t="s">
        <v>239</v>
      </c>
      <c r="H42" s="125" t="s">
        <v>7750</v>
      </c>
      <c r="I42" s="126" t="s">
        <v>8544</v>
      </c>
      <c r="J42" s="4448" t="s">
        <v>8545</v>
      </c>
      <c r="K42" s="110"/>
      <c r="L42" s="4322"/>
      <c r="M42" s="4322"/>
      <c r="N42" s="4322"/>
      <c r="O42" s="4322"/>
      <c r="P42" s="49"/>
      <c r="Q42" s="95" t="s">
        <v>8546</v>
      </c>
      <c r="R42" s="83" t="s">
        <v>8403</v>
      </c>
      <c r="S42" s="83">
        <v>16</v>
      </c>
      <c r="T42" s="83">
        <v>64</v>
      </c>
      <c r="U42" s="83">
        <v>10</v>
      </c>
      <c r="V42" s="83">
        <v>2</v>
      </c>
      <c r="W42" s="1272" t="s">
        <v>8373</v>
      </c>
      <c r="X42" s="88" t="s">
        <v>8417</v>
      </c>
      <c r="Y42" s="96" t="s">
        <v>7750</v>
      </c>
      <c r="Z42" s="4277"/>
      <c r="AA42" s="4332" t="s">
        <v>8547</v>
      </c>
      <c r="AB42" s="4333"/>
      <c r="AC42" s="4333"/>
      <c r="AD42" s="4333"/>
      <c r="AE42" s="4334"/>
      <c r="AF42" s="54"/>
    </row>
    <row r="43" spans="2:34" ht="14.25" customHeight="1">
      <c r="B43" s="95" t="s">
        <v>8548</v>
      </c>
      <c r="C43" s="88">
        <v>2</v>
      </c>
      <c r="D43" s="83">
        <v>0</v>
      </c>
      <c r="E43" s="83" t="s">
        <v>8549</v>
      </c>
      <c r="F43" s="83" t="s">
        <v>8363</v>
      </c>
      <c r="G43" s="88" t="s">
        <v>239</v>
      </c>
      <c r="H43" s="83" t="s">
        <v>5312</v>
      </c>
      <c r="I43" s="96">
        <v>160</v>
      </c>
      <c r="J43" s="4448"/>
      <c r="K43" s="110"/>
      <c r="L43" s="4322"/>
      <c r="M43" s="4322"/>
      <c r="N43" s="4322"/>
      <c r="O43" s="4322"/>
      <c r="P43" s="49"/>
      <c r="Q43" s="114" t="s">
        <v>8550</v>
      </c>
      <c r="R43" s="115" t="s">
        <v>8528</v>
      </c>
      <c r="S43" s="115" t="s">
        <v>8551</v>
      </c>
      <c r="T43" s="115">
        <v>35</v>
      </c>
      <c r="U43" s="115">
        <v>20</v>
      </c>
      <c r="V43" s="115">
        <v>1</v>
      </c>
      <c r="W43" s="1273" t="s">
        <v>8368</v>
      </c>
      <c r="X43" s="116" t="s">
        <v>148</v>
      </c>
      <c r="Y43" s="117" t="s">
        <v>5312</v>
      </c>
      <c r="Z43" s="4277"/>
      <c r="AA43" s="4335"/>
      <c r="AB43" s="4336"/>
      <c r="AC43" s="4336"/>
      <c r="AD43" s="4336"/>
      <c r="AE43" s="4337"/>
      <c r="AF43" s="54"/>
    </row>
    <row r="44" spans="2:34" ht="14.25" customHeight="1">
      <c r="B44" s="123" t="s">
        <v>8552</v>
      </c>
      <c r="C44" s="124">
        <v>2</v>
      </c>
      <c r="D44" s="125">
        <v>0</v>
      </c>
      <c r="E44" s="125" t="s">
        <v>8553</v>
      </c>
      <c r="F44" s="125" t="s">
        <v>8554</v>
      </c>
      <c r="G44" s="124" t="s">
        <v>7761</v>
      </c>
      <c r="H44" s="125" t="s">
        <v>7750</v>
      </c>
      <c r="I44" s="1274" t="s">
        <v>8555</v>
      </c>
      <c r="J44" s="4448"/>
      <c r="K44" s="110"/>
      <c r="L44" s="4322"/>
      <c r="M44" s="4322"/>
      <c r="N44" s="4322"/>
      <c r="O44" s="4322"/>
      <c r="P44" s="49"/>
      <c r="Q44" s="95" t="s">
        <v>8556</v>
      </c>
      <c r="R44" s="88" t="s">
        <v>8403</v>
      </c>
      <c r="S44" s="83">
        <v>15</v>
      </c>
      <c r="T44" s="88">
        <v>20</v>
      </c>
      <c r="U44" s="88">
        <v>4</v>
      </c>
      <c r="V44" s="88">
        <v>8</v>
      </c>
      <c r="W44" s="1275" t="s">
        <v>8373</v>
      </c>
      <c r="X44" s="88" t="s">
        <v>8369</v>
      </c>
      <c r="Y44" s="89" t="s">
        <v>5312</v>
      </c>
      <c r="Z44" s="4277"/>
      <c r="AA44" s="4335"/>
      <c r="AB44" s="4336"/>
      <c r="AC44" s="4336"/>
      <c r="AD44" s="4336"/>
      <c r="AE44" s="4337"/>
      <c r="AF44" s="54"/>
    </row>
    <row r="45" spans="2:34" ht="14.25" customHeight="1">
      <c r="B45" s="95" t="s">
        <v>8557</v>
      </c>
      <c r="C45" s="88">
        <v>3</v>
      </c>
      <c r="D45" s="83">
        <v>0</v>
      </c>
      <c r="E45" s="83" t="s">
        <v>8558</v>
      </c>
      <c r="F45" s="83" t="s">
        <v>8363</v>
      </c>
      <c r="G45" s="88" t="s">
        <v>7761</v>
      </c>
      <c r="H45" s="83" t="s">
        <v>5312</v>
      </c>
      <c r="I45" s="96">
        <v>35</v>
      </c>
      <c r="J45" s="4448"/>
      <c r="K45" s="110"/>
      <c r="L45" s="4322"/>
      <c r="M45" s="4322"/>
      <c r="N45" s="4322"/>
      <c r="O45" s="4322"/>
      <c r="P45" s="49"/>
      <c r="Q45" s="127" t="s">
        <v>8559</v>
      </c>
      <c r="R45" s="128" t="s">
        <v>77</v>
      </c>
      <c r="S45" s="129">
        <v>14</v>
      </c>
      <c r="T45" s="130">
        <v>-2</v>
      </c>
      <c r="U45" s="130">
        <v>0</v>
      </c>
      <c r="V45" s="130" t="s">
        <v>148</v>
      </c>
      <c r="W45" s="130" t="s">
        <v>148</v>
      </c>
      <c r="X45" s="129" t="s">
        <v>148</v>
      </c>
      <c r="Y45" s="131" t="s">
        <v>5312</v>
      </c>
      <c r="Z45" s="4277"/>
      <c r="AA45" s="4338"/>
      <c r="AB45" s="4339"/>
      <c r="AC45" s="4339"/>
      <c r="AD45" s="4339"/>
      <c r="AE45" s="4340"/>
      <c r="AF45" s="54"/>
    </row>
    <row r="46" spans="2:34" ht="14.25" customHeight="1">
      <c r="B46" s="123" t="s">
        <v>8560</v>
      </c>
      <c r="C46" s="124">
        <v>4</v>
      </c>
      <c r="D46" s="125">
        <v>1</v>
      </c>
      <c r="E46" s="125" t="s">
        <v>8561</v>
      </c>
      <c r="F46" s="125" t="s">
        <v>8363</v>
      </c>
      <c r="G46" s="124" t="s">
        <v>7761</v>
      </c>
      <c r="H46" s="125" t="s">
        <v>8518</v>
      </c>
      <c r="I46" s="126" t="s">
        <v>8024</v>
      </c>
      <c r="J46" s="4448"/>
      <c r="K46" s="110"/>
      <c r="L46" s="132"/>
      <c r="M46" s="132"/>
      <c r="N46" s="132"/>
      <c r="O46" s="132"/>
      <c r="P46" s="49"/>
      <c r="Q46" s="90" t="s">
        <v>8562</v>
      </c>
      <c r="R46" s="81" t="s">
        <v>8403</v>
      </c>
      <c r="S46" s="81" t="s">
        <v>148</v>
      </c>
      <c r="T46" s="81">
        <v>6</v>
      </c>
      <c r="U46" s="81">
        <v>0</v>
      </c>
      <c r="V46" s="81">
        <v>9</v>
      </c>
      <c r="W46" s="1276" t="s">
        <v>8373</v>
      </c>
      <c r="X46" s="133" t="s">
        <v>8369</v>
      </c>
      <c r="Y46" s="82" t="s">
        <v>7750</v>
      </c>
      <c r="Z46" s="4277"/>
      <c r="AA46" s="134"/>
      <c r="AB46" s="103"/>
      <c r="AC46" s="103"/>
      <c r="AD46" s="103"/>
      <c r="AE46" s="103"/>
      <c r="AF46" s="54"/>
    </row>
    <row r="47" spans="2:34" ht="14.25" customHeight="1">
      <c r="B47" s="95" t="s">
        <v>8563</v>
      </c>
      <c r="C47" s="88">
        <v>4</v>
      </c>
      <c r="D47" s="83">
        <v>1</v>
      </c>
      <c r="E47" s="83" t="s">
        <v>8561</v>
      </c>
      <c r="F47" s="83" t="s">
        <v>8363</v>
      </c>
      <c r="G47" s="88" t="s">
        <v>7761</v>
      </c>
      <c r="H47" s="83" t="s">
        <v>8518</v>
      </c>
      <c r="I47" s="96" t="s">
        <v>8024</v>
      </c>
      <c r="J47" s="4448"/>
      <c r="K47" s="110"/>
      <c r="L47" s="132"/>
      <c r="M47" s="132"/>
      <c r="N47" s="132"/>
      <c r="O47" s="132"/>
      <c r="P47" s="49"/>
      <c r="Q47" s="95" t="s">
        <v>8564</v>
      </c>
      <c r="R47" s="83" t="s">
        <v>8403</v>
      </c>
      <c r="S47" s="83">
        <v>12</v>
      </c>
      <c r="T47" s="83">
        <v>20</v>
      </c>
      <c r="U47" s="83">
        <v>2</v>
      </c>
      <c r="V47" s="83" t="s">
        <v>8565</v>
      </c>
      <c r="W47" s="1272" t="s">
        <v>8368</v>
      </c>
      <c r="X47" s="88" t="s">
        <v>8529</v>
      </c>
      <c r="Y47" s="96" t="s">
        <v>46</v>
      </c>
      <c r="Z47" s="4277"/>
      <c r="AA47" s="134"/>
      <c r="AB47" s="103"/>
      <c r="AC47" s="103"/>
      <c r="AD47" s="103"/>
      <c r="AE47" s="103"/>
      <c r="AF47" s="54"/>
    </row>
    <row r="48" spans="2:34" ht="14.25" customHeight="1">
      <c r="B48" s="123" t="s">
        <v>8566</v>
      </c>
      <c r="C48" s="124">
        <v>4</v>
      </c>
      <c r="D48" s="125">
        <v>1</v>
      </c>
      <c r="E48" s="125" t="s">
        <v>8561</v>
      </c>
      <c r="F48" s="125" t="s">
        <v>8363</v>
      </c>
      <c r="G48" s="124" t="s">
        <v>7761</v>
      </c>
      <c r="H48" s="125" t="s">
        <v>8518</v>
      </c>
      <c r="I48" s="126" t="s">
        <v>8024</v>
      </c>
      <c r="J48" s="4448"/>
      <c r="K48" s="110"/>
      <c r="L48" s="132"/>
      <c r="M48" s="132"/>
      <c r="N48" s="132"/>
      <c r="O48" s="132"/>
      <c r="P48" s="49"/>
      <c r="Q48" s="114" t="s">
        <v>8567</v>
      </c>
      <c r="R48" s="115" t="s">
        <v>8528</v>
      </c>
      <c r="S48" s="115">
        <v>12</v>
      </c>
      <c r="T48" s="115">
        <v>3</v>
      </c>
      <c r="U48" s="115">
        <v>0</v>
      </c>
      <c r="V48" s="115" t="s">
        <v>8565</v>
      </c>
      <c r="W48" s="1273" t="s">
        <v>8368</v>
      </c>
      <c r="X48" s="116" t="s">
        <v>8529</v>
      </c>
      <c r="Y48" s="117" t="s">
        <v>7750</v>
      </c>
      <c r="Z48" s="4277"/>
      <c r="AA48" s="134"/>
      <c r="AB48" s="103"/>
      <c r="AC48" s="103"/>
      <c r="AD48" s="103"/>
      <c r="AE48" s="103"/>
      <c r="AF48" s="54"/>
    </row>
    <row r="49" spans="2:32" ht="14.25" customHeight="1">
      <c r="B49" s="95" t="s">
        <v>8568</v>
      </c>
      <c r="C49" s="88">
        <v>5</v>
      </c>
      <c r="D49" s="83">
        <v>1</v>
      </c>
      <c r="E49" s="83" t="s">
        <v>8569</v>
      </c>
      <c r="F49" s="83" t="s">
        <v>8363</v>
      </c>
      <c r="G49" s="88" t="s">
        <v>7761</v>
      </c>
      <c r="H49" s="83" t="s">
        <v>8518</v>
      </c>
      <c r="I49" s="96" t="s">
        <v>8024</v>
      </c>
      <c r="J49" s="4448"/>
      <c r="K49" s="110"/>
      <c r="L49" s="132"/>
      <c r="M49" s="132"/>
      <c r="N49" s="132"/>
      <c r="O49" s="132"/>
      <c r="P49" s="49"/>
      <c r="Q49" s="135" t="s">
        <v>8570</v>
      </c>
      <c r="R49" s="136" t="s">
        <v>8435</v>
      </c>
      <c r="S49" s="136">
        <v>9</v>
      </c>
      <c r="T49" s="136">
        <v>3</v>
      </c>
      <c r="U49" s="136">
        <v>0</v>
      </c>
      <c r="V49" s="136" t="s">
        <v>8565</v>
      </c>
      <c r="W49" s="1277" t="s">
        <v>8368</v>
      </c>
      <c r="X49" s="1278" t="s">
        <v>8368</v>
      </c>
      <c r="Y49" s="138" t="s">
        <v>8518</v>
      </c>
      <c r="Z49" s="4278" t="s">
        <v>8571</v>
      </c>
      <c r="AA49" s="134"/>
      <c r="AB49" s="103"/>
      <c r="AC49" s="103"/>
      <c r="AD49" s="103"/>
      <c r="AE49" s="103"/>
      <c r="AF49" s="54"/>
    </row>
    <row r="50" spans="2:32" ht="14.25" customHeight="1">
      <c r="B50" s="123" t="s">
        <v>8572</v>
      </c>
      <c r="C50" s="124">
        <v>4</v>
      </c>
      <c r="D50" s="125">
        <v>0</v>
      </c>
      <c r="E50" s="125" t="s">
        <v>8561</v>
      </c>
      <c r="F50" s="125" t="s">
        <v>8363</v>
      </c>
      <c r="G50" s="124" t="s">
        <v>7761</v>
      </c>
      <c r="H50" s="125" t="s">
        <v>8518</v>
      </c>
      <c r="I50" s="126" t="s">
        <v>8024</v>
      </c>
      <c r="J50" s="4448"/>
      <c r="K50" s="110"/>
      <c r="L50" s="132"/>
      <c r="M50" s="132"/>
      <c r="N50" s="132"/>
      <c r="O50" s="132"/>
      <c r="P50" s="49"/>
      <c r="Q50" s="95" t="s">
        <v>8573</v>
      </c>
      <c r="R50" s="83" t="s">
        <v>8435</v>
      </c>
      <c r="S50" s="83">
        <v>9</v>
      </c>
      <c r="T50" s="83">
        <v>3</v>
      </c>
      <c r="U50" s="83">
        <v>0</v>
      </c>
      <c r="V50" s="83" t="s">
        <v>8574</v>
      </c>
      <c r="W50" s="1272" t="s">
        <v>8441</v>
      </c>
      <c r="X50" s="88" t="s">
        <v>8417</v>
      </c>
      <c r="Y50" s="96" t="s">
        <v>8518</v>
      </c>
      <c r="Z50" s="4278"/>
      <c r="AA50" s="103"/>
      <c r="AB50" s="103"/>
      <c r="AC50" s="103"/>
      <c r="AD50" s="103"/>
      <c r="AE50" s="103"/>
      <c r="AF50" s="54"/>
    </row>
    <row r="51" spans="2:32" ht="14.25" customHeight="1">
      <c r="B51" s="95" t="s">
        <v>8575</v>
      </c>
      <c r="C51" s="88">
        <v>5</v>
      </c>
      <c r="D51" s="83">
        <v>1</v>
      </c>
      <c r="E51" s="83" t="s">
        <v>8569</v>
      </c>
      <c r="F51" s="83" t="s">
        <v>8363</v>
      </c>
      <c r="G51" s="88" t="s">
        <v>7761</v>
      </c>
      <c r="H51" s="83" t="s">
        <v>8518</v>
      </c>
      <c r="I51" s="96" t="s">
        <v>8024</v>
      </c>
      <c r="J51" s="4448"/>
      <c r="K51" s="110"/>
      <c r="L51" s="132"/>
      <c r="M51" s="132"/>
      <c r="N51" s="132"/>
      <c r="O51" s="132"/>
      <c r="P51" s="49"/>
      <c r="Q51" s="135" t="s">
        <v>8576</v>
      </c>
      <c r="R51" s="136" t="s">
        <v>8577</v>
      </c>
      <c r="S51" s="136">
        <v>12</v>
      </c>
      <c r="T51" s="136">
        <v>4</v>
      </c>
      <c r="U51" s="136">
        <v>0</v>
      </c>
      <c r="V51" s="136">
        <v>13</v>
      </c>
      <c r="W51" s="1277" t="s">
        <v>8441</v>
      </c>
      <c r="X51" s="137" t="s">
        <v>8417</v>
      </c>
      <c r="Y51" s="138" t="s">
        <v>7750</v>
      </c>
      <c r="Z51" s="4278"/>
      <c r="AA51" s="103"/>
      <c r="AB51" s="103"/>
      <c r="AC51" s="103"/>
      <c r="AD51" s="103"/>
      <c r="AE51" s="103"/>
      <c r="AF51" s="54"/>
    </row>
    <row r="52" spans="2:32" ht="14.25" customHeight="1">
      <c r="B52" s="123" t="s">
        <v>8578</v>
      </c>
      <c r="C52" s="124">
        <v>4</v>
      </c>
      <c r="D52" s="125">
        <v>1</v>
      </c>
      <c r="E52" s="125" t="s">
        <v>8569</v>
      </c>
      <c r="F52" s="125" t="s">
        <v>8363</v>
      </c>
      <c r="G52" s="124" t="s">
        <v>7761</v>
      </c>
      <c r="H52" s="125" t="s">
        <v>8518</v>
      </c>
      <c r="I52" s="126" t="s">
        <v>8024</v>
      </c>
      <c r="J52" s="4448"/>
      <c r="K52" s="110"/>
      <c r="L52" s="132"/>
      <c r="M52" s="132"/>
      <c r="N52" s="132"/>
      <c r="O52" s="132"/>
      <c r="P52" s="49"/>
      <c r="Q52" s="95" t="s">
        <v>8579</v>
      </c>
      <c r="R52" s="83" t="s">
        <v>8577</v>
      </c>
      <c r="S52" s="139" t="s">
        <v>8580</v>
      </c>
      <c r="T52" s="83">
        <v>3</v>
      </c>
      <c r="U52" s="83">
        <v>0</v>
      </c>
      <c r="V52" s="83">
        <v>1</v>
      </c>
      <c r="W52" s="1272" t="s">
        <v>8373</v>
      </c>
      <c r="X52" s="88" t="s">
        <v>148</v>
      </c>
      <c r="Y52" s="96" t="s">
        <v>7750</v>
      </c>
      <c r="Z52" s="4278"/>
      <c r="AA52" s="103"/>
      <c r="AB52" s="103"/>
      <c r="AC52" s="103"/>
      <c r="AD52" s="103"/>
      <c r="AE52" s="103"/>
      <c r="AF52" s="54"/>
    </row>
    <row r="53" spans="2:32" ht="14.25" customHeight="1">
      <c r="B53" s="95" t="s">
        <v>8581</v>
      </c>
      <c r="C53" s="88">
        <v>3</v>
      </c>
      <c r="D53" s="83">
        <v>0</v>
      </c>
      <c r="E53" s="83" t="s">
        <v>8561</v>
      </c>
      <c r="F53" s="83" t="s">
        <v>8363</v>
      </c>
      <c r="G53" s="88" t="s">
        <v>7761</v>
      </c>
      <c r="H53" s="83" t="s">
        <v>8518</v>
      </c>
      <c r="I53" s="96" t="s">
        <v>8024</v>
      </c>
      <c r="J53" s="4448"/>
      <c r="K53" s="110"/>
      <c r="L53" s="132"/>
      <c r="M53" s="132"/>
      <c r="N53" s="132"/>
      <c r="O53" s="132"/>
      <c r="P53" s="49"/>
      <c r="Q53" s="135" t="s">
        <v>8582</v>
      </c>
      <c r="R53" s="136" t="s">
        <v>8435</v>
      </c>
      <c r="S53" s="136">
        <v>8</v>
      </c>
      <c r="T53" s="136">
        <v>5</v>
      </c>
      <c r="U53" s="136">
        <v>0</v>
      </c>
      <c r="V53" s="136">
        <v>12</v>
      </c>
      <c r="W53" s="1277" t="s">
        <v>8373</v>
      </c>
      <c r="X53" s="137" t="s">
        <v>8369</v>
      </c>
      <c r="Y53" s="138" t="s">
        <v>8583</v>
      </c>
      <c r="Z53" s="4278"/>
      <c r="AA53" s="103"/>
      <c r="AB53" s="103"/>
      <c r="AC53" s="103"/>
      <c r="AD53" s="103"/>
      <c r="AE53" s="103"/>
      <c r="AF53" s="54"/>
    </row>
    <row r="54" spans="2:32" ht="14.25" customHeight="1">
      <c r="B54" s="123" t="s">
        <v>8584</v>
      </c>
      <c r="C54" s="124">
        <v>4</v>
      </c>
      <c r="D54" s="125">
        <v>0</v>
      </c>
      <c r="E54" s="125" t="s">
        <v>8362</v>
      </c>
      <c r="F54" s="125" t="s">
        <v>8363</v>
      </c>
      <c r="G54" s="124" t="s">
        <v>7761</v>
      </c>
      <c r="H54" s="125" t="s">
        <v>5312</v>
      </c>
      <c r="I54" s="126">
        <v>40</v>
      </c>
      <c r="J54" s="4448"/>
      <c r="K54" s="110"/>
      <c r="L54" s="132"/>
      <c r="M54" s="132"/>
      <c r="N54" s="132"/>
      <c r="O54" s="132"/>
      <c r="P54" s="49"/>
      <c r="Q54" s="95" t="s">
        <v>8585</v>
      </c>
      <c r="R54" s="83" t="s">
        <v>8445</v>
      </c>
      <c r="S54" s="83">
        <v>13</v>
      </c>
      <c r="T54" s="83">
        <v>5</v>
      </c>
      <c r="U54" s="83">
        <v>0</v>
      </c>
      <c r="V54" s="83">
        <v>9</v>
      </c>
      <c r="W54" s="1272" t="s">
        <v>8436</v>
      </c>
      <c r="X54" s="88" t="s">
        <v>8369</v>
      </c>
      <c r="Y54" s="96" t="s">
        <v>7750</v>
      </c>
      <c r="Z54" s="4278"/>
      <c r="AA54" s="103"/>
      <c r="AB54" s="103"/>
      <c r="AC54" s="103"/>
      <c r="AD54" s="103"/>
      <c r="AE54" s="103"/>
      <c r="AF54" s="54"/>
    </row>
    <row r="55" spans="2:32" ht="14.25" customHeight="1">
      <c r="B55" s="95" t="s">
        <v>8586</v>
      </c>
      <c r="C55" s="88">
        <v>6</v>
      </c>
      <c r="D55" s="83">
        <v>0</v>
      </c>
      <c r="E55" s="83" t="s">
        <v>8362</v>
      </c>
      <c r="F55" s="83" t="s">
        <v>8363</v>
      </c>
      <c r="G55" s="88" t="s">
        <v>7761</v>
      </c>
      <c r="H55" s="83" t="s">
        <v>7750</v>
      </c>
      <c r="I55" s="96" t="s">
        <v>8024</v>
      </c>
      <c r="J55" s="4448"/>
      <c r="K55" s="110"/>
      <c r="L55" s="132"/>
      <c r="M55" s="132"/>
      <c r="N55" s="132"/>
      <c r="O55" s="132"/>
      <c r="P55" s="49"/>
      <c r="Q55" s="135" t="s">
        <v>8587</v>
      </c>
      <c r="R55" s="136" t="s">
        <v>8457</v>
      </c>
      <c r="S55" s="136">
        <v>10</v>
      </c>
      <c r="T55" s="136">
        <v>12</v>
      </c>
      <c r="U55" s="136" t="s">
        <v>8450</v>
      </c>
      <c r="V55" s="136" t="s">
        <v>8588</v>
      </c>
      <c r="W55" s="1277" t="s">
        <v>8373</v>
      </c>
      <c r="X55" s="137" t="s">
        <v>8464</v>
      </c>
      <c r="Y55" s="138" t="s">
        <v>7750</v>
      </c>
      <c r="Z55" s="4278"/>
      <c r="AA55" s="102"/>
      <c r="AB55" s="103"/>
      <c r="AC55" s="103"/>
      <c r="AD55" s="103"/>
      <c r="AE55" s="103"/>
      <c r="AF55" s="54"/>
    </row>
    <row r="56" spans="2:32" ht="14.25" customHeight="1">
      <c r="B56" s="123" t="s">
        <v>8589</v>
      </c>
      <c r="C56" s="124">
        <v>5</v>
      </c>
      <c r="D56" s="125">
        <v>1</v>
      </c>
      <c r="E56" s="125" t="s">
        <v>8590</v>
      </c>
      <c r="F56" s="125" t="s">
        <v>8363</v>
      </c>
      <c r="G56" s="124" t="s">
        <v>7761</v>
      </c>
      <c r="H56" s="125" t="s">
        <v>5312</v>
      </c>
      <c r="I56" s="126">
        <v>120</v>
      </c>
      <c r="J56" s="4448"/>
      <c r="K56" s="110"/>
      <c r="L56" s="132"/>
      <c r="M56" s="132"/>
      <c r="N56" s="132"/>
      <c r="O56" s="132"/>
      <c r="P56" s="49"/>
      <c r="Q56" s="95" t="s">
        <v>8591</v>
      </c>
      <c r="R56" s="83" t="s">
        <v>8457</v>
      </c>
      <c r="S56" s="83">
        <v>10</v>
      </c>
      <c r="T56" s="83">
        <v>11</v>
      </c>
      <c r="U56" s="83" t="s">
        <v>8450</v>
      </c>
      <c r="V56" s="83" t="s">
        <v>7204</v>
      </c>
      <c r="W56" s="1272" t="s">
        <v>8373</v>
      </c>
      <c r="X56" s="88" t="s">
        <v>8417</v>
      </c>
      <c r="Y56" s="96" t="s">
        <v>7750</v>
      </c>
      <c r="Z56" s="4278"/>
      <c r="AA56" s="102"/>
      <c r="AB56" s="103"/>
      <c r="AC56" s="103"/>
      <c r="AD56" s="103"/>
      <c r="AE56" s="103"/>
      <c r="AF56" s="54"/>
    </row>
    <row r="57" spans="2:32" ht="14.25" customHeight="1">
      <c r="B57" s="140" t="s">
        <v>8592</v>
      </c>
      <c r="C57" s="141">
        <v>12</v>
      </c>
      <c r="D57" s="141">
        <v>1</v>
      </c>
      <c r="E57" s="141" t="s">
        <v>8396</v>
      </c>
      <c r="F57" s="141" t="s">
        <v>8363</v>
      </c>
      <c r="G57" s="141" t="s">
        <v>7761</v>
      </c>
      <c r="H57" s="141" t="s">
        <v>5312</v>
      </c>
      <c r="I57" s="142" t="s">
        <v>8024</v>
      </c>
      <c r="J57" s="4448"/>
      <c r="K57" s="110"/>
      <c r="L57" s="132"/>
      <c r="M57" s="132"/>
      <c r="N57" s="132"/>
      <c r="O57" s="132"/>
      <c r="P57" s="49"/>
      <c r="Q57" s="135" t="s">
        <v>8593</v>
      </c>
      <c r="R57" s="136" t="s">
        <v>8594</v>
      </c>
      <c r="S57" s="136">
        <v>7</v>
      </c>
      <c r="T57" s="136">
        <v>90</v>
      </c>
      <c r="U57" s="136" t="s">
        <v>8450</v>
      </c>
      <c r="V57" s="136" t="s">
        <v>8595</v>
      </c>
      <c r="W57" s="1277" t="s">
        <v>8408</v>
      </c>
      <c r="X57" s="137" t="s">
        <v>8596</v>
      </c>
      <c r="Y57" s="138" t="s">
        <v>7750</v>
      </c>
      <c r="Z57" s="4279"/>
      <c r="AA57" s="103"/>
      <c r="AB57" s="103"/>
      <c r="AC57" s="103"/>
      <c r="AD57" s="103"/>
      <c r="AE57" s="103"/>
      <c r="AF57" s="54"/>
    </row>
    <row r="58" spans="2:32" ht="14.25" customHeight="1">
      <c r="B58" s="123" t="s">
        <v>8597</v>
      </c>
      <c r="C58" s="124" t="s">
        <v>8598</v>
      </c>
      <c r="D58" s="125">
        <v>1</v>
      </c>
      <c r="E58" s="125" t="s">
        <v>8396</v>
      </c>
      <c r="F58" s="125" t="s">
        <v>8363</v>
      </c>
      <c r="G58" s="124" t="s">
        <v>239</v>
      </c>
      <c r="H58" s="125" t="s">
        <v>7750</v>
      </c>
      <c r="I58" s="126" t="s">
        <v>8024</v>
      </c>
      <c r="J58" s="4448"/>
      <c r="K58" s="110"/>
      <c r="L58" s="132"/>
      <c r="M58" s="132"/>
      <c r="N58" s="132"/>
      <c r="O58" s="132"/>
      <c r="P58" s="49"/>
      <c r="Q58" s="143" t="s">
        <v>8599</v>
      </c>
      <c r="R58" s="144" t="s">
        <v>8515</v>
      </c>
      <c r="S58" s="144">
        <v>13</v>
      </c>
      <c r="T58" s="144">
        <v>16</v>
      </c>
      <c r="U58" s="144">
        <v>6</v>
      </c>
      <c r="V58" s="144" t="s">
        <v>7431</v>
      </c>
      <c r="W58" s="1279" t="s">
        <v>8373</v>
      </c>
      <c r="X58" s="145" t="s">
        <v>8417</v>
      </c>
      <c r="Y58" s="146" t="s">
        <v>5312</v>
      </c>
      <c r="Z58" s="4280" t="s">
        <v>8600</v>
      </c>
      <c r="AA58" s="134"/>
      <c r="AB58" s="103"/>
      <c r="AC58" s="103"/>
      <c r="AD58" s="103"/>
      <c r="AE58" s="103"/>
      <c r="AF58" s="54"/>
    </row>
    <row r="59" spans="2:32" ht="14.25" customHeight="1">
      <c r="B59" s="147" t="s">
        <v>8601</v>
      </c>
      <c r="C59" s="148">
        <v>1</v>
      </c>
      <c r="D59" s="149">
        <v>0</v>
      </c>
      <c r="E59" s="149" t="s">
        <v>1181</v>
      </c>
      <c r="F59" s="149" t="s">
        <v>8602</v>
      </c>
      <c r="G59" s="148" t="s">
        <v>239</v>
      </c>
      <c r="H59" s="149" t="s">
        <v>7750</v>
      </c>
      <c r="I59" s="150" t="s">
        <v>8603</v>
      </c>
      <c r="J59" s="4449" t="s">
        <v>8604</v>
      </c>
      <c r="K59" s="110"/>
      <c r="L59" s="110"/>
      <c r="M59" s="49"/>
      <c r="N59" s="49"/>
      <c r="O59" s="49"/>
      <c r="P59" s="49"/>
      <c r="Q59" s="95" t="s">
        <v>8605</v>
      </c>
      <c r="R59" s="83" t="s">
        <v>8515</v>
      </c>
      <c r="S59" s="151">
        <v>11</v>
      </c>
      <c r="T59" s="83">
        <v>8</v>
      </c>
      <c r="U59" s="83">
        <v>4</v>
      </c>
      <c r="V59" s="83" t="s">
        <v>7121</v>
      </c>
      <c r="W59" s="1272" t="s">
        <v>8373</v>
      </c>
      <c r="X59" s="88" t="s">
        <v>8417</v>
      </c>
      <c r="Y59" s="96" t="s">
        <v>7750</v>
      </c>
      <c r="Z59" s="4280"/>
      <c r="AA59" s="134"/>
      <c r="AB59" s="103"/>
      <c r="AC59" s="103"/>
      <c r="AD59" s="103"/>
      <c r="AE59" s="103"/>
      <c r="AF59" s="54"/>
    </row>
    <row r="60" spans="2:32" ht="14.25" customHeight="1">
      <c r="B60" s="95" t="s">
        <v>8606</v>
      </c>
      <c r="C60" s="88">
        <v>2</v>
      </c>
      <c r="D60" s="83">
        <v>0</v>
      </c>
      <c r="E60" s="83" t="s">
        <v>1181</v>
      </c>
      <c r="F60" s="83" t="s">
        <v>8602</v>
      </c>
      <c r="G60" s="88" t="s">
        <v>7761</v>
      </c>
      <c r="H60" s="83" t="s">
        <v>5312</v>
      </c>
      <c r="I60" s="96">
        <v>20</v>
      </c>
      <c r="J60" s="4449"/>
      <c r="K60" s="110"/>
      <c r="L60" s="110"/>
      <c r="M60" s="49"/>
      <c r="N60" s="49"/>
      <c r="O60" s="49"/>
      <c r="P60" s="49"/>
      <c r="Q60" s="143" t="s">
        <v>8607</v>
      </c>
      <c r="R60" s="144" t="s">
        <v>8515</v>
      </c>
      <c r="S60" s="152" t="s">
        <v>8049</v>
      </c>
      <c r="T60" s="144">
        <v>6</v>
      </c>
      <c r="U60" s="144">
        <v>2</v>
      </c>
      <c r="V60" s="144" t="s">
        <v>7178</v>
      </c>
      <c r="W60" s="1279" t="s">
        <v>8373</v>
      </c>
      <c r="X60" s="145" t="s">
        <v>8417</v>
      </c>
      <c r="Y60" s="146" t="s">
        <v>5312</v>
      </c>
      <c r="Z60" s="4280"/>
      <c r="AA60" s="4433" t="s">
        <v>8608</v>
      </c>
      <c r="AB60" s="4434"/>
      <c r="AC60" s="4434"/>
      <c r="AD60" s="4434"/>
      <c r="AE60" s="4435"/>
      <c r="AF60" s="54"/>
    </row>
    <row r="61" spans="2:32" ht="14.25" customHeight="1">
      <c r="B61" s="153" t="s">
        <v>8609</v>
      </c>
      <c r="C61" s="148">
        <v>1</v>
      </c>
      <c r="D61" s="154">
        <v>0</v>
      </c>
      <c r="E61" s="154" t="s">
        <v>1181</v>
      </c>
      <c r="F61" s="154" t="s">
        <v>8602</v>
      </c>
      <c r="G61" s="148" t="s">
        <v>239</v>
      </c>
      <c r="H61" s="154" t="s">
        <v>7750</v>
      </c>
      <c r="I61" s="1280" t="s">
        <v>8555</v>
      </c>
      <c r="J61" s="4449"/>
      <c r="K61" s="110"/>
      <c r="L61" s="110"/>
      <c r="M61" s="49"/>
      <c r="N61" s="49"/>
      <c r="O61" s="49"/>
      <c r="P61" s="49"/>
      <c r="Q61" s="95" t="s">
        <v>8610</v>
      </c>
      <c r="R61" s="83" t="s">
        <v>3365</v>
      </c>
      <c r="S61" s="151" t="s">
        <v>7909</v>
      </c>
      <c r="T61" s="83">
        <v>4</v>
      </c>
      <c r="U61" s="83">
        <v>2</v>
      </c>
      <c r="V61" s="151" t="s">
        <v>8611</v>
      </c>
      <c r="W61" s="83" t="s">
        <v>148</v>
      </c>
      <c r="X61" s="88" t="s">
        <v>8369</v>
      </c>
      <c r="Y61" s="96" t="s">
        <v>7750</v>
      </c>
      <c r="Z61" s="4280"/>
      <c r="AA61" s="155" t="s">
        <v>359</v>
      </c>
      <c r="AB61" s="156">
        <v>5</v>
      </c>
      <c r="AC61" s="156">
        <v>6</v>
      </c>
      <c r="AD61" s="156">
        <v>7</v>
      </c>
      <c r="AE61" s="157">
        <v>8</v>
      </c>
      <c r="AF61" s="54"/>
    </row>
    <row r="62" spans="2:32" ht="14.25" customHeight="1">
      <c r="B62" s="95" t="s">
        <v>8612</v>
      </c>
      <c r="C62" s="88">
        <v>1</v>
      </c>
      <c r="D62" s="83">
        <v>0</v>
      </c>
      <c r="E62" s="83" t="s">
        <v>1181</v>
      </c>
      <c r="F62" s="83" t="s">
        <v>8602</v>
      </c>
      <c r="G62" s="88" t="s">
        <v>7761</v>
      </c>
      <c r="H62" s="83" t="s">
        <v>5312</v>
      </c>
      <c r="I62" s="96" t="s">
        <v>8024</v>
      </c>
      <c r="J62" s="4449"/>
      <c r="K62" s="110"/>
      <c r="L62" s="110"/>
      <c r="M62" s="49"/>
      <c r="N62" s="49"/>
      <c r="O62" s="49"/>
      <c r="P62" s="49"/>
      <c r="Q62" s="143" t="s">
        <v>8613</v>
      </c>
      <c r="R62" s="144" t="s">
        <v>8515</v>
      </c>
      <c r="S62" s="152" t="s">
        <v>7905</v>
      </c>
      <c r="T62" s="144">
        <v>35</v>
      </c>
      <c r="U62" s="144">
        <v>3</v>
      </c>
      <c r="V62" s="144" t="s">
        <v>7204</v>
      </c>
      <c r="W62" s="1279" t="s">
        <v>8373</v>
      </c>
      <c r="X62" s="145" t="s">
        <v>8417</v>
      </c>
      <c r="Y62" s="146" t="s">
        <v>5312</v>
      </c>
      <c r="Z62" s="4280"/>
      <c r="AA62" s="158" t="s">
        <v>8614</v>
      </c>
      <c r="AB62" s="159">
        <v>3</v>
      </c>
      <c r="AC62" s="159">
        <v>4</v>
      </c>
      <c r="AD62" s="159">
        <v>6</v>
      </c>
      <c r="AE62" s="160">
        <v>8</v>
      </c>
      <c r="AF62" s="54"/>
    </row>
    <row r="63" spans="2:32" ht="14.25" customHeight="1">
      <c r="B63" s="147" t="s">
        <v>8615</v>
      </c>
      <c r="C63" s="148">
        <v>2</v>
      </c>
      <c r="D63" s="149">
        <v>0</v>
      </c>
      <c r="E63" s="149" t="s">
        <v>1181</v>
      </c>
      <c r="F63" s="149" t="s">
        <v>8602</v>
      </c>
      <c r="G63" s="148" t="s">
        <v>7761</v>
      </c>
      <c r="H63" s="149" t="s">
        <v>7750</v>
      </c>
      <c r="I63" s="1280" t="s">
        <v>8555</v>
      </c>
      <c r="J63" s="4449"/>
      <c r="K63" s="110"/>
      <c r="L63" s="110"/>
      <c r="M63" s="49"/>
      <c r="N63" s="49"/>
      <c r="O63" s="49"/>
      <c r="P63" s="49"/>
      <c r="Q63" s="95" t="s">
        <v>8616</v>
      </c>
      <c r="R63" s="83" t="s">
        <v>8515</v>
      </c>
      <c r="S63" s="151" t="s">
        <v>8617</v>
      </c>
      <c r="T63" s="83">
        <v>30</v>
      </c>
      <c r="U63" s="83">
        <v>3</v>
      </c>
      <c r="V63" s="151" t="s">
        <v>7184</v>
      </c>
      <c r="W63" s="1272" t="s">
        <v>8373</v>
      </c>
      <c r="X63" s="88" t="s">
        <v>8417</v>
      </c>
      <c r="Y63" s="96" t="s">
        <v>5312</v>
      </c>
      <c r="Z63" s="4280"/>
      <c r="AA63" s="155" t="s">
        <v>359</v>
      </c>
      <c r="AB63" s="156">
        <v>9</v>
      </c>
      <c r="AC63" s="156">
        <v>10</v>
      </c>
      <c r="AD63" s="156">
        <v>11</v>
      </c>
      <c r="AE63" s="157">
        <v>12</v>
      </c>
      <c r="AF63" s="54"/>
    </row>
    <row r="64" spans="2:32" ht="14.25" customHeight="1">
      <c r="B64" s="95" t="s">
        <v>8618</v>
      </c>
      <c r="C64" s="88">
        <v>2</v>
      </c>
      <c r="D64" s="83">
        <v>0</v>
      </c>
      <c r="E64" s="83" t="s">
        <v>1181</v>
      </c>
      <c r="F64" s="83" t="s">
        <v>8602</v>
      </c>
      <c r="G64" s="88" t="s">
        <v>7761</v>
      </c>
      <c r="H64" s="83" t="s">
        <v>8518</v>
      </c>
      <c r="I64" s="96" t="s">
        <v>8024</v>
      </c>
      <c r="J64" s="4449"/>
      <c r="K64" s="110"/>
      <c r="L64" s="110"/>
      <c r="M64" s="49"/>
      <c r="N64" s="49"/>
      <c r="O64" s="49"/>
      <c r="P64" s="49"/>
      <c r="Q64" s="143" t="s">
        <v>8619</v>
      </c>
      <c r="R64" s="144" t="s">
        <v>8515</v>
      </c>
      <c r="S64" s="152" t="s">
        <v>8620</v>
      </c>
      <c r="T64" s="144">
        <v>16</v>
      </c>
      <c r="U64" s="144">
        <v>2</v>
      </c>
      <c r="V64" s="144" t="s">
        <v>6844</v>
      </c>
      <c r="W64" s="1279" t="s">
        <v>8373</v>
      </c>
      <c r="X64" s="145" t="s">
        <v>8369</v>
      </c>
      <c r="Y64" s="146" t="s">
        <v>5312</v>
      </c>
      <c r="Z64" s="4281"/>
      <c r="AA64" s="158" t="s">
        <v>8614</v>
      </c>
      <c r="AB64" s="159">
        <v>12</v>
      </c>
      <c r="AC64" s="159">
        <v>18</v>
      </c>
      <c r="AD64" s="159">
        <v>27</v>
      </c>
      <c r="AE64" s="160">
        <v>40</v>
      </c>
      <c r="AF64" s="54"/>
    </row>
    <row r="65" spans="2:34" ht="14.25" customHeight="1">
      <c r="B65" s="153" t="s">
        <v>8621</v>
      </c>
      <c r="C65" s="148">
        <v>1</v>
      </c>
      <c r="D65" s="154">
        <v>0</v>
      </c>
      <c r="E65" s="154" t="s">
        <v>1430</v>
      </c>
      <c r="F65" s="154" t="s">
        <v>8622</v>
      </c>
      <c r="G65" s="148" t="s">
        <v>239</v>
      </c>
      <c r="H65" s="154" t="s">
        <v>7750</v>
      </c>
      <c r="I65" s="161" t="s">
        <v>8623</v>
      </c>
      <c r="J65" s="4449"/>
      <c r="K65" s="110"/>
      <c r="L65" s="110"/>
      <c r="M65" s="49"/>
      <c r="N65" s="49"/>
      <c r="O65" s="49"/>
      <c r="P65" s="49"/>
      <c r="Q65" s="162"/>
      <c r="R65" s="163"/>
      <c r="S65" s="163"/>
      <c r="T65" s="163"/>
      <c r="U65" s="163"/>
      <c r="V65" s="163"/>
      <c r="W65" s="163"/>
      <c r="X65" s="164"/>
      <c r="Y65" s="165"/>
      <c r="Z65" s="102"/>
      <c r="AA65" s="155" t="s">
        <v>359</v>
      </c>
      <c r="AB65" s="156">
        <v>13</v>
      </c>
      <c r="AC65" s="156">
        <v>14</v>
      </c>
      <c r="AD65" s="156">
        <v>15</v>
      </c>
      <c r="AE65" s="157">
        <v>16</v>
      </c>
      <c r="AF65" s="54"/>
      <c r="AG65" s="62"/>
      <c r="AH65" s="62"/>
    </row>
    <row r="66" spans="2:34" ht="14.25" customHeight="1">
      <c r="B66" s="95" t="s">
        <v>8624</v>
      </c>
      <c r="C66" s="88">
        <v>2</v>
      </c>
      <c r="D66" s="83">
        <v>1</v>
      </c>
      <c r="E66" s="83" t="s">
        <v>1430</v>
      </c>
      <c r="F66" s="83" t="s">
        <v>8622</v>
      </c>
      <c r="G66" s="88" t="s">
        <v>7761</v>
      </c>
      <c r="H66" s="83" t="s">
        <v>8518</v>
      </c>
      <c r="I66" s="96" t="s">
        <v>8024</v>
      </c>
      <c r="J66" s="4449"/>
      <c r="K66" s="110"/>
      <c r="L66" s="110"/>
      <c r="M66" s="49"/>
      <c r="N66" s="49"/>
      <c r="O66" s="49"/>
      <c r="P66" s="49"/>
      <c r="Q66" s="166"/>
      <c r="R66" s="167"/>
      <c r="S66" s="167"/>
      <c r="T66" s="167"/>
      <c r="U66" s="167"/>
      <c r="V66" s="167"/>
      <c r="W66" s="167"/>
      <c r="X66" s="168"/>
      <c r="Y66" s="169"/>
      <c r="Z66" s="102"/>
      <c r="AA66" s="158" t="s">
        <v>8614</v>
      </c>
      <c r="AB66" s="159">
        <v>60</v>
      </c>
      <c r="AC66" s="159">
        <v>90</v>
      </c>
      <c r="AD66" s="159">
        <v>135</v>
      </c>
      <c r="AE66" s="160">
        <v>200</v>
      </c>
      <c r="AF66" s="54"/>
      <c r="AG66" s="62"/>
      <c r="AH66" s="62"/>
    </row>
    <row r="67" spans="2:34" ht="14.25" customHeight="1">
      <c r="B67" s="147" t="s">
        <v>8625</v>
      </c>
      <c r="C67" s="148">
        <v>2</v>
      </c>
      <c r="D67" s="149">
        <v>1</v>
      </c>
      <c r="E67" s="149" t="s">
        <v>1430</v>
      </c>
      <c r="F67" s="149" t="s">
        <v>8622</v>
      </c>
      <c r="G67" s="148" t="s">
        <v>239</v>
      </c>
      <c r="H67" s="149" t="s">
        <v>7750</v>
      </c>
      <c r="I67" s="1281" t="s">
        <v>8626</v>
      </c>
      <c r="J67" s="4449"/>
      <c r="P67" s="49"/>
      <c r="Q67" s="162"/>
      <c r="R67" s="163"/>
      <c r="S67" s="163"/>
      <c r="T67" s="163"/>
      <c r="U67" s="163"/>
      <c r="V67" s="163"/>
      <c r="W67" s="164"/>
      <c r="X67" s="163"/>
      <c r="Y67" s="170"/>
      <c r="Z67" s="102"/>
      <c r="AA67" s="155" t="s">
        <v>359</v>
      </c>
      <c r="AB67" s="156">
        <v>17</v>
      </c>
      <c r="AC67" s="156">
        <v>18</v>
      </c>
      <c r="AD67" s="156">
        <v>19</v>
      </c>
      <c r="AE67" s="157">
        <v>20</v>
      </c>
      <c r="AF67" s="54"/>
      <c r="AG67" s="62"/>
      <c r="AH67" s="62"/>
    </row>
    <row r="68" spans="2:34" ht="14.25" customHeight="1">
      <c r="B68" s="171" t="s">
        <v>8627</v>
      </c>
      <c r="C68" s="172">
        <v>9</v>
      </c>
      <c r="D68" s="173">
        <v>1</v>
      </c>
      <c r="E68" s="173" t="s">
        <v>148</v>
      </c>
      <c r="F68" s="173" t="s">
        <v>8628</v>
      </c>
      <c r="G68" s="172" t="s">
        <v>7761</v>
      </c>
      <c r="H68" s="173" t="s">
        <v>5312</v>
      </c>
      <c r="I68" s="174">
        <v>40</v>
      </c>
      <c r="J68" s="4450" t="s">
        <v>8629</v>
      </c>
      <c r="K68" s="4452" t="s">
        <v>8630</v>
      </c>
      <c r="L68" s="4341" t="s">
        <v>8631</v>
      </c>
      <c r="M68" s="4341"/>
      <c r="N68" s="4341"/>
      <c r="O68" s="4341"/>
      <c r="P68" s="49"/>
      <c r="Q68" s="175"/>
      <c r="R68" s="176"/>
      <c r="S68" s="176"/>
      <c r="T68" s="176"/>
      <c r="U68" s="176"/>
      <c r="V68" s="176"/>
      <c r="W68" s="177"/>
      <c r="X68" s="176"/>
      <c r="Y68" s="178"/>
      <c r="Z68" s="102"/>
      <c r="AA68" s="179" t="s">
        <v>8614</v>
      </c>
      <c r="AB68" s="180">
        <v>300</v>
      </c>
      <c r="AC68" s="180">
        <v>450</v>
      </c>
      <c r="AD68" s="180">
        <v>675</v>
      </c>
      <c r="AE68" s="181">
        <v>1000</v>
      </c>
      <c r="AF68" s="54"/>
    </row>
    <row r="69" spans="2:34" ht="14.25" customHeight="1">
      <c r="B69" s="182" t="s">
        <v>8632</v>
      </c>
      <c r="C69" s="88">
        <v>25</v>
      </c>
      <c r="D69" s="183">
        <v>1</v>
      </c>
      <c r="E69" s="183" t="s">
        <v>148</v>
      </c>
      <c r="F69" s="183" t="s">
        <v>8628</v>
      </c>
      <c r="G69" s="88" t="s">
        <v>7761</v>
      </c>
      <c r="H69" s="183" t="s">
        <v>5312</v>
      </c>
      <c r="I69" s="184" t="s">
        <v>8024</v>
      </c>
      <c r="J69" s="4450"/>
      <c r="K69" s="4452"/>
      <c r="L69" s="4341"/>
      <c r="M69" s="4341"/>
      <c r="N69" s="4341"/>
      <c r="O69" s="4341"/>
      <c r="P69" s="49"/>
      <c r="Q69" s="185"/>
      <c r="R69" s="168"/>
      <c r="S69" s="168"/>
      <c r="T69" s="168"/>
      <c r="U69" s="168"/>
      <c r="V69" s="168"/>
      <c r="W69" s="168"/>
      <c r="X69" s="103"/>
      <c r="Y69" s="103"/>
      <c r="Z69" s="103"/>
      <c r="AA69" s="4436" t="s">
        <v>8633</v>
      </c>
      <c r="AB69" s="4436"/>
      <c r="AC69" s="4436"/>
      <c r="AD69" s="4436"/>
      <c r="AE69" s="4436"/>
      <c r="AF69" s="54"/>
    </row>
    <row r="70" spans="2:34" ht="14.25" customHeight="1">
      <c r="B70" s="171" t="s">
        <v>8634</v>
      </c>
      <c r="C70" s="172">
        <v>30</v>
      </c>
      <c r="D70" s="173">
        <v>2</v>
      </c>
      <c r="E70" s="173" t="s">
        <v>148</v>
      </c>
      <c r="F70" s="173" t="s">
        <v>8628</v>
      </c>
      <c r="G70" s="172" t="s">
        <v>7761</v>
      </c>
      <c r="H70" s="173" t="s">
        <v>5312</v>
      </c>
      <c r="I70" s="174" t="s">
        <v>8024</v>
      </c>
      <c r="J70" s="4450"/>
      <c r="K70" s="4452"/>
      <c r="L70" s="4341"/>
      <c r="M70" s="4341"/>
      <c r="N70" s="4341"/>
      <c r="O70" s="4341"/>
      <c r="P70" s="49"/>
      <c r="Q70" s="4161" t="s">
        <v>8635</v>
      </c>
      <c r="R70" s="4162"/>
      <c r="S70" s="4162"/>
      <c r="T70" s="4162"/>
      <c r="U70" s="4162"/>
      <c r="V70" s="4162"/>
      <c r="W70" s="4162"/>
      <c r="X70" s="4162"/>
      <c r="Y70" s="4162"/>
      <c r="Z70" s="4163"/>
      <c r="AA70" s="103"/>
      <c r="AB70" s="186"/>
      <c r="AC70" s="103"/>
      <c r="AD70" s="103"/>
      <c r="AE70" s="103"/>
      <c r="AF70" s="54"/>
    </row>
    <row r="71" spans="2:34" ht="14.25" customHeight="1">
      <c r="B71" s="187" t="s">
        <v>8636</v>
      </c>
      <c r="C71" s="188">
        <v>15</v>
      </c>
      <c r="D71" s="189">
        <v>0</v>
      </c>
      <c r="E71" s="189" t="s">
        <v>8637</v>
      </c>
      <c r="F71" s="189" t="s">
        <v>8638</v>
      </c>
      <c r="G71" s="188" t="s">
        <v>7761</v>
      </c>
      <c r="H71" s="189" t="s">
        <v>8518</v>
      </c>
      <c r="I71" s="190" t="s">
        <v>8024</v>
      </c>
      <c r="J71" s="4450"/>
      <c r="K71" s="4452"/>
      <c r="L71" s="4341"/>
      <c r="M71" s="4341"/>
      <c r="N71" s="4341"/>
      <c r="O71" s="4341"/>
      <c r="P71" s="49"/>
      <c r="Q71" s="4342" t="s">
        <v>8639</v>
      </c>
      <c r="R71" s="4343"/>
      <c r="S71" s="4343"/>
      <c r="T71" s="4343"/>
      <c r="U71" s="4343"/>
      <c r="V71" s="4343"/>
      <c r="W71" s="4343"/>
      <c r="X71" s="4343"/>
      <c r="Y71" s="4343"/>
      <c r="Z71" s="4344"/>
      <c r="AA71" s="103"/>
      <c r="AB71" s="186"/>
      <c r="AC71" s="103"/>
      <c r="AD71" s="103"/>
      <c r="AE71" s="103"/>
      <c r="AF71" s="54"/>
    </row>
    <row r="72" spans="2:34" ht="14.25" customHeight="1">
      <c r="B72" s="171" t="s">
        <v>8640</v>
      </c>
      <c r="C72" s="172">
        <v>10</v>
      </c>
      <c r="D72" s="173">
        <v>1</v>
      </c>
      <c r="E72" s="173" t="s">
        <v>148</v>
      </c>
      <c r="F72" s="173" t="s">
        <v>8628</v>
      </c>
      <c r="G72" s="172" t="s">
        <v>7761</v>
      </c>
      <c r="H72" s="173" t="s">
        <v>8518</v>
      </c>
      <c r="I72" s="174" t="s">
        <v>8024</v>
      </c>
      <c r="J72" s="4450"/>
      <c r="K72" s="4452"/>
      <c r="L72" s="4351" t="s">
        <v>8641</v>
      </c>
      <c r="M72" s="4351"/>
      <c r="N72" s="4351"/>
      <c r="O72" s="4351"/>
      <c r="P72" s="49"/>
      <c r="Q72" s="4345"/>
      <c r="R72" s="4346"/>
      <c r="S72" s="4346"/>
      <c r="T72" s="4346"/>
      <c r="U72" s="4346"/>
      <c r="V72" s="4346"/>
      <c r="W72" s="4346"/>
      <c r="X72" s="4346"/>
      <c r="Y72" s="4346"/>
      <c r="Z72" s="4347"/>
      <c r="AA72" s="103"/>
      <c r="AB72" s="186"/>
      <c r="AC72" s="103"/>
      <c r="AD72" s="103"/>
      <c r="AE72" s="103"/>
      <c r="AF72" s="54"/>
    </row>
    <row r="73" spans="2:34" ht="14.25" customHeight="1">
      <c r="B73" s="182" t="s">
        <v>8642</v>
      </c>
      <c r="C73" s="88">
        <v>15</v>
      </c>
      <c r="D73" s="183">
        <v>1</v>
      </c>
      <c r="E73" s="183" t="s">
        <v>148</v>
      </c>
      <c r="F73" s="183" t="s">
        <v>8628</v>
      </c>
      <c r="G73" s="88" t="s">
        <v>7761</v>
      </c>
      <c r="H73" s="183" t="s">
        <v>8518</v>
      </c>
      <c r="I73" s="184" t="s">
        <v>8024</v>
      </c>
      <c r="J73" s="4450"/>
      <c r="K73" s="4452"/>
      <c r="L73" s="4351"/>
      <c r="M73" s="4351"/>
      <c r="N73" s="4351"/>
      <c r="O73" s="4351"/>
      <c r="P73" s="49"/>
      <c r="Q73" s="4348"/>
      <c r="R73" s="4349"/>
      <c r="S73" s="4349"/>
      <c r="T73" s="4349"/>
      <c r="U73" s="4349"/>
      <c r="V73" s="4349"/>
      <c r="W73" s="4349"/>
      <c r="X73" s="4349"/>
      <c r="Y73" s="4349"/>
      <c r="Z73" s="4350"/>
      <c r="AA73" s="103"/>
      <c r="AB73" s="186"/>
      <c r="AC73" s="103"/>
      <c r="AD73" s="103"/>
      <c r="AE73" s="103"/>
      <c r="AF73" s="54"/>
    </row>
    <row r="74" spans="2:34" ht="14.25" customHeight="1">
      <c r="B74" s="171" t="s">
        <v>8643</v>
      </c>
      <c r="C74" s="172">
        <v>20</v>
      </c>
      <c r="D74" s="173">
        <v>2</v>
      </c>
      <c r="E74" s="173" t="s">
        <v>148</v>
      </c>
      <c r="F74" s="173" t="s">
        <v>8628</v>
      </c>
      <c r="G74" s="172" t="s">
        <v>7761</v>
      </c>
      <c r="H74" s="173" t="s">
        <v>8518</v>
      </c>
      <c r="I74" s="174" t="s">
        <v>8024</v>
      </c>
      <c r="J74" s="4450"/>
      <c r="K74" s="4452"/>
      <c r="L74" s="4351"/>
      <c r="M74" s="4351"/>
      <c r="N74" s="4351"/>
      <c r="O74" s="4351"/>
      <c r="P74" s="49"/>
      <c r="Q74" s="4342" t="s">
        <v>8644</v>
      </c>
      <c r="R74" s="4352"/>
      <c r="S74" s="4352"/>
      <c r="T74" s="4352"/>
      <c r="U74" s="4352"/>
      <c r="V74" s="4352"/>
      <c r="W74" s="4352"/>
      <c r="X74" s="4352"/>
      <c r="Y74" s="4352"/>
      <c r="Z74" s="4353"/>
      <c r="AA74" s="103"/>
      <c r="AB74" s="186"/>
      <c r="AC74" s="103"/>
      <c r="AD74" s="103"/>
      <c r="AE74" s="103"/>
      <c r="AF74" s="54"/>
    </row>
    <row r="75" spans="2:34" ht="14.25" customHeight="1">
      <c r="B75" s="191" t="s">
        <v>8645</v>
      </c>
      <c r="C75" s="192">
        <v>2</v>
      </c>
      <c r="D75" s="192" t="s">
        <v>148</v>
      </c>
      <c r="E75" s="192" t="s">
        <v>148</v>
      </c>
      <c r="F75" s="192" t="s">
        <v>3708</v>
      </c>
      <c r="G75" s="192" t="s">
        <v>7761</v>
      </c>
      <c r="H75" s="192" t="s">
        <v>8518</v>
      </c>
      <c r="I75" s="193" t="s">
        <v>8024</v>
      </c>
      <c r="J75" s="4450"/>
      <c r="K75" s="4452"/>
      <c r="L75" s="4351"/>
      <c r="M75" s="4351"/>
      <c r="N75" s="4351"/>
      <c r="O75" s="4351"/>
      <c r="P75" s="49"/>
      <c r="Q75" s="4354"/>
      <c r="R75" s="4355"/>
      <c r="S75" s="4355"/>
      <c r="T75" s="4355"/>
      <c r="U75" s="4355"/>
      <c r="V75" s="4355"/>
      <c r="W75" s="4355"/>
      <c r="X75" s="4355"/>
      <c r="Y75" s="4355"/>
      <c r="Z75" s="4356"/>
      <c r="AA75" s="103"/>
      <c r="AB75" s="186"/>
      <c r="AC75" s="103"/>
      <c r="AD75" s="103"/>
      <c r="AE75" s="103"/>
      <c r="AF75" s="54"/>
      <c r="AG75" s="62"/>
      <c r="AH75" s="62"/>
    </row>
    <row r="76" spans="2:34" ht="14.25" customHeight="1">
      <c r="B76" s="194" t="s">
        <v>115</v>
      </c>
      <c r="C76" s="195" t="s">
        <v>236</v>
      </c>
      <c r="D76" s="196"/>
      <c r="E76" s="196" t="s">
        <v>148</v>
      </c>
      <c r="F76" s="196"/>
      <c r="G76" s="195"/>
      <c r="H76" s="196"/>
      <c r="I76" s="196"/>
      <c r="J76" s="4451" t="s">
        <v>563</v>
      </c>
      <c r="K76" s="49"/>
      <c r="L76" s="49"/>
      <c r="M76" s="49"/>
      <c r="N76" s="197"/>
      <c r="O76" s="49"/>
      <c r="P76" s="49"/>
      <c r="Q76" s="4354"/>
      <c r="R76" s="4355"/>
      <c r="S76" s="4355"/>
      <c r="T76" s="4355"/>
      <c r="U76" s="4355"/>
      <c r="V76" s="4355"/>
      <c r="W76" s="4355"/>
      <c r="X76" s="4355"/>
      <c r="Y76" s="4355"/>
      <c r="Z76" s="4356"/>
      <c r="AA76" s="103"/>
      <c r="AB76" s="186"/>
      <c r="AC76" s="103"/>
      <c r="AD76" s="103"/>
      <c r="AE76" s="103"/>
      <c r="AF76" s="54"/>
      <c r="AG76" s="62"/>
      <c r="AH76" s="62"/>
    </row>
    <row r="77" spans="2:34" ht="14.25" customHeight="1">
      <c r="B77" s="194"/>
      <c r="C77" s="196"/>
      <c r="D77" s="196"/>
      <c r="E77" s="196"/>
      <c r="F77" s="196"/>
      <c r="G77" s="196"/>
      <c r="H77" s="196"/>
      <c r="I77" s="196"/>
      <c r="J77" s="4451"/>
      <c r="K77" s="49"/>
      <c r="L77" s="49"/>
      <c r="M77" s="49"/>
      <c r="N77" s="197"/>
      <c r="O77" s="49"/>
      <c r="P77" s="49"/>
      <c r="Q77" s="4437" t="s">
        <v>8646</v>
      </c>
      <c r="R77" s="4438"/>
      <c r="S77" s="4438"/>
      <c r="T77" s="4438"/>
      <c r="U77" s="4438"/>
      <c r="V77" s="4438"/>
      <c r="W77" s="4438"/>
      <c r="X77" s="4438"/>
      <c r="Y77" s="4438"/>
      <c r="Z77" s="4439"/>
      <c r="AA77" s="103"/>
      <c r="AB77" s="186"/>
      <c r="AC77" s="103"/>
      <c r="AD77" s="103"/>
      <c r="AE77" s="103"/>
      <c r="AF77" s="54"/>
      <c r="AG77" s="62"/>
      <c r="AH77" s="62"/>
    </row>
    <row r="78" spans="2:34" ht="14.25" customHeight="1">
      <c r="B78" s="194"/>
      <c r="C78" s="196"/>
      <c r="D78" s="196"/>
      <c r="E78" s="196"/>
      <c r="F78" s="196"/>
      <c r="G78" s="196"/>
      <c r="H78" s="196"/>
      <c r="I78" s="196"/>
      <c r="J78" s="4451"/>
      <c r="K78" s="49"/>
      <c r="L78" s="49"/>
      <c r="M78" s="49"/>
      <c r="N78" s="197"/>
      <c r="O78" s="49"/>
      <c r="P78" s="49"/>
      <c r="Q78" s="4357" t="s">
        <v>8647</v>
      </c>
      <c r="R78" s="4358"/>
      <c r="S78" s="4358"/>
      <c r="T78" s="4358"/>
      <c r="U78" s="4358"/>
      <c r="V78" s="4358"/>
      <c r="W78" s="4358"/>
      <c r="X78" s="4358"/>
      <c r="Y78" s="4358"/>
      <c r="Z78" s="4359"/>
      <c r="AA78" s="103"/>
      <c r="AB78" s="186"/>
      <c r="AC78" s="103"/>
      <c r="AD78" s="103"/>
      <c r="AE78" s="103"/>
      <c r="AF78" s="54"/>
      <c r="AG78" s="62"/>
      <c r="AH78" s="62"/>
    </row>
    <row r="79" spans="2:34" ht="14.25" customHeight="1">
      <c r="B79" s="194"/>
      <c r="C79" s="196"/>
      <c r="D79" s="196"/>
      <c r="E79" s="196"/>
      <c r="F79" s="196"/>
      <c r="G79" s="196"/>
      <c r="H79" s="196"/>
      <c r="I79" s="196"/>
      <c r="J79" s="4451"/>
      <c r="K79" s="110"/>
      <c r="L79" s="49"/>
      <c r="M79" s="49"/>
      <c r="N79" s="49"/>
      <c r="O79" s="49"/>
      <c r="P79" s="49"/>
      <c r="Q79" s="4357"/>
      <c r="R79" s="4358"/>
      <c r="S79" s="4358"/>
      <c r="T79" s="4358"/>
      <c r="U79" s="4358"/>
      <c r="V79" s="4358"/>
      <c r="W79" s="4358"/>
      <c r="X79" s="4358"/>
      <c r="Y79" s="4358"/>
      <c r="Z79" s="4359"/>
      <c r="AA79" s="103"/>
      <c r="AB79" s="186"/>
      <c r="AC79" s="103"/>
      <c r="AD79" s="103"/>
      <c r="AE79" s="103"/>
      <c r="AF79" s="54"/>
      <c r="AG79" s="62"/>
      <c r="AH79" s="62"/>
    </row>
    <row r="80" spans="2:34" ht="14.25" customHeight="1">
      <c r="B80" s="194"/>
      <c r="C80" s="196"/>
      <c r="D80" s="196"/>
      <c r="E80" s="196"/>
      <c r="F80" s="196"/>
      <c r="G80" s="196"/>
      <c r="H80" s="196"/>
      <c r="I80" s="196"/>
      <c r="J80" s="4451"/>
      <c r="K80" s="110"/>
      <c r="L80" s="49"/>
      <c r="M80" s="49"/>
      <c r="N80" s="49"/>
      <c r="O80" s="49"/>
      <c r="P80" s="49"/>
      <c r="Q80" s="4357"/>
      <c r="R80" s="4358"/>
      <c r="S80" s="4358"/>
      <c r="T80" s="4358"/>
      <c r="U80" s="4358"/>
      <c r="V80" s="4358"/>
      <c r="W80" s="4358"/>
      <c r="X80" s="4358"/>
      <c r="Y80" s="4358"/>
      <c r="Z80" s="4359"/>
      <c r="AA80" s="103"/>
      <c r="AB80" s="186"/>
      <c r="AC80" s="103"/>
      <c r="AD80" s="103"/>
      <c r="AE80" s="103"/>
      <c r="AF80" s="54"/>
      <c r="AG80" s="62"/>
      <c r="AH80" s="62"/>
    </row>
    <row r="81" spans="2:34" ht="14.25" customHeight="1">
      <c r="B81" s="194"/>
      <c r="C81" s="196"/>
      <c r="D81" s="196"/>
      <c r="E81" s="196"/>
      <c r="F81" s="196"/>
      <c r="G81" s="196"/>
      <c r="H81" s="196"/>
      <c r="I81" s="196"/>
      <c r="J81" s="4451"/>
      <c r="K81" s="110"/>
      <c r="L81" s="49"/>
      <c r="M81" s="49"/>
      <c r="N81" s="49"/>
      <c r="O81" s="49"/>
      <c r="P81" s="49"/>
      <c r="Q81" s="4360" t="s">
        <v>8648</v>
      </c>
      <c r="R81" s="4361"/>
      <c r="S81" s="4361"/>
      <c r="T81" s="4361"/>
      <c r="U81" s="4361"/>
      <c r="V81" s="4361"/>
      <c r="W81" s="4361"/>
      <c r="X81" s="4361"/>
      <c r="Y81" s="4361"/>
      <c r="Z81" s="4362"/>
      <c r="AA81" s="102"/>
      <c r="AB81" s="49"/>
      <c r="AC81" s="49"/>
      <c r="AD81" s="49"/>
      <c r="AE81" s="49"/>
    </row>
    <row r="82" spans="2:34" ht="14.25" customHeight="1">
      <c r="B82" s="194"/>
      <c r="C82" s="196"/>
      <c r="D82" s="196"/>
      <c r="E82" s="196"/>
      <c r="F82" s="196"/>
      <c r="G82" s="196"/>
      <c r="H82" s="196"/>
      <c r="I82" s="196"/>
      <c r="J82" s="4451"/>
      <c r="K82" s="110"/>
      <c r="L82" s="49"/>
      <c r="M82" s="49"/>
      <c r="N82" s="49"/>
      <c r="O82" s="49"/>
      <c r="P82" s="49"/>
      <c r="Q82" s="4357"/>
      <c r="R82" s="4358"/>
      <c r="S82" s="4358"/>
      <c r="T82" s="4358"/>
      <c r="U82" s="4358"/>
      <c r="V82" s="4358"/>
      <c r="W82" s="4358"/>
      <c r="X82" s="4358"/>
      <c r="Y82" s="4358"/>
      <c r="Z82" s="4359"/>
      <c r="AA82" s="102"/>
      <c r="AB82" s="49"/>
      <c r="AC82" s="49"/>
      <c r="AD82" s="49"/>
      <c r="AE82" s="49"/>
    </row>
    <row r="83" spans="2:34" ht="14.25" customHeight="1">
      <c r="B83" s="198"/>
      <c r="C83" s="198"/>
      <c r="D83" s="198"/>
      <c r="E83" s="198"/>
      <c r="F83" s="198"/>
      <c r="G83" s="198"/>
      <c r="H83" s="198"/>
      <c r="I83" s="49"/>
      <c r="J83" s="49"/>
      <c r="K83" s="110"/>
      <c r="L83" s="49"/>
      <c r="M83" s="110"/>
      <c r="N83" s="197"/>
      <c r="O83" s="49"/>
      <c r="P83" s="49"/>
      <c r="Q83" s="4363"/>
      <c r="R83" s="4364"/>
      <c r="S83" s="4364"/>
      <c r="T83" s="4364"/>
      <c r="U83" s="4364"/>
      <c r="V83" s="4364"/>
      <c r="W83" s="4364"/>
      <c r="X83" s="4364"/>
      <c r="Y83" s="4364"/>
      <c r="Z83" s="4365"/>
      <c r="AA83" s="102"/>
      <c r="AB83" s="49"/>
      <c r="AC83" s="49"/>
      <c r="AD83" s="49"/>
      <c r="AE83" s="49"/>
    </row>
    <row r="84" spans="2:34" ht="14.25" customHeight="1">
      <c r="B84" s="4440" t="s">
        <v>8189</v>
      </c>
      <c r="C84" s="4441"/>
      <c r="D84" s="4441"/>
      <c r="E84" s="4441"/>
      <c r="F84" s="4441"/>
      <c r="G84" s="4441"/>
      <c r="H84" s="4441"/>
      <c r="I84" s="4441"/>
      <c r="J84" s="4442"/>
      <c r="K84" s="110"/>
      <c r="L84" s="110"/>
      <c r="M84" s="110"/>
      <c r="N84" s="197"/>
      <c r="O84" s="49"/>
      <c r="P84" s="49"/>
      <c r="Q84" s="4357" t="s">
        <v>8649</v>
      </c>
      <c r="R84" s="4366"/>
      <c r="S84" s="4366"/>
      <c r="T84" s="4366"/>
      <c r="U84" s="4366"/>
      <c r="V84" s="4366"/>
      <c r="W84" s="4366"/>
      <c r="X84" s="4366"/>
      <c r="Y84" s="4366"/>
      <c r="Z84" s="4367"/>
      <c r="AA84" s="102"/>
      <c r="AB84" s="186"/>
      <c r="AC84" s="103"/>
      <c r="AD84" s="103"/>
      <c r="AE84" s="103"/>
      <c r="AF84" s="54"/>
      <c r="AG84" s="62"/>
      <c r="AH84" s="62"/>
    </row>
    <row r="85" spans="2:34" ht="14.25" customHeight="1">
      <c r="B85" s="4402" t="s">
        <v>8650</v>
      </c>
      <c r="C85" s="4403"/>
      <c r="D85" s="4403"/>
      <c r="E85" s="4403"/>
      <c r="F85" s="4403"/>
      <c r="G85" s="4403"/>
      <c r="H85" s="4403"/>
      <c r="I85" s="4403"/>
      <c r="J85" s="4404"/>
      <c r="K85" s="110"/>
      <c r="L85" s="110"/>
      <c r="M85" s="110"/>
      <c r="N85" s="197"/>
      <c r="O85" s="49"/>
      <c r="P85" s="49"/>
      <c r="Q85" s="4368"/>
      <c r="R85" s="4369"/>
      <c r="S85" s="4369"/>
      <c r="T85" s="4369"/>
      <c r="U85" s="4369"/>
      <c r="V85" s="4369"/>
      <c r="W85" s="4369"/>
      <c r="X85" s="4369"/>
      <c r="Y85" s="4369"/>
      <c r="Z85" s="4370"/>
      <c r="AA85" s="102"/>
      <c r="AB85" s="186"/>
      <c r="AC85" s="103"/>
      <c r="AD85" s="103"/>
      <c r="AE85" s="103"/>
      <c r="AF85" s="54"/>
      <c r="AG85" s="62"/>
      <c r="AH85" s="62"/>
    </row>
    <row r="86" spans="2:34" ht="14.25" customHeight="1">
      <c r="B86" s="4402" t="s">
        <v>8651</v>
      </c>
      <c r="C86" s="4403"/>
      <c r="D86" s="4403"/>
      <c r="E86" s="4403"/>
      <c r="F86" s="4403"/>
      <c r="G86" s="4403"/>
      <c r="H86" s="4403"/>
      <c r="I86" s="4403"/>
      <c r="J86" s="4404"/>
      <c r="K86" s="110"/>
      <c r="L86" s="110"/>
      <c r="M86" s="110"/>
      <c r="N86" s="197"/>
      <c r="O86" s="49"/>
      <c r="P86" s="49"/>
      <c r="Q86" s="4357" t="s">
        <v>8652</v>
      </c>
      <c r="R86" s="4366"/>
      <c r="S86" s="4366"/>
      <c r="T86" s="4366"/>
      <c r="U86" s="4366"/>
      <c r="V86" s="4366"/>
      <c r="W86" s="4366"/>
      <c r="X86" s="4366"/>
      <c r="Y86" s="4366"/>
      <c r="Z86" s="4367"/>
      <c r="AA86" s="102"/>
      <c r="AB86" s="186"/>
      <c r="AC86" s="103"/>
      <c r="AD86" s="103"/>
      <c r="AE86" s="103"/>
      <c r="AF86" s="54"/>
      <c r="AG86" s="62"/>
      <c r="AH86" s="62"/>
    </row>
    <row r="87" spans="2:34" ht="14.25" customHeight="1">
      <c r="B87" s="4402" t="s">
        <v>8653</v>
      </c>
      <c r="C87" s="4403"/>
      <c r="D87" s="4403"/>
      <c r="E87" s="4403"/>
      <c r="F87" s="4403"/>
      <c r="G87" s="4403"/>
      <c r="H87" s="4403"/>
      <c r="I87" s="4403"/>
      <c r="J87" s="4404"/>
      <c r="K87" s="110"/>
      <c r="L87" s="110"/>
      <c r="M87" s="110"/>
      <c r="N87" s="197"/>
      <c r="O87" s="49"/>
      <c r="P87" s="49"/>
      <c r="Q87" s="4371"/>
      <c r="R87" s="4372"/>
      <c r="S87" s="4372"/>
      <c r="T87" s="4372"/>
      <c r="U87" s="4372"/>
      <c r="V87" s="4372"/>
      <c r="W87" s="4372"/>
      <c r="X87" s="4372"/>
      <c r="Y87" s="4372"/>
      <c r="Z87" s="4373"/>
      <c r="AA87" s="49"/>
      <c r="AB87" s="49"/>
      <c r="AC87" s="49"/>
      <c r="AD87" s="49"/>
      <c r="AE87" s="49"/>
      <c r="AF87" s="54"/>
      <c r="AG87" s="62"/>
      <c r="AH87" s="62"/>
    </row>
    <row r="88" spans="2:34" ht="14.25" customHeight="1">
      <c r="B88" s="4402" t="s">
        <v>8654</v>
      </c>
      <c r="C88" s="4403"/>
      <c r="D88" s="4403"/>
      <c r="E88" s="4403"/>
      <c r="F88" s="4403"/>
      <c r="G88" s="4403"/>
      <c r="H88" s="4403"/>
      <c r="I88" s="4403"/>
      <c r="J88" s="4404"/>
      <c r="K88" s="110"/>
      <c r="L88" s="110"/>
      <c r="M88" s="110"/>
      <c r="N88" s="197"/>
      <c r="O88" s="49"/>
      <c r="P88" s="49"/>
      <c r="Q88" s="49"/>
      <c r="R88" s="49"/>
      <c r="S88" s="49"/>
      <c r="T88" s="49"/>
      <c r="U88" s="49"/>
      <c r="V88" s="49"/>
      <c r="W88" s="49"/>
      <c r="X88" s="49"/>
      <c r="Y88" s="49"/>
      <c r="Z88" s="49"/>
      <c r="AA88" s="49"/>
      <c r="AB88" s="49"/>
      <c r="AC88" s="49"/>
      <c r="AD88" s="49"/>
      <c r="AE88" s="49"/>
      <c r="AF88" s="54"/>
      <c r="AG88" s="62"/>
      <c r="AH88" s="62"/>
    </row>
    <row r="89" spans="2:34" ht="14.25" customHeight="1">
      <c r="B89" s="4405" t="s">
        <v>8655</v>
      </c>
      <c r="C89" s="3876"/>
      <c r="D89" s="3876"/>
      <c r="E89" s="3876"/>
      <c r="F89" s="3876"/>
      <c r="G89" s="3876"/>
      <c r="H89" s="3876"/>
      <c r="I89" s="3876"/>
      <c r="J89" s="4406"/>
      <c r="K89" s="110"/>
      <c r="L89" s="110"/>
      <c r="M89" s="110"/>
      <c r="N89" s="197"/>
      <c r="O89" s="49"/>
      <c r="P89" s="49"/>
      <c r="Q89" s="49"/>
      <c r="R89" s="49"/>
      <c r="S89" s="49"/>
      <c r="T89" s="49"/>
      <c r="U89" s="49"/>
      <c r="V89" s="49"/>
      <c r="W89" s="49"/>
      <c r="X89" s="49"/>
      <c r="Y89" s="49"/>
      <c r="Z89" s="49"/>
      <c r="AA89" s="49"/>
      <c r="AB89" s="49"/>
      <c r="AC89" s="49"/>
      <c r="AD89" s="49"/>
      <c r="AE89" s="49"/>
      <c r="AF89" s="54"/>
      <c r="AG89" s="62"/>
      <c r="AH89" s="62"/>
    </row>
    <row r="90" spans="2:34" ht="14.25" customHeight="1">
      <c r="B90" s="199"/>
      <c r="C90" s="199"/>
      <c r="D90" s="199"/>
      <c r="E90" s="199"/>
      <c r="F90" s="199"/>
      <c r="G90" s="199"/>
      <c r="H90" s="199"/>
      <c r="I90" s="199"/>
      <c r="J90" s="199"/>
      <c r="K90" s="110"/>
      <c r="L90" s="110"/>
      <c r="M90" s="110"/>
      <c r="N90" s="197"/>
      <c r="O90" s="49"/>
      <c r="P90" s="49"/>
      <c r="Q90" s="3319" t="s">
        <v>8656</v>
      </c>
      <c r="R90" s="3320"/>
      <c r="S90" s="3320"/>
      <c r="T90" s="3320"/>
      <c r="U90" s="3320"/>
      <c r="V90" s="3320"/>
      <c r="W90" s="3320"/>
      <c r="X90" s="3320"/>
      <c r="Y90" s="3320"/>
      <c r="Z90" s="3320"/>
      <c r="AA90" s="3320"/>
      <c r="AB90" s="3320"/>
      <c r="AC90" s="3320"/>
      <c r="AD90" s="3320"/>
      <c r="AE90" s="3321"/>
      <c r="AF90" s="54"/>
    </row>
    <row r="91" spans="2:34" ht="14.25" customHeight="1">
      <c r="B91" s="198"/>
      <c r="C91" s="198"/>
      <c r="D91" s="198"/>
      <c r="E91" s="198"/>
      <c r="F91" s="198"/>
      <c r="G91" s="198"/>
      <c r="H91" s="198"/>
      <c r="I91" s="49"/>
      <c r="J91" s="49"/>
      <c r="K91" s="110"/>
      <c r="L91" s="110"/>
      <c r="M91" s="49"/>
      <c r="N91" s="49"/>
      <c r="O91" s="49"/>
      <c r="P91" s="49"/>
      <c r="Q91" s="3322"/>
      <c r="R91" s="3323"/>
      <c r="S91" s="3323"/>
      <c r="T91" s="3323"/>
      <c r="U91" s="3323"/>
      <c r="V91" s="3323"/>
      <c r="W91" s="3323"/>
      <c r="X91" s="3323"/>
      <c r="Y91" s="3323"/>
      <c r="Z91" s="3323"/>
      <c r="AA91" s="3323"/>
      <c r="AB91" s="3323"/>
      <c r="AC91" s="3323"/>
      <c r="AD91" s="3323"/>
      <c r="AE91" s="3324"/>
      <c r="AF91" s="54"/>
    </row>
    <row r="92" spans="2:34" ht="14.25" customHeight="1">
      <c r="B92" s="198"/>
      <c r="C92" s="198"/>
      <c r="D92" s="198"/>
      <c r="E92" s="198"/>
      <c r="F92" s="198"/>
      <c r="G92" s="198"/>
      <c r="H92" s="198"/>
      <c r="I92" s="49"/>
      <c r="J92" s="49"/>
      <c r="K92" s="110"/>
      <c r="L92" s="110"/>
      <c r="M92" s="49"/>
      <c r="N92" s="49"/>
      <c r="O92" s="49"/>
      <c r="P92" s="49"/>
      <c r="Q92" s="3325"/>
      <c r="R92" s="3326"/>
      <c r="S92" s="3326"/>
      <c r="T92" s="3326"/>
      <c r="U92" s="3326"/>
      <c r="V92" s="3326"/>
      <c r="W92" s="3326"/>
      <c r="X92" s="3326"/>
      <c r="Y92" s="3326"/>
      <c r="Z92" s="3326"/>
      <c r="AA92" s="3326"/>
      <c r="AB92" s="3326"/>
      <c r="AC92" s="3326"/>
      <c r="AD92" s="3326"/>
      <c r="AE92" s="3327"/>
      <c r="AF92" s="54"/>
    </row>
    <row r="93" spans="2:34" ht="14.25" customHeight="1">
      <c r="B93" s="198"/>
      <c r="C93" s="198"/>
      <c r="D93" s="198"/>
      <c r="E93" s="198"/>
      <c r="F93" s="198"/>
      <c r="G93" s="198"/>
      <c r="H93" s="198"/>
      <c r="I93" s="49"/>
      <c r="J93" s="49"/>
      <c r="K93" s="110"/>
      <c r="L93" s="110"/>
      <c r="M93" s="49"/>
      <c r="N93" s="49"/>
      <c r="O93" s="49"/>
      <c r="P93" s="49"/>
      <c r="Q93" s="200"/>
      <c r="R93" s="200"/>
      <c r="S93" s="200"/>
      <c r="T93" s="200"/>
      <c r="U93" s="200"/>
      <c r="V93" s="200"/>
      <c r="W93" s="200"/>
      <c r="X93" s="200"/>
      <c r="Y93" s="200"/>
      <c r="Z93" s="200"/>
      <c r="AA93" s="200"/>
      <c r="AB93" s="200"/>
      <c r="AC93" s="200"/>
      <c r="AD93" s="200"/>
      <c r="AE93" s="200"/>
      <c r="AF93" s="54"/>
    </row>
    <row r="94" spans="2:34" ht="14.25" customHeight="1">
      <c r="B94" s="198"/>
      <c r="C94" s="198"/>
      <c r="D94" s="198"/>
      <c r="E94" s="198"/>
      <c r="F94" s="198"/>
      <c r="G94" s="198"/>
      <c r="H94" s="198"/>
      <c r="I94" s="49"/>
      <c r="J94" s="49"/>
      <c r="K94" s="110"/>
      <c r="L94" s="110"/>
      <c r="M94" s="49"/>
      <c r="N94" s="49"/>
      <c r="O94" s="49"/>
      <c r="P94" s="49"/>
      <c r="Q94" s="3426" t="s">
        <v>8657</v>
      </c>
      <c r="R94" s="3427"/>
      <c r="S94" s="3427"/>
      <c r="T94" s="3427"/>
      <c r="U94" s="3427"/>
      <c r="V94" s="3428"/>
      <c r="W94" s="201"/>
      <c r="X94" s="4408" t="s">
        <v>8658</v>
      </c>
      <c r="Y94" s="4409"/>
      <c r="Z94" s="4409"/>
      <c r="AA94" s="4409"/>
      <c r="AB94" s="4409"/>
      <c r="AC94" s="4409"/>
      <c r="AD94" s="4409"/>
      <c r="AE94" s="4410"/>
      <c r="AF94" s="54"/>
    </row>
    <row r="95" spans="2:34" ht="14.25" customHeight="1">
      <c r="B95" s="198"/>
      <c r="C95" s="198"/>
      <c r="D95" s="198"/>
      <c r="E95" s="198"/>
      <c r="F95" s="198"/>
      <c r="G95" s="198"/>
      <c r="H95" s="198"/>
      <c r="I95" s="49"/>
      <c r="J95" s="49"/>
      <c r="K95" s="110"/>
      <c r="L95" s="110"/>
      <c r="M95" s="49"/>
      <c r="N95" s="49"/>
      <c r="O95" s="49"/>
      <c r="P95" s="49"/>
      <c r="Q95" s="3429"/>
      <c r="R95" s="3430"/>
      <c r="S95" s="3430"/>
      <c r="T95" s="3430"/>
      <c r="U95" s="3430"/>
      <c r="V95" s="3431"/>
      <c r="W95" s="201"/>
      <c r="X95" s="4411"/>
      <c r="Y95" s="4412"/>
      <c r="Z95" s="4412"/>
      <c r="AA95" s="4412"/>
      <c r="AB95" s="4412"/>
      <c r="AC95" s="4412"/>
      <c r="AD95" s="4412"/>
      <c r="AE95" s="4413"/>
      <c r="AF95" s="54"/>
    </row>
    <row r="96" spans="2:34" ht="14.25" customHeight="1">
      <c r="B96" s="198"/>
      <c r="C96" s="198"/>
      <c r="D96" s="198"/>
      <c r="E96" s="198"/>
      <c r="F96" s="198"/>
      <c r="G96" s="198"/>
      <c r="H96" s="198"/>
      <c r="I96" s="49"/>
      <c r="J96" s="49"/>
      <c r="K96" s="110"/>
      <c r="L96" s="110"/>
      <c r="M96" s="49"/>
      <c r="N96" s="49"/>
      <c r="O96" s="49"/>
      <c r="P96" s="49"/>
      <c r="Q96" s="3310" t="s">
        <v>8659</v>
      </c>
      <c r="R96" s="3311"/>
      <c r="S96" s="3311"/>
      <c r="T96" s="3311"/>
      <c r="U96" s="3311"/>
      <c r="V96" s="3312"/>
      <c r="W96" s="202"/>
      <c r="X96" s="4391" t="s">
        <v>8660</v>
      </c>
      <c r="Y96" s="4254"/>
      <c r="Z96" s="4254"/>
      <c r="AA96" s="4254"/>
      <c r="AB96" s="4273"/>
      <c r="AC96" s="4283" t="s">
        <v>8661</v>
      </c>
      <c r="AD96" s="4254"/>
      <c r="AE96" s="4255"/>
      <c r="AF96" s="54"/>
    </row>
    <row r="97" spans="1:32" ht="14.25" customHeight="1">
      <c r="B97" s="198"/>
      <c r="C97" s="198"/>
      <c r="D97" s="198"/>
      <c r="E97" s="198"/>
      <c r="F97" s="198"/>
      <c r="G97" s="198"/>
      <c r="H97" s="198"/>
      <c r="I97" s="49"/>
      <c r="J97" s="49"/>
      <c r="K97" s="110"/>
      <c r="L97" s="110"/>
      <c r="M97" s="49"/>
      <c r="N97" s="49"/>
      <c r="O97" s="49"/>
      <c r="P97" s="49"/>
      <c r="Q97" s="3313"/>
      <c r="R97" s="3314"/>
      <c r="S97" s="3314"/>
      <c r="T97" s="3314"/>
      <c r="U97" s="3314"/>
      <c r="V97" s="3315"/>
      <c r="W97" s="202"/>
      <c r="X97" s="3297"/>
      <c r="Y97" s="3288"/>
      <c r="Z97" s="3288"/>
      <c r="AA97" s="3288"/>
      <c r="AB97" s="4274"/>
      <c r="AC97" s="203" t="s">
        <v>8662</v>
      </c>
      <c r="AD97" s="4283" t="s">
        <v>8663</v>
      </c>
      <c r="AE97" s="4255"/>
      <c r="AF97" s="54"/>
    </row>
    <row r="98" spans="1:32" ht="14.25" customHeight="1">
      <c r="B98" s="198"/>
      <c r="C98" s="198"/>
      <c r="D98" s="198"/>
      <c r="E98" s="198"/>
      <c r="F98" s="198"/>
      <c r="G98" s="198"/>
      <c r="H98" s="198"/>
      <c r="I98" s="49"/>
      <c r="J98" s="49"/>
      <c r="K98" s="4297"/>
      <c r="L98" s="4297"/>
      <c r="M98" s="49"/>
      <c r="N98" s="4297"/>
      <c r="O98" s="4297"/>
      <c r="P98" s="49"/>
      <c r="Q98" s="3313"/>
      <c r="R98" s="3314"/>
      <c r="S98" s="3314"/>
      <c r="T98" s="3314"/>
      <c r="U98" s="3314"/>
      <c r="V98" s="3315"/>
      <c r="W98" s="202"/>
      <c r="X98" s="3297"/>
      <c r="Y98" s="3288"/>
      <c r="Z98" s="3288"/>
      <c r="AA98" s="3288"/>
      <c r="AB98" s="4401"/>
      <c r="AC98" s="204" t="s">
        <v>8664</v>
      </c>
      <c r="AD98" s="4407" t="s">
        <v>8665</v>
      </c>
      <c r="AE98" s="4267"/>
      <c r="AF98" s="54"/>
    </row>
    <row r="99" spans="1:32" ht="14.25" customHeight="1">
      <c r="B99" s="198"/>
      <c r="C99" s="198"/>
      <c r="D99" s="198"/>
      <c r="E99" s="198"/>
      <c r="F99" s="198"/>
      <c r="G99" s="198"/>
      <c r="H99" s="198"/>
      <c r="I99" s="49"/>
      <c r="J99" s="49"/>
      <c r="K99" s="4297"/>
      <c r="L99" s="4297"/>
      <c r="M99" s="49"/>
      <c r="N99" s="4297"/>
      <c r="O99" s="4297"/>
      <c r="P99" s="49"/>
      <c r="Q99" s="3313"/>
      <c r="R99" s="3314"/>
      <c r="S99" s="3314"/>
      <c r="T99" s="3314"/>
      <c r="U99" s="3314"/>
      <c r="V99" s="3315"/>
      <c r="W99" s="202"/>
      <c r="X99" s="3297"/>
      <c r="Y99" s="3288"/>
      <c r="Z99" s="3288"/>
      <c r="AA99" s="3288"/>
      <c r="AB99" s="4401"/>
      <c r="AC99" s="205" t="s">
        <v>8666</v>
      </c>
      <c r="AD99" s="4284" t="s">
        <v>8667</v>
      </c>
      <c r="AE99" s="4258"/>
      <c r="AF99" s="54"/>
    </row>
    <row r="100" spans="1:32" ht="14.25" customHeight="1">
      <c r="B100" s="198"/>
      <c r="C100" s="198"/>
      <c r="D100" s="198"/>
      <c r="E100" s="198"/>
      <c r="F100" s="198"/>
      <c r="G100" s="198"/>
      <c r="H100" s="198"/>
      <c r="I100" s="49"/>
      <c r="J100" s="49"/>
      <c r="K100" s="4297"/>
      <c r="L100" s="4297"/>
      <c r="M100" s="49"/>
      <c r="N100" s="4297"/>
      <c r="O100" s="4297"/>
      <c r="P100" s="49"/>
      <c r="Q100" s="3316"/>
      <c r="R100" s="3317"/>
      <c r="S100" s="3317"/>
      <c r="T100" s="3317"/>
      <c r="U100" s="3317"/>
      <c r="V100" s="3318"/>
      <c r="W100" s="202"/>
      <c r="X100" s="4392"/>
      <c r="Y100" s="4257"/>
      <c r="Z100" s="4257"/>
      <c r="AA100" s="4257"/>
      <c r="AB100" s="4274"/>
      <c r="AC100" s="205" t="s">
        <v>8668</v>
      </c>
      <c r="AD100" s="4284" t="s">
        <v>8669</v>
      </c>
      <c r="AE100" s="4258"/>
      <c r="AF100" s="54"/>
    </row>
    <row r="101" spans="1:32" ht="14.25" customHeight="1">
      <c r="B101" s="198"/>
      <c r="C101" s="198"/>
      <c r="D101" s="198"/>
      <c r="E101" s="198"/>
      <c r="F101" s="198"/>
      <c r="G101" s="198"/>
      <c r="H101" s="198"/>
      <c r="I101" s="49"/>
      <c r="J101" s="49"/>
      <c r="K101" s="4297"/>
      <c r="L101" s="4297"/>
      <c r="M101" s="49"/>
      <c r="N101" s="4297"/>
      <c r="O101" s="4297"/>
      <c r="P101" s="49"/>
      <c r="Q101" s="206"/>
      <c r="R101" s="206"/>
      <c r="S101" s="206"/>
      <c r="T101" s="206"/>
      <c r="U101" s="206"/>
      <c r="V101" s="206"/>
      <c r="W101" s="202"/>
      <c r="X101" s="4414" t="s">
        <v>8670</v>
      </c>
      <c r="Y101" s="4415"/>
      <c r="Z101" s="4415"/>
      <c r="AA101" s="4415"/>
      <c r="AB101" s="4416"/>
      <c r="AC101" s="4415"/>
      <c r="AD101" s="4415"/>
      <c r="AE101" s="4417"/>
      <c r="AF101" s="54"/>
    </row>
    <row r="102" spans="1:32" ht="14.25" customHeight="1">
      <c r="B102" s="198"/>
      <c r="C102" s="198"/>
      <c r="D102" s="198"/>
      <c r="E102" s="198"/>
      <c r="F102" s="198"/>
      <c r="G102" s="198"/>
      <c r="H102" s="198"/>
      <c r="I102" s="49"/>
      <c r="J102" s="49"/>
      <c r="K102" s="4297"/>
      <c r="L102" s="4297"/>
      <c r="M102" s="49"/>
      <c r="N102" s="4297"/>
      <c r="O102" s="4297"/>
      <c r="P102" s="49"/>
      <c r="Q102" s="4422" t="s">
        <v>8671</v>
      </c>
      <c r="R102" s="4423"/>
      <c r="S102" s="4423"/>
      <c r="T102" s="4423"/>
      <c r="U102" s="4423"/>
      <c r="V102" s="4424"/>
      <c r="W102" s="207"/>
      <c r="X102" s="4418"/>
      <c r="Y102" s="4419"/>
      <c r="Z102" s="4419"/>
      <c r="AA102" s="4419"/>
      <c r="AB102" s="4420"/>
      <c r="AC102" s="4419"/>
      <c r="AD102" s="4419"/>
      <c r="AE102" s="4421"/>
      <c r="AF102" s="54"/>
    </row>
    <row r="103" spans="1:32" ht="27.15" customHeight="1">
      <c r="B103" s="198"/>
      <c r="C103" s="198"/>
      <c r="D103" s="198"/>
      <c r="E103" s="198"/>
      <c r="F103" s="198"/>
      <c r="G103" s="198"/>
      <c r="H103" s="198"/>
      <c r="I103" s="49"/>
      <c r="J103" s="49"/>
      <c r="K103" s="4297"/>
      <c r="L103" s="4297"/>
      <c r="M103" s="49"/>
      <c r="N103" s="4297"/>
      <c r="O103" s="4297"/>
      <c r="P103" s="49"/>
      <c r="Q103" s="4425"/>
      <c r="R103" s="4426"/>
      <c r="S103" s="4426"/>
      <c r="T103" s="4426"/>
      <c r="U103" s="4426"/>
      <c r="V103" s="4427"/>
      <c r="W103" s="207"/>
      <c r="X103" s="207"/>
      <c r="Y103" s="207"/>
      <c r="Z103" s="207"/>
      <c r="AA103" s="207"/>
      <c r="AB103" s="207"/>
      <c r="AC103" s="207"/>
      <c r="AD103" s="202"/>
      <c r="AE103" s="202"/>
      <c r="AF103" s="54"/>
    </row>
    <row r="104" spans="1:32" ht="27.15" customHeight="1">
      <c r="B104" s="198"/>
      <c r="C104" s="198"/>
      <c r="D104" s="198"/>
      <c r="E104" s="198"/>
      <c r="F104" s="198"/>
      <c r="G104" s="198"/>
      <c r="H104" s="198"/>
      <c r="I104" s="49"/>
      <c r="J104" s="49"/>
      <c r="K104" s="4297"/>
      <c r="L104" s="4297"/>
      <c r="M104" s="49"/>
      <c r="N104" s="4297"/>
      <c r="O104" s="4297"/>
      <c r="P104" s="49"/>
      <c r="Q104" s="3087" t="s">
        <v>8672</v>
      </c>
      <c r="R104" s="3076"/>
      <c r="S104" s="3076"/>
      <c r="T104" s="3076"/>
      <c r="U104" s="3076"/>
      <c r="V104" s="3484"/>
      <c r="W104" s="208"/>
      <c r="X104" s="4408" t="s">
        <v>8673</v>
      </c>
      <c r="Y104" s="4409"/>
      <c r="Z104" s="4409"/>
      <c r="AA104" s="4409"/>
      <c r="AB104" s="4409"/>
      <c r="AC104" s="4409"/>
      <c r="AD104" s="4409"/>
      <c r="AE104" s="4410"/>
      <c r="AF104" s="54"/>
    </row>
    <row r="105" spans="1:32" ht="27.15" customHeight="1">
      <c r="A105" s="209"/>
      <c r="B105" s="198"/>
      <c r="C105" s="198"/>
      <c r="D105" s="198"/>
      <c r="E105" s="198"/>
      <c r="F105" s="198"/>
      <c r="G105" s="198"/>
      <c r="H105" s="198"/>
      <c r="I105" s="49"/>
      <c r="J105" s="49"/>
      <c r="K105" s="4297"/>
      <c r="L105" s="4297"/>
      <c r="M105" s="49"/>
      <c r="N105" s="4297"/>
      <c r="O105" s="4297"/>
      <c r="P105" s="49"/>
      <c r="Q105" s="4428"/>
      <c r="R105" s="3478"/>
      <c r="S105" s="3478"/>
      <c r="T105" s="3478"/>
      <c r="U105" s="3478"/>
      <c r="V105" s="3479"/>
      <c r="W105" s="208"/>
      <c r="X105" s="4411"/>
      <c r="Y105" s="4412"/>
      <c r="Z105" s="4412"/>
      <c r="AA105" s="4412"/>
      <c r="AB105" s="4412"/>
      <c r="AC105" s="4429"/>
      <c r="AD105" s="4429"/>
      <c r="AE105" s="4430"/>
      <c r="AF105" s="54"/>
    </row>
    <row r="106" spans="1:32" ht="27.15" customHeight="1">
      <c r="A106" s="209"/>
      <c r="B106" s="198"/>
      <c r="C106" s="198"/>
      <c r="D106" s="198"/>
      <c r="E106" s="198"/>
      <c r="F106" s="198"/>
      <c r="G106" s="198"/>
      <c r="H106" s="198"/>
      <c r="I106" s="49"/>
      <c r="J106" s="49"/>
      <c r="K106" s="4262"/>
      <c r="L106" s="4262"/>
      <c r="M106" s="4262"/>
      <c r="N106" s="4262"/>
      <c r="O106" s="4262"/>
      <c r="P106" s="49"/>
      <c r="Q106" s="3435" t="s">
        <v>8674</v>
      </c>
      <c r="R106" s="4393"/>
      <c r="S106" s="4396" t="s">
        <v>8675</v>
      </c>
      <c r="T106" s="3436"/>
      <c r="U106" s="3436"/>
      <c r="V106" s="4397"/>
      <c r="W106" s="202"/>
      <c r="X106" s="4391" t="s">
        <v>8676</v>
      </c>
      <c r="Y106" s="4254"/>
      <c r="Z106" s="4254"/>
      <c r="AA106" s="4273"/>
      <c r="AB106" s="4283" t="s">
        <v>8677</v>
      </c>
      <c r="AC106" s="3288" t="s">
        <v>8678</v>
      </c>
      <c r="AD106" s="3288"/>
      <c r="AE106" s="3289"/>
      <c r="AF106" s="54"/>
    </row>
    <row r="107" spans="1:32" ht="27.15" customHeight="1">
      <c r="A107" s="209"/>
      <c r="B107" s="198"/>
      <c r="C107" s="198"/>
      <c r="D107" s="198"/>
      <c r="E107" s="198"/>
      <c r="F107" s="198"/>
      <c r="G107" s="198"/>
      <c r="H107" s="198"/>
      <c r="I107" s="49"/>
      <c r="J107" s="49"/>
      <c r="K107" s="49"/>
      <c r="L107" s="49"/>
      <c r="M107" s="49"/>
      <c r="N107" s="49"/>
      <c r="O107" s="49"/>
      <c r="P107" s="49"/>
      <c r="Q107" s="3435"/>
      <c r="R107" s="4393"/>
      <c r="S107" s="4396"/>
      <c r="T107" s="3436"/>
      <c r="U107" s="3436"/>
      <c r="V107" s="4397"/>
      <c r="W107" s="202"/>
      <c r="X107" s="3297"/>
      <c r="Y107" s="3288"/>
      <c r="Z107" s="3288"/>
      <c r="AA107" s="4401"/>
      <c r="AB107" s="4284"/>
      <c r="AC107" s="3288"/>
      <c r="AD107" s="3288"/>
      <c r="AE107" s="3289"/>
      <c r="AF107" s="54"/>
    </row>
    <row r="108" spans="1:32" ht="15" customHeight="1">
      <c r="A108" s="209"/>
      <c r="B108" s="198"/>
      <c r="C108" s="198"/>
      <c r="D108" s="198"/>
      <c r="E108" s="198"/>
      <c r="F108" s="198"/>
      <c r="G108" s="198"/>
      <c r="H108" s="198"/>
      <c r="I108" s="49"/>
      <c r="J108" s="49"/>
      <c r="K108" s="4262"/>
      <c r="L108" s="4262"/>
      <c r="M108" s="4262"/>
      <c r="N108" s="4262"/>
      <c r="O108" s="4262"/>
      <c r="P108" s="49"/>
      <c r="Q108" s="3435"/>
      <c r="R108" s="4393"/>
      <c r="S108" s="4398"/>
      <c r="T108" s="4399"/>
      <c r="U108" s="4399"/>
      <c r="V108" s="4400"/>
      <c r="W108" s="202"/>
      <c r="X108" s="3297"/>
      <c r="Y108" s="3288"/>
      <c r="Z108" s="3288"/>
      <c r="AA108" s="3288"/>
      <c r="AB108" s="4264" t="s">
        <v>8679</v>
      </c>
      <c r="AC108" s="4253" t="s">
        <v>8680</v>
      </c>
      <c r="AD108" s="4254"/>
      <c r="AE108" s="4255"/>
      <c r="AF108" s="54"/>
    </row>
    <row r="109" spans="1:32" ht="16.5">
      <c r="A109" s="209"/>
      <c r="B109" s="198"/>
      <c r="C109" s="198"/>
      <c r="D109" s="198"/>
      <c r="E109" s="198"/>
      <c r="F109" s="198"/>
      <c r="G109" s="198"/>
      <c r="H109" s="198"/>
      <c r="I109" s="49"/>
      <c r="J109" s="49"/>
      <c r="K109" s="4262"/>
      <c r="L109" s="4262"/>
      <c r="M109" s="49"/>
      <c r="N109" s="4262"/>
      <c r="O109" s="4262"/>
      <c r="P109" s="49"/>
      <c r="Q109" s="3435"/>
      <c r="R109" s="4393"/>
      <c r="S109" s="4259" t="s">
        <v>8681</v>
      </c>
      <c r="T109" s="3314"/>
      <c r="U109" s="3314" t="s">
        <v>8682</v>
      </c>
      <c r="V109" s="3315" t="s">
        <v>8683</v>
      </c>
      <c r="W109" s="202"/>
      <c r="X109" s="3297"/>
      <c r="Y109" s="3288"/>
      <c r="Z109" s="3288"/>
      <c r="AA109" s="3288"/>
      <c r="AB109" s="4264"/>
      <c r="AC109" s="4256"/>
      <c r="AD109" s="4257"/>
      <c r="AE109" s="4258"/>
      <c r="AF109" s="54"/>
    </row>
    <row r="110" spans="1:32" ht="16.5">
      <c r="A110" s="209"/>
      <c r="B110" s="198"/>
      <c r="C110" s="198"/>
      <c r="D110" s="198"/>
      <c r="E110" s="198"/>
      <c r="F110" s="198"/>
      <c r="G110" s="198"/>
      <c r="H110" s="198"/>
      <c r="I110" s="49"/>
      <c r="J110" s="49"/>
      <c r="K110" s="4262"/>
      <c r="L110" s="4262"/>
      <c r="M110" s="159"/>
      <c r="N110" s="4262"/>
      <c r="O110" s="4262"/>
      <c r="P110" s="49"/>
      <c r="Q110" s="3435"/>
      <c r="R110" s="4393"/>
      <c r="S110" s="4259"/>
      <c r="T110" s="3314"/>
      <c r="U110" s="3314"/>
      <c r="V110" s="3315"/>
      <c r="W110" s="202"/>
      <c r="X110" s="4087" t="s">
        <v>8684</v>
      </c>
      <c r="Y110" s="4088"/>
      <c r="Z110" s="4088"/>
      <c r="AA110" s="4263"/>
      <c r="AB110" s="4285" t="s">
        <v>8685</v>
      </c>
      <c r="AC110" s="4264" t="s">
        <v>8686</v>
      </c>
      <c r="AD110" s="3288"/>
      <c r="AE110" s="3289"/>
      <c r="AF110" s="54"/>
    </row>
    <row r="111" spans="1:32" ht="16" customHeight="1">
      <c r="A111" s="209"/>
      <c r="B111" s="198"/>
      <c r="C111" s="198"/>
      <c r="D111" s="198"/>
      <c r="E111" s="198"/>
      <c r="F111" s="198"/>
      <c r="G111" s="198"/>
      <c r="H111" s="198"/>
      <c r="I111" s="49"/>
      <c r="J111" s="49"/>
      <c r="K111" s="4262"/>
      <c r="L111" s="4262"/>
      <c r="M111" s="159"/>
      <c r="N111" s="4262"/>
      <c r="O111" s="4262"/>
      <c r="P111" s="49"/>
      <c r="Q111" s="3435"/>
      <c r="R111" s="4393"/>
      <c r="S111" s="4259"/>
      <c r="T111" s="3314"/>
      <c r="U111" s="3314"/>
      <c r="V111" s="3315"/>
      <c r="W111" s="202"/>
      <c r="X111" s="4087"/>
      <c r="Y111" s="4088"/>
      <c r="Z111" s="4088"/>
      <c r="AA111" s="4263"/>
      <c r="AB111" s="4088"/>
      <c r="AC111" s="4264"/>
      <c r="AD111" s="3288"/>
      <c r="AE111" s="3289"/>
      <c r="AF111" s="54"/>
    </row>
    <row r="112" spans="1:32" ht="16.5">
      <c r="A112" s="209"/>
      <c r="B112" s="198"/>
      <c r="C112" s="198"/>
      <c r="D112" s="198"/>
      <c r="E112" s="198"/>
      <c r="F112" s="198"/>
      <c r="G112" s="198"/>
      <c r="H112" s="198"/>
      <c r="I112" s="49"/>
      <c r="J112" s="49"/>
      <c r="K112" s="4262"/>
      <c r="L112" s="4262"/>
      <c r="M112" s="159"/>
      <c r="N112" s="4262"/>
      <c r="O112" s="4262"/>
      <c r="P112" s="49"/>
      <c r="Q112" s="4394"/>
      <c r="R112" s="4395"/>
      <c r="S112" s="4260"/>
      <c r="T112" s="4261"/>
      <c r="U112" s="4261"/>
      <c r="V112" s="4390"/>
      <c r="W112" s="202"/>
      <c r="X112" s="4087"/>
      <c r="Y112" s="4088"/>
      <c r="Z112" s="4088"/>
      <c r="AA112" s="4263"/>
      <c r="AB112" s="4271"/>
      <c r="AC112" s="4265"/>
      <c r="AD112" s="4266"/>
      <c r="AE112" s="4267"/>
      <c r="AF112" s="54"/>
    </row>
    <row r="113" spans="1:32" ht="16.5">
      <c r="A113" s="209"/>
      <c r="B113" s="198"/>
      <c r="C113" s="198"/>
      <c r="D113" s="198"/>
      <c r="E113" s="198"/>
      <c r="F113" s="198"/>
      <c r="G113" s="198"/>
      <c r="H113" s="198"/>
      <c r="I113" s="49"/>
      <c r="J113" s="49"/>
      <c r="K113" s="4262"/>
      <c r="L113" s="4262"/>
      <c r="M113" s="159"/>
      <c r="N113" s="4262"/>
      <c r="O113" s="4262"/>
      <c r="P113" s="49"/>
      <c r="Q113" s="3313" t="s">
        <v>8687</v>
      </c>
      <c r="R113" s="3314"/>
      <c r="S113" s="3314"/>
      <c r="T113" s="3314"/>
      <c r="U113" s="3314"/>
      <c r="V113" s="3315"/>
      <c r="W113" s="202"/>
      <c r="X113" s="4087"/>
      <c r="Y113" s="4088"/>
      <c r="Z113" s="4088"/>
      <c r="AA113" s="4263"/>
      <c r="AB113" s="4268" t="s">
        <v>8688</v>
      </c>
      <c r="AC113" s="4088"/>
      <c r="AD113" s="4088"/>
      <c r="AE113" s="4269"/>
      <c r="AF113" s="54"/>
    </row>
    <row r="114" spans="1:32" ht="16.5">
      <c r="A114" s="209"/>
      <c r="B114" s="198"/>
      <c r="C114" s="198"/>
      <c r="D114" s="198"/>
      <c r="E114" s="198"/>
      <c r="F114" s="198"/>
      <c r="G114" s="198"/>
      <c r="H114" s="198"/>
      <c r="I114" s="49"/>
      <c r="J114" s="49"/>
      <c r="K114" s="3914"/>
      <c r="L114" s="3914"/>
      <c r="M114" s="210"/>
      <c r="N114" s="3914"/>
      <c r="O114" s="3914"/>
      <c r="P114" s="211"/>
      <c r="Q114" s="3313"/>
      <c r="R114" s="3314"/>
      <c r="S114" s="3314"/>
      <c r="T114" s="3314"/>
      <c r="U114" s="3314"/>
      <c r="V114" s="3315"/>
      <c r="W114" s="202"/>
      <c r="X114" s="4384" t="s">
        <v>8689</v>
      </c>
      <c r="Y114" s="4385"/>
      <c r="Z114" s="4385"/>
      <c r="AA114" s="4386"/>
      <c r="AB114" s="4270"/>
      <c r="AC114" s="4271"/>
      <c r="AD114" s="4271"/>
      <c r="AE114" s="4272"/>
      <c r="AF114" s="54"/>
    </row>
    <row r="115" spans="1:32" ht="16.5">
      <c r="A115" s="209"/>
      <c r="B115" s="198"/>
      <c r="C115" s="198"/>
      <c r="D115" s="198"/>
      <c r="E115" s="198"/>
      <c r="F115" s="198"/>
      <c r="G115" s="198"/>
      <c r="H115" s="198"/>
      <c r="I115" s="49"/>
      <c r="J115" s="49"/>
      <c r="K115" s="3914"/>
      <c r="L115" s="3914"/>
      <c r="M115" s="210"/>
      <c r="N115" s="3914"/>
      <c r="O115" s="3914"/>
      <c r="P115" s="211"/>
      <c r="Q115" s="3316"/>
      <c r="R115" s="3317"/>
      <c r="S115" s="3317"/>
      <c r="T115" s="3317"/>
      <c r="U115" s="3317"/>
      <c r="V115" s="3318"/>
      <c r="W115" s="202"/>
      <c r="X115" s="4391" t="s">
        <v>8690</v>
      </c>
      <c r="Y115" s="4254" t="s">
        <v>8691</v>
      </c>
      <c r="Z115" s="4254" t="s">
        <v>8692</v>
      </c>
      <c r="AA115" s="4254"/>
      <c r="AB115" s="4254"/>
      <c r="AC115" s="4273"/>
      <c r="AD115" s="4253" t="s">
        <v>8693</v>
      </c>
      <c r="AE115" s="4255"/>
      <c r="AF115" s="54"/>
    </row>
    <row r="116" spans="1:32" ht="16.5">
      <c r="A116" s="209"/>
      <c r="B116" s="198"/>
      <c r="C116" s="198"/>
      <c r="D116" s="198"/>
      <c r="E116" s="198"/>
      <c r="F116" s="198"/>
      <c r="G116" s="198"/>
      <c r="H116" s="198"/>
      <c r="I116" s="49"/>
      <c r="J116" s="49"/>
      <c r="K116" s="3914"/>
      <c r="L116" s="3914"/>
      <c r="M116" s="210"/>
      <c r="N116" s="3914"/>
      <c r="O116" s="3914"/>
      <c r="P116" s="211"/>
      <c r="Q116" s="200"/>
      <c r="R116" s="200"/>
      <c r="S116" s="200"/>
      <c r="T116" s="200"/>
      <c r="U116" s="200"/>
      <c r="V116" s="200"/>
      <c r="W116" s="212"/>
      <c r="X116" s="4392"/>
      <c r="Y116" s="4257"/>
      <c r="Z116" s="4257"/>
      <c r="AA116" s="4257"/>
      <c r="AB116" s="4257"/>
      <c r="AC116" s="4274"/>
      <c r="AD116" s="4264"/>
      <c r="AE116" s="3289"/>
      <c r="AF116" s="54"/>
    </row>
    <row r="117" spans="1:32" ht="16.5">
      <c r="A117" s="209"/>
      <c r="B117" s="198"/>
      <c r="C117" s="198"/>
      <c r="D117" s="198"/>
      <c r="E117" s="198"/>
      <c r="F117" s="198"/>
      <c r="G117" s="198"/>
      <c r="H117" s="198"/>
      <c r="I117" s="49"/>
      <c r="J117" s="49"/>
      <c r="K117" s="3914"/>
      <c r="L117" s="3914"/>
      <c r="M117" s="210"/>
      <c r="N117" s="3914"/>
      <c r="O117" s="3914"/>
      <c r="P117" s="211"/>
      <c r="Q117" s="200"/>
      <c r="R117" s="200"/>
      <c r="S117" s="200"/>
      <c r="T117" s="200"/>
      <c r="U117" s="200"/>
      <c r="V117" s="200"/>
      <c r="W117" s="212"/>
      <c r="X117" s="4391" t="s">
        <v>8694</v>
      </c>
      <c r="Y117" s="4254" t="s">
        <v>8695</v>
      </c>
      <c r="Z117" s="4254" t="s">
        <v>8696</v>
      </c>
      <c r="AA117" s="4254"/>
      <c r="AB117" s="4254"/>
      <c r="AC117" s="4273"/>
      <c r="AD117" s="4264"/>
      <c r="AE117" s="3289"/>
      <c r="AF117" s="54"/>
    </row>
    <row r="118" spans="1:32" ht="16.5">
      <c r="A118" s="209"/>
      <c r="B118" s="198"/>
      <c r="C118" s="198"/>
      <c r="D118" s="198"/>
      <c r="E118" s="198"/>
      <c r="F118" s="198"/>
      <c r="G118" s="198"/>
      <c r="H118" s="198"/>
      <c r="I118" s="49"/>
      <c r="J118" s="49"/>
      <c r="K118" s="211"/>
      <c r="L118" s="211"/>
      <c r="M118" s="211"/>
      <c r="N118" s="211"/>
      <c r="O118" s="211"/>
      <c r="P118" s="211"/>
      <c r="Q118" s="200"/>
      <c r="R118" s="200"/>
      <c r="S118" s="200"/>
      <c r="T118" s="200"/>
      <c r="U118" s="200"/>
      <c r="V118" s="200"/>
      <c r="W118" s="212"/>
      <c r="X118" s="4392"/>
      <c r="Y118" s="4257"/>
      <c r="Z118" s="4257"/>
      <c r="AA118" s="4257"/>
      <c r="AB118" s="4257"/>
      <c r="AC118" s="4274"/>
      <c r="AD118" s="4264"/>
      <c r="AE118" s="3289"/>
      <c r="AF118" s="54"/>
    </row>
    <row r="119" spans="1:32" ht="16.5">
      <c r="A119" s="209"/>
      <c r="B119" s="198"/>
      <c r="C119" s="198"/>
      <c r="D119" s="198"/>
      <c r="E119" s="198"/>
      <c r="F119" s="198"/>
      <c r="G119" s="198"/>
      <c r="H119" s="198"/>
      <c r="I119" s="49"/>
      <c r="J119" s="49"/>
      <c r="K119" s="211"/>
      <c r="L119" s="211"/>
      <c r="M119" s="211"/>
      <c r="N119" s="211"/>
      <c r="O119" s="211"/>
      <c r="P119" s="211"/>
      <c r="Q119" s="200"/>
      <c r="R119" s="200"/>
      <c r="S119" s="200"/>
      <c r="T119" s="200"/>
      <c r="U119" s="200"/>
      <c r="V119" s="200"/>
      <c r="W119" s="212"/>
      <c r="X119" s="4391" t="s">
        <v>8697</v>
      </c>
      <c r="Y119" s="4254" t="s">
        <v>650</v>
      </c>
      <c r="Z119" s="4254" t="s">
        <v>8698</v>
      </c>
      <c r="AA119" s="4254"/>
      <c r="AB119" s="4254"/>
      <c r="AC119" s="4273"/>
      <c r="AD119" s="4264"/>
      <c r="AE119" s="3289"/>
    </row>
    <row r="120" spans="1:32" ht="16.5">
      <c r="A120" s="209"/>
      <c r="B120" s="213"/>
      <c r="C120" s="213"/>
      <c r="D120" s="213"/>
      <c r="E120" s="213"/>
      <c r="F120" s="213"/>
      <c r="G120" s="213"/>
      <c r="H120" s="213"/>
      <c r="I120" s="211"/>
      <c r="J120" s="211"/>
      <c r="K120" s="211"/>
      <c r="L120" s="211"/>
      <c r="M120" s="211"/>
      <c r="N120" s="211"/>
      <c r="O120" s="211"/>
      <c r="P120" s="211"/>
      <c r="Q120" s="200"/>
      <c r="R120" s="200"/>
      <c r="S120" s="200"/>
      <c r="T120" s="200"/>
      <c r="U120" s="200"/>
      <c r="V120" s="200"/>
      <c r="W120" s="212"/>
      <c r="X120" s="3298"/>
      <c r="Y120" s="3292"/>
      <c r="Z120" s="3292"/>
      <c r="AA120" s="3292"/>
      <c r="AB120" s="3292"/>
      <c r="AC120" s="4276"/>
      <c r="AD120" s="4275"/>
      <c r="AE120" s="3293"/>
    </row>
    <row r="121" spans="1:32" ht="16.5">
      <c r="A121" s="209"/>
      <c r="B121" s="213"/>
      <c r="C121" s="213"/>
      <c r="D121" s="213"/>
      <c r="E121" s="213"/>
      <c r="F121" s="213"/>
      <c r="G121" s="213"/>
      <c r="H121" s="213"/>
      <c r="I121" s="213"/>
      <c r="J121" s="211"/>
      <c r="K121" s="211"/>
      <c r="L121" s="211"/>
      <c r="M121" s="211"/>
      <c r="N121" s="211"/>
      <c r="O121" s="211"/>
      <c r="P121" s="211"/>
      <c r="Q121" s="103"/>
      <c r="R121" s="103"/>
      <c r="S121" s="103"/>
      <c r="T121" s="103"/>
      <c r="U121" s="103"/>
      <c r="V121" s="103"/>
      <c r="W121" s="103"/>
      <c r="X121" s="103"/>
      <c r="Y121" s="103"/>
      <c r="Z121" s="103"/>
      <c r="AA121" s="103"/>
      <c r="AB121" s="103"/>
      <c r="AC121" s="103"/>
      <c r="AD121" s="103"/>
      <c r="AE121" s="103"/>
    </row>
    <row r="122" spans="1:32" ht="16.5">
      <c r="A122" s="209"/>
      <c r="B122" s="213"/>
      <c r="C122" s="213"/>
      <c r="D122" s="213"/>
      <c r="E122" s="213"/>
      <c r="F122" s="213"/>
      <c r="G122" s="213"/>
      <c r="H122" s="213"/>
      <c r="I122" s="213"/>
      <c r="J122" s="211"/>
      <c r="K122" s="211"/>
      <c r="L122" s="211"/>
      <c r="M122" s="211"/>
      <c r="N122" s="211"/>
      <c r="O122" s="211"/>
      <c r="P122" s="211"/>
      <c r="Q122" s="4247" t="s">
        <v>8699</v>
      </c>
      <c r="R122" s="4248"/>
      <c r="S122" s="4248"/>
      <c r="T122" s="4248"/>
      <c r="U122" s="4248"/>
      <c r="V122" s="4248"/>
      <c r="W122" s="4248"/>
      <c r="X122" s="4248"/>
      <c r="Y122" s="4248"/>
      <c r="Z122" s="4248"/>
      <c r="AA122" s="4248"/>
      <c r="AB122" s="4248"/>
      <c r="AC122" s="4248"/>
      <c r="AD122" s="4248"/>
      <c r="AE122" s="4249"/>
    </row>
    <row r="123" spans="1:32" ht="16.5">
      <c r="A123" s="209"/>
      <c r="B123" s="214"/>
      <c r="C123" s="213"/>
      <c r="D123" s="213"/>
      <c r="E123" s="215"/>
      <c r="F123" s="215"/>
      <c r="G123" s="215"/>
      <c r="H123" s="215"/>
      <c r="I123" s="215"/>
      <c r="J123" s="211"/>
      <c r="K123" s="211"/>
      <c r="L123" s="211"/>
      <c r="M123" s="211"/>
      <c r="N123" s="211"/>
      <c r="O123" s="211"/>
      <c r="P123" s="211"/>
      <c r="Q123" s="4250"/>
      <c r="R123" s="4251"/>
      <c r="S123" s="4251"/>
      <c r="T123" s="4251"/>
      <c r="U123" s="4251"/>
      <c r="V123" s="4251"/>
      <c r="W123" s="4251"/>
      <c r="X123" s="4251"/>
      <c r="Y123" s="4251"/>
      <c r="Z123" s="4251"/>
      <c r="AA123" s="4251"/>
      <c r="AB123" s="4251"/>
      <c r="AC123" s="4251"/>
      <c r="AD123" s="4251"/>
      <c r="AE123" s="4252"/>
    </row>
    <row r="124" spans="1:32" ht="16.5">
      <c r="A124" s="209"/>
      <c r="B124" s="214"/>
      <c r="C124" s="213"/>
      <c r="D124" s="213"/>
      <c r="E124" s="215"/>
      <c r="F124" s="215"/>
      <c r="G124" s="215"/>
      <c r="H124" s="215"/>
      <c r="I124" s="215"/>
      <c r="J124" s="211"/>
      <c r="K124" s="211"/>
      <c r="L124" s="215"/>
      <c r="M124" s="215"/>
      <c r="N124" s="215"/>
      <c r="O124" s="215"/>
      <c r="P124" s="215"/>
      <c r="Q124" s="4250"/>
      <c r="R124" s="4251"/>
      <c r="S124" s="4251"/>
      <c r="T124" s="4251"/>
      <c r="U124" s="4251"/>
      <c r="V124" s="4251"/>
      <c r="W124" s="4251"/>
      <c r="X124" s="4251"/>
      <c r="Y124" s="4251"/>
      <c r="Z124" s="4251"/>
      <c r="AA124" s="4251"/>
      <c r="AB124" s="4251"/>
      <c r="AC124" s="4251"/>
      <c r="AD124" s="4251"/>
      <c r="AE124" s="4252"/>
    </row>
    <row r="125" spans="1:32" ht="16.5">
      <c r="A125" s="209"/>
      <c r="B125" s="214"/>
      <c r="C125" s="213"/>
      <c r="D125" s="213"/>
      <c r="E125" s="215"/>
      <c r="F125" s="215"/>
      <c r="G125" s="215"/>
      <c r="H125" s="215"/>
      <c r="I125" s="215"/>
      <c r="J125" s="211"/>
      <c r="K125" s="211"/>
      <c r="L125" s="215"/>
      <c r="M125" s="215"/>
      <c r="N125" s="215"/>
      <c r="O125" s="215"/>
      <c r="P125" s="215"/>
      <c r="Q125" s="4387" t="s">
        <v>8700</v>
      </c>
      <c r="R125" s="4388"/>
      <c r="S125" s="4388"/>
      <c r="T125" s="4388"/>
      <c r="U125" s="4388"/>
      <c r="V125" s="4388" t="s">
        <v>228</v>
      </c>
      <c r="W125" s="4388"/>
      <c r="X125" s="4388" t="s">
        <v>8701</v>
      </c>
      <c r="Y125" s="4388"/>
      <c r="Z125" s="4388"/>
      <c r="AA125" s="4388"/>
      <c r="AB125" s="4388"/>
      <c r="AC125" s="4388"/>
      <c r="AD125" s="4388"/>
      <c r="AE125" s="4389"/>
    </row>
    <row r="126" spans="1:32" ht="16.5">
      <c r="A126" s="209"/>
      <c r="B126" s="214"/>
      <c r="C126" s="213"/>
      <c r="D126" s="213"/>
      <c r="E126" s="215"/>
      <c r="F126" s="215"/>
      <c r="G126" s="215"/>
      <c r="H126" s="215"/>
      <c r="I126" s="215"/>
      <c r="J126" s="211"/>
      <c r="K126" s="211"/>
      <c r="L126" s="215"/>
      <c r="M126" s="215"/>
      <c r="N126" s="215"/>
      <c r="O126" s="215"/>
      <c r="P126" s="215"/>
      <c r="Q126" s="4238" t="s">
        <v>8702</v>
      </c>
      <c r="R126" s="4239"/>
      <c r="S126" s="4239"/>
      <c r="T126" s="4239"/>
      <c r="U126" s="4239"/>
      <c r="V126" s="3969" t="s">
        <v>8703</v>
      </c>
      <c r="W126" s="3914"/>
      <c r="X126" s="3914" t="s">
        <v>8704</v>
      </c>
      <c r="Y126" s="3914"/>
      <c r="Z126" s="3914"/>
      <c r="AA126" s="3914"/>
      <c r="AB126" s="3914"/>
      <c r="AC126" s="3914"/>
      <c r="AD126" s="3914"/>
      <c r="AE126" s="4243"/>
    </row>
    <row r="127" spans="1:32" ht="16.5">
      <c r="A127" s="209"/>
      <c r="B127" s="214"/>
      <c r="C127" s="213"/>
      <c r="D127" s="213"/>
      <c r="E127" s="215"/>
      <c r="F127" s="215"/>
      <c r="G127" s="215"/>
      <c r="H127" s="215"/>
      <c r="I127" s="215"/>
      <c r="J127" s="211"/>
      <c r="K127" s="211"/>
      <c r="L127" s="215"/>
      <c r="M127" s="215"/>
      <c r="N127" s="215"/>
      <c r="O127" s="215"/>
      <c r="P127" s="215"/>
      <c r="Q127" s="4238"/>
      <c r="R127" s="4239"/>
      <c r="S127" s="4239"/>
      <c r="T127" s="4239"/>
      <c r="U127" s="4239"/>
      <c r="V127" s="3914"/>
      <c r="W127" s="3914"/>
      <c r="X127" s="3914"/>
      <c r="Y127" s="3914"/>
      <c r="Z127" s="3914"/>
      <c r="AA127" s="3914"/>
      <c r="AB127" s="3914"/>
      <c r="AC127" s="3914"/>
      <c r="AD127" s="3914"/>
      <c r="AE127" s="4243"/>
    </row>
    <row r="128" spans="1:32" ht="16.5">
      <c r="A128" s="209"/>
      <c r="B128" s="214"/>
      <c r="C128" s="213"/>
      <c r="D128" s="213"/>
      <c r="E128" s="215"/>
      <c r="F128" s="215"/>
      <c r="G128" s="215"/>
      <c r="H128" s="215"/>
      <c r="I128" s="215"/>
      <c r="J128" s="211"/>
      <c r="K128" s="211"/>
      <c r="L128" s="215"/>
      <c r="M128" s="215"/>
      <c r="N128" s="215"/>
      <c r="O128" s="215"/>
      <c r="P128" s="215"/>
      <c r="Q128" s="4238"/>
      <c r="R128" s="4239"/>
      <c r="S128" s="4239"/>
      <c r="T128" s="4239"/>
      <c r="U128" s="4239"/>
      <c r="V128" s="3914"/>
      <c r="W128" s="3914"/>
      <c r="X128" s="3914"/>
      <c r="Y128" s="3914"/>
      <c r="Z128" s="3914"/>
      <c r="AA128" s="3914"/>
      <c r="AB128" s="3914"/>
      <c r="AC128" s="3914"/>
      <c r="AD128" s="3914"/>
      <c r="AE128" s="4243"/>
    </row>
    <row r="129" spans="1:31" ht="16.5">
      <c r="A129" s="209"/>
      <c r="B129" s="214"/>
      <c r="C129" s="213"/>
      <c r="D129" s="213"/>
      <c r="E129" s="215"/>
      <c r="F129" s="215"/>
      <c r="G129" s="215"/>
      <c r="H129" s="215"/>
      <c r="I129" s="215"/>
      <c r="J129" s="211"/>
      <c r="K129" s="211"/>
      <c r="L129" s="215"/>
      <c r="M129" s="215"/>
      <c r="N129" s="215"/>
      <c r="O129" s="215"/>
      <c r="P129" s="215"/>
      <c r="Q129" s="4233" t="s">
        <v>8705</v>
      </c>
      <c r="R129" s="4234"/>
      <c r="S129" s="4234"/>
      <c r="T129" s="4234"/>
      <c r="U129" s="4234"/>
      <c r="V129" s="4235" t="s">
        <v>8706</v>
      </c>
      <c r="W129" s="4236"/>
      <c r="X129" s="4236" t="s">
        <v>8707</v>
      </c>
      <c r="Y129" s="4236"/>
      <c r="Z129" s="4236"/>
      <c r="AA129" s="4236"/>
      <c r="AB129" s="4236"/>
      <c r="AC129" s="4236"/>
      <c r="AD129" s="4236"/>
      <c r="AE129" s="4237"/>
    </row>
    <row r="130" spans="1:31" ht="16.5">
      <c r="A130" s="209"/>
      <c r="B130" s="214"/>
      <c r="C130" s="213"/>
      <c r="D130" s="213"/>
      <c r="E130" s="215"/>
      <c r="F130" s="215"/>
      <c r="G130" s="215"/>
      <c r="H130" s="215"/>
      <c r="I130" s="215"/>
      <c r="J130" s="211"/>
      <c r="K130" s="211"/>
      <c r="L130" s="215"/>
      <c r="M130" s="215"/>
      <c r="N130" s="215"/>
      <c r="O130" s="215"/>
      <c r="P130" s="215"/>
      <c r="Q130" s="4233"/>
      <c r="R130" s="4234"/>
      <c r="S130" s="4234"/>
      <c r="T130" s="4234"/>
      <c r="U130" s="4234"/>
      <c r="V130" s="4236"/>
      <c r="W130" s="4236"/>
      <c r="X130" s="4236"/>
      <c r="Y130" s="4236"/>
      <c r="Z130" s="4236"/>
      <c r="AA130" s="4236"/>
      <c r="AB130" s="4236"/>
      <c r="AC130" s="4236"/>
      <c r="AD130" s="4236"/>
      <c r="AE130" s="4237"/>
    </row>
    <row r="131" spans="1:31" ht="16.5">
      <c r="A131" s="209"/>
      <c r="B131" s="214"/>
      <c r="C131" s="213"/>
      <c r="D131" s="213"/>
      <c r="E131" s="215"/>
      <c r="F131" s="215"/>
      <c r="G131" s="215"/>
      <c r="H131" s="215"/>
      <c r="I131" s="215"/>
      <c r="J131" s="211"/>
      <c r="K131" s="211"/>
      <c r="L131" s="215"/>
      <c r="M131" s="215"/>
      <c r="N131" s="215"/>
      <c r="O131" s="215"/>
      <c r="P131" s="215"/>
      <c r="Q131" s="4233"/>
      <c r="R131" s="4234"/>
      <c r="S131" s="4234"/>
      <c r="T131" s="4234"/>
      <c r="U131" s="4234"/>
      <c r="V131" s="4236"/>
      <c r="W131" s="4236"/>
      <c r="X131" s="4236"/>
      <c r="Y131" s="4236"/>
      <c r="Z131" s="4236"/>
      <c r="AA131" s="4236"/>
      <c r="AB131" s="4236"/>
      <c r="AC131" s="4236"/>
      <c r="AD131" s="4236"/>
      <c r="AE131" s="4237"/>
    </row>
    <row r="132" spans="1:31" ht="16.5">
      <c r="A132" s="209"/>
      <c r="B132" s="213"/>
      <c r="C132" s="213"/>
      <c r="D132" s="213"/>
      <c r="E132" s="211"/>
      <c r="F132" s="211"/>
      <c r="G132" s="211"/>
      <c r="H132" s="211"/>
      <c r="I132" s="211"/>
      <c r="J132" s="211"/>
      <c r="K132" s="211"/>
      <c r="L132" s="215"/>
      <c r="M132" s="215"/>
      <c r="N132" s="215"/>
      <c r="O132" s="215"/>
      <c r="P132" s="215"/>
      <c r="Q132" s="4238" t="s">
        <v>8708</v>
      </c>
      <c r="R132" s="4239"/>
      <c r="S132" s="4239"/>
      <c r="T132" s="4239"/>
      <c r="U132" s="4239"/>
      <c r="V132" s="3969" t="s">
        <v>8709</v>
      </c>
      <c r="W132" s="3914"/>
      <c r="X132" s="3914" t="s">
        <v>8710</v>
      </c>
      <c r="Y132" s="3914"/>
      <c r="Z132" s="3914"/>
      <c r="AA132" s="3914"/>
      <c r="AB132" s="3914"/>
      <c r="AC132" s="3914"/>
      <c r="AD132" s="3914"/>
      <c r="AE132" s="4243"/>
    </row>
    <row r="133" spans="1:31" ht="16.5">
      <c r="A133" s="209"/>
      <c r="B133" s="213"/>
      <c r="C133" s="213"/>
      <c r="D133" s="213"/>
      <c r="E133" s="211"/>
      <c r="F133" s="211"/>
      <c r="G133" s="211"/>
      <c r="H133" s="211"/>
      <c r="I133" s="211"/>
      <c r="J133" s="211"/>
      <c r="K133" s="211"/>
      <c r="L133" s="215"/>
      <c r="M133" s="215"/>
      <c r="N133" s="215"/>
      <c r="O133" s="215"/>
      <c r="P133" s="215"/>
      <c r="Q133" s="4238"/>
      <c r="R133" s="4239"/>
      <c r="S133" s="4239"/>
      <c r="T133" s="4239"/>
      <c r="U133" s="4239"/>
      <c r="V133" s="3914"/>
      <c r="W133" s="3914"/>
      <c r="X133" s="3914"/>
      <c r="Y133" s="3914"/>
      <c r="Z133" s="3914"/>
      <c r="AA133" s="3914"/>
      <c r="AB133" s="3914"/>
      <c r="AC133" s="3914"/>
      <c r="AD133" s="3914"/>
      <c r="AE133" s="4243"/>
    </row>
    <row r="134" spans="1:31" ht="16.5">
      <c r="A134" s="209"/>
      <c r="B134" s="213"/>
      <c r="C134" s="213"/>
      <c r="D134" s="213"/>
      <c r="E134" s="211"/>
      <c r="F134" s="211"/>
      <c r="G134" s="211"/>
      <c r="H134" s="211"/>
      <c r="I134" s="211"/>
      <c r="J134" s="211"/>
      <c r="K134" s="211"/>
      <c r="L134" s="215"/>
      <c r="M134" s="215"/>
      <c r="N134" s="215"/>
      <c r="O134" s="215"/>
      <c r="P134" s="215"/>
      <c r="Q134" s="4238"/>
      <c r="R134" s="4239"/>
      <c r="S134" s="4239"/>
      <c r="T134" s="4239"/>
      <c r="U134" s="4239"/>
      <c r="V134" s="3914"/>
      <c r="W134" s="3914"/>
      <c r="X134" s="3914"/>
      <c r="Y134" s="3914"/>
      <c r="Z134" s="3914"/>
      <c r="AA134" s="3914"/>
      <c r="AB134" s="3914"/>
      <c r="AC134" s="3914"/>
      <c r="AD134" s="3914"/>
      <c r="AE134" s="4243"/>
    </row>
    <row r="135" spans="1:31" ht="16.5">
      <c r="A135" s="209"/>
      <c r="B135" s="213"/>
      <c r="C135" s="213"/>
      <c r="D135" s="213"/>
      <c r="E135" s="211"/>
      <c r="F135" s="211"/>
      <c r="G135" s="211"/>
      <c r="H135" s="211"/>
      <c r="I135" s="211"/>
      <c r="J135" s="211"/>
      <c r="K135" s="211"/>
      <c r="L135" s="215"/>
      <c r="M135" s="215"/>
      <c r="N135" s="215"/>
      <c r="O135" s="215"/>
      <c r="P135" s="215"/>
      <c r="Q135" s="4233" t="s">
        <v>8711</v>
      </c>
      <c r="R135" s="4234"/>
      <c r="S135" s="4234"/>
      <c r="T135" s="4234"/>
      <c r="U135" s="4234"/>
      <c r="V135" s="4235" t="s">
        <v>8712</v>
      </c>
      <c r="W135" s="4236"/>
      <c r="X135" s="4236" t="s">
        <v>8713</v>
      </c>
      <c r="Y135" s="4236"/>
      <c r="Z135" s="4236"/>
      <c r="AA135" s="4236"/>
      <c r="AB135" s="4236"/>
      <c r="AC135" s="4236"/>
      <c r="AD135" s="4236"/>
      <c r="AE135" s="4237"/>
    </row>
    <row r="136" spans="1:31" ht="16.5">
      <c r="A136" s="209"/>
      <c r="B136" s="213"/>
      <c r="C136" s="213"/>
      <c r="D136" s="213"/>
      <c r="E136" s="211"/>
      <c r="F136" s="211"/>
      <c r="G136" s="211"/>
      <c r="H136" s="211"/>
      <c r="I136" s="211"/>
      <c r="J136" s="211"/>
      <c r="K136" s="211"/>
      <c r="L136" s="215"/>
      <c r="M136" s="215"/>
      <c r="N136" s="215"/>
      <c r="O136" s="215"/>
      <c r="P136" s="215"/>
      <c r="Q136" s="4233"/>
      <c r="R136" s="4234"/>
      <c r="S136" s="4234"/>
      <c r="T136" s="4234"/>
      <c r="U136" s="4234"/>
      <c r="V136" s="4236"/>
      <c r="W136" s="4236"/>
      <c r="X136" s="4236"/>
      <c r="Y136" s="4236"/>
      <c r="Z136" s="4236"/>
      <c r="AA136" s="4236"/>
      <c r="AB136" s="4236"/>
      <c r="AC136" s="4236"/>
      <c r="AD136" s="4236"/>
      <c r="AE136" s="4237"/>
    </row>
    <row r="137" spans="1:31" ht="16.5">
      <c r="A137" s="209"/>
      <c r="B137" s="213"/>
      <c r="C137" s="213"/>
      <c r="D137" s="213"/>
      <c r="E137" s="211"/>
      <c r="F137" s="211"/>
      <c r="G137" s="211"/>
      <c r="H137" s="211"/>
      <c r="I137" s="211"/>
      <c r="J137" s="211"/>
      <c r="K137" s="211"/>
      <c r="L137" s="215"/>
      <c r="M137" s="215"/>
      <c r="N137" s="215"/>
      <c r="O137" s="215"/>
      <c r="P137" s="215"/>
      <c r="Q137" s="4233"/>
      <c r="R137" s="4234"/>
      <c r="S137" s="4234"/>
      <c r="T137" s="4234"/>
      <c r="U137" s="4234"/>
      <c r="V137" s="4236"/>
      <c r="W137" s="4236"/>
      <c r="X137" s="4236"/>
      <c r="Y137" s="4236"/>
      <c r="Z137" s="4236"/>
      <c r="AA137" s="4236"/>
      <c r="AB137" s="4236"/>
      <c r="AC137" s="4236"/>
      <c r="AD137" s="4236"/>
      <c r="AE137" s="4237"/>
    </row>
    <row r="138" spans="1:31" ht="16.5">
      <c r="A138" s="209"/>
      <c r="B138" s="213"/>
      <c r="C138" s="213"/>
      <c r="D138" s="213"/>
      <c r="E138" s="211"/>
      <c r="F138" s="211"/>
      <c r="G138" s="211"/>
      <c r="H138" s="211"/>
      <c r="I138" s="211"/>
      <c r="J138" s="211"/>
      <c r="K138" s="211"/>
      <c r="L138" s="215"/>
      <c r="M138" s="215"/>
      <c r="N138" s="215"/>
      <c r="O138" s="215"/>
      <c r="P138" s="215"/>
      <c r="Q138" s="4238" t="s">
        <v>8714</v>
      </c>
      <c r="R138" s="4239"/>
      <c r="S138" s="4239"/>
      <c r="T138" s="4239"/>
      <c r="U138" s="4239"/>
      <c r="V138" s="3969" t="s">
        <v>8715</v>
      </c>
      <c r="W138" s="3914"/>
      <c r="X138" s="3914" t="s">
        <v>8716</v>
      </c>
      <c r="Y138" s="3914"/>
      <c r="Z138" s="3914"/>
      <c r="AA138" s="3914"/>
      <c r="AB138" s="3914"/>
      <c r="AC138" s="3914"/>
      <c r="AD138" s="3914"/>
      <c r="AE138" s="4243"/>
    </row>
    <row r="139" spans="1:31" ht="16.5">
      <c r="A139" s="209"/>
      <c r="B139" s="213"/>
      <c r="C139" s="213"/>
      <c r="D139" s="213"/>
      <c r="E139" s="211"/>
      <c r="F139" s="211"/>
      <c r="G139" s="211"/>
      <c r="H139" s="211"/>
      <c r="I139" s="211"/>
      <c r="J139" s="211"/>
      <c r="K139" s="211"/>
      <c r="L139" s="215"/>
      <c r="M139" s="215"/>
      <c r="N139" s="215"/>
      <c r="O139" s="215"/>
      <c r="P139" s="215"/>
      <c r="Q139" s="4238"/>
      <c r="R139" s="4239"/>
      <c r="S139" s="4239"/>
      <c r="T139" s="4239"/>
      <c r="U139" s="4239"/>
      <c r="V139" s="3914"/>
      <c r="W139" s="3914"/>
      <c r="X139" s="3914"/>
      <c r="Y139" s="3914"/>
      <c r="Z139" s="3914"/>
      <c r="AA139" s="3914"/>
      <c r="AB139" s="3914"/>
      <c r="AC139" s="3914"/>
      <c r="AD139" s="3914"/>
      <c r="AE139" s="4243"/>
    </row>
    <row r="140" spans="1:31" ht="16.5">
      <c r="A140" s="209"/>
      <c r="B140" s="213"/>
      <c r="C140" s="213"/>
      <c r="D140" s="213"/>
      <c r="E140" s="211"/>
      <c r="F140" s="211"/>
      <c r="G140" s="211"/>
      <c r="H140" s="211"/>
      <c r="I140" s="211"/>
      <c r="J140" s="211"/>
      <c r="K140" s="211"/>
      <c r="L140" s="215"/>
      <c r="M140" s="215"/>
      <c r="N140" s="215"/>
      <c r="O140" s="215"/>
      <c r="P140" s="215"/>
      <c r="Q140" s="4240"/>
      <c r="R140" s="4241"/>
      <c r="S140" s="4241"/>
      <c r="T140" s="4241"/>
      <c r="U140" s="4241"/>
      <c r="V140" s="4242"/>
      <c r="W140" s="4242"/>
      <c r="X140" s="4242"/>
      <c r="Y140" s="4242"/>
      <c r="Z140" s="4242"/>
      <c r="AA140" s="4242"/>
      <c r="AB140" s="4242"/>
      <c r="AC140" s="4242"/>
      <c r="AD140" s="4242"/>
      <c r="AE140" s="4244"/>
    </row>
    <row r="141" spans="1:31">
      <c r="A141" s="209"/>
      <c r="B141" s="43"/>
      <c r="C141" s="43"/>
      <c r="D141" s="43"/>
      <c r="E141" s="43"/>
      <c r="F141" s="43"/>
      <c r="G141" s="43"/>
      <c r="H141" s="43"/>
    </row>
    <row r="142" spans="1:31" ht="40">
      <c r="A142" s="209"/>
      <c r="B142" s="217"/>
      <c r="C142" s="217"/>
      <c r="D142" s="217"/>
      <c r="E142" s="217"/>
      <c r="F142" s="217"/>
      <c r="G142" s="217"/>
      <c r="H142" s="217"/>
      <c r="I142" s="217"/>
      <c r="J142" s="217"/>
      <c r="K142" s="217"/>
      <c r="L142" s="217"/>
      <c r="M142" s="217"/>
      <c r="N142" s="217"/>
      <c r="O142" s="217"/>
      <c r="P142" s="217"/>
      <c r="Q142" s="217"/>
    </row>
    <row r="143" spans="1:31" ht="40">
      <c r="A143" s="209"/>
      <c r="B143" s="217"/>
      <c r="C143" s="217"/>
      <c r="D143" s="217"/>
      <c r="E143" s="217"/>
      <c r="F143" s="217"/>
      <c r="G143" s="217"/>
      <c r="H143" s="217"/>
      <c r="I143" s="217"/>
      <c r="J143" s="217"/>
      <c r="K143" s="217"/>
      <c r="L143" s="217"/>
      <c r="M143" s="217"/>
      <c r="N143" s="217"/>
      <c r="O143" s="217"/>
      <c r="P143" s="217"/>
      <c r="Q143" s="217"/>
    </row>
    <row r="144" spans="1:31" ht="40">
      <c r="A144" s="209"/>
      <c r="B144" s="217"/>
      <c r="C144" s="217"/>
      <c r="D144" s="217"/>
      <c r="E144" s="217"/>
      <c r="F144" s="217"/>
      <c r="G144" s="217"/>
      <c r="H144" s="217"/>
      <c r="I144" s="217"/>
      <c r="J144" s="217"/>
      <c r="K144" s="217"/>
      <c r="L144" s="217"/>
      <c r="M144" s="217"/>
      <c r="N144" s="217"/>
      <c r="O144" s="217"/>
      <c r="P144" s="217"/>
      <c r="Q144" s="217"/>
    </row>
    <row r="145" spans="1:18" ht="16.5">
      <c r="A145" s="209"/>
      <c r="B145" s="218"/>
      <c r="C145" s="218"/>
      <c r="D145" s="218"/>
      <c r="E145" s="218"/>
      <c r="F145" s="218"/>
      <c r="G145" s="219"/>
      <c r="H145" s="219"/>
      <c r="I145" s="220"/>
      <c r="J145" s="220"/>
      <c r="K145" s="220"/>
      <c r="L145" s="220"/>
      <c r="M145" s="220"/>
      <c r="N145" s="220"/>
      <c r="O145" s="220"/>
      <c r="P145" s="220"/>
      <c r="Q145" s="220"/>
    </row>
    <row r="146" spans="1:18" ht="23" customHeight="1">
      <c r="A146" s="209"/>
      <c r="B146" s="221"/>
      <c r="C146" s="218"/>
      <c r="D146" s="4376"/>
      <c r="E146" s="4376"/>
      <c r="F146" s="4376"/>
      <c r="G146" s="4376"/>
      <c r="H146" s="219"/>
      <c r="I146" s="4378"/>
      <c r="J146" s="4378"/>
      <c r="K146" s="220"/>
      <c r="L146" s="4378"/>
      <c r="M146" s="4378"/>
      <c r="N146" s="220"/>
      <c r="O146" s="4378"/>
      <c r="P146" s="4378"/>
      <c r="Q146" s="4378"/>
    </row>
    <row r="147" spans="1:18" ht="16.5">
      <c r="A147" s="209"/>
      <c r="B147" s="4245"/>
      <c r="C147" s="218"/>
      <c r="D147" s="4245"/>
      <c r="E147" s="4246"/>
      <c r="F147" s="4245"/>
      <c r="G147" s="4245"/>
      <c r="H147" s="218"/>
      <c r="I147" s="3805"/>
      <c r="J147" s="3805"/>
      <c r="K147" s="220"/>
      <c r="L147" s="3805"/>
      <c r="M147" s="3805"/>
      <c r="N147" s="220"/>
      <c r="O147" s="3805"/>
      <c r="P147" s="3899"/>
      <c r="Q147" s="3899"/>
    </row>
    <row r="148" spans="1:18" ht="16.5">
      <c r="A148" s="209"/>
      <c r="B148" s="4375"/>
      <c r="C148" s="218"/>
      <c r="D148" s="4246"/>
      <c r="E148" s="4246"/>
      <c r="F148" s="4245"/>
      <c r="G148" s="4245"/>
      <c r="H148" s="218"/>
      <c r="I148" s="3805"/>
      <c r="J148" s="3805"/>
      <c r="K148" s="220"/>
      <c r="L148" s="3805"/>
      <c r="M148" s="3805"/>
      <c r="N148" s="220"/>
      <c r="O148" s="3899"/>
      <c r="P148" s="3899"/>
      <c r="Q148" s="3899"/>
    </row>
    <row r="149" spans="1:18" ht="16.5">
      <c r="A149" s="209"/>
      <c r="B149" s="4375"/>
      <c r="C149" s="218"/>
      <c r="D149" s="4246"/>
      <c r="E149" s="4246"/>
      <c r="F149" s="4245"/>
      <c r="G149" s="4245"/>
      <c r="H149" s="218"/>
      <c r="I149" s="3805"/>
      <c r="J149" s="3805"/>
      <c r="K149" s="220"/>
      <c r="L149" s="3805"/>
      <c r="M149" s="3805"/>
      <c r="N149" s="220"/>
      <c r="O149" s="3899"/>
      <c r="P149" s="3899"/>
      <c r="Q149" s="3899"/>
    </row>
    <row r="150" spans="1:18" ht="16.5">
      <c r="A150" s="209"/>
      <c r="B150" s="4375"/>
      <c r="C150" s="218"/>
      <c r="D150" s="4246"/>
      <c r="E150" s="4246"/>
      <c r="F150" s="4245"/>
      <c r="G150" s="4245"/>
      <c r="H150" s="218"/>
      <c r="I150" s="3805"/>
      <c r="J150" s="3805"/>
      <c r="K150" s="220"/>
      <c r="L150" s="3805"/>
      <c r="M150" s="3805"/>
      <c r="N150" s="220"/>
      <c r="O150" s="3899"/>
      <c r="P150" s="3899"/>
      <c r="Q150" s="3899"/>
    </row>
    <row r="151" spans="1:18" ht="16.5">
      <c r="A151" s="209"/>
      <c r="B151" s="4375"/>
      <c r="C151" s="218"/>
      <c r="D151" s="4246"/>
      <c r="E151" s="4246"/>
      <c r="F151" s="4245"/>
      <c r="G151" s="4245"/>
      <c r="H151" s="218"/>
      <c r="I151" s="3805"/>
      <c r="J151" s="3805"/>
      <c r="K151" s="220"/>
      <c r="L151" s="3805"/>
      <c r="M151" s="3805"/>
      <c r="N151" s="220"/>
      <c r="O151" s="3899"/>
      <c r="P151" s="3899"/>
      <c r="Q151" s="3899"/>
    </row>
    <row r="152" spans="1:18" ht="16.5">
      <c r="A152" s="209"/>
      <c r="B152" s="4375"/>
      <c r="C152" s="218"/>
      <c r="D152" s="4246"/>
      <c r="E152" s="4246"/>
      <c r="F152" s="4245"/>
      <c r="G152" s="4245"/>
      <c r="H152" s="218"/>
      <c r="I152" s="3805"/>
      <c r="J152" s="3805"/>
      <c r="K152" s="220"/>
      <c r="L152" s="3805"/>
      <c r="M152" s="3805"/>
      <c r="N152" s="220"/>
      <c r="O152" s="3899"/>
      <c r="P152" s="3899"/>
      <c r="Q152" s="3899"/>
    </row>
    <row r="153" spans="1:18" ht="16.5">
      <c r="A153" s="209"/>
      <c r="B153" s="4375"/>
      <c r="C153" s="218"/>
      <c r="D153" s="4246"/>
      <c r="E153" s="4246"/>
      <c r="F153" s="4245"/>
      <c r="G153" s="4245"/>
      <c r="H153" s="218"/>
      <c r="I153" s="3805"/>
      <c r="J153" s="3805"/>
      <c r="K153" s="220"/>
      <c r="L153" s="3805"/>
      <c r="M153" s="3805"/>
      <c r="N153" s="220"/>
      <c r="O153" s="3899"/>
      <c r="P153" s="3899"/>
      <c r="Q153" s="3899"/>
    </row>
    <row r="154" spans="1:18" ht="16.5">
      <c r="A154" s="209"/>
      <c r="B154" s="4375"/>
      <c r="C154" s="218"/>
      <c r="D154" s="4246"/>
      <c r="E154" s="4246"/>
      <c r="F154" s="4245"/>
      <c r="G154" s="4245"/>
      <c r="H154" s="218"/>
      <c r="I154" s="3805"/>
      <c r="J154" s="3805"/>
      <c r="K154" s="220"/>
      <c r="L154" s="3805"/>
      <c r="M154" s="3805"/>
      <c r="N154" s="220"/>
      <c r="O154" s="3899"/>
      <c r="P154" s="3899"/>
      <c r="Q154" s="3899"/>
    </row>
    <row r="155" spans="1:18" ht="16.5">
      <c r="A155" s="209"/>
      <c r="B155" s="218"/>
      <c r="C155" s="218"/>
      <c r="D155" s="218"/>
      <c r="E155" s="218"/>
      <c r="F155" s="218"/>
      <c r="G155" s="218"/>
      <c r="H155" s="218"/>
      <c r="I155" s="220"/>
      <c r="J155" s="220"/>
      <c r="K155" s="220"/>
      <c r="L155" s="220"/>
      <c r="M155" s="220"/>
      <c r="N155" s="220"/>
      <c r="O155" s="220"/>
      <c r="P155" s="220"/>
      <c r="Q155" s="220"/>
    </row>
    <row r="156" spans="1:18" ht="16.5">
      <c r="A156" s="209"/>
      <c r="B156" s="218"/>
      <c r="C156" s="218"/>
      <c r="D156" s="218"/>
      <c r="E156" s="218"/>
      <c r="F156" s="218"/>
      <c r="G156" s="218"/>
      <c r="H156" s="218"/>
      <c r="I156" s="220"/>
      <c r="J156" s="220"/>
      <c r="K156" s="220"/>
      <c r="L156" s="220"/>
      <c r="M156" s="220"/>
      <c r="N156" s="220"/>
      <c r="O156" s="220"/>
      <c r="P156" s="220"/>
      <c r="Q156" s="220"/>
    </row>
    <row r="157" spans="1:18" ht="16.5">
      <c r="A157" s="209"/>
      <c r="B157" s="4376"/>
      <c r="C157" s="4376"/>
      <c r="D157" s="4376"/>
      <c r="E157" s="218"/>
      <c r="F157" s="4376"/>
      <c r="G157" s="4376"/>
      <c r="H157" s="4376"/>
      <c r="I157" s="4376"/>
      <c r="J157" s="220"/>
      <c r="K157" s="4378"/>
      <c r="L157" s="4378"/>
      <c r="M157" s="4378"/>
      <c r="N157" s="4378"/>
      <c r="O157" s="4378"/>
      <c r="P157" s="4378"/>
      <c r="Q157" s="4378"/>
    </row>
    <row r="158" spans="1:18" ht="16.5">
      <c r="A158" s="209"/>
      <c r="B158" s="4376"/>
      <c r="C158" s="4376"/>
      <c r="D158" s="4376"/>
      <c r="E158" s="218"/>
      <c r="F158" s="4376"/>
      <c r="G158" s="4376"/>
      <c r="H158" s="4376"/>
      <c r="I158" s="4376"/>
      <c r="J158" s="220"/>
      <c r="K158" s="4378"/>
      <c r="L158" s="4378"/>
      <c r="M158" s="4378"/>
      <c r="N158" s="4378"/>
      <c r="O158" s="4378"/>
      <c r="P158" s="4378"/>
      <c r="Q158" s="4378"/>
    </row>
    <row r="159" spans="1:18" ht="16.5">
      <c r="A159" s="209"/>
      <c r="B159" s="4377"/>
      <c r="C159" s="4245"/>
      <c r="D159" s="4245"/>
      <c r="E159" s="218"/>
      <c r="F159" s="4245"/>
      <c r="G159" s="4245"/>
      <c r="H159" s="4377"/>
      <c r="I159" s="4377"/>
      <c r="J159" s="220"/>
      <c r="K159" s="3805"/>
      <c r="L159" s="3805"/>
      <c r="M159" s="3805"/>
      <c r="N159" s="3805"/>
      <c r="O159" s="4380"/>
      <c r="P159" s="4380"/>
      <c r="Q159" s="4380"/>
      <c r="R159" s="224"/>
    </row>
    <row r="160" spans="1:18" ht="16.5">
      <c r="A160" s="209"/>
      <c r="B160" s="4377"/>
      <c r="C160" s="4245"/>
      <c r="D160" s="4245"/>
      <c r="E160" s="218"/>
      <c r="F160" s="4245"/>
      <c r="G160" s="4245"/>
      <c r="H160" s="4377"/>
      <c r="I160" s="4377"/>
      <c r="J160" s="220"/>
      <c r="K160" s="3805"/>
      <c r="L160" s="3805"/>
      <c r="M160" s="3805"/>
      <c r="N160" s="3805"/>
      <c r="O160" s="4380"/>
      <c r="P160" s="4380"/>
      <c r="Q160" s="4380"/>
      <c r="R160" s="224"/>
    </row>
    <row r="161" spans="2:18" ht="16.5">
      <c r="B161" s="4377"/>
      <c r="C161" s="222"/>
      <c r="D161" s="222"/>
      <c r="E161" s="219"/>
      <c r="F161" s="4245"/>
      <c r="G161" s="4245"/>
      <c r="H161" s="4377"/>
      <c r="I161" s="4377"/>
      <c r="J161" s="220"/>
      <c r="K161" s="4381"/>
      <c r="L161" s="4381"/>
      <c r="M161" s="4381"/>
      <c r="N161" s="4381"/>
      <c r="O161" s="4381"/>
      <c r="P161" s="4381"/>
      <c r="Q161" s="4381"/>
    </row>
    <row r="162" spans="2:18" ht="16.5">
      <c r="B162" s="4377"/>
      <c r="C162" s="222"/>
      <c r="D162" s="222"/>
      <c r="E162" s="219"/>
      <c r="F162" s="4245"/>
      <c r="G162" s="4245"/>
      <c r="H162" s="4377"/>
      <c r="I162" s="4377"/>
      <c r="J162" s="220"/>
      <c r="K162" s="4381"/>
      <c r="L162" s="4381"/>
      <c r="M162" s="4381"/>
      <c r="N162" s="4381"/>
      <c r="O162" s="4381"/>
      <c r="P162" s="4381"/>
      <c r="Q162" s="4381"/>
    </row>
    <row r="163" spans="2:18" ht="16.5">
      <c r="B163" s="4377"/>
      <c r="C163" s="222"/>
      <c r="D163" s="222"/>
      <c r="E163" s="219"/>
      <c r="F163" s="4245"/>
      <c r="G163" s="4245"/>
      <c r="H163" s="4377"/>
      <c r="I163" s="4377"/>
      <c r="J163" s="220"/>
      <c r="K163" s="3805"/>
      <c r="L163" s="3805"/>
      <c r="M163" s="3805"/>
      <c r="N163" s="3805"/>
      <c r="O163" s="3805"/>
      <c r="P163" s="3805"/>
      <c r="Q163" s="3805"/>
    </row>
    <row r="164" spans="2:18" ht="16.5">
      <c r="B164" s="4377"/>
      <c r="C164" s="222"/>
      <c r="D164" s="222"/>
      <c r="E164" s="219"/>
      <c r="F164" s="4245"/>
      <c r="G164" s="4245"/>
      <c r="H164" s="4377"/>
      <c r="I164" s="4377"/>
      <c r="J164" s="220"/>
      <c r="K164" s="3805"/>
      <c r="L164" s="3805"/>
      <c r="M164" s="3805"/>
      <c r="N164" s="3805"/>
      <c r="O164" s="3805"/>
      <c r="P164" s="3805"/>
      <c r="Q164" s="3805"/>
    </row>
    <row r="165" spans="2:18" ht="16.5">
      <c r="B165" s="4377"/>
      <c r="C165" s="222"/>
      <c r="D165" s="222"/>
      <c r="E165" s="219"/>
      <c r="F165" s="4245"/>
      <c r="G165" s="4245"/>
      <c r="H165" s="4377"/>
      <c r="I165" s="4377"/>
      <c r="J165" s="220"/>
      <c r="K165" s="3805"/>
      <c r="L165" s="3805"/>
      <c r="M165" s="3805"/>
      <c r="N165" s="3805"/>
      <c r="O165" s="3805"/>
      <c r="P165" s="3805"/>
      <c r="Q165" s="3805"/>
    </row>
    <row r="166" spans="2:18" ht="16.5">
      <c r="B166" s="4377"/>
      <c r="C166" s="222"/>
      <c r="D166" s="222"/>
      <c r="E166" s="219"/>
      <c r="F166" s="4245"/>
      <c r="G166" s="4245"/>
      <c r="H166" s="4377"/>
      <c r="I166" s="4377"/>
      <c r="J166" s="220"/>
      <c r="K166" s="3805"/>
      <c r="L166" s="3805"/>
      <c r="M166" s="3805"/>
      <c r="N166" s="3805"/>
      <c r="O166" s="3805"/>
      <c r="P166" s="3805"/>
      <c r="Q166" s="3805"/>
    </row>
    <row r="167" spans="2:18" ht="16.5">
      <c r="B167" s="4377"/>
      <c r="C167" s="223"/>
      <c r="D167" s="222"/>
      <c r="E167" s="219"/>
      <c r="F167" s="4245"/>
      <c r="G167" s="4245"/>
      <c r="H167" s="4377"/>
      <c r="I167" s="4377"/>
      <c r="J167" s="220"/>
      <c r="K167" s="3805"/>
      <c r="L167" s="3805"/>
      <c r="M167" s="3805"/>
      <c r="N167" s="3805"/>
      <c r="O167" s="3805"/>
      <c r="P167" s="3805"/>
      <c r="Q167" s="3805"/>
      <c r="R167" s="224"/>
    </row>
    <row r="168" spans="2:18" ht="16.5">
      <c r="B168" s="219"/>
      <c r="D168" s="219"/>
      <c r="E168" s="219"/>
      <c r="F168" s="219"/>
      <c r="G168" s="219"/>
      <c r="H168" s="219"/>
      <c r="I168" s="220"/>
      <c r="J168" s="220"/>
      <c r="K168" s="224"/>
      <c r="L168" s="224"/>
      <c r="M168" s="224"/>
      <c r="N168" s="224"/>
      <c r="O168" s="225"/>
      <c r="P168" s="225"/>
      <c r="Q168" s="225"/>
      <c r="R168" s="224"/>
    </row>
    <row r="169" spans="2:18" ht="16.5">
      <c r="B169" s="219"/>
      <c r="C169" s="219"/>
      <c r="D169" s="219"/>
      <c r="E169" s="219"/>
      <c r="F169" s="219"/>
      <c r="G169" s="219"/>
      <c r="H169" s="219"/>
      <c r="I169" s="220"/>
      <c r="J169" s="220"/>
      <c r="K169" s="224"/>
      <c r="L169" s="224"/>
      <c r="M169" s="224"/>
      <c r="N169" s="224"/>
      <c r="O169" s="225"/>
      <c r="P169" s="225"/>
      <c r="Q169" s="225"/>
      <c r="R169" s="224"/>
    </row>
    <row r="170" spans="2:18" ht="16.5">
      <c r="B170" s="4378"/>
      <c r="C170" s="4378"/>
      <c r="D170" s="4378"/>
      <c r="E170" s="219"/>
      <c r="F170" s="4382"/>
      <c r="G170" s="4382"/>
      <c r="H170" s="219"/>
      <c r="I170" s="4378"/>
      <c r="J170" s="4378"/>
      <c r="K170" s="4378"/>
      <c r="L170" s="4378"/>
      <c r="M170" s="4378"/>
      <c r="N170" s="4378"/>
      <c r="O170" s="4378"/>
      <c r="P170" s="4378"/>
      <c r="Q170" s="4378"/>
      <c r="R170" s="224"/>
    </row>
    <row r="171" spans="2:18" ht="16.5">
      <c r="B171" s="4378"/>
      <c r="C171" s="4378"/>
      <c r="D171" s="4378"/>
      <c r="E171" s="219"/>
      <c r="F171" s="4382"/>
      <c r="G171" s="4382"/>
      <c r="H171" s="219"/>
      <c r="I171" s="4378"/>
      <c r="J171" s="4378"/>
      <c r="K171" s="4378"/>
      <c r="L171" s="4378"/>
      <c r="M171" s="4378"/>
      <c r="N171" s="4378"/>
      <c r="O171" s="4378"/>
      <c r="P171" s="4378"/>
      <c r="Q171" s="4378"/>
      <c r="R171" s="224"/>
    </row>
    <row r="172" spans="2:18" ht="16.5">
      <c r="B172" s="4379"/>
      <c r="C172" s="3805"/>
      <c r="D172" s="3805"/>
      <c r="E172" s="219"/>
      <c r="F172" s="3805"/>
      <c r="G172" s="3805"/>
      <c r="H172" s="219"/>
      <c r="I172" s="3805"/>
      <c r="J172" s="3805"/>
      <c r="K172" s="3805"/>
      <c r="L172" s="3805"/>
      <c r="M172" s="3805"/>
      <c r="N172" s="3805"/>
      <c r="O172" s="3805"/>
      <c r="P172" s="3805"/>
      <c r="Q172" s="3805"/>
      <c r="R172" s="224"/>
    </row>
    <row r="173" spans="2:18" ht="16.5">
      <c r="B173" s="4379"/>
      <c r="C173" s="3805"/>
      <c r="D173" s="3805"/>
      <c r="E173" s="219"/>
      <c r="F173" s="3805"/>
      <c r="G173" s="3805"/>
      <c r="I173" s="3805"/>
      <c r="J173" s="3805"/>
      <c r="K173" s="3805"/>
      <c r="L173" s="3805"/>
      <c r="M173" s="3805"/>
      <c r="N173" s="3805"/>
      <c r="O173" s="3805"/>
      <c r="P173" s="3805"/>
      <c r="Q173" s="3805"/>
      <c r="R173" s="224"/>
    </row>
    <row r="174" spans="2:18" ht="16.5">
      <c r="B174" s="4379"/>
      <c r="C174" s="3805"/>
      <c r="D174" s="3805"/>
      <c r="E174" s="219"/>
      <c r="F174" s="3805"/>
      <c r="G174" s="3805"/>
      <c r="I174" s="3899"/>
      <c r="J174" s="3805"/>
      <c r="K174" s="3805"/>
      <c r="L174" s="3805"/>
      <c r="M174" s="3805"/>
      <c r="N174" s="3805"/>
      <c r="O174" s="3805"/>
      <c r="P174" s="3805"/>
      <c r="Q174" s="3805"/>
      <c r="R174" s="224"/>
    </row>
    <row r="175" spans="2:18" ht="14.5">
      <c r="B175" s="4379"/>
      <c r="C175" s="3805"/>
      <c r="D175" s="3805"/>
      <c r="E175" s="219"/>
      <c r="F175" s="3805"/>
      <c r="G175" s="3805"/>
      <c r="H175" s="219"/>
      <c r="I175" s="3899"/>
      <c r="J175" s="3805"/>
      <c r="K175" s="3805"/>
      <c r="L175" s="3805"/>
      <c r="M175" s="3805"/>
      <c r="N175" s="3805"/>
      <c r="O175" s="3805"/>
      <c r="P175" s="3805"/>
      <c r="Q175" s="3805"/>
    </row>
    <row r="176" spans="2:18" ht="14.5">
      <c r="B176" s="4379"/>
      <c r="C176" s="3805"/>
      <c r="D176" s="3805"/>
      <c r="E176" s="219"/>
      <c r="F176" s="3805"/>
      <c r="G176" s="3805"/>
      <c r="H176" s="219"/>
      <c r="I176" s="3899"/>
      <c r="J176" s="3805"/>
      <c r="K176" s="3805"/>
      <c r="L176" s="3805"/>
      <c r="M176" s="3805"/>
      <c r="N176" s="3805"/>
      <c r="O176" s="3805"/>
      <c r="P176" s="3805"/>
      <c r="Q176" s="3805"/>
    </row>
    <row r="177" spans="2:17" ht="16.5">
      <c r="B177" s="4379"/>
      <c r="C177" s="3805"/>
      <c r="D177" s="3805"/>
      <c r="E177" s="219"/>
      <c r="F177" s="3805"/>
      <c r="G177" s="3805"/>
      <c r="H177" s="219"/>
      <c r="I177" s="223"/>
      <c r="J177" s="3899"/>
      <c r="K177" s="3899"/>
      <c r="L177" s="3899"/>
      <c r="M177" s="3805"/>
      <c r="N177" s="3805"/>
      <c r="O177" s="3805"/>
      <c r="P177" s="3805"/>
      <c r="Q177" s="3805"/>
    </row>
    <row r="178" spans="2:17" ht="16.5">
      <c r="B178" s="4379"/>
      <c r="C178" s="3805"/>
      <c r="D178" s="3805"/>
      <c r="E178" s="219"/>
      <c r="F178" s="3805"/>
      <c r="G178" s="3805"/>
      <c r="H178" s="219"/>
      <c r="I178" s="223"/>
      <c r="J178" s="3899"/>
      <c r="K178" s="3899"/>
      <c r="L178" s="3899"/>
      <c r="M178" s="3805"/>
      <c r="N178" s="3805"/>
      <c r="O178" s="3805"/>
      <c r="P178" s="3805"/>
      <c r="Q178" s="3805"/>
    </row>
    <row r="179" spans="2:17" ht="16.5">
      <c r="B179" s="4379"/>
      <c r="C179" s="3805"/>
      <c r="D179" s="3805"/>
      <c r="E179" s="219"/>
      <c r="F179" s="3805"/>
      <c r="G179" s="3805"/>
      <c r="H179" s="219"/>
      <c r="I179" s="223"/>
      <c r="J179" s="3899"/>
      <c r="K179" s="3899"/>
      <c r="L179" s="3899"/>
      <c r="M179" s="3805"/>
      <c r="N179" s="3805"/>
      <c r="O179" s="3805"/>
      <c r="P179" s="3805"/>
      <c r="Q179" s="3805"/>
    </row>
    <row r="180" spans="2:17" ht="16.5">
      <c r="B180" s="4379"/>
      <c r="C180" s="3805"/>
      <c r="D180" s="3805"/>
      <c r="E180" s="219"/>
      <c r="F180" s="3805"/>
      <c r="G180" s="3805"/>
      <c r="H180" s="219"/>
      <c r="I180" s="3899"/>
      <c r="J180" s="3899"/>
      <c r="K180" s="3899"/>
      <c r="L180" s="3899"/>
      <c r="M180" s="3805"/>
      <c r="N180" s="3805"/>
      <c r="O180" s="3805"/>
      <c r="P180" s="3805"/>
      <c r="Q180" s="3805"/>
    </row>
    <row r="181" spans="2:17" ht="14.5">
      <c r="B181" s="219"/>
      <c r="C181" s="219"/>
      <c r="D181" s="219"/>
      <c r="E181" s="219"/>
      <c r="F181" s="219"/>
      <c r="G181" s="219"/>
      <c r="H181" s="219"/>
      <c r="I181" s="3805"/>
      <c r="J181" s="3805"/>
      <c r="K181" s="3805"/>
      <c r="L181" s="3805"/>
      <c r="M181" s="3805"/>
      <c r="N181" s="3805"/>
      <c r="O181" s="3805"/>
      <c r="P181" s="3805"/>
      <c r="Q181" s="3805"/>
    </row>
    <row r="182" spans="2:17" ht="14.5">
      <c r="B182" s="219"/>
      <c r="C182" s="219"/>
      <c r="D182" s="219"/>
      <c r="E182" s="219"/>
      <c r="F182" s="219"/>
      <c r="G182" s="219"/>
      <c r="H182" s="219"/>
      <c r="I182" s="3805"/>
      <c r="J182" s="3805"/>
      <c r="K182" s="3805"/>
      <c r="L182" s="3805"/>
      <c r="M182" s="3805"/>
      <c r="N182" s="3805"/>
      <c r="O182" s="3805"/>
      <c r="P182" s="3805"/>
      <c r="Q182" s="3805"/>
    </row>
    <row r="183" spans="2:17" ht="14.5">
      <c r="B183" s="219"/>
      <c r="C183" s="219"/>
      <c r="D183" s="219"/>
      <c r="E183" s="219"/>
      <c r="F183" s="219"/>
      <c r="G183" s="219"/>
      <c r="H183" s="219"/>
      <c r="I183" s="3805"/>
      <c r="J183" s="3805"/>
      <c r="K183" s="3805"/>
      <c r="L183" s="3805"/>
      <c r="M183" s="3805"/>
      <c r="N183" s="3805"/>
      <c r="O183" s="3805"/>
      <c r="P183" s="3805"/>
      <c r="Q183" s="3805"/>
    </row>
    <row r="184" spans="2:17" ht="16.5">
      <c r="B184" s="219"/>
      <c r="C184" s="219"/>
      <c r="D184" s="219"/>
      <c r="E184" s="219"/>
      <c r="F184" s="219"/>
      <c r="G184" s="219"/>
      <c r="H184" s="219"/>
      <c r="I184" s="220"/>
      <c r="J184" s="220"/>
      <c r="K184" s="220"/>
      <c r="L184" s="220"/>
      <c r="M184" s="220"/>
      <c r="N184" s="220"/>
      <c r="O184" s="220"/>
      <c r="P184" s="220"/>
      <c r="Q184" s="220"/>
    </row>
    <row r="185" spans="2:17" ht="15" customHeight="1">
      <c r="B185" s="4383"/>
      <c r="C185" s="4383"/>
      <c r="D185" s="4383"/>
      <c r="E185" s="4383"/>
      <c r="F185" s="4383"/>
      <c r="G185" s="4383"/>
      <c r="H185" s="4383"/>
      <c r="I185" s="4383"/>
      <c r="J185" s="4383"/>
      <c r="K185" s="4383"/>
      <c r="L185" s="4383"/>
      <c r="M185" s="4383"/>
      <c r="N185" s="4383"/>
      <c r="O185" s="4383"/>
      <c r="P185" s="4383"/>
      <c r="Q185" s="4383"/>
    </row>
    <row r="186" spans="2:17" ht="15" customHeight="1">
      <c r="B186" s="4383"/>
      <c r="C186" s="4383"/>
      <c r="D186" s="4383"/>
      <c r="E186" s="4383"/>
      <c r="F186" s="4383"/>
      <c r="G186" s="4383"/>
      <c r="H186" s="4383"/>
      <c r="I186" s="4383"/>
      <c r="J186" s="4383"/>
      <c r="K186" s="4383"/>
      <c r="L186" s="4383"/>
      <c r="M186" s="4383"/>
      <c r="N186" s="4383"/>
      <c r="O186" s="4383"/>
      <c r="P186" s="4383"/>
      <c r="Q186" s="4383"/>
    </row>
    <row r="187" spans="2:17" ht="17" customHeight="1">
      <c r="B187" s="3768"/>
      <c r="C187" s="3768"/>
      <c r="D187" s="3768"/>
      <c r="E187" s="3768"/>
      <c r="F187" s="3768"/>
      <c r="G187" s="3768"/>
      <c r="H187" s="3768"/>
      <c r="I187" s="3768"/>
      <c r="J187" s="3768"/>
      <c r="K187" s="3768"/>
      <c r="L187" s="3768"/>
      <c r="M187" s="3768"/>
      <c r="N187" s="3768"/>
      <c r="O187" s="3768"/>
      <c r="P187" s="3768"/>
      <c r="Q187" s="3768"/>
    </row>
    <row r="188" spans="2:17" ht="17" customHeight="1">
      <c r="B188" s="3768"/>
      <c r="C188" s="3768"/>
      <c r="D188" s="3766"/>
      <c r="E188" s="4231"/>
      <c r="F188" s="4231"/>
      <c r="G188" s="4231"/>
      <c r="H188" s="4231"/>
      <c r="I188" s="4231"/>
      <c r="J188" s="4231"/>
      <c r="K188" s="4231"/>
      <c r="L188" s="4231"/>
      <c r="M188" s="4231"/>
      <c r="N188" s="4231"/>
      <c r="O188" s="4231"/>
      <c r="P188" s="4231"/>
      <c r="Q188" s="4231"/>
    </row>
    <row r="189" spans="2:17" ht="17" customHeight="1">
      <c r="B189" s="3768"/>
      <c r="C189" s="3768"/>
      <c r="D189" s="4231"/>
      <c r="E189" s="4231"/>
      <c r="F189" s="4231"/>
      <c r="G189" s="4231"/>
      <c r="H189" s="4231"/>
      <c r="I189" s="4231"/>
      <c r="J189" s="4231"/>
      <c r="K189" s="4231"/>
      <c r="L189" s="4231"/>
      <c r="M189" s="4231"/>
      <c r="N189" s="4231"/>
      <c r="O189" s="4231"/>
      <c r="P189" s="4231"/>
      <c r="Q189" s="4231"/>
    </row>
    <row r="190" spans="2:17" ht="17" customHeight="1">
      <c r="B190" s="3768"/>
      <c r="C190" s="3768"/>
      <c r="D190" s="4231"/>
      <c r="E190" s="4231"/>
      <c r="F190" s="4231"/>
      <c r="G190" s="4231"/>
      <c r="H190" s="4231"/>
      <c r="I190" s="4231"/>
      <c r="J190" s="4231"/>
      <c r="K190" s="4231"/>
      <c r="L190" s="4231"/>
      <c r="M190" s="4231"/>
      <c r="N190" s="4231"/>
      <c r="O190" s="4231"/>
      <c r="P190" s="4231"/>
      <c r="Q190" s="4231"/>
    </row>
    <row r="191" spans="2:17" ht="17" customHeight="1">
      <c r="B191" s="3768"/>
      <c r="C191" s="3768"/>
      <c r="D191" s="4231"/>
      <c r="E191" s="4231"/>
      <c r="F191" s="4231"/>
      <c r="G191" s="4231"/>
      <c r="H191" s="4231"/>
      <c r="I191" s="4231"/>
      <c r="J191" s="4231"/>
      <c r="K191" s="4231"/>
      <c r="L191" s="4231"/>
      <c r="M191" s="4231"/>
      <c r="N191" s="4231"/>
      <c r="O191" s="4231"/>
      <c r="P191" s="4231"/>
      <c r="Q191" s="4231"/>
    </row>
    <row r="192" spans="2:17" ht="17" customHeight="1">
      <c r="B192" s="3768"/>
      <c r="C192" s="3768"/>
      <c r="D192" s="3766"/>
      <c r="E192" s="4231"/>
      <c r="F192" s="4231"/>
      <c r="G192" s="4231"/>
      <c r="H192" s="4231"/>
      <c r="I192" s="4231"/>
      <c r="J192" s="4231"/>
      <c r="K192" s="4231"/>
      <c r="L192" s="4231"/>
      <c r="M192" s="4231"/>
      <c r="N192" s="4231"/>
      <c r="O192" s="4231"/>
      <c r="P192" s="4231"/>
      <c r="Q192" s="4231"/>
    </row>
    <row r="193" spans="2:17" ht="17" customHeight="1">
      <c r="B193" s="3768"/>
      <c r="C193" s="3768"/>
      <c r="D193" s="4231"/>
      <c r="E193" s="4231"/>
      <c r="F193" s="4231"/>
      <c r="G193" s="4231"/>
      <c r="H193" s="4231"/>
      <c r="I193" s="4231"/>
      <c r="J193" s="4231"/>
      <c r="K193" s="4231"/>
      <c r="L193" s="4231"/>
      <c r="M193" s="4231"/>
      <c r="N193" s="4231"/>
      <c r="O193" s="4231"/>
      <c r="P193" s="4231"/>
      <c r="Q193" s="4231"/>
    </row>
    <row r="194" spans="2:17" ht="17" customHeight="1">
      <c r="B194" s="3768"/>
      <c r="C194" s="3768"/>
      <c r="D194" s="4231"/>
      <c r="E194" s="4231"/>
      <c r="F194" s="4231"/>
      <c r="G194" s="4231"/>
      <c r="H194" s="4231"/>
      <c r="I194" s="4231"/>
      <c r="J194" s="4231"/>
      <c r="K194" s="4231"/>
      <c r="L194" s="4231"/>
      <c r="M194" s="4231"/>
      <c r="N194" s="4231"/>
      <c r="O194" s="4231"/>
      <c r="P194" s="4231"/>
      <c r="Q194" s="4231"/>
    </row>
    <row r="195" spans="2:17" ht="17" customHeight="1">
      <c r="B195" s="3768"/>
      <c r="C195" s="3768"/>
      <c r="D195" s="4231"/>
      <c r="E195" s="4231"/>
      <c r="F195" s="4231"/>
      <c r="G195" s="4231"/>
      <c r="H195" s="4231"/>
      <c r="I195" s="4231"/>
      <c r="J195" s="4231"/>
      <c r="K195" s="4231"/>
      <c r="L195" s="4231"/>
      <c r="M195" s="4231"/>
      <c r="N195" s="4231"/>
      <c r="O195" s="4231"/>
      <c r="P195" s="4231"/>
      <c r="Q195" s="4231"/>
    </row>
    <row r="196" spans="2:17" ht="17" customHeight="1">
      <c r="B196" s="3768"/>
      <c r="C196" s="3768"/>
      <c r="D196" s="3766"/>
      <c r="E196" s="4231"/>
      <c r="F196" s="4231"/>
      <c r="G196" s="4231"/>
      <c r="H196" s="4231"/>
      <c r="I196" s="4231"/>
      <c r="J196" s="4231"/>
      <c r="K196" s="4231"/>
      <c r="L196" s="4231"/>
      <c r="M196" s="4231"/>
      <c r="N196" s="4231"/>
      <c r="O196" s="4231"/>
      <c r="P196" s="4231"/>
      <c r="Q196" s="4231"/>
    </row>
    <row r="197" spans="2:17" ht="17" customHeight="1">
      <c r="B197" s="3768"/>
      <c r="C197" s="3768"/>
      <c r="D197" s="4231"/>
      <c r="E197" s="4231"/>
      <c r="F197" s="4231"/>
      <c r="G197" s="4231"/>
      <c r="H197" s="4231"/>
      <c r="I197" s="4231"/>
      <c r="J197" s="4231"/>
      <c r="K197" s="4231"/>
      <c r="L197" s="4231"/>
      <c r="M197" s="4231"/>
      <c r="N197" s="4231"/>
      <c r="O197" s="4231"/>
      <c r="P197" s="4231"/>
      <c r="Q197" s="4231"/>
    </row>
    <row r="198" spans="2:17" ht="17" customHeight="1">
      <c r="B198" s="3768"/>
      <c r="C198" s="3768"/>
      <c r="D198" s="4231"/>
      <c r="E198" s="4231"/>
      <c r="F198" s="4231"/>
      <c r="G198" s="4231"/>
      <c r="H198" s="4231"/>
      <c r="I198" s="4231"/>
      <c r="J198" s="4231"/>
      <c r="K198" s="4231"/>
      <c r="L198" s="4231"/>
      <c r="M198" s="4231"/>
      <c r="N198" s="4231"/>
      <c r="O198" s="4231"/>
      <c r="P198" s="4231"/>
      <c r="Q198" s="4231"/>
    </row>
    <row r="199" spans="2:17" ht="17" customHeight="1">
      <c r="B199" s="3768"/>
      <c r="C199" s="3768"/>
      <c r="D199" s="4231"/>
      <c r="E199" s="4231"/>
      <c r="F199" s="4231"/>
      <c r="G199" s="4231"/>
      <c r="H199" s="4231"/>
      <c r="I199" s="4231"/>
      <c r="J199" s="4231"/>
      <c r="K199" s="4231"/>
      <c r="L199" s="4231"/>
      <c r="M199" s="4231"/>
      <c r="N199" s="4231"/>
      <c r="O199" s="4231"/>
      <c r="P199" s="4231"/>
      <c r="Q199" s="4231"/>
    </row>
    <row r="200" spans="2:17" ht="17" customHeight="1">
      <c r="B200" s="3768"/>
      <c r="C200" s="3768"/>
      <c r="D200" s="3766"/>
      <c r="E200" s="4231"/>
      <c r="F200" s="4231"/>
      <c r="G200" s="4231"/>
      <c r="H200" s="4231"/>
      <c r="I200" s="4231"/>
      <c r="J200" s="4231"/>
      <c r="K200" s="4231"/>
      <c r="L200" s="4231"/>
      <c r="M200" s="4231"/>
      <c r="N200" s="4231"/>
      <c r="O200" s="4231"/>
      <c r="P200" s="4231"/>
      <c r="Q200" s="4231"/>
    </row>
    <row r="201" spans="2:17" ht="17" customHeight="1">
      <c r="B201" s="3768"/>
      <c r="C201" s="3768"/>
      <c r="D201" s="4231"/>
      <c r="E201" s="4231"/>
      <c r="F201" s="4231"/>
      <c r="G201" s="4231"/>
      <c r="H201" s="4231"/>
      <c r="I201" s="4231"/>
      <c r="J201" s="4231"/>
      <c r="K201" s="4231"/>
      <c r="L201" s="4231"/>
      <c r="M201" s="4231"/>
      <c r="N201" s="4231"/>
      <c r="O201" s="4231"/>
      <c r="P201" s="4231"/>
      <c r="Q201" s="4231"/>
    </row>
    <row r="202" spans="2:17" ht="17" customHeight="1">
      <c r="B202" s="3768"/>
      <c r="C202" s="3768"/>
      <c r="D202" s="4231"/>
      <c r="E202" s="4231"/>
      <c r="F202" s="4231"/>
      <c r="G202" s="4231"/>
      <c r="H202" s="4231"/>
      <c r="I202" s="4231"/>
      <c r="J202" s="4231"/>
      <c r="K202" s="4231"/>
      <c r="L202" s="4231"/>
      <c r="M202" s="4231"/>
      <c r="N202" s="4231"/>
      <c r="O202" s="4231"/>
      <c r="P202" s="4231"/>
      <c r="Q202" s="4231"/>
    </row>
    <row r="203" spans="2:17" ht="17" customHeight="1">
      <c r="B203" s="3768"/>
      <c r="C203" s="3768"/>
      <c r="D203" s="4231"/>
      <c r="E203" s="4231"/>
      <c r="F203" s="4231"/>
      <c r="G203" s="4231"/>
      <c r="H203" s="4231"/>
      <c r="I203" s="4231"/>
      <c r="J203" s="4231"/>
      <c r="K203" s="4231"/>
      <c r="L203" s="4231"/>
      <c r="M203" s="4231"/>
      <c r="N203" s="4231"/>
      <c r="O203" s="4231"/>
      <c r="P203" s="4231"/>
      <c r="Q203" s="4231"/>
    </row>
    <row r="204" spans="2:17" ht="17" customHeight="1">
      <c r="B204" s="3768"/>
      <c r="C204" s="3768"/>
      <c r="D204" s="3766"/>
      <c r="E204" s="4231"/>
      <c r="F204" s="4231"/>
      <c r="G204" s="4231"/>
      <c r="H204" s="4231"/>
      <c r="I204" s="4231"/>
      <c r="J204" s="4231"/>
      <c r="K204" s="4231"/>
      <c r="L204" s="4231"/>
      <c r="M204" s="4231"/>
      <c r="N204" s="4231"/>
      <c r="O204" s="4231"/>
      <c r="P204" s="4231"/>
      <c r="Q204" s="4231"/>
    </row>
    <row r="205" spans="2:17" ht="17" customHeight="1">
      <c r="B205" s="3768"/>
      <c r="C205" s="3768"/>
      <c r="D205" s="4231"/>
      <c r="E205" s="4231"/>
      <c r="F205" s="4231"/>
      <c r="G205" s="4231"/>
      <c r="H205" s="4231"/>
      <c r="I205" s="4231"/>
      <c r="J205" s="4231"/>
      <c r="K205" s="4231"/>
      <c r="L205" s="4231"/>
      <c r="M205" s="4231"/>
      <c r="N205" s="4231"/>
      <c r="O205" s="4231"/>
      <c r="P205" s="4231"/>
      <c r="Q205" s="4231"/>
    </row>
    <row r="206" spans="2:17" ht="17" customHeight="1">
      <c r="B206" s="3768"/>
      <c r="C206" s="3768"/>
      <c r="D206" s="4231"/>
      <c r="E206" s="4231"/>
      <c r="F206" s="4231"/>
      <c r="G206" s="4231"/>
      <c r="H206" s="4231"/>
      <c r="I206" s="4231"/>
      <c r="J206" s="4231"/>
      <c r="K206" s="4231"/>
      <c r="L206" s="4231"/>
      <c r="M206" s="4231"/>
      <c r="N206" s="4231"/>
      <c r="O206" s="4231"/>
      <c r="P206" s="4231"/>
      <c r="Q206" s="4231"/>
    </row>
    <row r="207" spans="2:17" ht="17" customHeight="1">
      <c r="B207" s="3768"/>
      <c r="C207" s="3768"/>
      <c r="D207" s="4231"/>
      <c r="E207" s="4231"/>
      <c r="F207" s="4231"/>
      <c r="G207" s="4231"/>
      <c r="H207" s="4231"/>
      <c r="I207" s="4231"/>
      <c r="J207" s="4231"/>
      <c r="K207" s="4231"/>
      <c r="L207" s="4231"/>
      <c r="M207" s="4231"/>
      <c r="N207" s="4231"/>
      <c r="O207" s="4231"/>
      <c r="P207" s="4231"/>
      <c r="Q207" s="4231"/>
    </row>
    <row r="208" spans="2:17" ht="17" customHeight="1">
      <c r="B208" s="3768"/>
      <c r="C208" s="3768"/>
      <c r="D208" s="3766"/>
      <c r="E208" s="4231"/>
      <c r="F208" s="4231"/>
      <c r="G208" s="4231"/>
      <c r="H208" s="4231"/>
      <c r="I208" s="4231"/>
      <c r="J208" s="4231"/>
      <c r="K208" s="4231"/>
      <c r="L208" s="4231"/>
      <c r="M208" s="4231"/>
      <c r="N208" s="4231"/>
      <c r="O208" s="4231"/>
      <c r="P208" s="4231"/>
      <c r="Q208" s="4231"/>
    </row>
    <row r="209" spans="2:24" ht="17" customHeight="1">
      <c r="B209" s="3768"/>
      <c r="C209" s="3768"/>
      <c r="D209" s="4231"/>
      <c r="E209" s="4231"/>
      <c r="F209" s="4231"/>
      <c r="G209" s="4231"/>
      <c r="H209" s="4231"/>
      <c r="I209" s="4231"/>
      <c r="J209" s="4231"/>
      <c r="K209" s="4231"/>
      <c r="L209" s="4231"/>
      <c r="M209" s="4231"/>
      <c r="N209" s="4231"/>
      <c r="O209" s="4231"/>
      <c r="P209" s="4231"/>
      <c r="Q209" s="4231"/>
    </row>
    <row r="210" spans="2:24" ht="17" customHeight="1">
      <c r="B210" s="4232"/>
      <c r="C210" s="4232"/>
      <c r="D210" s="4232"/>
      <c r="E210" s="4232"/>
      <c r="F210" s="4232"/>
      <c r="G210" s="4232"/>
      <c r="H210" s="4232"/>
      <c r="I210" s="4232"/>
      <c r="J210" s="4232"/>
      <c r="K210" s="4232"/>
      <c r="L210" s="4232"/>
      <c r="M210" s="4232"/>
      <c r="N210" s="4232"/>
      <c r="O210" s="4232"/>
      <c r="P210" s="4232"/>
      <c r="Q210" s="4232"/>
    </row>
    <row r="211" spans="2:24" ht="17" customHeight="1">
      <c r="B211" s="4232"/>
      <c r="C211" s="4232"/>
      <c r="D211" s="4232"/>
      <c r="E211" s="4232"/>
      <c r="F211" s="4232"/>
      <c r="G211" s="4232"/>
      <c r="H211" s="4232"/>
      <c r="I211" s="4232"/>
      <c r="J211" s="4232"/>
      <c r="K211" s="4232"/>
      <c r="L211" s="4232"/>
      <c r="M211" s="4232"/>
      <c r="N211" s="4232"/>
      <c r="O211" s="4232"/>
      <c r="P211" s="4232"/>
      <c r="Q211" s="4232"/>
    </row>
    <row r="212" spans="2:24" ht="18" customHeight="1">
      <c r="B212" s="4229"/>
      <c r="C212" s="4229"/>
      <c r="D212" s="4229"/>
      <c r="E212" s="4229"/>
      <c r="F212" s="4229"/>
      <c r="G212" s="4229"/>
      <c r="H212" s="4229"/>
      <c r="I212" s="4229"/>
      <c r="J212" s="4229"/>
      <c r="K212" s="4229"/>
      <c r="L212" s="4229"/>
      <c r="M212" s="4229"/>
      <c r="N212" s="4229"/>
      <c r="O212" s="4229"/>
      <c r="P212" s="4229"/>
      <c r="Q212" s="4229"/>
      <c r="R212" s="226"/>
      <c r="S212" s="226"/>
      <c r="T212" s="226"/>
      <c r="U212" s="226"/>
      <c r="V212" s="226"/>
      <c r="W212" s="226"/>
      <c r="X212" s="226"/>
    </row>
    <row r="213" spans="2:24" ht="18" customHeight="1">
      <c r="B213" s="4229"/>
      <c r="C213" s="4229"/>
      <c r="D213" s="4229"/>
      <c r="E213" s="4229"/>
      <c r="F213" s="4229"/>
      <c r="G213" s="4229"/>
      <c r="H213" s="4229"/>
      <c r="I213" s="4229"/>
      <c r="J213" s="4229"/>
      <c r="K213" s="4229"/>
      <c r="L213" s="4229"/>
      <c r="M213" s="4229"/>
      <c r="N213" s="4229"/>
      <c r="O213" s="4229"/>
      <c r="P213" s="4229"/>
      <c r="Q213" s="4229"/>
      <c r="R213" s="226"/>
      <c r="S213" s="226"/>
      <c r="T213" s="226"/>
      <c r="U213" s="226"/>
      <c r="V213" s="226"/>
      <c r="W213" s="226"/>
      <c r="X213" s="226"/>
    </row>
    <row r="214" spans="2:24" ht="18" customHeight="1">
      <c r="B214" s="4229"/>
      <c r="C214" s="4229"/>
      <c r="D214" s="4229"/>
      <c r="E214" s="4229"/>
      <c r="F214" s="4229"/>
      <c r="G214" s="4229"/>
      <c r="H214" s="4229"/>
      <c r="I214" s="4229"/>
      <c r="J214" s="4229"/>
      <c r="K214" s="4229"/>
      <c r="L214" s="4229"/>
      <c r="M214" s="4229"/>
      <c r="N214" s="4229"/>
      <c r="O214" s="4229"/>
      <c r="P214" s="4229"/>
      <c r="Q214" s="4229"/>
      <c r="R214" s="226"/>
      <c r="S214" s="226"/>
      <c r="T214" s="226"/>
      <c r="U214" s="226"/>
      <c r="V214" s="226"/>
      <c r="W214" s="226"/>
      <c r="X214" s="226"/>
    </row>
    <row r="215" spans="2:24" ht="18" customHeight="1">
      <c r="B215" s="227"/>
      <c r="C215" s="227"/>
      <c r="D215" s="227"/>
      <c r="E215" s="227"/>
      <c r="F215" s="227"/>
      <c r="G215" s="227"/>
      <c r="H215" s="227"/>
      <c r="I215" s="227"/>
      <c r="J215" s="227"/>
      <c r="K215" s="227"/>
      <c r="L215" s="227"/>
      <c r="M215" s="227"/>
      <c r="N215" s="227"/>
      <c r="O215" s="227"/>
      <c r="P215" s="227"/>
      <c r="Q215" s="227"/>
      <c r="R215" s="228"/>
      <c r="S215" s="228"/>
      <c r="T215" s="228"/>
      <c r="U215" s="228"/>
      <c r="V215" s="228"/>
      <c r="W215" s="228"/>
      <c r="X215" s="228"/>
    </row>
    <row r="216" spans="2:24" ht="18" customHeight="1">
      <c r="B216" s="4227"/>
      <c r="C216" s="4227"/>
      <c r="D216" s="4227"/>
      <c r="E216" s="4227"/>
      <c r="F216" s="4227"/>
      <c r="G216" s="4227"/>
      <c r="J216" s="4227"/>
      <c r="K216" s="4227"/>
      <c r="L216" s="4227"/>
      <c r="M216" s="4227"/>
      <c r="N216" s="4227"/>
      <c r="O216" s="4227"/>
      <c r="P216" s="4227"/>
      <c r="Q216" s="4227"/>
    </row>
    <row r="217" spans="2:24" ht="18" customHeight="1">
      <c r="B217" s="4227"/>
      <c r="C217" s="4227"/>
      <c r="D217" s="4227"/>
      <c r="E217" s="4227"/>
      <c r="F217" s="4227"/>
      <c r="G217" s="4227"/>
      <c r="J217" s="4227"/>
      <c r="K217" s="4227"/>
      <c r="L217" s="4227"/>
      <c r="M217" s="4227"/>
      <c r="N217" s="4227"/>
      <c r="O217" s="4227"/>
      <c r="P217" s="4227"/>
      <c r="Q217" s="4227"/>
    </row>
    <row r="218" spans="2:24" ht="18" customHeight="1">
      <c r="B218" s="4230"/>
      <c r="C218" s="4230"/>
      <c r="D218" s="4230"/>
      <c r="E218" s="4230"/>
      <c r="F218" s="4230"/>
      <c r="G218" s="1420"/>
      <c r="J218" s="1420"/>
      <c r="K218" s="1420"/>
      <c r="L218" s="1420"/>
      <c r="M218" s="1420"/>
      <c r="N218" s="4374"/>
      <c r="O218" s="4374"/>
      <c r="P218" s="4374"/>
      <c r="Q218" s="4374"/>
    </row>
    <row r="219" spans="2:24" ht="18" customHeight="1">
      <c r="B219" s="4230"/>
      <c r="C219" s="4230"/>
      <c r="D219" s="4230"/>
      <c r="E219" s="4230"/>
      <c r="F219" s="4230"/>
      <c r="G219" s="1420"/>
      <c r="J219" s="1420"/>
      <c r="K219" s="1420"/>
      <c r="L219" s="1420"/>
      <c r="M219" s="1420"/>
      <c r="N219" s="1420"/>
      <c r="O219" s="1420"/>
      <c r="P219" s="1420"/>
      <c r="Q219" s="1420"/>
    </row>
    <row r="220" spans="2:24" ht="18" customHeight="1">
      <c r="B220" s="4230"/>
      <c r="C220" s="4230"/>
      <c r="D220" s="4230"/>
      <c r="E220" s="4230"/>
      <c r="F220" s="4230"/>
      <c r="G220" s="1420"/>
      <c r="J220" s="1420"/>
      <c r="K220" s="1420"/>
      <c r="L220" s="1420"/>
      <c r="M220" s="1420"/>
      <c r="N220" s="1420"/>
      <c r="O220" s="1420"/>
      <c r="P220" s="1420"/>
      <c r="Q220" s="1420"/>
    </row>
    <row r="221" spans="2:24" ht="18" customHeight="1">
      <c r="B221" s="4230"/>
      <c r="C221" s="4230"/>
      <c r="D221" s="4230"/>
      <c r="E221" s="4230"/>
      <c r="F221" s="4230"/>
      <c r="G221" s="1420"/>
      <c r="J221" s="1420"/>
      <c r="K221" s="1420"/>
      <c r="L221" s="1420"/>
      <c r="M221" s="1420"/>
      <c r="N221" s="4374"/>
      <c r="O221" s="4374"/>
      <c r="P221" s="4374"/>
      <c r="Q221" s="4374"/>
    </row>
    <row r="222" spans="2:24" ht="18" customHeight="1">
      <c r="B222" s="4230"/>
      <c r="C222" s="4230"/>
      <c r="D222" s="4230"/>
      <c r="E222" s="4230"/>
      <c r="F222" s="4230"/>
      <c r="G222" s="1420"/>
      <c r="J222" s="1420"/>
      <c r="K222" s="1420"/>
      <c r="L222" s="1420"/>
      <c r="M222" s="1420"/>
      <c r="N222" s="1420"/>
      <c r="O222" s="1420"/>
      <c r="P222" s="1420"/>
      <c r="Q222" s="1420"/>
    </row>
    <row r="223" spans="2:24" ht="18" customHeight="1">
      <c r="B223" s="4230"/>
      <c r="C223" s="4230"/>
      <c r="D223" s="4230"/>
      <c r="E223" s="4230"/>
      <c r="F223" s="4230"/>
      <c r="G223" s="1420"/>
      <c r="J223" s="1420"/>
      <c r="K223" s="1420"/>
      <c r="L223" s="1420"/>
      <c r="M223" s="1420"/>
      <c r="N223" s="1420"/>
      <c r="O223" s="1420"/>
      <c r="P223" s="1420"/>
      <c r="Q223" s="1420"/>
    </row>
    <row r="224" spans="2:24" ht="18" customHeight="1">
      <c r="B224" s="4230"/>
      <c r="C224" s="4230"/>
      <c r="D224" s="4230"/>
      <c r="E224" s="4230"/>
      <c r="F224" s="4230"/>
      <c r="G224" s="1420"/>
      <c r="J224" s="4228"/>
      <c r="K224" s="4228"/>
      <c r="L224" s="4228"/>
      <c r="M224" s="4228"/>
      <c r="N224" s="4228"/>
      <c r="O224" s="4228"/>
      <c r="P224" s="4228"/>
      <c r="Q224" s="4228"/>
    </row>
    <row r="225" spans="2:24" ht="18" customHeight="1">
      <c r="B225" s="4230"/>
      <c r="C225" s="4230"/>
      <c r="D225" s="4230"/>
      <c r="E225" s="4230"/>
      <c r="F225" s="4230"/>
      <c r="G225" s="1420"/>
      <c r="J225" s="4228"/>
      <c r="K225" s="4228"/>
      <c r="L225" s="4228"/>
      <c r="M225" s="4228"/>
      <c r="N225" s="4228"/>
      <c r="O225" s="4228"/>
      <c r="P225" s="4228"/>
      <c r="Q225" s="4228"/>
    </row>
    <row r="226" spans="2:24" ht="18" customHeight="1">
      <c r="B226" s="4230"/>
      <c r="C226" s="4230"/>
      <c r="D226" s="4230"/>
      <c r="E226" s="4230"/>
      <c r="F226" s="4230"/>
      <c r="G226" s="1420"/>
      <c r="J226" s="4228"/>
      <c r="K226" s="4228"/>
      <c r="L226" s="4228"/>
      <c r="M226" s="4228"/>
      <c r="N226" s="4228"/>
      <c r="O226" s="4228"/>
      <c r="P226" s="4228"/>
      <c r="Q226" s="4228"/>
    </row>
    <row r="227" spans="2:24" ht="18" customHeight="1">
      <c r="B227" s="4230"/>
      <c r="C227" s="4230"/>
      <c r="D227" s="4230"/>
      <c r="E227" s="4230"/>
      <c r="F227" s="4230"/>
      <c r="G227" s="1420"/>
      <c r="J227" s="4228"/>
      <c r="K227" s="4228"/>
      <c r="L227" s="4228"/>
      <c r="M227" s="4228"/>
      <c r="N227" s="4228"/>
      <c r="O227" s="4228"/>
      <c r="P227" s="4228"/>
      <c r="Q227" s="4228"/>
    </row>
    <row r="228" spans="2:24" ht="18" customHeight="1">
      <c r="B228" s="229"/>
      <c r="C228" s="229"/>
      <c r="D228" s="229"/>
      <c r="E228" s="229"/>
      <c r="F228" s="229"/>
      <c r="G228" s="227"/>
      <c r="J228" s="4228"/>
      <c r="K228" s="4228"/>
      <c r="L228" s="4228"/>
      <c r="M228" s="4228"/>
      <c r="N228" s="4228"/>
      <c r="O228" s="4228"/>
      <c r="P228" s="4228"/>
      <c r="Q228" s="4228"/>
    </row>
    <row r="229" spans="2:24" ht="18" customHeight="1">
      <c r="B229" s="229"/>
      <c r="C229" s="229"/>
      <c r="D229" s="229"/>
      <c r="E229" s="229"/>
      <c r="F229" s="229"/>
      <c r="G229" s="227"/>
      <c r="H229" s="227"/>
      <c r="I229" s="227"/>
      <c r="J229" s="227"/>
      <c r="K229" s="227"/>
      <c r="L229" s="227"/>
      <c r="M229" s="227"/>
      <c r="N229" s="227"/>
      <c r="O229" s="227"/>
      <c r="P229" s="227"/>
    </row>
    <row r="230" spans="2:24" ht="18" customHeight="1">
      <c r="C230" s="43"/>
      <c r="D230" s="43"/>
      <c r="E230" s="43"/>
      <c r="F230" s="43"/>
      <c r="G230" s="43"/>
      <c r="H230" s="43"/>
      <c r="J230" s="4227"/>
      <c r="K230" s="4227"/>
      <c r="L230" s="4227"/>
      <c r="M230" s="4227"/>
      <c r="N230" s="4227"/>
      <c r="O230" s="4227"/>
      <c r="P230" s="4227"/>
      <c r="Q230" s="4227"/>
    </row>
    <row r="231" spans="2:24" ht="18" customHeight="1">
      <c r="C231" s="43"/>
      <c r="D231" s="43"/>
      <c r="E231" s="43"/>
      <c r="F231" s="43"/>
      <c r="G231" s="43"/>
      <c r="H231" s="43"/>
      <c r="J231" s="4227"/>
      <c r="K231" s="4227"/>
      <c r="L231" s="4227"/>
      <c r="M231" s="4227"/>
      <c r="N231" s="4227"/>
      <c r="O231" s="4227"/>
      <c r="P231" s="4227"/>
      <c r="Q231" s="4227"/>
    </row>
    <row r="232" spans="2:24" ht="18" customHeight="1">
      <c r="C232" s="43"/>
      <c r="D232" s="43"/>
      <c r="E232" s="43"/>
      <c r="F232" s="43"/>
      <c r="G232" s="43"/>
      <c r="H232" s="43"/>
      <c r="J232" s="1420"/>
      <c r="K232" s="1420"/>
      <c r="L232" s="1420"/>
      <c r="M232" s="1420"/>
      <c r="N232" s="1420"/>
      <c r="O232" s="1420"/>
      <c r="P232" s="1420"/>
      <c r="Q232" s="1420"/>
    </row>
    <row r="233" spans="2:24" ht="18" customHeight="1">
      <c r="C233" s="43"/>
      <c r="D233" s="43"/>
      <c r="E233" s="43"/>
      <c r="F233" s="43"/>
      <c r="G233" s="43"/>
      <c r="H233" s="43"/>
      <c r="J233" s="1420"/>
      <c r="K233" s="1420"/>
      <c r="L233" s="1420"/>
      <c r="M233" s="1420"/>
      <c r="N233" s="1420"/>
      <c r="O233" s="1420"/>
      <c r="P233" s="1420"/>
      <c r="Q233" s="1420"/>
    </row>
    <row r="234" spans="2:24" ht="18" customHeight="1">
      <c r="C234" s="43"/>
      <c r="D234" s="43"/>
      <c r="E234" s="43"/>
      <c r="F234" s="43"/>
      <c r="G234" s="43"/>
      <c r="H234" s="43"/>
      <c r="J234" s="4228"/>
      <c r="K234" s="4228"/>
      <c r="L234" s="4228"/>
      <c r="M234" s="4228"/>
      <c r="N234" s="4228"/>
      <c r="O234" s="4228"/>
      <c r="P234" s="4228"/>
      <c r="Q234" s="4228"/>
    </row>
    <row r="235" spans="2:24" ht="18" customHeight="1">
      <c r="C235" s="43"/>
      <c r="D235" s="43"/>
      <c r="E235" s="43"/>
      <c r="F235" s="43"/>
      <c r="G235" s="43"/>
      <c r="H235" s="43"/>
      <c r="J235" s="4228"/>
      <c r="K235" s="4228"/>
      <c r="L235" s="4228"/>
      <c r="M235" s="4228"/>
      <c r="N235" s="4228"/>
      <c r="O235" s="4228"/>
      <c r="P235" s="4228"/>
      <c r="Q235" s="4228"/>
    </row>
    <row r="236" spans="2:24" ht="18" customHeight="1">
      <c r="C236" s="43"/>
      <c r="D236" s="43"/>
      <c r="E236" s="43"/>
      <c r="F236" s="43"/>
      <c r="G236" s="43"/>
      <c r="H236" s="43"/>
      <c r="J236" s="4228"/>
      <c r="K236" s="4228"/>
      <c r="L236" s="4228"/>
      <c r="M236" s="4228"/>
      <c r="N236" s="4228"/>
      <c r="O236" s="4228"/>
      <c r="P236" s="4228"/>
      <c r="Q236" s="4228"/>
    </row>
    <row r="237" spans="2:24" ht="18" customHeight="1">
      <c r="C237" s="43"/>
      <c r="D237" s="43"/>
      <c r="E237" s="43"/>
      <c r="F237" s="43"/>
      <c r="G237" s="43"/>
      <c r="H237" s="43"/>
      <c r="J237" s="4228"/>
      <c r="K237" s="4228"/>
      <c r="L237" s="4228"/>
      <c r="M237" s="4228"/>
      <c r="N237" s="4228"/>
      <c r="O237" s="4228"/>
      <c r="P237" s="4228"/>
      <c r="Q237" s="4228"/>
    </row>
    <row r="238" spans="2:24" ht="18" customHeight="1">
      <c r="C238" s="43"/>
      <c r="D238" s="43"/>
      <c r="E238" s="43"/>
      <c r="F238" s="43"/>
      <c r="G238" s="43"/>
      <c r="H238" s="43"/>
      <c r="J238" s="4228"/>
      <c r="K238" s="4228"/>
      <c r="L238" s="4228"/>
      <c r="M238" s="4228"/>
      <c r="N238" s="4228"/>
      <c r="O238" s="4228"/>
      <c r="P238" s="4228"/>
      <c r="Q238" s="4228"/>
    </row>
    <row r="239" spans="2:24" ht="18" customHeight="1">
      <c r="C239" s="43"/>
      <c r="D239" s="43"/>
      <c r="E239" s="43"/>
      <c r="F239" s="43"/>
      <c r="G239" s="43"/>
      <c r="H239" s="43"/>
      <c r="J239" s="4228"/>
      <c r="K239" s="4228"/>
      <c r="L239" s="4228"/>
      <c r="M239" s="4228"/>
      <c r="N239" s="4228"/>
      <c r="O239" s="4228"/>
      <c r="P239" s="4228"/>
      <c r="Q239" s="4228"/>
      <c r="R239" s="228"/>
      <c r="S239" s="228"/>
      <c r="T239" s="228"/>
      <c r="U239" s="228"/>
      <c r="V239" s="228"/>
      <c r="W239" s="228"/>
      <c r="X239" s="228"/>
    </row>
    <row r="240" spans="2:24" ht="18" customHeight="1">
      <c r="B240" s="219"/>
      <c r="C240" s="43"/>
      <c r="D240" s="43"/>
      <c r="E240" s="43"/>
      <c r="F240" s="43"/>
      <c r="G240" s="43"/>
      <c r="H240" s="43"/>
      <c r="I240" s="220"/>
      <c r="J240" s="220"/>
      <c r="K240" s="220"/>
      <c r="L240" s="220"/>
      <c r="M240" s="220"/>
      <c r="N240" s="220"/>
      <c r="O240" s="220"/>
      <c r="P240" s="220"/>
      <c r="Q240" s="220"/>
    </row>
    <row r="241" spans="2:17" ht="18" customHeight="1">
      <c r="C241" s="43"/>
      <c r="D241" s="43"/>
      <c r="E241" s="43"/>
      <c r="F241" s="43"/>
      <c r="G241" s="43"/>
      <c r="H241" s="43"/>
      <c r="J241" s="4227"/>
      <c r="K241" s="4227"/>
      <c r="L241" s="4227"/>
      <c r="M241" s="4227"/>
      <c r="N241" s="4227"/>
      <c r="O241" s="4227"/>
      <c r="P241" s="4227"/>
      <c r="Q241" s="4227"/>
    </row>
    <row r="242" spans="2:17" ht="18" customHeight="1">
      <c r="C242" s="43"/>
      <c r="D242" s="43"/>
      <c r="E242" s="43"/>
      <c r="F242" s="43"/>
      <c r="G242" s="43"/>
      <c r="H242" s="43"/>
      <c r="J242" s="4227"/>
      <c r="K242" s="4227"/>
      <c r="L242" s="4227"/>
      <c r="M242" s="4227"/>
      <c r="N242" s="4227"/>
      <c r="O242" s="4227"/>
      <c r="P242" s="4227"/>
      <c r="Q242" s="4227"/>
    </row>
    <row r="243" spans="2:17" ht="18" customHeight="1">
      <c r="C243" s="43"/>
      <c r="D243" s="43"/>
      <c r="E243" s="43"/>
      <c r="F243" s="43"/>
      <c r="G243" s="43"/>
      <c r="H243" s="43"/>
      <c r="J243" s="1420"/>
      <c r="K243" s="1420"/>
      <c r="L243" s="1420"/>
      <c r="M243" s="1420"/>
      <c r="N243" s="4374"/>
      <c r="O243" s="4374"/>
      <c r="P243" s="4374"/>
      <c r="Q243" s="4374"/>
    </row>
    <row r="244" spans="2:17" ht="18" customHeight="1">
      <c r="J244" s="1420"/>
      <c r="K244" s="1420"/>
      <c r="L244" s="1420"/>
      <c r="M244" s="1420"/>
      <c r="N244" s="1420"/>
      <c r="O244" s="1420"/>
      <c r="P244" s="1420"/>
      <c r="Q244" s="1420"/>
    </row>
    <row r="245" spans="2:17" ht="18" customHeight="1">
      <c r="J245" s="1420"/>
      <c r="K245" s="1420"/>
      <c r="L245" s="1420"/>
      <c r="M245" s="1420"/>
      <c r="N245" s="1420"/>
      <c r="O245" s="1420"/>
      <c r="P245" s="1420"/>
      <c r="Q245" s="1420"/>
    </row>
    <row r="246" spans="2:17" ht="18" customHeight="1">
      <c r="J246" s="1420"/>
      <c r="K246" s="1420"/>
      <c r="L246" s="1420"/>
      <c r="M246" s="1420"/>
      <c r="N246" s="4374"/>
      <c r="O246" s="4374"/>
      <c r="P246" s="4374"/>
      <c r="Q246" s="4374"/>
    </row>
    <row r="247" spans="2:17" ht="18" customHeight="1">
      <c r="J247" s="1420"/>
      <c r="K247" s="1420"/>
      <c r="L247" s="1420"/>
      <c r="M247" s="1420"/>
      <c r="N247" s="1420"/>
      <c r="O247" s="1420"/>
      <c r="P247" s="1420"/>
      <c r="Q247" s="1420"/>
    </row>
    <row r="248" spans="2:17" ht="18" customHeight="1">
      <c r="J248" s="1420"/>
      <c r="K248" s="1420"/>
      <c r="L248" s="1420"/>
      <c r="M248" s="1420"/>
      <c r="N248" s="1420"/>
      <c r="O248" s="1420"/>
      <c r="P248" s="1420"/>
      <c r="Q248" s="1420"/>
    </row>
    <row r="249" spans="2:17">
      <c r="J249" s="4228"/>
      <c r="K249" s="4228"/>
      <c r="L249" s="4228"/>
      <c r="M249" s="4228"/>
      <c r="N249" s="4228"/>
      <c r="O249" s="4228"/>
      <c r="P249" s="4228"/>
      <c r="Q249" s="4228"/>
    </row>
    <row r="250" spans="2:17">
      <c r="J250" s="4228"/>
      <c r="K250" s="4228"/>
      <c r="L250" s="4228"/>
      <c r="M250" s="4228"/>
      <c r="N250" s="4228"/>
      <c r="O250" s="4228"/>
      <c r="P250" s="4228"/>
      <c r="Q250" s="4228"/>
    </row>
    <row r="251" spans="2:17">
      <c r="J251" s="4228"/>
      <c r="K251" s="4228"/>
      <c r="L251" s="4228"/>
      <c r="M251" s="4228"/>
      <c r="N251" s="4228"/>
      <c r="O251" s="4228"/>
      <c r="P251" s="4228"/>
      <c r="Q251" s="4228"/>
    </row>
    <row r="252" spans="2:17">
      <c r="J252" s="4228"/>
      <c r="K252" s="4228"/>
      <c r="L252" s="4228"/>
      <c r="M252" s="4228"/>
      <c r="N252" s="4228"/>
      <c r="O252" s="4228"/>
      <c r="P252" s="4228"/>
      <c r="Q252" s="4228"/>
    </row>
    <row r="253" spans="2:17">
      <c r="J253" s="4228"/>
      <c r="K253" s="4228"/>
      <c r="L253" s="4228"/>
      <c r="M253" s="4228"/>
      <c r="N253" s="4228"/>
      <c r="O253" s="4228"/>
      <c r="P253" s="4228"/>
      <c r="Q253" s="4228"/>
    </row>
    <row r="254" spans="2:17">
      <c r="J254" s="4228"/>
      <c r="K254" s="4228"/>
      <c r="L254" s="4228"/>
      <c r="M254" s="4228"/>
      <c r="N254" s="4228"/>
      <c r="O254" s="4228"/>
      <c r="P254" s="4228"/>
      <c r="Q254" s="4228"/>
    </row>
    <row r="255" spans="2:17" ht="16.5">
      <c r="B255" s="219"/>
      <c r="C255" s="219"/>
      <c r="D255" s="219"/>
      <c r="E255" s="219"/>
      <c r="F255" s="219"/>
      <c r="G255" s="219"/>
      <c r="H255" s="219"/>
      <c r="I255" s="220"/>
      <c r="J255" s="220"/>
      <c r="K255" s="220"/>
      <c r="L255" s="220"/>
      <c r="M255" s="220"/>
      <c r="N255" s="220"/>
      <c r="O255" s="220"/>
      <c r="P255" s="220"/>
      <c r="Q255" s="220"/>
    </row>
    <row r="256" spans="2:17" ht="16.5">
      <c r="B256" s="219"/>
      <c r="C256" s="219"/>
      <c r="D256" s="219"/>
      <c r="E256" s="219"/>
      <c r="F256" s="219"/>
      <c r="G256" s="219"/>
      <c r="H256" s="219"/>
      <c r="I256" s="220"/>
      <c r="J256" s="220"/>
      <c r="K256" s="220"/>
      <c r="L256" s="220"/>
      <c r="M256" s="220"/>
      <c r="N256" s="220"/>
      <c r="O256" s="220"/>
      <c r="P256" s="220"/>
      <c r="Q256" s="220"/>
    </row>
    <row r="257" spans="2:17" ht="16.5">
      <c r="B257" s="219"/>
      <c r="C257" s="219"/>
      <c r="D257" s="219"/>
      <c r="E257" s="219"/>
      <c r="F257" s="219"/>
      <c r="G257" s="219"/>
      <c r="H257" s="219"/>
      <c r="I257" s="220"/>
      <c r="J257" s="220"/>
      <c r="K257" s="220"/>
      <c r="L257" s="220"/>
      <c r="M257" s="220"/>
      <c r="N257" s="220"/>
      <c r="O257" s="220"/>
      <c r="P257" s="220"/>
      <c r="Q257" s="220"/>
    </row>
    <row r="258" spans="2:17" ht="16.5">
      <c r="B258" s="219"/>
      <c r="C258" s="219"/>
      <c r="D258" s="219"/>
      <c r="E258" s="219"/>
      <c r="F258" s="219"/>
      <c r="G258" s="219"/>
      <c r="H258" s="219"/>
      <c r="I258" s="220"/>
      <c r="J258" s="220"/>
      <c r="K258" s="220"/>
      <c r="L258" s="220"/>
      <c r="M258" s="220"/>
      <c r="N258" s="220"/>
      <c r="O258" s="220"/>
      <c r="P258" s="220"/>
      <c r="Q258" s="220"/>
    </row>
    <row r="259" spans="2:17" ht="16.5">
      <c r="B259" s="230"/>
      <c r="C259" s="231"/>
      <c r="D259" s="232"/>
      <c r="E259" s="232"/>
      <c r="F259" s="232"/>
      <c r="G259" s="232"/>
      <c r="H259" s="232"/>
      <c r="I259" s="232"/>
      <c r="J259" s="220"/>
      <c r="K259" s="220"/>
      <c r="L259" s="220"/>
      <c r="M259" s="220"/>
      <c r="N259" s="220"/>
      <c r="O259" s="220"/>
      <c r="P259" s="220"/>
      <c r="Q259" s="220"/>
    </row>
    <row r="260" spans="2:17" ht="16.5">
      <c r="B260" s="219"/>
      <c r="C260" s="219"/>
      <c r="D260" s="219"/>
      <c r="E260" s="219"/>
      <c r="F260" s="219"/>
      <c r="G260" s="219"/>
      <c r="H260" s="219"/>
      <c r="I260" s="220"/>
      <c r="J260" s="220"/>
      <c r="K260" s="220"/>
      <c r="L260" s="220"/>
      <c r="M260" s="220"/>
      <c r="N260" s="220"/>
      <c r="O260" s="220"/>
      <c r="P260" s="220"/>
      <c r="Q260" s="220"/>
    </row>
    <row r="261" spans="2:17" ht="16.5">
      <c r="B261" s="219"/>
      <c r="C261" s="219"/>
      <c r="D261" s="219"/>
      <c r="E261" s="219"/>
      <c r="F261" s="219"/>
      <c r="G261" s="219"/>
      <c r="H261" s="219"/>
      <c r="I261" s="220"/>
      <c r="J261" s="220"/>
      <c r="K261" s="220"/>
      <c r="L261" s="220"/>
      <c r="M261" s="220"/>
      <c r="N261" s="220"/>
      <c r="O261" s="220"/>
      <c r="P261" s="220"/>
      <c r="Q261" s="220"/>
    </row>
    <row r="262" spans="2:17" ht="16.5">
      <c r="B262" s="219"/>
      <c r="C262" s="219"/>
      <c r="D262" s="219"/>
      <c r="E262" s="219"/>
      <c r="F262" s="219"/>
      <c r="G262" s="219"/>
      <c r="H262" s="219"/>
      <c r="I262" s="220"/>
      <c r="J262" s="220"/>
      <c r="K262" s="220"/>
      <c r="L262" s="220"/>
      <c r="M262" s="220"/>
      <c r="N262" s="220"/>
      <c r="O262" s="220"/>
      <c r="P262" s="220"/>
      <c r="Q262" s="220"/>
    </row>
    <row r="263" spans="2:17" ht="16.5">
      <c r="B263" s="219"/>
      <c r="C263" s="219"/>
      <c r="D263" s="219"/>
      <c r="E263" s="219"/>
      <c r="F263" s="219"/>
      <c r="G263" s="219"/>
      <c r="H263" s="219"/>
      <c r="I263" s="220"/>
      <c r="J263" s="220"/>
      <c r="K263" s="220"/>
      <c r="L263" s="220"/>
      <c r="M263" s="220"/>
      <c r="N263" s="220"/>
      <c r="O263" s="220"/>
      <c r="P263" s="220"/>
      <c r="Q263" s="220"/>
    </row>
    <row r="264" spans="2:17" ht="16.5">
      <c r="B264" s="219"/>
      <c r="C264" s="219"/>
      <c r="D264" s="219"/>
      <c r="E264" s="219"/>
      <c r="F264" s="219"/>
      <c r="G264" s="219"/>
      <c r="H264" s="219"/>
      <c r="I264" s="220"/>
      <c r="J264" s="220"/>
      <c r="K264" s="220"/>
      <c r="L264" s="220"/>
      <c r="M264" s="220"/>
      <c r="N264" s="220"/>
      <c r="O264" s="220"/>
      <c r="P264" s="220"/>
      <c r="Q264" s="220"/>
    </row>
    <row r="265" spans="2:17" ht="16.5">
      <c r="B265" s="219"/>
      <c r="C265" s="219"/>
      <c r="D265" s="219"/>
      <c r="E265" s="219"/>
      <c r="F265" s="219"/>
      <c r="G265" s="219"/>
      <c r="H265" s="219"/>
      <c r="I265" s="220"/>
      <c r="J265" s="220"/>
      <c r="K265" s="220"/>
      <c r="L265" s="220"/>
      <c r="M265" s="220"/>
      <c r="N265" s="220"/>
      <c r="O265" s="220"/>
      <c r="P265" s="220"/>
      <c r="Q265" s="220"/>
    </row>
    <row r="266" spans="2:17" ht="16.5">
      <c r="B266" s="219"/>
      <c r="C266" s="219"/>
      <c r="D266" s="219"/>
      <c r="E266" s="219"/>
      <c r="F266" s="219"/>
      <c r="G266" s="219"/>
      <c r="H266" s="219"/>
      <c r="I266" s="220"/>
      <c r="J266" s="220"/>
      <c r="K266" s="220"/>
      <c r="L266" s="220"/>
      <c r="M266" s="220"/>
      <c r="N266" s="220"/>
      <c r="O266" s="220"/>
      <c r="P266" s="220"/>
      <c r="Q266" s="220"/>
    </row>
    <row r="267" spans="2:17" ht="16.5">
      <c r="B267" s="219"/>
      <c r="C267" s="219"/>
      <c r="D267" s="219"/>
      <c r="E267" s="219"/>
      <c r="F267" s="219"/>
      <c r="G267" s="219"/>
      <c r="H267" s="219"/>
      <c r="I267" s="220"/>
      <c r="J267" s="220"/>
      <c r="K267" s="220"/>
      <c r="L267" s="220"/>
      <c r="M267" s="220"/>
      <c r="N267" s="220"/>
      <c r="O267" s="220"/>
      <c r="P267" s="220"/>
      <c r="Q267" s="220"/>
    </row>
    <row r="268" spans="2:17" ht="16.5">
      <c r="B268" s="219"/>
      <c r="C268" s="219"/>
      <c r="D268" s="219"/>
      <c r="E268" s="219"/>
      <c r="F268" s="219"/>
      <c r="G268" s="219"/>
      <c r="H268" s="219"/>
      <c r="I268" s="220"/>
      <c r="J268" s="220"/>
      <c r="K268" s="220"/>
      <c r="L268" s="220"/>
      <c r="M268" s="220"/>
      <c r="N268" s="220"/>
      <c r="O268" s="220"/>
      <c r="P268" s="220"/>
      <c r="Q268" s="220"/>
    </row>
    <row r="269" spans="2:17" ht="16.5">
      <c r="B269" s="219"/>
      <c r="C269" s="219"/>
      <c r="D269" s="219"/>
      <c r="E269" s="219"/>
      <c r="F269" s="219"/>
      <c r="G269" s="219"/>
      <c r="H269" s="219"/>
      <c r="I269" s="220"/>
      <c r="J269" s="220"/>
      <c r="K269" s="220"/>
      <c r="L269" s="220"/>
      <c r="M269" s="220"/>
      <c r="N269" s="220"/>
      <c r="O269" s="220"/>
      <c r="P269" s="220"/>
      <c r="Q269" s="220"/>
    </row>
    <row r="270" spans="2:17" ht="16.5">
      <c r="B270" s="219"/>
      <c r="C270" s="219"/>
      <c r="D270" s="219"/>
      <c r="E270" s="219"/>
      <c r="F270" s="219"/>
      <c r="G270" s="219"/>
      <c r="H270" s="219"/>
      <c r="I270" s="220"/>
      <c r="J270" s="220"/>
      <c r="K270" s="220"/>
      <c r="L270" s="220"/>
      <c r="M270" s="220"/>
      <c r="N270" s="220"/>
      <c r="O270" s="220"/>
      <c r="P270" s="220"/>
      <c r="Q270" s="220"/>
    </row>
    <row r="271" spans="2:17" ht="16.5">
      <c r="B271" s="219"/>
      <c r="C271" s="219"/>
      <c r="D271" s="219"/>
      <c r="E271" s="219"/>
      <c r="F271" s="219"/>
      <c r="G271" s="219"/>
      <c r="H271" s="219"/>
      <c r="I271" s="220"/>
      <c r="J271" s="220"/>
      <c r="K271" s="220"/>
      <c r="L271" s="220"/>
      <c r="M271" s="220"/>
      <c r="N271" s="220"/>
      <c r="O271" s="220"/>
      <c r="P271" s="220"/>
      <c r="Q271" s="220"/>
    </row>
    <row r="272" spans="2:17" ht="16.5">
      <c r="B272" s="219"/>
      <c r="C272" s="219"/>
      <c r="D272" s="219"/>
      <c r="E272" s="219"/>
      <c r="F272" s="219"/>
      <c r="G272" s="219"/>
      <c r="H272" s="219"/>
      <c r="I272" s="220"/>
      <c r="J272" s="220"/>
      <c r="K272" s="220"/>
      <c r="L272" s="220"/>
      <c r="M272" s="220"/>
      <c r="N272" s="220"/>
      <c r="O272" s="220"/>
      <c r="P272" s="220"/>
      <c r="Q272" s="220"/>
    </row>
    <row r="273" spans="2:17" ht="16.5">
      <c r="B273" s="219"/>
      <c r="C273" s="219"/>
      <c r="D273" s="219"/>
      <c r="E273" s="219"/>
      <c r="F273" s="219"/>
      <c r="G273" s="219"/>
      <c r="H273" s="219"/>
      <c r="I273" s="220"/>
      <c r="J273" s="220"/>
      <c r="K273" s="220"/>
      <c r="L273" s="220"/>
      <c r="M273" s="220"/>
      <c r="N273" s="220"/>
      <c r="O273" s="220"/>
      <c r="P273" s="220"/>
      <c r="Q273" s="220"/>
    </row>
    <row r="274" spans="2:17" ht="16.5">
      <c r="B274" s="219"/>
      <c r="C274" s="219"/>
      <c r="D274" s="219"/>
      <c r="E274" s="219"/>
      <c r="F274" s="219"/>
      <c r="G274" s="219"/>
      <c r="H274" s="219"/>
      <c r="I274" s="220"/>
      <c r="J274" s="220"/>
      <c r="K274" s="220"/>
      <c r="L274" s="220"/>
      <c r="M274" s="220"/>
      <c r="N274" s="220"/>
      <c r="O274" s="220"/>
      <c r="P274" s="220"/>
      <c r="Q274" s="220"/>
    </row>
    <row r="275" spans="2:17" ht="16.5">
      <c r="B275" s="219"/>
      <c r="C275" s="219"/>
      <c r="D275" s="219"/>
      <c r="E275" s="219"/>
      <c r="F275" s="219"/>
      <c r="G275" s="219"/>
      <c r="H275" s="219"/>
      <c r="I275" s="220"/>
      <c r="J275" s="220"/>
      <c r="K275" s="220"/>
      <c r="L275" s="220"/>
      <c r="M275" s="220"/>
      <c r="N275" s="220"/>
      <c r="O275" s="220"/>
      <c r="P275" s="220"/>
      <c r="Q275" s="220"/>
    </row>
    <row r="276" spans="2:17" ht="16.5">
      <c r="B276" s="219"/>
      <c r="C276" s="219"/>
      <c r="D276" s="219"/>
      <c r="E276" s="219"/>
      <c r="F276" s="219"/>
      <c r="G276" s="219"/>
      <c r="H276" s="219"/>
      <c r="I276" s="220"/>
      <c r="J276" s="220"/>
      <c r="K276" s="220"/>
      <c r="L276" s="220"/>
      <c r="M276" s="220"/>
      <c r="N276" s="220"/>
      <c r="O276" s="220"/>
      <c r="P276" s="220"/>
      <c r="Q276" s="220"/>
    </row>
    <row r="277" spans="2:17" ht="16.5">
      <c r="B277" s="219"/>
      <c r="C277" s="219"/>
      <c r="D277" s="219"/>
      <c r="E277" s="219"/>
      <c r="F277" s="219"/>
      <c r="G277" s="219"/>
      <c r="H277" s="219"/>
      <c r="I277" s="220"/>
      <c r="J277" s="220"/>
      <c r="K277" s="220"/>
      <c r="L277" s="220"/>
      <c r="M277" s="220"/>
      <c r="N277" s="220"/>
      <c r="O277" s="220"/>
      <c r="P277" s="220"/>
      <c r="Q277" s="220"/>
    </row>
    <row r="278" spans="2:17" ht="16.5">
      <c r="B278" s="219"/>
      <c r="C278" s="219"/>
      <c r="D278" s="219"/>
      <c r="E278" s="219"/>
      <c r="F278" s="219"/>
      <c r="G278" s="219"/>
      <c r="H278" s="219"/>
      <c r="I278" s="220"/>
      <c r="J278" s="220"/>
      <c r="K278" s="220"/>
      <c r="L278" s="220"/>
      <c r="M278" s="220"/>
      <c r="N278" s="220"/>
      <c r="O278" s="220"/>
      <c r="P278" s="220"/>
      <c r="Q278" s="220"/>
    </row>
    <row r="279" spans="2:17" ht="16.5">
      <c r="B279" s="219"/>
      <c r="C279" s="219"/>
      <c r="D279" s="219"/>
      <c r="E279" s="219"/>
      <c r="F279" s="219"/>
      <c r="G279" s="219"/>
      <c r="H279" s="219"/>
      <c r="I279" s="220"/>
      <c r="J279" s="220"/>
      <c r="K279" s="220"/>
      <c r="L279" s="220"/>
      <c r="M279" s="220"/>
      <c r="N279" s="220"/>
      <c r="O279" s="220"/>
      <c r="P279" s="220"/>
      <c r="Q279" s="220"/>
    </row>
    <row r="280" spans="2:17" ht="16.5">
      <c r="B280" s="219"/>
      <c r="C280" s="219"/>
      <c r="D280" s="219"/>
      <c r="E280" s="219"/>
      <c r="F280" s="219"/>
      <c r="G280" s="219"/>
      <c r="H280" s="219"/>
      <c r="I280" s="220"/>
      <c r="J280" s="220"/>
      <c r="K280" s="220"/>
      <c r="L280" s="220"/>
      <c r="M280" s="220"/>
      <c r="N280" s="220"/>
      <c r="O280" s="220"/>
      <c r="P280" s="220"/>
      <c r="Q280" s="220"/>
    </row>
    <row r="281" spans="2:17" ht="16.5">
      <c r="B281" s="219"/>
      <c r="C281" s="219"/>
      <c r="D281" s="219"/>
      <c r="E281" s="219"/>
      <c r="F281" s="219"/>
      <c r="G281" s="219"/>
      <c r="H281" s="219"/>
      <c r="I281" s="220"/>
      <c r="J281" s="220"/>
      <c r="K281" s="220"/>
      <c r="L281" s="220"/>
      <c r="M281" s="220"/>
      <c r="N281" s="220"/>
      <c r="O281" s="220"/>
      <c r="P281" s="220"/>
      <c r="Q281" s="220"/>
    </row>
    <row r="282" spans="2:17" ht="16.5">
      <c r="B282" s="219"/>
      <c r="C282" s="219"/>
      <c r="D282" s="219"/>
      <c r="E282" s="219"/>
      <c r="F282" s="219"/>
      <c r="G282" s="219"/>
      <c r="H282" s="219"/>
      <c r="I282" s="220"/>
      <c r="J282" s="220"/>
      <c r="K282" s="220"/>
      <c r="L282" s="220"/>
      <c r="M282" s="220"/>
      <c r="N282" s="220"/>
      <c r="O282" s="220"/>
      <c r="P282" s="220"/>
      <c r="Q282" s="220"/>
    </row>
    <row r="283" spans="2:17" ht="16.5">
      <c r="B283" s="219"/>
      <c r="C283" s="219"/>
      <c r="D283" s="219"/>
      <c r="E283" s="219"/>
      <c r="F283" s="219"/>
      <c r="G283" s="219"/>
      <c r="H283" s="219"/>
      <c r="I283" s="220"/>
      <c r="J283" s="220"/>
      <c r="K283" s="220"/>
      <c r="L283" s="220"/>
      <c r="M283" s="220"/>
      <c r="N283" s="220"/>
      <c r="O283" s="220"/>
      <c r="P283" s="220"/>
      <c r="Q283" s="220"/>
    </row>
    <row r="284" spans="2:17" ht="16.5">
      <c r="B284" s="219"/>
      <c r="C284" s="219"/>
      <c r="D284" s="219"/>
      <c r="E284" s="219"/>
      <c r="F284" s="219"/>
      <c r="G284" s="219"/>
      <c r="H284" s="219"/>
      <c r="I284" s="220"/>
      <c r="J284" s="220"/>
      <c r="K284" s="220"/>
      <c r="L284" s="220"/>
      <c r="M284" s="220"/>
      <c r="N284" s="220"/>
      <c r="O284" s="220"/>
      <c r="P284" s="220"/>
      <c r="Q284" s="220"/>
    </row>
    <row r="285" spans="2:17" ht="16.5">
      <c r="B285" s="219"/>
      <c r="C285" s="219"/>
      <c r="D285" s="219"/>
      <c r="E285" s="219"/>
      <c r="F285" s="219"/>
      <c r="G285" s="219"/>
      <c r="H285" s="219"/>
      <c r="I285" s="220"/>
      <c r="J285" s="220"/>
      <c r="K285" s="220"/>
      <c r="L285" s="220"/>
      <c r="M285" s="220"/>
      <c r="N285" s="220"/>
      <c r="O285" s="220"/>
      <c r="P285" s="220"/>
      <c r="Q285" s="220"/>
    </row>
    <row r="286" spans="2:17" ht="16.5">
      <c r="B286" s="219"/>
      <c r="C286" s="219"/>
      <c r="D286" s="219"/>
      <c r="E286" s="219"/>
      <c r="F286" s="219"/>
      <c r="G286" s="219"/>
      <c r="H286" s="219"/>
      <c r="I286" s="220"/>
      <c r="J286" s="220"/>
      <c r="K286" s="220"/>
      <c r="L286" s="220"/>
      <c r="M286" s="220"/>
      <c r="N286" s="220"/>
      <c r="O286" s="220"/>
      <c r="P286" s="220"/>
      <c r="Q286" s="220"/>
    </row>
    <row r="287" spans="2:17" ht="16.5">
      <c r="B287" s="219"/>
      <c r="C287" s="219"/>
      <c r="D287" s="219"/>
      <c r="E287" s="219"/>
      <c r="F287" s="219"/>
      <c r="G287" s="219"/>
      <c r="H287" s="219"/>
      <c r="I287" s="220"/>
      <c r="J287" s="220"/>
      <c r="K287" s="220"/>
      <c r="L287" s="220"/>
      <c r="M287" s="220"/>
      <c r="N287" s="220"/>
      <c r="O287" s="220"/>
      <c r="P287" s="220"/>
      <c r="Q287" s="220"/>
    </row>
    <row r="288" spans="2:17" ht="16.5">
      <c r="B288" s="219"/>
      <c r="C288" s="219"/>
      <c r="D288" s="219"/>
      <c r="E288" s="219"/>
      <c r="F288" s="219"/>
      <c r="G288" s="219"/>
      <c r="H288" s="219"/>
      <c r="I288" s="220"/>
      <c r="J288" s="220"/>
      <c r="K288" s="220"/>
      <c r="L288" s="220"/>
      <c r="M288" s="220"/>
      <c r="N288" s="220"/>
      <c r="O288" s="220"/>
      <c r="P288" s="220"/>
      <c r="Q288" s="220"/>
    </row>
    <row r="289" spans="2:17" ht="16.5">
      <c r="B289" s="219"/>
      <c r="C289" s="219"/>
      <c r="D289" s="219"/>
      <c r="E289" s="219"/>
      <c r="F289" s="219"/>
      <c r="G289" s="219"/>
      <c r="H289" s="219"/>
      <c r="I289" s="220"/>
      <c r="J289" s="220"/>
      <c r="K289" s="220"/>
      <c r="L289" s="220"/>
      <c r="M289" s="220"/>
      <c r="N289" s="220"/>
      <c r="O289" s="220"/>
      <c r="P289" s="220"/>
      <c r="Q289" s="220"/>
    </row>
    <row r="290" spans="2:17" ht="16.5">
      <c r="B290" s="219"/>
      <c r="C290" s="219"/>
      <c r="D290" s="219"/>
      <c r="E290" s="219"/>
      <c r="F290" s="219"/>
      <c r="G290" s="219"/>
      <c r="H290" s="219"/>
      <c r="I290" s="220"/>
      <c r="J290" s="220"/>
      <c r="K290" s="220"/>
      <c r="L290" s="220"/>
      <c r="M290" s="220"/>
      <c r="N290" s="220"/>
      <c r="O290" s="220"/>
      <c r="P290" s="220"/>
      <c r="Q290" s="220"/>
    </row>
    <row r="291" spans="2:17" ht="16.5">
      <c r="B291" s="219"/>
      <c r="C291" s="219"/>
      <c r="D291" s="219"/>
      <c r="E291" s="219"/>
      <c r="F291" s="219"/>
      <c r="G291" s="219"/>
      <c r="H291" s="219"/>
      <c r="I291" s="220"/>
      <c r="J291" s="220"/>
      <c r="K291" s="220"/>
      <c r="L291" s="220"/>
      <c r="M291" s="220"/>
      <c r="N291" s="220"/>
      <c r="O291" s="220"/>
      <c r="P291" s="220"/>
      <c r="Q291" s="220"/>
    </row>
    <row r="292" spans="2:17" ht="16.5">
      <c r="B292" s="219"/>
      <c r="C292" s="219"/>
      <c r="D292" s="219"/>
      <c r="E292" s="219"/>
      <c r="F292" s="219"/>
      <c r="G292" s="219"/>
      <c r="H292" s="219"/>
      <c r="I292" s="220"/>
      <c r="J292" s="220"/>
      <c r="K292" s="220"/>
      <c r="L292" s="220"/>
      <c r="M292" s="220"/>
      <c r="N292" s="220"/>
      <c r="O292" s="220"/>
      <c r="P292" s="220"/>
      <c r="Q292" s="220"/>
    </row>
    <row r="293" spans="2:17" ht="16.5">
      <c r="B293" s="219"/>
      <c r="C293" s="219"/>
      <c r="D293" s="219"/>
      <c r="E293" s="219"/>
      <c r="F293" s="219"/>
      <c r="G293" s="219"/>
      <c r="H293" s="219"/>
      <c r="I293" s="220"/>
      <c r="J293" s="220"/>
      <c r="K293" s="220"/>
      <c r="L293" s="220"/>
      <c r="M293" s="220"/>
      <c r="N293" s="220"/>
      <c r="O293" s="220"/>
      <c r="P293" s="220"/>
      <c r="Q293" s="220"/>
    </row>
    <row r="294" spans="2:17" ht="16.5">
      <c r="B294" s="219"/>
      <c r="C294" s="219"/>
      <c r="D294" s="219"/>
      <c r="E294" s="219"/>
      <c r="F294" s="219"/>
      <c r="G294" s="219"/>
      <c r="H294" s="219"/>
      <c r="I294" s="220"/>
      <c r="J294" s="220"/>
      <c r="K294" s="220"/>
      <c r="L294" s="220"/>
      <c r="M294" s="220"/>
      <c r="N294" s="220"/>
      <c r="O294" s="220"/>
      <c r="P294" s="220"/>
      <c r="Q294" s="220"/>
    </row>
    <row r="295" spans="2:17" ht="16.5">
      <c r="B295" s="219"/>
      <c r="C295" s="219"/>
      <c r="D295" s="219"/>
      <c r="E295" s="219"/>
      <c r="F295" s="219"/>
      <c r="G295" s="219"/>
      <c r="H295" s="219"/>
      <c r="I295" s="220"/>
      <c r="J295" s="220"/>
      <c r="K295" s="220"/>
      <c r="L295" s="220"/>
      <c r="M295" s="220"/>
      <c r="N295" s="220"/>
      <c r="O295" s="220"/>
      <c r="P295" s="220"/>
      <c r="Q295" s="220"/>
    </row>
    <row r="296" spans="2:17" ht="16.5">
      <c r="B296" s="219"/>
      <c r="C296" s="219"/>
      <c r="D296" s="219"/>
      <c r="E296" s="219"/>
      <c r="F296" s="219"/>
      <c r="G296" s="219"/>
      <c r="H296" s="219"/>
      <c r="I296" s="220"/>
      <c r="J296" s="220"/>
      <c r="K296" s="220"/>
      <c r="L296" s="220"/>
      <c r="M296" s="220"/>
      <c r="N296" s="220"/>
      <c r="O296" s="220"/>
      <c r="P296" s="220"/>
      <c r="Q296" s="220"/>
    </row>
    <row r="297" spans="2:17" ht="16.5">
      <c r="B297" s="219"/>
      <c r="C297" s="219"/>
      <c r="D297" s="219"/>
      <c r="E297" s="219"/>
      <c r="F297" s="219"/>
      <c r="G297" s="219"/>
      <c r="H297" s="219"/>
      <c r="I297" s="220"/>
      <c r="J297" s="220"/>
      <c r="K297" s="220"/>
      <c r="L297" s="220"/>
      <c r="M297" s="220"/>
      <c r="N297" s="220"/>
      <c r="O297" s="220"/>
      <c r="P297" s="220"/>
      <c r="Q297" s="220"/>
    </row>
    <row r="298" spans="2:17" ht="16.5">
      <c r="B298" s="219"/>
      <c r="C298" s="219"/>
      <c r="D298" s="219"/>
      <c r="E298" s="219"/>
      <c r="F298" s="219"/>
      <c r="G298" s="219"/>
      <c r="H298" s="219"/>
      <c r="I298" s="220"/>
      <c r="J298" s="220"/>
      <c r="K298" s="220"/>
      <c r="L298" s="220"/>
      <c r="M298" s="220"/>
      <c r="N298" s="220"/>
      <c r="O298" s="220"/>
      <c r="P298" s="220"/>
      <c r="Q298" s="220"/>
    </row>
    <row r="299" spans="2:17" ht="16.5">
      <c r="B299" s="219"/>
      <c r="C299" s="219"/>
      <c r="D299" s="219"/>
      <c r="E299" s="219"/>
      <c r="F299" s="219"/>
      <c r="G299" s="219"/>
      <c r="H299" s="219"/>
      <c r="I299" s="220"/>
      <c r="J299" s="220"/>
      <c r="K299" s="220"/>
      <c r="L299" s="220"/>
      <c r="M299" s="220"/>
      <c r="N299" s="220"/>
      <c r="O299" s="220"/>
      <c r="P299" s="220"/>
      <c r="Q299" s="220"/>
    </row>
    <row r="300" spans="2:17" ht="16.5">
      <c r="B300" s="219"/>
      <c r="C300" s="219"/>
      <c r="D300" s="219"/>
      <c r="E300" s="219"/>
      <c r="F300" s="219"/>
      <c r="G300" s="219"/>
      <c r="H300" s="219"/>
      <c r="I300" s="220"/>
      <c r="J300" s="220"/>
      <c r="K300" s="220"/>
      <c r="L300" s="220"/>
      <c r="M300" s="220"/>
      <c r="N300" s="220"/>
      <c r="O300" s="220"/>
      <c r="P300" s="220"/>
      <c r="Q300" s="220"/>
    </row>
    <row r="301" spans="2:17" ht="16.5">
      <c r="B301" s="219"/>
      <c r="C301" s="219"/>
      <c r="D301" s="219"/>
      <c r="E301" s="219"/>
      <c r="F301" s="219"/>
      <c r="G301" s="219"/>
      <c r="H301" s="219"/>
      <c r="I301" s="220"/>
      <c r="J301" s="220"/>
      <c r="K301" s="220"/>
      <c r="L301" s="220"/>
      <c r="M301" s="220"/>
      <c r="N301" s="220"/>
      <c r="O301" s="220"/>
      <c r="P301" s="220"/>
      <c r="Q301" s="220"/>
    </row>
    <row r="302" spans="2:17" ht="16.5">
      <c r="B302" s="219"/>
      <c r="C302" s="219"/>
      <c r="D302" s="219"/>
      <c r="E302" s="219"/>
      <c r="F302" s="219"/>
      <c r="G302" s="219"/>
      <c r="H302" s="219"/>
      <c r="I302" s="220"/>
      <c r="J302" s="220"/>
      <c r="K302" s="220"/>
      <c r="L302" s="220"/>
      <c r="M302" s="220"/>
      <c r="N302" s="220"/>
      <c r="O302" s="220"/>
      <c r="P302" s="220"/>
      <c r="Q302" s="220"/>
    </row>
    <row r="303" spans="2:17" ht="16.5">
      <c r="B303" s="219"/>
      <c r="C303" s="219"/>
      <c r="D303" s="219"/>
      <c r="E303" s="219"/>
      <c r="F303" s="219"/>
      <c r="G303" s="219"/>
      <c r="H303" s="219"/>
      <c r="I303" s="220"/>
      <c r="J303" s="220"/>
      <c r="K303" s="220"/>
      <c r="L303" s="220"/>
      <c r="M303" s="220"/>
      <c r="N303" s="220"/>
      <c r="O303" s="220"/>
      <c r="P303" s="220"/>
      <c r="Q303" s="220"/>
    </row>
    <row r="304" spans="2:17" ht="16.5">
      <c r="B304" s="219"/>
      <c r="C304" s="219"/>
      <c r="D304" s="219"/>
      <c r="E304" s="219"/>
      <c r="F304" s="219"/>
      <c r="G304" s="219"/>
      <c r="H304" s="219"/>
      <c r="I304" s="220"/>
      <c r="J304" s="220"/>
      <c r="K304" s="220"/>
      <c r="L304" s="220"/>
      <c r="M304" s="220"/>
      <c r="N304" s="220"/>
      <c r="O304" s="220"/>
      <c r="P304" s="220"/>
      <c r="Q304" s="220"/>
    </row>
    <row r="305" spans="2:17" ht="16.5">
      <c r="B305" s="219"/>
      <c r="C305" s="219"/>
      <c r="D305" s="219"/>
      <c r="E305" s="219"/>
      <c r="F305" s="219"/>
      <c r="G305" s="219"/>
      <c r="H305" s="219"/>
      <c r="I305" s="220"/>
      <c r="J305" s="220"/>
      <c r="K305" s="220"/>
      <c r="L305" s="220"/>
      <c r="M305" s="220"/>
      <c r="N305" s="220"/>
      <c r="O305" s="220"/>
      <c r="P305" s="220"/>
      <c r="Q305" s="220"/>
    </row>
    <row r="306" spans="2:17" ht="16.5">
      <c r="B306" s="219"/>
      <c r="C306" s="219"/>
      <c r="D306" s="219"/>
      <c r="E306" s="219"/>
      <c r="F306" s="219"/>
      <c r="G306" s="219"/>
      <c r="H306" s="219"/>
      <c r="I306" s="220"/>
      <c r="J306" s="220"/>
      <c r="K306" s="220"/>
      <c r="L306" s="220"/>
      <c r="M306" s="220"/>
      <c r="N306" s="220"/>
      <c r="O306" s="220"/>
      <c r="P306" s="220"/>
      <c r="Q306" s="220"/>
    </row>
    <row r="307" spans="2:17" ht="16.5">
      <c r="B307" s="219"/>
      <c r="C307" s="219"/>
      <c r="D307" s="219"/>
      <c r="E307" s="219"/>
      <c r="F307" s="219"/>
      <c r="G307" s="219"/>
      <c r="H307" s="219"/>
      <c r="I307" s="220"/>
      <c r="J307" s="220"/>
      <c r="K307" s="220"/>
      <c r="L307" s="220"/>
      <c r="M307" s="220"/>
      <c r="N307" s="220"/>
      <c r="O307" s="220"/>
      <c r="P307" s="220"/>
      <c r="Q307" s="220"/>
    </row>
    <row r="308" spans="2:17" ht="16.5">
      <c r="B308" s="219"/>
      <c r="C308" s="219"/>
      <c r="D308" s="219"/>
      <c r="E308" s="219"/>
      <c r="F308" s="219"/>
      <c r="G308" s="219"/>
      <c r="H308" s="219"/>
      <c r="I308" s="220"/>
      <c r="J308" s="220"/>
      <c r="K308" s="220"/>
      <c r="L308" s="220"/>
      <c r="M308" s="220"/>
      <c r="N308" s="220"/>
      <c r="O308" s="220"/>
      <c r="P308" s="220"/>
      <c r="Q308" s="220"/>
    </row>
    <row r="309" spans="2:17" ht="16.5">
      <c r="B309" s="219"/>
      <c r="C309" s="219"/>
      <c r="D309" s="219"/>
      <c r="E309" s="219"/>
      <c r="F309" s="219"/>
      <c r="G309" s="219"/>
      <c r="H309" s="219"/>
      <c r="I309" s="220"/>
      <c r="J309" s="220"/>
      <c r="K309" s="220"/>
      <c r="L309" s="220"/>
      <c r="M309" s="220"/>
      <c r="N309" s="220"/>
      <c r="O309" s="220"/>
      <c r="P309" s="220"/>
      <c r="Q309" s="220"/>
    </row>
    <row r="310" spans="2:17" ht="16.5">
      <c r="B310" s="219"/>
      <c r="C310" s="219"/>
      <c r="D310" s="219"/>
      <c r="E310" s="219"/>
      <c r="F310" s="219"/>
      <c r="G310" s="219"/>
      <c r="H310" s="219"/>
      <c r="I310" s="220"/>
      <c r="J310" s="220"/>
      <c r="K310" s="220"/>
      <c r="L310" s="220"/>
      <c r="M310" s="220"/>
      <c r="N310" s="220"/>
      <c r="O310" s="220"/>
      <c r="P310" s="220"/>
      <c r="Q310" s="220"/>
    </row>
    <row r="311" spans="2:17" ht="16.5">
      <c r="B311" s="219"/>
      <c r="C311" s="219"/>
      <c r="D311" s="219"/>
      <c r="E311" s="219"/>
      <c r="F311" s="219"/>
      <c r="G311" s="219"/>
      <c r="H311" s="219"/>
      <c r="I311" s="220"/>
      <c r="J311" s="220"/>
      <c r="K311" s="220"/>
      <c r="L311" s="220"/>
      <c r="M311" s="220"/>
      <c r="N311" s="220"/>
      <c r="O311" s="220"/>
      <c r="P311" s="220"/>
      <c r="Q311" s="220"/>
    </row>
    <row r="312" spans="2:17" ht="16.5">
      <c r="B312" s="219"/>
      <c r="C312" s="219"/>
      <c r="D312" s="219"/>
      <c r="E312" s="219"/>
      <c r="F312" s="219"/>
      <c r="G312" s="219"/>
      <c r="H312" s="219"/>
      <c r="I312" s="220"/>
      <c r="J312" s="220"/>
      <c r="K312" s="220"/>
      <c r="L312" s="220"/>
      <c r="M312" s="220"/>
      <c r="N312" s="220"/>
      <c r="O312" s="220"/>
      <c r="P312" s="220"/>
      <c r="Q312" s="220"/>
    </row>
    <row r="313" spans="2:17" ht="16.5">
      <c r="B313" s="219"/>
      <c r="C313" s="219"/>
      <c r="D313" s="219"/>
      <c r="E313" s="219"/>
      <c r="F313" s="219"/>
      <c r="G313" s="219"/>
      <c r="H313" s="219"/>
      <c r="I313" s="220"/>
      <c r="J313" s="220"/>
      <c r="K313" s="220"/>
      <c r="L313" s="220"/>
      <c r="M313" s="220"/>
      <c r="N313" s="220"/>
      <c r="O313" s="220"/>
      <c r="P313" s="220"/>
      <c r="Q313" s="220"/>
    </row>
    <row r="314" spans="2:17" ht="16.5">
      <c r="B314" s="219"/>
      <c r="C314" s="219"/>
      <c r="D314" s="219"/>
      <c r="E314" s="219"/>
      <c r="F314" s="219"/>
      <c r="G314" s="219"/>
      <c r="H314" s="219"/>
      <c r="I314" s="220"/>
      <c r="J314" s="220"/>
      <c r="K314" s="220"/>
      <c r="L314" s="220"/>
      <c r="M314" s="220"/>
      <c r="N314" s="220"/>
      <c r="O314" s="220"/>
      <c r="P314" s="220"/>
      <c r="Q314" s="220"/>
    </row>
    <row r="315" spans="2:17" ht="16.5">
      <c r="B315" s="219"/>
      <c r="C315" s="219"/>
      <c r="D315" s="219"/>
      <c r="E315" s="219"/>
      <c r="F315" s="219"/>
      <c r="G315" s="219"/>
      <c r="H315" s="219"/>
      <c r="I315" s="220"/>
      <c r="J315" s="220"/>
      <c r="K315" s="220"/>
      <c r="L315" s="220"/>
      <c r="M315" s="220"/>
      <c r="N315" s="220"/>
      <c r="O315" s="220"/>
      <c r="P315" s="220"/>
      <c r="Q315" s="220"/>
    </row>
    <row r="316" spans="2:17" ht="16.5">
      <c r="B316" s="219"/>
      <c r="C316" s="219"/>
      <c r="D316" s="219"/>
      <c r="E316" s="219"/>
      <c r="F316" s="219"/>
      <c r="G316" s="219"/>
      <c r="H316" s="219"/>
      <c r="I316" s="220"/>
      <c r="J316" s="220"/>
      <c r="K316" s="220"/>
      <c r="L316" s="220"/>
      <c r="M316" s="220"/>
      <c r="N316" s="220"/>
      <c r="O316" s="220"/>
      <c r="P316" s="220"/>
      <c r="Q316" s="220"/>
    </row>
    <row r="317" spans="2:17" ht="16.5">
      <c r="B317" s="219"/>
      <c r="C317" s="219"/>
      <c r="D317" s="219"/>
      <c r="E317" s="219"/>
      <c r="F317" s="219"/>
      <c r="G317" s="219"/>
      <c r="H317" s="219"/>
      <c r="I317" s="220"/>
      <c r="J317" s="220"/>
      <c r="K317" s="220"/>
      <c r="L317" s="220"/>
      <c r="M317" s="220"/>
      <c r="N317" s="220"/>
      <c r="O317" s="220"/>
      <c r="P317" s="220"/>
      <c r="Q317" s="220"/>
    </row>
    <row r="318" spans="2:17" ht="16.5">
      <c r="B318" s="219"/>
      <c r="C318" s="219"/>
      <c r="D318" s="219"/>
      <c r="E318" s="219"/>
      <c r="F318" s="219"/>
      <c r="G318" s="219"/>
      <c r="H318" s="219"/>
      <c r="I318" s="220"/>
      <c r="J318" s="220"/>
      <c r="K318" s="220"/>
      <c r="L318" s="220"/>
      <c r="M318" s="220"/>
      <c r="N318" s="220"/>
      <c r="O318" s="220"/>
      <c r="P318" s="220"/>
      <c r="Q318" s="220"/>
    </row>
    <row r="319" spans="2:17" ht="16.5">
      <c r="B319" s="219"/>
      <c r="C319" s="219"/>
      <c r="D319" s="219"/>
      <c r="E319" s="219"/>
      <c r="F319" s="219"/>
      <c r="G319" s="219"/>
      <c r="H319" s="219"/>
      <c r="I319" s="220"/>
      <c r="J319" s="220"/>
      <c r="K319" s="220"/>
      <c r="L319" s="220"/>
      <c r="M319" s="220"/>
      <c r="N319" s="220"/>
      <c r="O319" s="220"/>
      <c r="P319" s="220"/>
      <c r="Q319" s="220"/>
    </row>
    <row r="320" spans="2:17" ht="16.5">
      <c r="B320" s="219"/>
      <c r="C320" s="219"/>
      <c r="D320" s="219"/>
      <c r="E320" s="219"/>
      <c r="F320" s="219"/>
      <c r="G320" s="219"/>
      <c r="H320" s="219"/>
      <c r="I320" s="220"/>
      <c r="J320" s="220"/>
      <c r="K320" s="220"/>
      <c r="L320" s="220"/>
      <c r="M320" s="220"/>
      <c r="N320" s="220"/>
      <c r="O320" s="220"/>
      <c r="P320" s="220"/>
      <c r="Q320" s="220"/>
    </row>
    <row r="321" spans="2:17" ht="16.5">
      <c r="B321" s="219"/>
      <c r="C321" s="219"/>
      <c r="D321" s="219"/>
      <c r="E321" s="219"/>
      <c r="F321" s="219"/>
      <c r="G321" s="219"/>
      <c r="H321" s="219"/>
      <c r="I321" s="220"/>
      <c r="J321" s="220"/>
      <c r="K321" s="220"/>
      <c r="L321" s="220"/>
      <c r="M321" s="220"/>
      <c r="N321" s="220"/>
      <c r="O321" s="220"/>
      <c r="P321" s="220"/>
      <c r="Q321" s="220"/>
    </row>
    <row r="322" spans="2:17" ht="16.5">
      <c r="B322" s="219"/>
      <c r="C322" s="219"/>
      <c r="D322" s="219"/>
      <c r="E322" s="219"/>
      <c r="F322" s="219"/>
      <c r="G322" s="219"/>
      <c r="H322" s="219"/>
      <c r="I322" s="220"/>
      <c r="J322" s="220"/>
      <c r="K322" s="220"/>
      <c r="L322" s="220"/>
      <c r="M322" s="220"/>
      <c r="N322" s="220"/>
      <c r="O322" s="220"/>
      <c r="P322" s="220"/>
      <c r="Q322" s="220"/>
    </row>
    <row r="323" spans="2:17" ht="16.5">
      <c r="B323" s="219"/>
      <c r="C323" s="219"/>
      <c r="D323" s="219"/>
      <c r="E323" s="219"/>
      <c r="F323" s="219"/>
      <c r="G323" s="219"/>
      <c r="H323" s="219"/>
      <c r="I323" s="220"/>
      <c r="J323" s="220"/>
      <c r="K323" s="220"/>
      <c r="L323" s="220"/>
      <c r="M323" s="220"/>
      <c r="N323" s="220"/>
      <c r="O323" s="220"/>
      <c r="P323" s="220"/>
      <c r="Q323" s="220"/>
    </row>
    <row r="324" spans="2:17" ht="16.5">
      <c r="B324" s="219"/>
      <c r="C324" s="219"/>
      <c r="D324" s="219"/>
      <c r="E324" s="219"/>
      <c r="F324" s="219"/>
      <c r="G324" s="219"/>
      <c r="H324" s="219"/>
      <c r="I324" s="220"/>
      <c r="J324" s="220"/>
      <c r="K324" s="220"/>
      <c r="L324" s="220"/>
      <c r="M324" s="220"/>
      <c r="N324" s="220"/>
      <c r="O324" s="220"/>
      <c r="P324" s="220"/>
      <c r="Q324" s="220"/>
    </row>
    <row r="325" spans="2:17" ht="16.5">
      <c r="B325" s="219"/>
      <c r="C325" s="219"/>
      <c r="D325" s="219"/>
      <c r="E325" s="219"/>
      <c r="F325" s="219"/>
      <c r="G325" s="219"/>
      <c r="H325" s="219"/>
      <c r="I325" s="220"/>
      <c r="J325" s="220"/>
      <c r="K325" s="220"/>
      <c r="L325" s="220"/>
      <c r="M325" s="220"/>
      <c r="N325" s="220"/>
      <c r="O325" s="220"/>
      <c r="P325" s="220"/>
      <c r="Q325" s="220"/>
    </row>
    <row r="326" spans="2:17" ht="16.5">
      <c r="B326" s="219"/>
      <c r="C326" s="219"/>
      <c r="D326" s="219"/>
      <c r="E326" s="219"/>
      <c r="F326" s="219"/>
      <c r="G326" s="219"/>
      <c r="H326" s="219"/>
      <c r="I326" s="220"/>
      <c r="J326" s="220"/>
      <c r="K326" s="220"/>
      <c r="L326" s="220"/>
      <c r="M326" s="220"/>
      <c r="N326" s="220"/>
      <c r="O326" s="220"/>
      <c r="P326" s="220"/>
      <c r="Q326" s="220"/>
    </row>
    <row r="327" spans="2:17" ht="16.5">
      <c r="B327" s="219"/>
      <c r="C327" s="219"/>
      <c r="D327" s="219"/>
      <c r="E327" s="219"/>
      <c r="F327" s="219"/>
      <c r="G327" s="219"/>
      <c r="H327" s="219"/>
      <c r="I327" s="220"/>
      <c r="J327" s="220"/>
      <c r="K327" s="220"/>
      <c r="L327" s="220"/>
      <c r="M327" s="220"/>
      <c r="N327" s="220"/>
      <c r="O327" s="220"/>
      <c r="P327" s="220"/>
      <c r="Q327" s="220"/>
    </row>
    <row r="328" spans="2:17" ht="16.5">
      <c r="B328" s="219"/>
      <c r="C328" s="219"/>
      <c r="D328" s="219"/>
      <c r="E328" s="219"/>
      <c r="F328" s="219"/>
      <c r="G328" s="219"/>
      <c r="H328" s="219"/>
      <c r="I328" s="220"/>
      <c r="J328" s="220"/>
      <c r="K328" s="220"/>
      <c r="L328" s="220"/>
      <c r="M328" s="220"/>
      <c r="N328" s="220"/>
      <c r="O328" s="220"/>
      <c r="P328" s="220"/>
      <c r="Q328" s="220"/>
    </row>
    <row r="329" spans="2:17" ht="16.5">
      <c r="B329" s="219"/>
      <c r="C329" s="219"/>
      <c r="D329" s="219"/>
      <c r="E329" s="219"/>
      <c r="F329" s="219"/>
      <c r="G329" s="219"/>
      <c r="H329" s="219"/>
      <c r="I329" s="220"/>
      <c r="J329" s="220"/>
      <c r="K329" s="220"/>
      <c r="L329" s="220"/>
      <c r="M329" s="220"/>
      <c r="N329" s="220"/>
      <c r="O329" s="220"/>
      <c r="P329" s="220"/>
      <c r="Q329" s="220"/>
    </row>
    <row r="330" spans="2:17" ht="16.5">
      <c r="B330" s="219"/>
      <c r="C330" s="219"/>
      <c r="D330" s="219"/>
      <c r="E330" s="219"/>
      <c r="F330" s="219"/>
      <c r="G330" s="219"/>
      <c r="H330" s="219"/>
      <c r="I330" s="220"/>
      <c r="J330" s="220"/>
      <c r="K330" s="220"/>
      <c r="L330" s="220"/>
      <c r="M330" s="220"/>
      <c r="N330" s="220"/>
      <c r="O330" s="220"/>
      <c r="P330" s="220"/>
      <c r="Q330" s="220"/>
    </row>
    <row r="331" spans="2:17" ht="16.5">
      <c r="B331" s="219"/>
      <c r="C331" s="219"/>
      <c r="D331" s="219"/>
      <c r="E331" s="219"/>
      <c r="F331" s="219"/>
      <c r="G331" s="219"/>
      <c r="H331" s="219"/>
      <c r="I331" s="220"/>
      <c r="J331" s="220"/>
      <c r="K331" s="220"/>
      <c r="L331" s="220"/>
      <c r="M331" s="220"/>
      <c r="N331" s="220"/>
      <c r="O331" s="220"/>
      <c r="P331" s="220"/>
      <c r="Q331" s="220"/>
    </row>
    <row r="332" spans="2:17" ht="16.5">
      <c r="B332" s="219"/>
      <c r="C332" s="219"/>
      <c r="D332" s="219"/>
      <c r="E332" s="219"/>
      <c r="F332" s="219"/>
      <c r="G332" s="219"/>
      <c r="H332" s="219"/>
      <c r="I332" s="220"/>
      <c r="J332" s="220"/>
      <c r="K332" s="220"/>
      <c r="L332" s="220"/>
      <c r="M332" s="220"/>
      <c r="N332" s="220"/>
      <c r="O332" s="220"/>
      <c r="P332" s="220"/>
      <c r="Q332" s="220"/>
    </row>
    <row r="333" spans="2:17" ht="16.5">
      <c r="B333" s="219"/>
      <c r="C333" s="219"/>
      <c r="D333" s="219"/>
      <c r="E333" s="219"/>
      <c r="F333" s="219"/>
      <c r="G333" s="219"/>
      <c r="H333" s="219"/>
      <c r="I333" s="220"/>
      <c r="J333" s="220"/>
      <c r="K333" s="220"/>
      <c r="L333" s="220"/>
      <c r="M333" s="220"/>
      <c r="N333" s="220"/>
      <c r="O333" s="220"/>
      <c r="P333" s="220"/>
      <c r="Q333" s="220"/>
    </row>
    <row r="334" spans="2:17" ht="16.5">
      <c r="B334" s="219"/>
      <c r="C334" s="219"/>
      <c r="D334" s="219"/>
      <c r="E334" s="219"/>
      <c r="F334" s="219"/>
      <c r="G334" s="219"/>
      <c r="H334" s="219"/>
      <c r="I334" s="220"/>
      <c r="J334" s="220"/>
      <c r="K334" s="220"/>
      <c r="L334" s="220"/>
      <c r="M334" s="220"/>
      <c r="N334" s="220"/>
      <c r="O334" s="220"/>
      <c r="P334" s="220"/>
      <c r="Q334" s="220"/>
    </row>
    <row r="335" spans="2:17" ht="16.5">
      <c r="B335" s="219"/>
      <c r="C335" s="219"/>
      <c r="D335" s="219"/>
      <c r="E335" s="219"/>
      <c r="F335" s="219"/>
      <c r="G335" s="219"/>
      <c r="H335" s="219"/>
      <c r="I335" s="220"/>
      <c r="J335" s="220"/>
      <c r="K335" s="220"/>
      <c r="L335" s="220"/>
      <c r="M335" s="220"/>
      <c r="N335" s="220"/>
      <c r="O335" s="220"/>
      <c r="P335" s="220"/>
      <c r="Q335" s="220"/>
    </row>
    <row r="336" spans="2:17" ht="16.5">
      <c r="B336" s="219"/>
      <c r="C336" s="219"/>
      <c r="D336" s="219"/>
      <c r="E336" s="219"/>
      <c r="F336" s="219"/>
      <c r="G336" s="219"/>
      <c r="H336" s="219"/>
      <c r="I336" s="220"/>
      <c r="J336" s="220"/>
      <c r="K336" s="220"/>
      <c r="L336" s="220"/>
      <c r="M336" s="220"/>
      <c r="N336" s="220"/>
      <c r="O336" s="220"/>
      <c r="P336" s="220"/>
      <c r="Q336" s="220"/>
    </row>
    <row r="337" spans="2:17" ht="16.5">
      <c r="B337" s="219"/>
      <c r="C337" s="219"/>
      <c r="D337" s="219"/>
      <c r="E337" s="219"/>
      <c r="F337" s="219"/>
      <c r="G337" s="219"/>
      <c r="H337" s="219"/>
      <c r="I337" s="220"/>
      <c r="J337" s="220"/>
      <c r="K337" s="220"/>
      <c r="L337" s="220"/>
      <c r="M337" s="220"/>
      <c r="N337" s="220"/>
      <c r="O337" s="220"/>
      <c r="P337" s="220"/>
      <c r="Q337" s="220"/>
    </row>
    <row r="338" spans="2:17" ht="16.5">
      <c r="B338" s="219"/>
      <c r="C338" s="219"/>
      <c r="D338" s="219"/>
      <c r="E338" s="219"/>
      <c r="F338" s="219"/>
      <c r="G338" s="219"/>
      <c r="H338" s="219"/>
      <c r="I338" s="220"/>
      <c r="J338" s="220"/>
      <c r="K338" s="220"/>
      <c r="L338" s="220"/>
      <c r="M338" s="220"/>
      <c r="N338" s="220"/>
      <c r="O338" s="220"/>
      <c r="P338" s="220"/>
      <c r="Q338" s="220"/>
    </row>
    <row r="339" spans="2:17" ht="16.5">
      <c r="B339" s="219"/>
      <c r="C339" s="219"/>
      <c r="D339" s="219"/>
      <c r="E339" s="219"/>
      <c r="F339" s="219"/>
      <c r="G339" s="219"/>
      <c r="H339" s="219"/>
      <c r="I339" s="220"/>
      <c r="J339" s="220"/>
      <c r="K339" s="220"/>
      <c r="L339" s="220"/>
      <c r="M339" s="220"/>
      <c r="N339" s="220"/>
      <c r="O339" s="220"/>
      <c r="P339" s="220"/>
      <c r="Q339" s="220"/>
    </row>
    <row r="340" spans="2:17" ht="16.5">
      <c r="B340" s="219"/>
      <c r="C340" s="219"/>
      <c r="D340" s="219"/>
      <c r="E340" s="219"/>
      <c r="F340" s="219"/>
      <c r="G340" s="219"/>
      <c r="H340" s="219"/>
      <c r="I340" s="220"/>
      <c r="J340" s="220"/>
      <c r="K340" s="220"/>
      <c r="L340" s="220"/>
      <c r="M340" s="220"/>
      <c r="N340" s="220"/>
      <c r="O340" s="220"/>
      <c r="P340" s="220"/>
      <c r="Q340" s="220"/>
    </row>
    <row r="341" spans="2:17" ht="16.5">
      <c r="B341" s="219"/>
      <c r="C341" s="219"/>
      <c r="D341" s="219"/>
      <c r="E341" s="219"/>
      <c r="F341" s="219"/>
      <c r="G341" s="219"/>
      <c r="H341" s="219"/>
      <c r="I341" s="220"/>
      <c r="J341" s="220"/>
      <c r="K341" s="220"/>
      <c r="L341" s="220"/>
      <c r="M341" s="220"/>
      <c r="N341" s="220"/>
      <c r="O341" s="220"/>
      <c r="P341" s="220"/>
      <c r="Q341" s="220"/>
    </row>
    <row r="342" spans="2:17" ht="16.5">
      <c r="B342" s="219"/>
      <c r="C342" s="219"/>
      <c r="D342" s="219"/>
      <c r="E342" s="219"/>
      <c r="F342" s="219"/>
      <c r="G342" s="219"/>
      <c r="H342" s="219"/>
      <c r="I342" s="220"/>
      <c r="J342" s="220"/>
      <c r="K342" s="220"/>
      <c r="L342" s="220"/>
      <c r="M342" s="220"/>
      <c r="N342" s="220"/>
      <c r="O342" s="220"/>
      <c r="P342" s="220"/>
      <c r="Q342" s="220"/>
    </row>
    <row r="343" spans="2:17" ht="16.5">
      <c r="B343" s="219"/>
      <c r="C343" s="219"/>
      <c r="D343" s="219"/>
      <c r="E343" s="219"/>
      <c r="F343" s="219"/>
      <c r="G343" s="219"/>
      <c r="H343" s="219"/>
      <c r="I343" s="220"/>
      <c r="J343" s="220"/>
      <c r="K343" s="220"/>
      <c r="L343" s="220"/>
      <c r="M343" s="220"/>
      <c r="N343" s="220"/>
      <c r="O343" s="220"/>
      <c r="P343" s="220"/>
      <c r="Q343" s="220"/>
    </row>
    <row r="344" spans="2:17" ht="16.5">
      <c r="B344" s="219"/>
      <c r="C344" s="219"/>
      <c r="D344" s="219"/>
      <c r="E344" s="219"/>
      <c r="F344" s="219"/>
      <c r="G344" s="219"/>
      <c r="H344" s="219"/>
      <c r="I344" s="220"/>
      <c r="J344" s="220"/>
      <c r="K344" s="220"/>
      <c r="L344" s="220"/>
      <c r="M344" s="220"/>
      <c r="N344" s="220"/>
      <c r="O344" s="220"/>
      <c r="P344" s="220"/>
      <c r="Q344" s="220"/>
    </row>
    <row r="345" spans="2:17" ht="16.5">
      <c r="B345" s="219"/>
      <c r="C345" s="219"/>
      <c r="D345" s="219"/>
      <c r="E345" s="219"/>
      <c r="F345" s="219"/>
      <c r="G345" s="219"/>
      <c r="H345" s="219"/>
      <c r="I345" s="220"/>
      <c r="J345" s="220"/>
      <c r="K345" s="220"/>
      <c r="L345" s="220"/>
      <c r="M345" s="220"/>
      <c r="N345" s="220"/>
      <c r="O345" s="220"/>
      <c r="P345" s="220"/>
      <c r="Q345" s="220"/>
    </row>
    <row r="346" spans="2:17" ht="16.5">
      <c r="B346" s="219"/>
      <c r="C346" s="219"/>
      <c r="D346" s="219"/>
      <c r="E346" s="219"/>
      <c r="F346" s="219"/>
      <c r="G346" s="219"/>
      <c r="H346" s="219"/>
      <c r="I346" s="220"/>
      <c r="J346" s="220"/>
      <c r="K346" s="220"/>
      <c r="L346" s="220"/>
      <c r="M346" s="220"/>
      <c r="N346" s="220"/>
      <c r="O346" s="220"/>
      <c r="P346" s="220"/>
      <c r="Q346" s="220"/>
    </row>
    <row r="347" spans="2:17" ht="16.5">
      <c r="B347" s="219"/>
      <c r="C347" s="219"/>
      <c r="D347" s="219"/>
      <c r="E347" s="219"/>
      <c r="F347" s="219"/>
      <c r="G347" s="219"/>
      <c r="H347" s="219"/>
      <c r="I347" s="220"/>
      <c r="J347" s="220"/>
      <c r="K347" s="220"/>
      <c r="L347" s="220"/>
      <c r="M347" s="220"/>
      <c r="N347" s="220"/>
      <c r="O347" s="220"/>
      <c r="P347" s="220"/>
      <c r="Q347" s="220"/>
    </row>
    <row r="348" spans="2:17" ht="16.5">
      <c r="B348" s="219"/>
      <c r="C348" s="219"/>
      <c r="D348" s="219"/>
      <c r="E348" s="219"/>
      <c r="F348" s="219"/>
      <c r="G348" s="219"/>
      <c r="H348" s="219"/>
      <c r="I348" s="220"/>
      <c r="J348" s="220"/>
      <c r="K348" s="220"/>
      <c r="L348" s="220"/>
      <c r="M348" s="220"/>
      <c r="N348" s="220"/>
      <c r="O348" s="220"/>
      <c r="P348" s="220"/>
      <c r="Q348" s="220"/>
    </row>
    <row r="349" spans="2:17" ht="16.5">
      <c r="B349" s="219"/>
      <c r="C349" s="219"/>
      <c r="D349" s="219"/>
      <c r="E349" s="219"/>
      <c r="F349" s="219"/>
      <c r="G349" s="219"/>
      <c r="H349" s="219"/>
      <c r="I349" s="220"/>
      <c r="J349" s="220"/>
      <c r="K349" s="220"/>
      <c r="L349" s="220"/>
      <c r="M349" s="220"/>
      <c r="N349" s="220"/>
      <c r="O349" s="220"/>
      <c r="P349" s="220"/>
      <c r="Q349" s="220"/>
    </row>
    <row r="350" spans="2:17" ht="16.5">
      <c r="B350" s="219"/>
      <c r="C350" s="219"/>
      <c r="D350" s="219"/>
      <c r="E350" s="219"/>
      <c r="F350" s="219"/>
      <c r="G350" s="219"/>
      <c r="H350" s="219"/>
      <c r="I350" s="220"/>
      <c r="J350" s="220"/>
      <c r="K350" s="220"/>
      <c r="L350" s="220"/>
      <c r="M350" s="220"/>
      <c r="N350" s="220"/>
      <c r="O350" s="220"/>
      <c r="P350" s="220"/>
      <c r="Q350" s="220"/>
    </row>
    <row r="351" spans="2:17" ht="16.5">
      <c r="B351" s="219"/>
      <c r="C351" s="219"/>
      <c r="D351" s="219"/>
      <c r="E351" s="219"/>
      <c r="F351" s="219"/>
      <c r="G351" s="219"/>
      <c r="H351" s="219"/>
      <c r="I351" s="220"/>
      <c r="J351" s="220"/>
      <c r="K351" s="220"/>
      <c r="L351" s="220"/>
      <c r="M351" s="220"/>
      <c r="N351" s="220"/>
      <c r="O351" s="220"/>
      <c r="P351" s="220"/>
      <c r="Q351" s="220"/>
    </row>
    <row r="352" spans="2:17" ht="16.5">
      <c r="B352" s="219"/>
      <c r="C352" s="219"/>
      <c r="D352" s="219"/>
      <c r="E352" s="219"/>
      <c r="F352" s="219"/>
      <c r="G352" s="219"/>
      <c r="H352" s="219"/>
      <c r="I352" s="220"/>
      <c r="J352" s="220"/>
      <c r="K352" s="220"/>
      <c r="L352" s="220"/>
      <c r="M352" s="220"/>
      <c r="N352" s="220"/>
      <c r="O352" s="220"/>
      <c r="P352" s="220"/>
      <c r="Q352" s="220"/>
    </row>
    <row r="353" spans="2:17" ht="16.5">
      <c r="B353" s="219"/>
      <c r="C353" s="219"/>
      <c r="D353" s="219"/>
      <c r="E353" s="219"/>
      <c r="F353" s="219"/>
      <c r="G353" s="219"/>
      <c r="H353" s="219"/>
      <c r="I353" s="220"/>
      <c r="J353" s="220"/>
      <c r="K353" s="220"/>
      <c r="L353" s="220"/>
      <c r="M353" s="220"/>
      <c r="N353" s="220"/>
      <c r="O353" s="220"/>
      <c r="P353" s="220"/>
      <c r="Q353" s="220"/>
    </row>
    <row r="354" spans="2:17" ht="16.5">
      <c r="B354" s="219"/>
      <c r="C354" s="219"/>
      <c r="D354" s="219"/>
      <c r="E354" s="219"/>
      <c r="F354" s="219"/>
      <c r="G354" s="219"/>
      <c r="H354" s="219"/>
      <c r="I354" s="220"/>
      <c r="J354" s="220"/>
      <c r="K354" s="220"/>
      <c r="L354" s="220"/>
      <c r="M354" s="220"/>
      <c r="N354" s="220"/>
      <c r="O354" s="220"/>
      <c r="P354" s="220"/>
      <c r="Q354" s="220"/>
    </row>
    <row r="355" spans="2:17" ht="16.5">
      <c r="B355" s="219"/>
      <c r="C355" s="219"/>
      <c r="D355" s="219"/>
      <c r="E355" s="219"/>
      <c r="F355" s="219"/>
      <c r="G355" s="219"/>
      <c r="H355" s="219"/>
      <c r="I355" s="220"/>
      <c r="J355" s="220"/>
      <c r="K355" s="220"/>
      <c r="L355" s="220"/>
      <c r="M355" s="220"/>
      <c r="N355" s="220"/>
      <c r="O355" s="220"/>
      <c r="P355" s="220"/>
      <c r="Q355" s="220"/>
    </row>
  </sheetData>
  <mergeCells count="240">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8"/>
    <mergeCell ref="J59:J67"/>
    <mergeCell ref="J68:J75"/>
    <mergeCell ref="J76:J82"/>
    <mergeCell ref="K68:K75"/>
    <mergeCell ref="Z2:Z10"/>
    <mergeCell ref="Z11:Z13"/>
    <mergeCell ref="Z14:Z16"/>
    <mergeCell ref="Z17:Z23"/>
    <mergeCell ref="Z24:Z36"/>
    <mergeCell ref="AC106:AE107"/>
    <mergeCell ref="B87:J87"/>
    <mergeCell ref="B88:J88"/>
    <mergeCell ref="B89:J89"/>
    <mergeCell ref="AC96:AE96"/>
    <mergeCell ref="AD97:AE97"/>
    <mergeCell ref="AD98:AE98"/>
    <mergeCell ref="AD99:AE99"/>
    <mergeCell ref="AD100:AE100"/>
    <mergeCell ref="K106:O106"/>
    <mergeCell ref="Q90:AE92"/>
    <mergeCell ref="Q94:V95"/>
    <mergeCell ref="X94:AE95"/>
    <mergeCell ref="Q96:V100"/>
    <mergeCell ref="X96:AB100"/>
    <mergeCell ref="K98:L102"/>
    <mergeCell ref="N98:O101"/>
    <mergeCell ref="X101:AE102"/>
    <mergeCell ref="N102:O105"/>
    <mergeCell ref="Q102:V103"/>
    <mergeCell ref="K103:L105"/>
    <mergeCell ref="Q104:V105"/>
    <mergeCell ref="X104:AE105"/>
    <mergeCell ref="X115:X116"/>
    <mergeCell ref="X117:X118"/>
    <mergeCell ref="X119:X120"/>
    <mergeCell ref="Y115:Y116"/>
    <mergeCell ref="Y117:Y118"/>
    <mergeCell ref="Y119:Y120"/>
    <mergeCell ref="Q106:R112"/>
    <mergeCell ref="S106:V108"/>
    <mergeCell ref="X106:AA109"/>
    <mergeCell ref="J177:L177"/>
    <mergeCell ref="J178:L178"/>
    <mergeCell ref="J179:L179"/>
    <mergeCell ref="I180:L180"/>
    <mergeCell ref="B187:C187"/>
    <mergeCell ref="D187:E187"/>
    <mergeCell ref="F187:G187"/>
    <mergeCell ref="H187:Q187"/>
    <mergeCell ref="F170:G171"/>
    <mergeCell ref="I170:Q171"/>
    <mergeCell ref="C172:D180"/>
    <mergeCell ref="F172:G180"/>
    <mergeCell ref="I172:L173"/>
    <mergeCell ref="M172:Q180"/>
    <mergeCell ref="J174:L176"/>
    <mergeCell ref="I181:Q183"/>
    <mergeCell ref="B185:Q186"/>
    <mergeCell ref="K157:Q158"/>
    <mergeCell ref="C159:D160"/>
    <mergeCell ref="F159:G167"/>
    <mergeCell ref="H159:I167"/>
    <mergeCell ref="K159:N160"/>
    <mergeCell ref="O159:Q160"/>
    <mergeCell ref="K161:Q162"/>
    <mergeCell ref="K164:N167"/>
    <mergeCell ref="O164:Q167"/>
    <mergeCell ref="K163:Q163"/>
    <mergeCell ref="B147:B154"/>
    <mergeCell ref="B157:B158"/>
    <mergeCell ref="B159:B167"/>
    <mergeCell ref="B170:B171"/>
    <mergeCell ref="B172:B180"/>
    <mergeCell ref="G218:G227"/>
    <mergeCell ref="I174:I176"/>
    <mergeCell ref="C157:D158"/>
    <mergeCell ref="F157:G158"/>
    <mergeCell ref="H157:I158"/>
    <mergeCell ref="C170:D171"/>
    <mergeCell ref="Z37:Z48"/>
    <mergeCell ref="Z49:Z57"/>
    <mergeCell ref="Z58:Z64"/>
    <mergeCell ref="AA2:AA23"/>
    <mergeCell ref="AB106:AB107"/>
    <mergeCell ref="AB108:AB109"/>
    <mergeCell ref="AB110:AB112"/>
    <mergeCell ref="K2:O12"/>
    <mergeCell ref="K13:O16"/>
    <mergeCell ref="K17:O26"/>
    <mergeCell ref="AB21:AE23"/>
    <mergeCell ref="K27:O29"/>
    <mergeCell ref="K30:O32"/>
    <mergeCell ref="L36:O45"/>
    <mergeCell ref="AA39:AE41"/>
    <mergeCell ref="AA42:AE45"/>
    <mergeCell ref="L68:O71"/>
    <mergeCell ref="Q71:Z73"/>
    <mergeCell ref="L72:O75"/>
    <mergeCell ref="Q74:Z76"/>
    <mergeCell ref="Q78:Z80"/>
    <mergeCell ref="Q81:Z83"/>
    <mergeCell ref="Q84:Z85"/>
    <mergeCell ref="Q86:Z87"/>
    <mergeCell ref="AC108:AE109"/>
    <mergeCell ref="S109:T112"/>
    <mergeCell ref="K110:L111"/>
    <mergeCell ref="N110:O111"/>
    <mergeCell ref="X110:AA113"/>
    <mergeCell ref="AC110:AE112"/>
    <mergeCell ref="K112:L113"/>
    <mergeCell ref="N112:O113"/>
    <mergeCell ref="Q113:V115"/>
    <mergeCell ref="AB113:AE114"/>
    <mergeCell ref="K114:L115"/>
    <mergeCell ref="N114:O115"/>
    <mergeCell ref="Z115:AC116"/>
    <mergeCell ref="AD115:AE120"/>
    <mergeCell ref="K116:L117"/>
    <mergeCell ref="N116:O117"/>
    <mergeCell ref="Z117:AC118"/>
    <mergeCell ref="Z119:AC120"/>
    <mergeCell ref="K108:O108"/>
    <mergeCell ref="K109:L109"/>
    <mergeCell ref="N109:O109"/>
    <mergeCell ref="X114:AA114"/>
    <mergeCell ref="U109:U112"/>
    <mergeCell ref="V109:V112"/>
    <mergeCell ref="Q122:AE124"/>
    <mergeCell ref="Q126:U128"/>
    <mergeCell ref="V126:W128"/>
    <mergeCell ref="X126:AE128"/>
    <mergeCell ref="Q129:U131"/>
    <mergeCell ref="V129:W131"/>
    <mergeCell ref="X129:AE131"/>
    <mergeCell ref="Q132:U134"/>
    <mergeCell ref="V132:W134"/>
    <mergeCell ref="X132:AE134"/>
    <mergeCell ref="Q125:U125"/>
    <mergeCell ref="V125:W125"/>
    <mergeCell ref="X125:AE125"/>
    <mergeCell ref="Q135:U137"/>
    <mergeCell ref="V135:W137"/>
    <mergeCell ref="X135:AE137"/>
    <mergeCell ref="Q138:U140"/>
    <mergeCell ref="V138:W140"/>
    <mergeCell ref="X138:AE140"/>
    <mergeCell ref="D147:E154"/>
    <mergeCell ref="F147:G154"/>
    <mergeCell ref="L147:M154"/>
    <mergeCell ref="I147:J154"/>
    <mergeCell ref="O147:Q154"/>
    <mergeCell ref="D146:E146"/>
    <mergeCell ref="F146:G146"/>
    <mergeCell ref="I146:J146"/>
    <mergeCell ref="L146:M146"/>
    <mergeCell ref="O146:Q146"/>
    <mergeCell ref="B188:C189"/>
    <mergeCell ref="D188:E189"/>
    <mergeCell ref="F188:G189"/>
    <mergeCell ref="H188:Q189"/>
    <mergeCell ref="B190:C191"/>
    <mergeCell ref="D190:E191"/>
    <mergeCell ref="F190:G191"/>
    <mergeCell ref="H190:Q191"/>
    <mergeCell ref="B192:C193"/>
    <mergeCell ref="D192:E193"/>
    <mergeCell ref="F192:G193"/>
    <mergeCell ref="H192:Q193"/>
    <mergeCell ref="B194:C195"/>
    <mergeCell ref="D194:E195"/>
    <mergeCell ref="F194:G195"/>
    <mergeCell ref="H194:Q195"/>
    <mergeCell ref="B196:C197"/>
    <mergeCell ref="D196:E197"/>
    <mergeCell ref="F196:G197"/>
    <mergeCell ref="H196:Q197"/>
    <mergeCell ref="B198:C199"/>
    <mergeCell ref="D198:E199"/>
    <mergeCell ref="F198:G199"/>
    <mergeCell ref="H198:Q199"/>
    <mergeCell ref="B200:C201"/>
    <mergeCell ref="D200:E201"/>
    <mergeCell ref="F200:G201"/>
    <mergeCell ref="H200:Q201"/>
    <mergeCell ref="B202:C203"/>
    <mergeCell ref="D202:E203"/>
    <mergeCell ref="F202:G203"/>
    <mergeCell ref="H202:Q203"/>
    <mergeCell ref="B204:C205"/>
    <mergeCell ref="D204:E205"/>
    <mergeCell ref="F204:G205"/>
    <mergeCell ref="H204:Q205"/>
    <mergeCell ref="B206:C207"/>
    <mergeCell ref="D206:E207"/>
    <mergeCell ref="F206:G207"/>
    <mergeCell ref="H206:Q207"/>
    <mergeCell ref="B208:C209"/>
    <mergeCell ref="D208:E209"/>
    <mergeCell ref="F208:G209"/>
    <mergeCell ref="H208:Q209"/>
    <mergeCell ref="B210:C211"/>
    <mergeCell ref="D210:E211"/>
    <mergeCell ref="F210:G211"/>
    <mergeCell ref="H210:Q211"/>
    <mergeCell ref="J230:Q231"/>
    <mergeCell ref="J232:Q233"/>
    <mergeCell ref="J234:Q239"/>
    <mergeCell ref="J241:Q242"/>
    <mergeCell ref="J243:M248"/>
    <mergeCell ref="N244:Q245"/>
    <mergeCell ref="N247:Q248"/>
    <mergeCell ref="J249:Q254"/>
    <mergeCell ref="B212:Q214"/>
    <mergeCell ref="B216:G217"/>
    <mergeCell ref="J216:Q217"/>
    <mergeCell ref="B218:F222"/>
    <mergeCell ref="J218:M223"/>
    <mergeCell ref="N219:Q220"/>
    <mergeCell ref="N222:Q223"/>
    <mergeCell ref="B223:F227"/>
    <mergeCell ref="J224:Q228"/>
    <mergeCell ref="N218:Q218"/>
    <mergeCell ref="N221:Q221"/>
    <mergeCell ref="N243:Q243"/>
    <mergeCell ref="N246:Q246"/>
  </mergeCells>
  <phoneticPr fontId="282" type="noConversion"/>
  <pageMargins left="0.75" right="0.75" top="1" bottom="1" header="0.50902777777777797" footer="0.5090277777777779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1:H145"/>
  <sheetViews>
    <sheetView showGridLines="0" showRowColHeaders="0" zoomScale="70" zoomScaleNormal="70" workbookViewId="0">
      <selection activeCell="G76" sqref="G76:G77"/>
    </sheetView>
  </sheetViews>
  <sheetFormatPr defaultColWidth="9" defaultRowHeight="16.5"/>
  <cols>
    <col min="1" max="3" width="9" style="27" customWidth="1"/>
    <col min="4" max="4" width="80.6328125" style="27" customWidth="1"/>
    <col min="5" max="6" width="9" style="27" customWidth="1"/>
    <col min="7" max="7" width="80.6328125" style="27" customWidth="1"/>
    <col min="8" max="8" width="9" style="27" customWidth="1"/>
    <col min="9" max="16384" width="9" style="27"/>
  </cols>
  <sheetData>
    <row r="1" spans="3:7" ht="12" customHeight="1"/>
    <row r="2" spans="3:7" ht="19" customHeight="1">
      <c r="C2" s="4492" t="s">
        <v>8717</v>
      </c>
      <c r="D2" s="4493"/>
      <c r="F2" s="4494" t="s">
        <v>8718</v>
      </c>
      <c r="G2" s="4495"/>
    </row>
    <row r="3" spans="3:7">
      <c r="C3" s="28" t="s">
        <v>5666</v>
      </c>
      <c r="D3" s="29" t="s">
        <v>8719</v>
      </c>
      <c r="F3" s="28" t="s">
        <v>5666</v>
      </c>
      <c r="G3" s="29" t="s">
        <v>8719</v>
      </c>
    </row>
    <row r="4" spans="3:7" ht="55" customHeight="1">
      <c r="C4" s="30">
        <v>1</v>
      </c>
      <c r="D4" s="31" t="s">
        <v>8720</v>
      </c>
      <c r="F4" s="30">
        <v>1</v>
      </c>
      <c r="G4" s="31" t="s">
        <v>8721</v>
      </c>
    </row>
    <row r="5" spans="3:7" ht="55" customHeight="1">
      <c r="C5" s="32">
        <v>2</v>
      </c>
      <c r="D5" s="33" t="s">
        <v>8722</v>
      </c>
      <c r="F5" s="32">
        <v>2</v>
      </c>
      <c r="G5" s="33" t="s">
        <v>8723</v>
      </c>
    </row>
    <row r="6" spans="3:7" ht="55" customHeight="1">
      <c r="C6" s="30">
        <v>3</v>
      </c>
      <c r="D6" s="31" t="s">
        <v>8724</v>
      </c>
      <c r="F6" s="30">
        <v>3</v>
      </c>
      <c r="G6" s="31" t="s">
        <v>8725</v>
      </c>
    </row>
    <row r="7" spans="3:7" ht="55" customHeight="1">
      <c r="C7" s="32">
        <v>4</v>
      </c>
      <c r="D7" s="33" t="s">
        <v>8726</v>
      </c>
      <c r="F7" s="32">
        <v>4</v>
      </c>
      <c r="G7" s="33" t="s">
        <v>8727</v>
      </c>
    </row>
    <row r="8" spans="3:7" ht="55" customHeight="1">
      <c r="C8" s="30">
        <v>5</v>
      </c>
      <c r="D8" s="31" t="s">
        <v>8728</v>
      </c>
      <c r="F8" s="30">
        <v>5</v>
      </c>
      <c r="G8" s="31" t="s">
        <v>8729</v>
      </c>
    </row>
    <row r="9" spans="3:7" ht="55" customHeight="1">
      <c r="C9" s="32">
        <v>6</v>
      </c>
      <c r="D9" s="33" t="s">
        <v>8730</v>
      </c>
      <c r="F9" s="32">
        <v>6</v>
      </c>
      <c r="G9" s="33" t="s">
        <v>8731</v>
      </c>
    </row>
    <row r="10" spans="3:7" ht="55" customHeight="1">
      <c r="C10" s="30">
        <v>7</v>
      </c>
      <c r="D10" s="31" t="s">
        <v>8732</v>
      </c>
      <c r="F10" s="30">
        <v>7</v>
      </c>
      <c r="G10" s="31" t="s">
        <v>8733</v>
      </c>
    </row>
    <row r="11" spans="3:7" ht="55" customHeight="1">
      <c r="C11" s="32">
        <v>8</v>
      </c>
      <c r="D11" s="33" t="s">
        <v>8734</v>
      </c>
      <c r="F11" s="32">
        <v>8</v>
      </c>
      <c r="G11" s="33" t="s">
        <v>8735</v>
      </c>
    </row>
    <row r="12" spans="3:7" ht="55" customHeight="1">
      <c r="C12" s="30">
        <v>9</v>
      </c>
      <c r="D12" s="31" t="s">
        <v>8736</v>
      </c>
      <c r="F12" s="30">
        <v>9</v>
      </c>
      <c r="G12" s="31" t="s">
        <v>8737</v>
      </c>
    </row>
    <row r="13" spans="3:7" ht="55" customHeight="1">
      <c r="C13" s="34">
        <v>10</v>
      </c>
      <c r="D13" s="35" t="s">
        <v>8738</v>
      </c>
      <c r="F13" s="34">
        <v>10</v>
      </c>
      <c r="G13" s="36" t="s">
        <v>8739</v>
      </c>
    </row>
    <row r="15" spans="3:7">
      <c r="C15" s="4496" t="s">
        <v>2896</v>
      </c>
      <c r="D15" s="4497"/>
      <c r="F15" s="4496" t="s">
        <v>2897</v>
      </c>
      <c r="G15" s="4497"/>
    </row>
    <row r="16" spans="3:7">
      <c r="C16" s="37" t="s">
        <v>5666</v>
      </c>
      <c r="D16" s="38" t="s">
        <v>8740</v>
      </c>
      <c r="E16" s="39"/>
      <c r="F16" s="37" t="s">
        <v>5666</v>
      </c>
      <c r="G16" s="38" t="s">
        <v>8740</v>
      </c>
    </row>
    <row r="17" spans="3:7">
      <c r="C17" s="4469">
        <v>0</v>
      </c>
      <c r="D17" s="4498" t="str">
        <f>IF(C17=0,"请在左侧输入数字",VLOOKUP(C17,[1]附表!M114:N213,2,FALSE))</f>
        <v>请在左侧输入数字</v>
      </c>
      <c r="E17" s="39"/>
      <c r="F17" s="4469">
        <v>0</v>
      </c>
      <c r="G17" s="4498" t="str">
        <f>IF(F17=0,"请在左侧输入数字",VLOOKUP(F17,[1]附表!S114:T213,2,FALSE))</f>
        <v>请在左侧输入数字</v>
      </c>
    </row>
    <row r="18" spans="3:7">
      <c r="C18" s="4470"/>
      <c r="D18" s="4499"/>
      <c r="E18" s="39"/>
      <c r="F18" s="4470"/>
      <c r="G18" s="4499"/>
    </row>
    <row r="19" spans="3:7" ht="19">
      <c r="C19" s="40"/>
      <c r="D19" s="40"/>
      <c r="E19" s="39"/>
      <c r="F19" s="40"/>
      <c r="G19" s="40"/>
    </row>
    <row r="23" spans="3:7">
      <c r="C23" s="4474" t="s">
        <v>8741</v>
      </c>
      <c r="D23" s="4475"/>
      <c r="E23" s="4475"/>
      <c r="F23" s="4475"/>
      <c r="G23" s="4476"/>
    </row>
    <row r="24" spans="3:7" ht="17" customHeight="1">
      <c r="C24" s="4477"/>
      <c r="D24" s="4478"/>
      <c r="E24" s="4478"/>
      <c r="F24" s="4478"/>
      <c r="G24" s="4479"/>
    </row>
    <row r="25" spans="3:7" ht="20" customHeight="1">
      <c r="C25" s="4480"/>
      <c r="D25" s="4481"/>
      <c r="E25" s="4481"/>
      <c r="F25" s="4481"/>
      <c r="G25" s="4482"/>
    </row>
    <row r="26" spans="3:7" ht="19">
      <c r="C26" s="40"/>
      <c r="D26" s="40"/>
      <c r="E26" s="39"/>
      <c r="F26" s="40"/>
      <c r="G26" s="40"/>
    </row>
    <row r="27" spans="3:7">
      <c r="C27" s="4483" t="s">
        <v>8742</v>
      </c>
      <c r="D27" s="4484"/>
      <c r="E27" s="39"/>
      <c r="F27" s="4483" t="s">
        <v>8743</v>
      </c>
      <c r="G27" s="4484"/>
    </row>
    <row r="28" spans="3:7">
      <c r="C28" s="4485"/>
      <c r="D28" s="4486"/>
      <c r="E28" s="39"/>
      <c r="F28" s="4485"/>
      <c r="G28" s="4486"/>
    </row>
    <row r="29" spans="3:7">
      <c r="C29" s="3397" t="s">
        <v>8744</v>
      </c>
      <c r="D29" s="3400"/>
      <c r="E29" s="39"/>
      <c r="F29" s="3397" t="s">
        <v>8745</v>
      </c>
      <c r="G29" s="3400"/>
    </row>
    <row r="30" spans="3:7">
      <c r="C30" s="3307"/>
      <c r="D30" s="3309"/>
      <c r="E30" s="39"/>
      <c r="F30" s="3307"/>
      <c r="G30" s="3309"/>
    </row>
    <row r="31" spans="3:7" ht="15" customHeight="1">
      <c r="C31" s="3307"/>
      <c r="D31" s="3309"/>
      <c r="E31" s="39"/>
      <c r="F31" s="3307"/>
      <c r="G31" s="3309"/>
    </row>
    <row r="32" spans="3:7" ht="15" customHeight="1">
      <c r="C32" s="3339"/>
      <c r="D32" s="3341"/>
      <c r="E32" s="39"/>
      <c r="F32" s="3307"/>
      <c r="G32" s="3309"/>
    </row>
    <row r="33" spans="3:8" ht="15" customHeight="1">
      <c r="C33" s="40"/>
      <c r="D33" s="40"/>
      <c r="E33" s="39"/>
      <c r="F33" s="3307"/>
      <c r="G33" s="3309"/>
    </row>
    <row r="34" spans="3:8" ht="15" customHeight="1">
      <c r="C34" s="4483" t="s">
        <v>8746</v>
      </c>
      <c r="D34" s="4487" t="s">
        <v>8747</v>
      </c>
      <c r="E34" s="39"/>
      <c r="F34" s="3307"/>
      <c r="G34" s="3309"/>
    </row>
    <row r="35" spans="3:8" ht="15" customHeight="1">
      <c r="C35" s="4485"/>
      <c r="D35" s="4488"/>
      <c r="E35" s="39"/>
      <c r="F35" s="3307"/>
      <c r="G35" s="3309"/>
    </row>
    <row r="36" spans="3:8" ht="15" customHeight="1">
      <c r="C36" s="4485"/>
      <c r="D36" s="4488"/>
      <c r="E36" s="39"/>
      <c r="F36" s="3307"/>
      <c r="G36" s="3309"/>
    </row>
    <row r="37" spans="3:8" ht="15" customHeight="1">
      <c r="C37" s="4485"/>
      <c r="D37" s="4488"/>
      <c r="E37" s="39"/>
      <c r="F37" s="3307"/>
      <c r="G37" s="3309"/>
    </row>
    <row r="38" spans="3:8" ht="15" customHeight="1">
      <c r="C38" s="4485"/>
      <c r="D38" s="4488"/>
      <c r="E38" s="39"/>
      <c r="F38" s="3307"/>
      <c r="G38" s="3309"/>
    </row>
    <row r="39" spans="3:8" ht="15" customHeight="1">
      <c r="C39" s="4485"/>
      <c r="D39" s="4488"/>
      <c r="E39" s="39"/>
      <c r="F39" s="3307"/>
      <c r="G39" s="3309"/>
      <c r="H39" s="41" t="s">
        <v>8748</v>
      </c>
    </row>
    <row r="40" spans="3:8">
      <c r="C40" s="4485"/>
      <c r="D40" s="4488" t="s">
        <v>8749</v>
      </c>
      <c r="E40" s="39"/>
      <c r="F40" s="3307"/>
      <c r="G40" s="3309"/>
    </row>
    <row r="41" spans="3:8">
      <c r="C41" s="4485"/>
      <c r="D41" s="4488"/>
      <c r="E41" s="39"/>
      <c r="F41" s="3307"/>
      <c r="G41" s="3309"/>
    </row>
    <row r="42" spans="3:8">
      <c r="C42" s="4491"/>
      <c r="D42" s="4489"/>
      <c r="E42" s="39"/>
      <c r="F42" s="3339"/>
      <c r="G42" s="3341"/>
    </row>
    <row r="43" spans="3:8" ht="19">
      <c r="C43" s="40"/>
      <c r="D43" s="40"/>
      <c r="E43" s="39"/>
      <c r="F43" s="40"/>
      <c r="G43" s="40"/>
    </row>
    <row r="44" spans="3:8">
      <c r="C44" s="4474" t="s">
        <v>8750</v>
      </c>
      <c r="D44" s="4475"/>
      <c r="E44" s="4475"/>
      <c r="F44" s="4475"/>
      <c r="G44" s="4476"/>
    </row>
    <row r="45" spans="3:8">
      <c r="C45" s="4477"/>
      <c r="D45" s="4478"/>
      <c r="E45" s="4478"/>
      <c r="F45" s="4478"/>
      <c r="G45" s="4479"/>
    </row>
    <row r="46" spans="3:8">
      <c r="C46" s="4480"/>
      <c r="D46" s="4481"/>
      <c r="E46" s="4481"/>
      <c r="F46" s="4481"/>
      <c r="G46" s="4482"/>
    </row>
    <row r="47" spans="3:8" ht="19">
      <c r="C47" s="40"/>
      <c r="D47" s="40"/>
      <c r="E47" s="39"/>
      <c r="F47" s="40"/>
      <c r="G47" s="40"/>
    </row>
    <row r="48" spans="3:8">
      <c r="C48" s="4471" t="s">
        <v>8751</v>
      </c>
      <c r="D48" s="4459" t="s">
        <v>8752</v>
      </c>
      <c r="E48" s="39"/>
      <c r="F48" s="4471" t="s">
        <v>8753</v>
      </c>
      <c r="G48" s="4459" t="s">
        <v>8754</v>
      </c>
    </row>
    <row r="49" spans="3:7">
      <c r="C49" s="4472"/>
      <c r="D49" s="4460"/>
      <c r="E49" s="39"/>
      <c r="F49" s="4472"/>
      <c r="G49" s="4460"/>
    </row>
    <row r="50" spans="3:7">
      <c r="C50" s="4473"/>
      <c r="D50" s="4461"/>
      <c r="E50" s="39"/>
      <c r="F50" s="4473"/>
      <c r="G50" s="4461"/>
    </row>
    <row r="51" spans="3:7">
      <c r="D51" s="39"/>
      <c r="E51" s="39"/>
      <c r="F51" s="15"/>
      <c r="G51" s="15"/>
    </row>
    <row r="52" spans="3:7">
      <c r="C52" s="4471" t="s">
        <v>8755</v>
      </c>
      <c r="D52" s="4459" t="s">
        <v>8756</v>
      </c>
      <c r="E52" s="39"/>
      <c r="F52" s="4471" t="s">
        <v>8757</v>
      </c>
      <c r="G52" s="4462" t="s">
        <v>8758</v>
      </c>
    </row>
    <row r="53" spans="3:7">
      <c r="C53" s="4472"/>
      <c r="D53" s="4460"/>
      <c r="E53" s="39"/>
      <c r="F53" s="4472"/>
      <c r="G53" s="4463"/>
    </row>
    <row r="54" spans="3:7">
      <c r="C54" s="4472"/>
      <c r="D54" s="4460"/>
      <c r="E54" s="39"/>
      <c r="F54" s="4472"/>
      <c r="G54" s="4464" t="s">
        <v>8759</v>
      </c>
    </row>
    <row r="55" spans="3:7">
      <c r="C55" s="4472" t="s">
        <v>8760</v>
      </c>
      <c r="D55" s="4468" t="s">
        <v>8761</v>
      </c>
      <c r="E55" s="39"/>
      <c r="F55" s="4472"/>
      <c r="G55" s="4464"/>
    </row>
    <row r="56" spans="3:7">
      <c r="C56" s="4472"/>
      <c r="D56" s="4490"/>
      <c r="E56" s="39"/>
      <c r="F56" s="4472"/>
      <c r="G56" s="4463"/>
    </row>
    <row r="57" spans="3:7">
      <c r="C57" s="4472"/>
      <c r="D57" s="4460" t="s">
        <v>8762</v>
      </c>
      <c r="E57" s="39"/>
      <c r="F57" s="4472"/>
      <c r="G57" s="4464" t="s">
        <v>8763</v>
      </c>
    </row>
    <row r="58" spans="3:7">
      <c r="C58" s="4472"/>
      <c r="D58" s="4460"/>
      <c r="E58" s="39"/>
      <c r="F58" s="4472"/>
      <c r="G58" s="4465"/>
    </row>
    <row r="59" spans="3:7">
      <c r="C59" s="4472" t="s">
        <v>8764</v>
      </c>
      <c r="D59" s="4468" t="s">
        <v>8765</v>
      </c>
      <c r="E59" s="39"/>
      <c r="F59" s="4472"/>
      <c r="G59" s="4465"/>
    </row>
    <row r="60" spans="3:7">
      <c r="C60" s="4472"/>
      <c r="D60" s="4460"/>
      <c r="E60" s="39"/>
      <c r="F60" s="4472"/>
      <c r="G60" s="4466" t="s">
        <v>8766</v>
      </c>
    </row>
    <row r="61" spans="3:7">
      <c r="C61" s="4472"/>
      <c r="D61" s="4460"/>
      <c r="E61" s="39"/>
      <c r="F61" s="4472"/>
      <c r="G61" s="4465"/>
    </row>
    <row r="62" spans="3:7">
      <c r="C62" s="4473"/>
      <c r="D62" s="4461"/>
      <c r="E62" s="39"/>
      <c r="F62" s="4472"/>
      <c r="G62" s="4465"/>
    </row>
    <row r="63" spans="3:7">
      <c r="C63" s="15"/>
      <c r="D63" s="15"/>
      <c r="E63" s="39"/>
      <c r="F63" s="4473"/>
      <c r="G63" s="4467"/>
    </row>
    <row r="64" spans="3:7">
      <c r="C64" s="15"/>
      <c r="D64" s="15"/>
      <c r="E64" s="39"/>
      <c r="F64" s="15"/>
      <c r="G64" s="15"/>
    </row>
    <row r="65" spans="3:7">
      <c r="C65" s="15"/>
      <c r="D65" s="15"/>
      <c r="E65" s="39"/>
      <c r="F65" s="15"/>
      <c r="G65" s="15"/>
    </row>
    <row r="66" spans="3:7">
      <c r="C66" s="15"/>
      <c r="D66" s="15"/>
      <c r="E66" s="39"/>
      <c r="F66" s="15"/>
      <c r="G66" s="15"/>
    </row>
    <row r="67" spans="3:7">
      <c r="C67" s="15"/>
      <c r="D67" s="15"/>
      <c r="E67" s="39"/>
      <c r="F67" s="15"/>
      <c r="G67" s="15"/>
    </row>
    <row r="68" spans="3:7">
      <c r="C68" s="15"/>
      <c r="D68" s="15"/>
      <c r="E68" s="39"/>
      <c r="F68" s="15"/>
      <c r="G68" s="15"/>
    </row>
    <row r="69" spans="3:7">
      <c r="C69" s="15"/>
      <c r="D69" s="15"/>
      <c r="E69" s="39"/>
      <c r="F69" s="15"/>
      <c r="G69" s="15"/>
    </row>
    <row r="70" spans="3:7">
      <c r="C70" s="15"/>
      <c r="D70" s="15"/>
      <c r="E70" s="39"/>
      <c r="F70" s="15"/>
      <c r="G70" s="15"/>
    </row>
    <row r="71" spans="3:7">
      <c r="C71" s="15"/>
      <c r="D71" s="15"/>
      <c r="E71" s="39"/>
      <c r="F71" s="15"/>
      <c r="G71" s="15"/>
    </row>
    <row r="72" spans="3:7">
      <c r="C72" s="15"/>
      <c r="D72" s="15"/>
      <c r="E72" s="39"/>
      <c r="F72" s="15"/>
      <c r="G72" s="15"/>
    </row>
    <row r="73" spans="3:7">
      <c r="C73" s="15"/>
      <c r="D73" s="15"/>
      <c r="E73" s="39"/>
      <c r="F73" s="15"/>
      <c r="G73" s="15"/>
    </row>
    <row r="74" spans="3:7">
      <c r="C74" s="15"/>
      <c r="D74" s="15"/>
      <c r="E74" s="39"/>
      <c r="F74" s="15"/>
      <c r="G74" s="15"/>
    </row>
    <row r="75" spans="3:7">
      <c r="C75" s="15"/>
      <c r="D75" s="15"/>
      <c r="E75" s="39"/>
      <c r="F75" s="15"/>
      <c r="G75" s="15"/>
    </row>
    <row r="76" spans="3:7">
      <c r="C76" s="15"/>
      <c r="D76" s="15"/>
      <c r="E76" s="39"/>
      <c r="F76" s="15"/>
      <c r="G76" s="15"/>
    </row>
    <row r="77" spans="3:7">
      <c r="C77" s="15"/>
      <c r="D77" s="15"/>
      <c r="E77" s="39"/>
      <c r="F77" s="15"/>
      <c r="G77" s="15"/>
    </row>
    <row r="78" spans="3:7">
      <c r="C78" s="15"/>
      <c r="D78" s="15"/>
      <c r="E78" s="39"/>
      <c r="F78" s="15"/>
      <c r="G78" s="15"/>
    </row>
    <row r="79" spans="3:7">
      <c r="C79" s="15"/>
      <c r="D79" s="15"/>
      <c r="E79" s="39"/>
      <c r="F79" s="15"/>
      <c r="G79" s="15"/>
    </row>
    <row r="80" spans="3:7">
      <c r="C80" s="15"/>
      <c r="D80" s="15"/>
      <c r="E80" s="39"/>
      <c r="F80" s="15"/>
      <c r="G80" s="15"/>
    </row>
    <row r="81" spans="3:7">
      <c r="C81" s="15"/>
      <c r="D81" s="15"/>
      <c r="E81" s="39"/>
      <c r="F81" s="15"/>
      <c r="G81" s="15"/>
    </row>
    <row r="82" spans="3:7">
      <c r="C82" s="15"/>
      <c r="D82" s="15"/>
      <c r="E82" s="39"/>
      <c r="F82" s="15"/>
      <c r="G82" s="15"/>
    </row>
    <row r="83" spans="3:7">
      <c r="C83" s="15"/>
      <c r="D83" s="15"/>
      <c r="E83" s="39"/>
      <c r="F83" s="15"/>
      <c r="G83" s="15"/>
    </row>
    <row r="84" spans="3:7">
      <c r="C84" s="15"/>
      <c r="D84" s="15"/>
      <c r="E84" s="39"/>
      <c r="F84" s="15"/>
      <c r="G84" s="15"/>
    </row>
    <row r="85" spans="3:7">
      <c r="C85" s="15"/>
      <c r="D85" s="15"/>
      <c r="E85" s="39"/>
      <c r="F85" s="15"/>
      <c r="G85" s="15"/>
    </row>
    <row r="86" spans="3:7">
      <c r="C86" s="15"/>
      <c r="D86" s="15"/>
      <c r="E86" s="39"/>
      <c r="F86" s="15"/>
      <c r="G86" s="15"/>
    </row>
    <row r="87" spans="3:7">
      <c r="C87" s="15"/>
      <c r="D87" s="15"/>
      <c r="E87" s="39"/>
      <c r="F87" s="15"/>
      <c r="G87" s="15"/>
    </row>
    <row r="88" spans="3:7">
      <c r="C88" s="15"/>
      <c r="D88" s="15"/>
      <c r="E88" s="39"/>
      <c r="F88" s="15"/>
      <c r="G88" s="15"/>
    </row>
    <row r="89" spans="3:7">
      <c r="C89" s="15"/>
      <c r="D89" s="15"/>
      <c r="E89" s="39"/>
      <c r="F89" s="15"/>
      <c r="G89" s="15"/>
    </row>
    <row r="90" spans="3:7">
      <c r="C90" s="15"/>
      <c r="D90" s="15"/>
      <c r="E90" s="39"/>
      <c r="F90" s="15"/>
      <c r="G90" s="15"/>
    </row>
    <row r="91" spans="3:7">
      <c r="C91" s="15"/>
      <c r="D91" s="15"/>
      <c r="E91" s="39"/>
      <c r="F91" s="15"/>
      <c r="G91" s="15"/>
    </row>
    <row r="92" spans="3:7">
      <c r="C92" s="15"/>
      <c r="D92" s="15"/>
      <c r="E92" s="39"/>
      <c r="F92" s="15"/>
      <c r="G92" s="15"/>
    </row>
    <row r="93" spans="3:7">
      <c r="C93" s="15"/>
      <c r="D93" s="15"/>
      <c r="E93" s="39"/>
      <c r="F93" s="15"/>
      <c r="G93" s="15"/>
    </row>
    <row r="94" spans="3:7" ht="19">
      <c r="C94" s="40"/>
      <c r="D94" s="40"/>
      <c r="E94" s="39"/>
      <c r="F94" s="40"/>
      <c r="G94" s="40"/>
    </row>
    <row r="95" spans="3:7" ht="19">
      <c r="C95" s="40"/>
      <c r="D95" s="40"/>
      <c r="E95" s="39"/>
      <c r="F95" s="40"/>
      <c r="G95" s="40"/>
    </row>
    <row r="96" spans="3:7" ht="19">
      <c r="C96" s="40"/>
      <c r="D96" s="40"/>
      <c r="E96" s="39"/>
      <c r="F96" s="40"/>
      <c r="G96" s="40"/>
    </row>
    <row r="97" spans="3:7" ht="19">
      <c r="C97" s="40"/>
      <c r="D97" s="40"/>
      <c r="E97" s="39"/>
      <c r="F97" s="40"/>
      <c r="G97" s="40"/>
    </row>
    <row r="98" spans="3:7" ht="19">
      <c r="C98" s="40"/>
      <c r="D98" s="40"/>
      <c r="E98" s="39"/>
      <c r="F98" s="40"/>
      <c r="G98" s="40"/>
    </row>
    <row r="99" spans="3:7" ht="19">
      <c r="C99" s="40"/>
      <c r="D99" s="40"/>
      <c r="E99" s="39"/>
      <c r="F99" s="40"/>
      <c r="G99" s="40"/>
    </row>
    <row r="100" spans="3:7" ht="19">
      <c r="C100" s="40"/>
      <c r="D100" s="40"/>
      <c r="E100" s="39"/>
      <c r="F100" s="40"/>
      <c r="G100" s="40"/>
    </row>
    <row r="101" spans="3:7" ht="19">
      <c r="C101" s="40"/>
      <c r="D101" s="40"/>
      <c r="E101" s="39"/>
      <c r="F101" s="40"/>
      <c r="G101" s="40"/>
    </row>
    <row r="102" spans="3:7" ht="19">
      <c r="C102" s="40"/>
      <c r="D102" s="40"/>
      <c r="E102" s="39"/>
      <c r="F102" s="40"/>
      <c r="G102" s="40"/>
    </row>
    <row r="103" spans="3:7" ht="19">
      <c r="C103" s="40"/>
      <c r="D103" s="40"/>
      <c r="E103" s="39"/>
      <c r="F103" s="40"/>
      <c r="G103" s="40"/>
    </row>
    <row r="104" spans="3:7" ht="19">
      <c r="C104" s="40"/>
      <c r="D104" s="40"/>
      <c r="E104" s="39"/>
      <c r="F104" s="40"/>
      <c r="G104" s="40"/>
    </row>
    <row r="105" spans="3:7" ht="19">
      <c r="C105" s="40"/>
      <c r="D105" s="40"/>
      <c r="E105" s="39"/>
      <c r="F105" s="40"/>
      <c r="G105" s="40"/>
    </row>
    <row r="106" spans="3:7" ht="19">
      <c r="C106" s="40"/>
      <c r="D106" s="40"/>
      <c r="E106" s="39"/>
      <c r="F106" s="40"/>
      <c r="G106" s="40"/>
    </row>
    <row r="107" spans="3:7" ht="19">
      <c r="C107" s="40"/>
      <c r="D107" s="40"/>
      <c r="E107" s="39"/>
      <c r="F107" s="40"/>
      <c r="G107" s="40"/>
    </row>
    <row r="108" spans="3:7" ht="19">
      <c r="C108" s="40"/>
      <c r="D108" s="40"/>
      <c r="E108" s="39"/>
      <c r="F108" s="40"/>
      <c r="G108" s="40"/>
    </row>
    <row r="109" spans="3:7" ht="19">
      <c r="C109" s="40"/>
      <c r="D109" s="40"/>
      <c r="E109" s="39"/>
      <c r="F109" s="40"/>
      <c r="G109" s="40"/>
    </row>
    <row r="110" spans="3:7" ht="19">
      <c r="C110" s="40"/>
      <c r="D110" s="40"/>
      <c r="E110" s="39"/>
      <c r="F110" s="40"/>
      <c r="G110" s="40"/>
    </row>
    <row r="111" spans="3:7" ht="19">
      <c r="C111" s="40"/>
      <c r="D111" s="40"/>
      <c r="E111" s="39"/>
      <c r="F111" s="40"/>
      <c r="G111" s="40"/>
    </row>
    <row r="112" spans="3:7" ht="19">
      <c r="C112" s="40"/>
      <c r="D112" s="40"/>
      <c r="E112" s="39"/>
      <c r="F112" s="40"/>
      <c r="G112" s="40"/>
    </row>
    <row r="113" spans="3:7" ht="19">
      <c r="C113" s="40"/>
      <c r="D113" s="40"/>
      <c r="E113" s="39"/>
      <c r="F113" s="40"/>
      <c r="G113" s="40"/>
    </row>
    <row r="114" spans="3:7" ht="19">
      <c r="C114" s="40"/>
      <c r="D114" s="40"/>
      <c r="E114" s="39"/>
      <c r="F114" s="40"/>
      <c r="G114" s="40"/>
    </row>
    <row r="115" spans="3:7" ht="19">
      <c r="C115" s="40"/>
      <c r="D115" s="40"/>
      <c r="E115" s="39"/>
      <c r="F115" s="40"/>
      <c r="G115" s="40"/>
    </row>
    <row r="116" spans="3:7" ht="19">
      <c r="C116" s="40"/>
      <c r="D116" s="40"/>
      <c r="E116" s="39"/>
      <c r="F116" s="40"/>
      <c r="G116" s="40"/>
    </row>
    <row r="117" spans="3:7" ht="19">
      <c r="C117" s="40"/>
      <c r="D117" s="40"/>
      <c r="E117" s="39"/>
      <c r="F117" s="40"/>
      <c r="G117" s="40"/>
    </row>
    <row r="118" spans="3:7" ht="19">
      <c r="C118" s="40"/>
      <c r="D118" s="40"/>
      <c r="E118" s="39"/>
      <c r="F118" s="40"/>
      <c r="G118" s="40"/>
    </row>
    <row r="119" spans="3:7" ht="19">
      <c r="C119" s="40"/>
      <c r="D119" s="40"/>
      <c r="E119" s="39"/>
      <c r="F119" s="40"/>
      <c r="G119" s="40"/>
    </row>
    <row r="120" spans="3:7" ht="19">
      <c r="C120" s="40"/>
      <c r="D120" s="40"/>
      <c r="E120" s="39"/>
      <c r="F120" s="40"/>
      <c r="G120" s="40"/>
    </row>
    <row r="121" spans="3:7" ht="19">
      <c r="C121" s="40"/>
      <c r="D121" s="40"/>
      <c r="E121" s="39"/>
      <c r="F121" s="40"/>
      <c r="G121" s="40"/>
    </row>
    <row r="122" spans="3:7" ht="19">
      <c r="C122" s="40"/>
      <c r="D122" s="40"/>
      <c r="E122" s="39"/>
      <c r="F122" s="40"/>
      <c r="G122" s="40"/>
    </row>
    <row r="123" spans="3:7" ht="19">
      <c r="C123" s="40"/>
      <c r="D123" s="40"/>
      <c r="E123" s="39"/>
      <c r="F123" s="40"/>
      <c r="G123" s="40"/>
    </row>
    <row r="124" spans="3:7" ht="19">
      <c r="C124" s="40"/>
      <c r="D124" s="40"/>
      <c r="E124" s="39"/>
      <c r="F124" s="40"/>
      <c r="G124" s="40"/>
    </row>
    <row r="125" spans="3:7" ht="19">
      <c r="C125" s="40"/>
      <c r="D125" s="40"/>
      <c r="E125" s="39"/>
      <c r="F125" s="40"/>
      <c r="G125" s="40"/>
    </row>
    <row r="126" spans="3:7" ht="19">
      <c r="C126" s="40"/>
      <c r="D126" s="40"/>
      <c r="E126" s="39"/>
      <c r="F126" s="40"/>
      <c r="G126" s="40"/>
    </row>
    <row r="127" spans="3:7" ht="19">
      <c r="C127" s="40"/>
      <c r="D127" s="40"/>
      <c r="E127" s="39"/>
      <c r="F127" s="40"/>
      <c r="G127" s="40"/>
    </row>
    <row r="128" spans="3:7" ht="19">
      <c r="C128" s="40"/>
      <c r="D128" s="40"/>
      <c r="E128" s="39"/>
      <c r="F128" s="40"/>
      <c r="G128" s="40"/>
    </row>
    <row r="129" spans="3:7" ht="19">
      <c r="C129" s="40"/>
      <c r="D129" s="40"/>
      <c r="E129" s="39"/>
      <c r="F129" s="40"/>
      <c r="G129" s="40"/>
    </row>
    <row r="130" spans="3:7" ht="19">
      <c r="C130" s="40"/>
      <c r="D130" s="40"/>
      <c r="E130" s="39"/>
      <c r="F130" s="40"/>
      <c r="G130" s="40"/>
    </row>
    <row r="131" spans="3:7" ht="19">
      <c r="C131" s="40"/>
      <c r="D131" s="40"/>
      <c r="E131" s="39"/>
      <c r="F131" s="40"/>
      <c r="G131" s="40"/>
    </row>
    <row r="132" spans="3:7" ht="19">
      <c r="C132" s="40"/>
      <c r="D132" s="40"/>
      <c r="E132" s="39"/>
      <c r="F132" s="40"/>
      <c r="G132" s="40"/>
    </row>
    <row r="133" spans="3:7" ht="19">
      <c r="C133" s="40"/>
      <c r="D133" s="40"/>
      <c r="E133" s="39"/>
      <c r="F133" s="40"/>
      <c r="G133" s="40"/>
    </row>
    <row r="134" spans="3:7" ht="19">
      <c r="C134" s="40"/>
      <c r="D134" s="40"/>
      <c r="E134" s="39"/>
      <c r="F134" s="40"/>
      <c r="G134" s="40"/>
    </row>
    <row r="135" spans="3:7" ht="19">
      <c r="C135" s="40"/>
      <c r="D135" s="40"/>
      <c r="E135" s="39"/>
      <c r="F135" s="40"/>
      <c r="G135" s="40"/>
    </row>
    <row r="136" spans="3:7" ht="19">
      <c r="C136" s="40"/>
      <c r="D136" s="40"/>
      <c r="E136" s="39"/>
      <c r="F136" s="40"/>
      <c r="G136" s="40"/>
    </row>
    <row r="137" spans="3:7" ht="19">
      <c r="C137" s="40"/>
      <c r="D137" s="40"/>
      <c r="E137" s="39"/>
      <c r="F137" s="40"/>
      <c r="G137" s="40"/>
    </row>
    <row r="138" spans="3:7" ht="19">
      <c r="C138" s="40"/>
      <c r="D138" s="40"/>
      <c r="E138" s="39"/>
      <c r="F138" s="40"/>
      <c r="G138" s="40"/>
    </row>
    <row r="139" spans="3:7" ht="19">
      <c r="C139" s="39"/>
      <c r="D139" s="39"/>
      <c r="E139" s="39"/>
      <c r="F139" s="40"/>
      <c r="G139" s="40"/>
    </row>
    <row r="140" spans="3:7" ht="19">
      <c r="C140" s="39"/>
      <c r="D140" s="39"/>
      <c r="E140" s="39"/>
      <c r="F140" s="40"/>
      <c r="G140" s="40"/>
    </row>
    <row r="141" spans="3:7" ht="19">
      <c r="C141" s="39"/>
      <c r="D141" s="39"/>
      <c r="E141" s="39"/>
      <c r="F141" s="40"/>
      <c r="G141" s="40"/>
    </row>
    <row r="142" spans="3:7" ht="19">
      <c r="C142" s="39"/>
      <c r="D142" s="39"/>
      <c r="E142" s="39"/>
      <c r="F142" s="40"/>
      <c r="G142" s="40"/>
    </row>
    <row r="143" spans="3:7" ht="19">
      <c r="C143" s="39"/>
      <c r="D143" s="39"/>
      <c r="E143" s="39"/>
      <c r="F143" s="40"/>
      <c r="G143" s="40"/>
    </row>
    <row r="144" spans="3:7" ht="19">
      <c r="C144" s="39"/>
      <c r="D144" s="39"/>
      <c r="E144" s="39"/>
      <c r="F144" s="40"/>
      <c r="G144" s="40"/>
    </row>
    <row r="145" spans="3:7" ht="19">
      <c r="C145" s="39"/>
      <c r="D145" s="39"/>
      <c r="E145" s="39"/>
      <c r="F145" s="40"/>
      <c r="G145" s="40"/>
    </row>
  </sheetData>
  <sheetProtection password="D857" sheet="1" object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C27:D28"/>
    <mergeCell ref="F27:G28"/>
    <mergeCell ref="C29:D32"/>
    <mergeCell ref="F29:G42"/>
    <mergeCell ref="C44:G46"/>
    <mergeCell ref="D34:D39"/>
    <mergeCell ref="D40:D42"/>
    <mergeCell ref="D48:D50"/>
    <mergeCell ref="D52:D54"/>
    <mergeCell ref="D55:D56"/>
    <mergeCell ref="G48:G50"/>
    <mergeCell ref="G52:G53"/>
    <mergeCell ref="G54:G56"/>
    <mergeCell ref="G57:G59"/>
    <mergeCell ref="G60:G63"/>
  </mergeCells>
  <phoneticPr fontId="282"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C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C00-000001000000}">
          <x14:formula1>
            <xm:f>'C:\Users\Yangruixi\OneDrive - stu.cqnu.edu.cn\跑团\[COC7空白卡CY23Final.xlsx]附表'!#REF!</xm:f>
          </x14:formula1>
          <xm:sqref>C17:C18 F17:F18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D1:BJ551"/>
  <sheetViews>
    <sheetView showGridLines="0" topLeftCell="A65" zoomScale="85" zoomScaleNormal="85" workbookViewId="0">
      <selection activeCell="F3" sqref="F3:N4"/>
    </sheetView>
  </sheetViews>
  <sheetFormatPr defaultColWidth="9" defaultRowHeight="21.9" customHeight="1"/>
  <cols>
    <col min="1" max="1" width="5.6328125" style="11" customWidth="1"/>
    <col min="2" max="14" width="9" style="11" customWidth="1"/>
    <col min="15" max="15" width="2.81640625" style="11" customWidth="1"/>
    <col min="27" max="27" width="2.81640625" customWidth="1"/>
    <col min="28" max="38" width="9" style="11" customWidth="1"/>
    <col min="39" max="39" width="2.81640625" style="11" customWidth="1"/>
    <col min="40" max="50" width="9" style="11" customWidth="1"/>
    <col min="51" max="51" width="2.81640625" style="11" customWidth="1"/>
    <col min="52" max="52" width="9" style="11" customWidth="1"/>
    <col min="53" max="16384" width="9" style="11"/>
  </cols>
  <sheetData>
    <row r="1" spans="4:62" ht="21.9" customHeight="1">
      <c r="D1" s="4527" t="s">
        <v>8767</v>
      </c>
      <c r="E1" s="4527"/>
      <c r="F1" s="4527"/>
      <c r="G1" s="4527"/>
      <c r="H1" s="4527"/>
      <c r="I1" s="4527"/>
      <c r="J1" s="4527"/>
      <c r="K1" s="4527"/>
      <c r="L1" s="4527"/>
      <c r="M1" s="4527"/>
      <c r="N1" s="4527"/>
      <c r="O1" s="12"/>
      <c r="P1" s="4527" t="s">
        <v>8768</v>
      </c>
      <c r="Q1" s="4527"/>
      <c r="R1" s="4527"/>
      <c r="S1" s="4527"/>
      <c r="T1" s="4527"/>
      <c r="U1" s="4527"/>
      <c r="V1" s="4527"/>
      <c r="W1" s="4527"/>
      <c r="X1" s="4527"/>
      <c r="Y1" s="4527"/>
      <c r="Z1" s="4527"/>
      <c r="AB1" s="4527" t="s">
        <v>8769</v>
      </c>
      <c r="AC1" s="4527"/>
      <c r="AD1" s="4527"/>
      <c r="AE1" s="4527"/>
      <c r="AF1" s="4527"/>
      <c r="AG1" s="4527"/>
      <c r="AH1" s="4527"/>
      <c r="AI1" s="4527"/>
      <c r="AJ1" s="4527"/>
      <c r="AK1" s="4527"/>
      <c r="AL1" s="4527"/>
      <c r="AM1" s="12"/>
      <c r="AN1" s="4527" t="s">
        <v>8770</v>
      </c>
      <c r="AO1" s="4527"/>
      <c r="AP1" s="4527"/>
      <c r="AQ1" s="4527"/>
      <c r="AR1" s="4527"/>
      <c r="AS1" s="4527"/>
      <c r="AT1" s="4527"/>
      <c r="AU1" s="4527"/>
      <c r="AV1" s="4527"/>
      <c r="AW1" s="4527"/>
      <c r="AX1" s="4527"/>
      <c r="AY1" s="12"/>
      <c r="AZ1" s="4527" t="s">
        <v>8771</v>
      </c>
      <c r="BA1" s="4527"/>
      <c r="BB1" s="4527"/>
      <c r="BC1" s="4527"/>
      <c r="BD1" s="4527"/>
      <c r="BE1" s="4527"/>
      <c r="BF1" s="4527"/>
      <c r="BG1" s="4527"/>
      <c r="BH1" s="4527"/>
      <c r="BI1" s="4527"/>
      <c r="BJ1" s="4527"/>
    </row>
    <row r="2" spans="4:62" ht="21.9" customHeight="1">
      <c r="D2" s="4527"/>
      <c r="E2" s="4527"/>
      <c r="F2" s="4527"/>
      <c r="G2" s="4527"/>
      <c r="H2" s="4527"/>
      <c r="I2" s="4527"/>
      <c r="J2" s="4527"/>
      <c r="K2" s="4527"/>
      <c r="L2" s="4527"/>
      <c r="M2" s="4527"/>
      <c r="N2" s="4527"/>
      <c r="O2" s="12"/>
      <c r="P2" s="4527"/>
      <c r="Q2" s="4527"/>
      <c r="R2" s="4527"/>
      <c r="S2" s="4527"/>
      <c r="T2" s="4527"/>
      <c r="U2" s="4527"/>
      <c r="V2" s="4527"/>
      <c r="W2" s="4527"/>
      <c r="X2" s="4527"/>
      <c r="Y2" s="4527"/>
      <c r="Z2" s="4527"/>
      <c r="AB2" s="4527"/>
      <c r="AC2" s="4527"/>
      <c r="AD2" s="4527"/>
      <c r="AE2" s="4527"/>
      <c r="AF2" s="4527"/>
      <c r="AG2" s="4527"/>
      <c r="AH2" s="4527"/>
      <c r="AI2" s="4527"/>
      <c r="AJ2" s="4527"/>
      <c r="AK2" s="4527"/>
      <c r="AL2" s="4527"/>
      <c r="AM2" s="12"/>
      <c r="AN2" s="4527"/>
      <c r="AO2" s="4527"/>
      <c r="AP2" s="4527"/>
      <c r="AQ2" s="4527"/>
      <c r="AR2" s="4527"/>
      <c r="AS2" s="4527"/>
      <c r="AT2" s="4527"/>
      <c r="AU2" s="4527"/>
      <c r="AV2" s="4527"/>
      <c r="AW2" s="4527"/>
      <c r="AX2" s="4527"/>
      <c r="AY2" s="12"/>
      <c r="AZ2" s="4527"/>
      <c r="BA2" s="4527"/>
      <c r="BB2" s="4527"/>
      <c r="BC2" s="4527"/>
      <c r="BD2" s="4527"/>
      <c r="BE2" s="4527"/>
      <c r="BF2" s="4527"/>
      <c r="BG2" s="4527"/>
      <c r="BH2" s="4527"/>
      <c r="BI2" s="4527"/>
      <c r="BJ2" s="4527"/>
    </row>
    <row r="3" spans="4:62" ht="21.9" customHeight="1">
      <c r="D3" s="4531" t="s">
        <v>8772</v>
      </c>
      <c r="E3" s="4534"/>
      <c r="F3" s="4532" t="s">
        <v>8773</v>
      </c>
      <c r="G3" s="4533"/>
      <c r="H3" s="4533"/>
      <c r="I3" s="4533"/>
      <c r="J3" s="4533"/>
      <c r="K3" s="4533"/>
      <c r="L3" s="4533"/>
      <c r="M3" s="4533"/>
      <c r="N3" s="4533"/>
      <c r="O3" s="12"/>
      <c r="Q3" s="4551" t="s">
        <v>8774</v>
      </c>
      <c r="R3" s="4551"/>
      <c r="S3" s="4551"/>
      <c r="T3" s="4551"/>
      <c r="U3" s="4551"/>
      <c r="V3" s="4551"/>
      <c r="W3" s="4551"/>
      <c r="X3" s="4551"/>
      <c r="Y3" s="4551"/>
      <c r="Z3" s="4551"/>
      <c r="AA3" s="4551"/>
      <c r="AB3" s="4551" t="s">
        <v>8775</v>
      </c>
      <c r="AC3" s="4551"/>
      <c r="AD3" s="4551"/>
      <c r="AE3" s="4551"/>
      <c r="AF3" s="4551"/>
      <c r="AG3" s="4551"/>
      <c r="AH3" s="4551"/>
      <c r="AI3" s="4551"/>
      <c r="AJ3" s="4551"/>
      <c r="AK3" s="4551"/>
      <c r="AL3" s="4551"/>
      <c r="AM3" s="12"/>
      <c r="AN3" s="4553" t="s">
        <v>8776</v>
      </c>
      <c r="AO3" s="4551"/>
      <c r="AP3" s="4551"/>
      <c r="AQ3" s="4551"/>
      <c r="AR3" s="4551"/>
      <c r="AS3" s="4551"/>
      <c r="AT3" s="4551"/>
      <c r="AU3" s="4551"/>
      <c r="AV3" s="4551"/>
      <c r="AW3" s="4551"/>
      <c r="AX3" s="4551"/>
      <c r="AY3" s="12"/>
      <c r="AZ3" s="4572" t="s">
        <v>8777</v>
      </c>
      <c r="BA3" s="4551"/>
      <c r="BB3" s="4551"/>
      <c r="BC3" s="4551"/>
      <c r="BD3" s="4551"/>
      <c r="BE3" s="4551"/>
      <c r="BF3" s="4551"/>
      <c r="BG3" s="4551"/>
      <c r="BH3" s="4551"/>
      <c r="BI3" s="4551"/>
      <c r="BJ3" s="4551"/>
    </row>
    <row r="4" spans="4:62" ht="21.9" customHeight="1">
      <c r="D4" s="4534"/>
      <c r="E4" s="4534"/>
      <c r="F4" s="4533"/>
      <c r="G4" s="4533"/>
      <c r="H4" s="4533"/>
      <c r="I4" s="4533"/>
      <c r="J4" s="4533"/>
      <c r="K4" s="4533"/>
      <c r="L4" s="4533"/>
      <c r="M4" s="4533"/>
      <c r="N4" s="4533"/>
      <c r="O4" s="12"/>
      <c r="Q4" s="4542" t="s">
        <v>8778</v>
      </c>
      <c r="R4" s="4505" t="s">
        <v>8779</v>
      </c>
      <c r="S4" s="4505"/>
      <c r="T4" s="4505"/>
      <c r="U4" s="4505"/>
      <c r="V4" s="4505"/>
      <c r="W4" s="4505"/>
      <c r="X4" s="4505"/>
      <c r="Y4" s="4505"/>
      <c r="Z4" s="4505"/>
      <c r="AA4" s="4505"/>
      <c r="AB4" s="4542" t="s">
        <v>8778</v>
      </c>
      <c r="AC4" s="4505" t="s">
        <v>8780</v>
      </c>
      <c r="AD4" s="4505"/>
      <c r="AE4" s="4505"/>
      <c r="AF4" s="4505"/>
      <c r="AG4" s="4505"/>
      <c r="AH4" s="4505"/>
      <c r="AI4" s="4505"/>
      <c r="AJ4" s="4505"/>
      <c r="AK4" s="4505"/>
      <c r="AL4" s="4505"/>
      <c r="AM4" s="12"/>
      <c r="AN4" s="4542" t="s">
        <v>8781</v>
      </c>
      <c r="AO4" s="4530" t="s">
        <v>8782</v>
      </c>
      <c r="AP4" s="4509"/>
      <c r="AQ4" s="4509"/>
      <c r="AR4" s="4509"/>
      <c r="AS4" s="4509"/>
      <c r="AT4" s="4509"/>
      <c r="AU4" s="4509"/>
      <c r="AV4" s="4509"/>
      <c r="AW4" s="4509"/>
      <c r="AX4" s="4509"/>
      <c r="AY4" s="12"/>
      <c r="AZ4" s="4539" t="s">
        <v>8783</v>
      </c>
      <c r="BA4" s="4528" t="s">
        <v>8784</v>
      </c>
      <c r="BB4" s="4509"/>
      <c r="BC4" s="4509"/>
      <c r="BD4" s="4509"/>
      <c r="BE4" s="4509"/>
      <c r="BF4" s="4509"/>
      <c r="BG4" s="4509"/>
      <c r="BH4" s="4509"/>
      <c r="BI4" s="4509"/>
      <c r="BJ4" s="4509"/>
    </row>
    <row r="5" spans="4:62" ht="21.9" customHeight="1">
      <c r="D5" s="4531" t="s">
        <v>8785</v>
      </c>
      <c r="E5" s="4531"/>
      <c r="F5" s="4532" t="s">
        <v>8786</v>
      </c>
      <c r="G5" s="4533"/>
      <c r="H5" s="4533"/>
      <c r="I5" s="4533"/>
      <c r="J5" s="4533"/>
      <c r="K5" s="4533"/>
      <c r="L5" s="4533"/>
      <c r="M5" s="4533"/>
      <c r="N5" s="4533"/>
      <c r="O5" s="12"/>
      <c r="Q5" s="4542"/>
      <c r="R5" s="4505"/>
      <c r="S5" s="4505"/>
      <c r="T5" s="4505"/>
      <c r="U5" s="4505"/>
      <c r="V5" s="4505"/>
      <c r="W5" s="4505"/>
      <c r="X5" s="4505"/>
      <c r="Y5" s="4505"/>
      <c r="Z5" s="4505"/>
      <c r="AA5" s="4505"/>
      <c r="AB5" s="4542"/>
      <c r="AC5" s="4505"/>
      <c r="AD5" s="4505"/>
      <c r="AE5" s="4505"/>
      <c r="AF5" s="4505"/>
      <c r="AG5" s="4505"/>
      <c r="AH5" s="4505"/>
      <c r="AI5" s="4505"/>
      <c r="AJ5" s="4505"/>
      <c r="AK5" s="4505"/>
      <c r="AL5" s="4505"/>
      <c r="AM5" s="12"/>
      <c r="AN5" s="4542"/>
      <c r="AO5" s="4529" t="s">
        <v>8787</v>
      </c>
      <c r="AP5" s="4509"/>
      <c r="AQ5" s="4509"/>
      <c r="AR5" s="4509"/>
      <c r="AS5" s="4509"/>
      <c r="AT5" s="4509"/>
      <c r="AU5" s="4509"/>
      <c r="AV5" s="4509"/>
      <c r="AW5" s="4509"/>
      <c r="AX5" s="4509"/>
      <c r="AY5" s="12"/>
      <c r="AZ5" s="4539"/>
      <c r="BA5" s="4509"/>
      <c r="BB5" s="4509"/>
      <c r="BC5" s="4509"/>
      <c r="BD5" s="4509"/>
      <c r="BE5" s="4509"/>
      <c r="BF5" s="4509"/>
      <c r="BG5" s="4509"/>
      <c r="BH5" s="4509"/>
      <c r="BI5" s="4509"/>
      <c r="BJ5" s="4509"/>
    </row>
    <row r="6" spans="4:62" ht="21.9" customHeight="1">
      <c r="D6" s="4531"/>
      <c r="E6" s="4531"/>
      <c r="F6" s="4533"/>
      <c r="G6" s="4533"/>
      <c r="H6" s="4533"/>
      <c r="I6" s="4533"/>
      <c r="J6" s="4533"/>
      <c r="K6" s="4533"/>
      <c r="L6" s="4533"/>
      <c r="M6" s="4533"/>
      <c r="N6" s="4533"/>
      <c r="O6" s="12"/>
      <c r="Q6" s="4542"/>
      <c r="R6" s="4505"/>
      <c r="S6" s="4505"/>
      <c r="T6" s="4505"/>
      <c r="U6" s="4505"/>
      <c r="V6" s="4505"/>
      <c r="W6" s="4505"/>
      <c r="X6" s="4505"/>
      <c r="Y6" s="4505"/>
      <c r="Z6" s="4505"/>
      <c r="AA6" s="4505"/>
      <c r="AB6" s="4542"/>
      <c r="AC6" s="4505"/>
      <c r="AD6" s="4505"/>
      <c r="AE6" s="4505"/>
      <c r="AF6" s="4505"/>
      <c r="AG6" s="4505"/>
      <c r="AH6" s="4505"/>
      <c r="AI6" s="4505"/>
      <c r="AJ6" s="4505"/>
      <c r="AK6" s="4505"/>
      <c r="AL6" s="4505"/>
      <c r="AM6" s="12"/>
      <c r="AN6" s="4542"/>
      <c r="AO6" s="4530"/>
      <c r="AP6" s="4509"/>
      <c r="AQ6" s="4509"/>
      <c r="AR6" s="4509"/>
      <c r="AS6" s="4509"/>
      <c r="AT6" s="4509"/>
      <c r="AU6" s="4509"/>
      <c r="AV6" s="4509"/>
      <c r="AW6" s="4509"/>
      <c r="AX6" s="4509"/>
      <c r="AY6" s="12"/>
      <c r="AZ6" s="4539"/>
      <c r="BA6" s="4509"/>
      <c r="BB6" s="4509"/>
      <c r="BC6" s="4509"/>
      <c r="BD6" s="4509"/>
      <c r="BE6" s="4509"/>
      <c r="BF6" s="4509"/>
      <c r="BG6" s="4509"/>
      <c r="BH6" s="4509"/>
      <c r="BI6" s="4509"/>
      <c r="BJ6" s="4509"/>
    </row>
    <row r="7" spans="4:62" ht="21.9" customHeight="1">
      <c r="D7" s="4531" t="s">
        <v>8788</v>
      </c>
      <c r="E7" s="4534"/>
      <c r="F7" s="4537" t="s">
        <v>8789</v>
      </c>
      <c r="G7" s="4538"/>
      <c r="H7" s="4538"/>
      <c r="I7" s="4538"/>
      <c r="J7" s="4538"/>
      <c r="K7" s="4538"/>
      <c r="L7" s="4538"/>
      <c r="M7" s="4538"/>
      <c r="N7" s="4538"/>
      <c r="O7" s="12"/>
      <c r="Q7" s="4542"/>
      <c r="R7" s="4505"/>
      <c r="S7" s="4505"/>
      <c r="T7" s="4505"/>
      <c r="U7" s="4505"/>
      <c r="V7" s="4505"/>
      <c r="W7" s="4505"/>
      <c r="X7" s="4505"/>
      <c r="Y7" s="4505"/>
      <c r="Z7" s="4505"/>
      <c r="AA7" s="4505"/>
      <c r="AB7" s="4542"/>
      <c r="AC7" s="4505"/>
      <c r="AD7" s="4505"/>
      <c r="AE7" s="4505"/>
      <c r="AF7" s="4505"/>
      <c r="AG7" s="4505"/>
      <c r="AH7" s="4505"/>
      <c r="AI7" s="4505"/>
      <c r="AJ7" s="4505"/>
      <c r="AK7" s="4505"/>
      <c r="AL7" s="4505"/>
      <c r="AM7" s="12"/>
      <c r="AN7" s="4542"/>
      <c r="AO7" s="4529" t="s">
        <v>8790</v>
      </c>
      <c r="AP7" s="4501"/>
      <c r="AQ7" s="4501"/>
      <c r="AR7" s="4501"/>
      <c r="AS7" s="4501"/>
      <c r="AT7" s="4501"/>
      <c r="AU7" s="4501"/>
      <c r="AV7" s="4501"/>
      <c r="AW7" s="4501"/>
      <c r="AX7" s="4501"/>
      <c r="AY7" s="12"/>
      <c r="AZ7" s="4539"/>
      <c r="BA7" s="4509"/>
      <c r="BB7" s="4509"/>
      <c r="BC7" s="4509"/>
      <c r="BD7" s="4509"/>
      <c r="BE7" s="4509"/>
      <c r="BF7" s="4509"/>
      <c r="BG7" s="4509"/>
      <c r="BH7" s="4509"/>
      <c r="BI7" s="4509"/>
      <c r="BJ7" s="4509"/>
    </row>
    <row r="8" spans="4:62" s="10" customFormat="1" ht="21.9" customHeight="1">
      <c r="D8" s="4534"/>
      <c r="E8" s="4534"/>
      <c r="F8" s="4538"/>
      <c r="G8" s="4538"/>
      <c r="H8" s="4538"/>
      <c r="I8" s="4538"/>
      <c r="J8" s="4538"/>
      <c r="K8" s="4538"/>
      <c r="L8" s="4538"/>
      <c r="M8" s="4538"/>
      <c r="N8" s="4538"/>
      <c r="O8" s="12"/>
      <c r="Q8" s="4542" t="s">
        <v>321</v>
      </c>
      <c r="R8" s="4505" t="s">
        <v>8791</v>
      </c>
      <c r="S8" s="4505"/>
      <c r="T8" s="4505"/>
      <c r="U8" s="4505"/>
      <c r="V8" s="4505"/>
      <c r="W8" s="4505"/>
      <c r="X8" s="4505"/>
      <c r="Y8" s="4505"/>
      <c r="Z8" s="4505"/>
      <c r="AA8" s="4505"/>
      <c r="AB8" s="4542" t="s">
        <v>321</v>
      </c>
      <c r="AC8" s="4505" t="s">
        <v>8792</v>
      </c>
      <c r="AD8" s="4505"/>
      <c r="AE8" s="4505"/>
      <c r="AF8" s="4505"/>
      <c r="AG8" s="4505"/>
      <c r="AH8" s="4505"/>
      <c r="AI8" s="4505"/>
      <c r="AJ8" s="4505"/>
      <c r="AK8" s="4505"/>
      <c r="AL8" s="4505"/>
      <c r="AM8" s="12"/>
      <c r="AN8" s="4542"/>
      <c r="AO8" s="4529"/>
      <c r="AP8" s="4501"/>
      <c r="AQ8" s="4501"/>
      <c r="AR8" s="4501"/>
      <c r="AS8" s="4501"/>
      <c r="AT8" s="4501"/>
      <c r="AU8" s="4501"/>
      <c r="AV8" s="4501"/>
      <c r="AW8" s="4501"/>
      <c r="AX8" s="4501"/>
      <c r="AY8" s="12"/>
      <c r="AZ8" s="4539"/>
      <c r="BA8" s="4509"/>
      <c r="BB8" s="4509"/>
      <c r="BC8" s="4509"/>
      <c r="BD8" s="4509"/>
      <c r="BE8" s="4509"/>
      <c r="BF8" s="4509"/>
      <c r="BG8" s="4509"/>
      <c r="BH8" s="4509"/>
      <c r="BI8" s="4509"/>
      <c r="BJ8" s="4509"/>
    </row>
    <row r="9" spans="4:62" ht="21.9" customHeight="1">
      <c r="D9" s="4531" t="s">
        <v>8793</v>
      </c>
      <c r="E9" s="4531"/>
      <c r="F9" s="4532" t="s">
        <v>8794</v>
      </c>
      <c r="G9" s="4533"/>
      <c r="H9" s="4533"/>
      <c r="I9" s="4533"/>
      <c r="J9" s="4533"/>
      <c r="K9" s="4533"/>
      <c r="L9" s="4533"/>
      <c r="M9" s="4533"/>
      <c r="N9" s="4533"/>
      <c r="O9" s="12"/>
      <c r="Q9" s="4542"/>
      <c r="R9" s="4505"/>
      <c r="S9" s="4505"/>
      <c r="T9" s="4505"/>
      <c r="U9" s="4505"/>
      <c r="V9" s="4505"/>
      <c r="W9" s="4505"/>
      <c r="X9" s="4505"/>
      <c r="Y9" s="4505"/>
      <c r="Z9" s="4505"/>
      <c r="AA9" s="4505"/>
      <c r="AB9" s="4542"/>
      <c r="AC9" s="4505"/>
      <c r="AD9" s="4505"/>
      <c r="AE9" s="4505"/>
      <c r="AF9" s="4505"/>
      <c r="AG9" s="4505"/>
      <c r="AH9" s="4505"/>
      <c r="AI9" s="4505"/>
      <c r="AJ9" s="4505"/>
      <c r="AK9" s="4505"/>
      <c r="AL9" s="4505"/>
      <c r="AM9" s="12"/>
      <c r="AN9" s="4542"/>
      <c r="AO9" s="4529"/>
      <c r="AP9" s="4501"/>
      <c r="AQ9" s="4501"/>
      <c r="AR9" s="4501"/>
      <c r="AS9" s="4501"/>
      <c r="AT9" s="4501"/>
      <c r="AU9" s="4501"/>
      <c r="AV9" s="4501"/>
      <c r="AW9" s="4501"/>
      <c r="AX9" s="4501"/>
      <c r="AY9" s="12"/>
      <c r="AZ9" s="4539"/>
      <c r="BA9" s="4509"/>
      <c r="BB9" s="4509"/>
      <c r="BC9" s="4509"/>
      <c r="BD9" s="4509"/>
      <c r="BE9" s="4509"/>
      <c r="BF9" s="4509"/>
      <c r="BG9" s="4509"/>
      <c r="BH9" s="4509"/>
      <c r="BI9" s="4509"/>
      <c r="BJ9" s="4509"/>
    </row>
    <row r="10" spans="4:62" s="10" customFormat="1" ht="21.9" customHeight="1">
      <c r="D10" s="4531"/>
      <c r="E10" s="4531"/>
      <c r="F10" s="4533"/>
      <c r="G10" s="4533"/>
      <c r="H10" s="4533"/>
      <c r="I10" s="4533"/>
      <c r="J10" s="4533"/>
      <c r="K10" s="4533"/>
      <c r="L10" s="4533"/>
      <c r="M10" s="4533"/>
      <c r="N10" s="4533"/>
      <c r="O10" s="12"/>
      <c r="Q10" s="4542"/>
      <c r="R10" s="4505"/>
      <c r="S10" s="4505"/>
      <c r="T10" s="4505"/>
      <c r="U10" s="4505"/>
      <c r="V10" s="4505"/>
      <c r="W10" s="4505"/>
      <c r="X10" s="4505"/>
      <c r="Y10" s="4505"/>
      <c r="Z10" s="4505"/>
      <c r="AA10" s="4505"/>
      <c r="AB10" s="4542"/>
      <c r="AC10" s="4505"/>
      <c r="AD10" s="4505"/>
      <c r="AE10" s="4505"/>
      <c r="AF10" s="4505"/>
      <c r="AG10" s="4505"/>
      <c r="AH10" s="4505"/>
      <c r="AI10" s="4505"/>
      <c r="AJ10" s="4505"/>
      <c r="AK10" s="4505"/>
      <c r="AL10" s="4505"/>
      <c r="AM10" s="12"/>
      <c r="AN10" s="4542"/>
      <c r="AO10" s="4529"/>
      <c r="AP10" s="4501"/>
      <c r="AQ10" s="4501"/>
      <c r="AR10" s="4501"/>
      <c r="AS10" s="4501"/>
      <c r="AT10" s="4501"/>
      <c r="AU10" s="4501"/>
      <c r="AV10" s="4501"/>
      <c r="AW10" s="4501"/>
      <c r="AX10" s="4501"/>
      <c r="AY10" s="12"/>
      <c r="AZ10" s="4539"/>
      <c r="BA10" s="4509"/>
      <c r="BB10" s="4509"/>
      <c r="BC10" s="4509"/>
      <c r="BD10" s="4509"/>
      <c r="BE10" s="4509"/>
      <c r="BF10" s="4509"/>
      <c r="BG10" s="4509"/>
      <c r="BH10" s="4509"/>
      <c r="BI10" s="4509"/>
      <c r="BJ10" s="4509"/>
    </row>
    <row r="11" spans="4:62" ht="21.9" customHeight="1">
      <c r="D11" s="4531" t="s">
        <v>8795</v>
      </c>
      <c r="E11" s="4534"/>
      <c r="F11" s="4532" t="s">
        <v>8796</v>
      </c>
      <c r="G11" s="4532"/>
      <c r="H11" s="4532"/>
      <c r="I11" s="4532"/>
      <c r="J11" s="4532"/>
      <c r="K11" s="4532"/>
      <c r="L11" s="4532"/>
      <c r="M11" s="4532"/>
      <c r="N11" s="4532"/>
      <c r="O11" s="12"/>
      <c r="Q11" s="4542"/>
      <c r="R11" s="4505"/>
      <c r="S11" s="4505"/>
      <c r="T11" s="4505"/>
      <c r="U11" s="4505"/>
      <c r="V11" s="4505"/>
      <c r="W11" s="4505"/>
      <c r="X11" s="4505"/>
      <c r="Y11" s="4505"/>
      <c r="Z11" s="4505"/>
      <c r="AA11" s="4505"/>
      <c r="AB11" s="4542"/>
      <c r="AC11" s="4505"/>
      <c r="AD11" s="4505"/>
      <c r="AE11" s="4505"/>
      <c r="AF11" s="4505"/>
      <c r="AG11" s="4505"/>
      <c r="AH11" s="4505"/>
      <c r="AI11" s="4505"/>
      <c r="AJ11" s="4505"/>
      <c r="AK11" s="4505"/>
      <c r="AL11" s="4505"/>
      <c r="AM11" s="12"/>
      <c r="AN11" s="4573" t="s">
        <v>8797</v>
      </c>
      <c r="AO11" s="4501" t="s">
        <v>8798</v>
      </c>
      <c r="AP11" s="4501"/>
      <c r="AQ11" s="4501"/>
      <c r="AR11" s="4501"/>
      <c r="AS11" s="4501"/>
      <c r="AT11" s="4501"/>
      <c r="AU11" s="4501"/>
      <c r="AV11" s="4501"/>
      <c r="AW11" s="4501"/>
      <c r="AX11" s="4501"/>
      <c r="AY11" s="12"/>
      <c r="AZ11" s="4539"/>
      <c r="BA11" s="4509"/>
      <c r="BB11" s="4509"/>
      <c r="BC11" s="4509"/>
      <c r="BD11" s="4509"/>
      <c r="BE11" s="4509"/>
      <c r="BF11" s="4509"/>
      <c r="BG11" s="4509"/>
      <c r="BH11" s="4509"/>
      <c r="BI11" s="4509"/>
      <c r="BJ11" s="4509"/>
    </row>
    <row r="12" spans="4:62" ht="21.9" customHeight="1">
      <c r="D12" s="4534"/>
      <c r="E12" s="4534"/>
      <c r="F12" s="4532"/>
      <c r="G12" s="4532"/>
      <c r="H12" s="4532"/>
      <c r="I12" s="4532"/>
      <c r="J12" s="4532"/>
      <c r="K12" s="4532"/>
      <c r="L12" s="4532"/>
      <c r="M12" s="4532"/>
      <c r="N12" s="4532"/>
      <c r="O12" s="12"/>
      <c r="Q12" s="4551" t="s">
        <v>8799</v>
      </c>
      <c r="R12" s="4551"/>
      <c r="S12" s="4551"/>
      <c r="T12" s="4551"/>
      <c r="U12" s="4551"/>
      <c r="V12" s="4551"/>
      <c r="W12" s="4551"/>
      <c r="X12" s="4551"/>
      <c r="Y12" s="4551"/>
      <c r="Z12" s="4551"/>
      <c r="AA12" s="4551"/>
      <c r="AB12" s="4551" t="s">
        <v>8800</v>
      </c>
      <c r="AC12" s="4551"/>
      <c r="AD12" s="4551"/>
      <c r="AE12" s="4551"/>
      <c r="AF12" s="4551"/>
      <c r="AG12" s="4551"/>
      <c r="AH12" s="4551"/>
      <c r="AI12" s="4551"/>
      <c r="AJ12" s="4551"/>
      <c r="AK12" s="4551"/>
      <c r="AL12" s="4551"/>
      <c r="AM12" s="12"/>
      <c r="AN12" s="4539"/>
      <c r="AO12" s="4501"/>
      <c r="AP12" s="4501"/>
      <c r="AQ12" s="4501"/>
      <c r="AR12" s="4501"/>
      <c r="AS12" s="4501"/>
      <c r="AT12" s="4501"/>
      <c r="AU12" s="4501"/>
      <c r="AV12" s="4501"/>
      <c r="AW12" s="4501"/>
      <c r="AX12" s="4501"/>
      <c r="AY12" s="12"/>
      <c r="AZ12" s="4539"/>
      <c r="BA12" s="4509"/>
      <c r="BB12" s="4509"/>
      <c r="BC12" s="4509"/>
      <c r="BD12" s="4509"/>
      <c r="BE12" s="4509"/>
      <c r="BF12" s="4509"/>
      <c r="BG12" s="4509"/>
      <c r="BH12" s="4509"/>
      <c r="BI12" s="4509"/>
      <c r="BJ12" s="4509"/>
    </row>
    <row r="13" spans="4:62" s="10" customFormat="1" ht="21.9" customHeight="1">
      <c r="D13" s="4531" t="s">
        <v>8801</v>
      </c>
      <c r="E13" s="4531"/>
      <c r="F13" s="4532" t="s">
        <v>8802</v>
      </c>
      <c r="G13" s="4532"/>
      <c r="H13" s="4532"/>
      <c r="I13" s="4532"/>
      <c r="J13" s="4532"/>
      <c r="K13" s="4532"/>
      <c r="L13" s="4532"/>
      <c r="M13" s="4532"/>
      <c r="N13" s="4532"/>
      <c r="O13" s="12"/>
      <c r="Q13" s="4542" t="s">
        <v>8778</v>
      </c>
      <c r="R13" s="4505" t="s">
        <v>8803</v>
      </c>
      <c r="S13" s="4505"/>
      <c r="T13" s="4505"/>
      <c r="U13" s="4505"/>
      <c r="V13" s="4505"/>
      <c r="W13" s="4505"/>
      <c r="X13" s="4505"/>
      <c r="Y13" s="4505"/>
      <c r="Z13" s="4505"/>
      <c r="AA13" s="4505"/>
      <c r="AB13" s="4542" t="s">
        <v>8778</v>
      </c>
      <c r="AC13" s="4505" t="s">
        <v>8804</v>
      </c>
      <c r="AD13" s="4505"/>
      <c r="AE13" s="4505"/>
      <c r="AF13" s="4505"/>
      <c r="AG13" s="4505"/>
      <c r="AH13" s="4505"/>
      <c r="AI13" s="4505"/>
      <c r="AJ13" s="4505"/>
      <c r="AK13" s="4505"/>
      <c r="AL13" s="4505"/>
      <c r="AM13" s="12"/>
      <c r="AN13" s="4539"/>
      <c r="AO13" s="4501"/>
      <c r="AP13" s="4501"/>
      <c r="AQ13" s="4501"/>
      <c r="AR13" s="4501"/>
      <c r="AS13" s="4501"/>
      <c r="AT13" s="4501"/>
      <c r="AU13" s="4501"/>
      <c r="AV13" s="4501"/>
      <c r="AW13" s="4501"/>
      <c r="AX13" s="4501"/>
      <c r="AY13" s="12"/>
      <c r="AZ13" s="4539"/>
      <c r="BA13" s="4509"/>
      <c r="BB13" s="4509"/>
      <c r="BC13" s="4509"/>
      <c r="BD13" s="4509"/>
      <c r="BE13" s="4509"/>
      <c r="BF13" s="4509"/>
      <c r="BG13" s="4509"/>
      <c r="BH13" s="4509"/>
      <c r="BI13" s="4509"/>
      <c r="BJ13" s="4509"/>
    </row>
    <row r="14" spans="4:62" ht="21.9" customHeight="1">
      <c r="D14" s="4531"/>
      <c r="E14" s="4531"/>
      <c r="F14" s="4532"/>
      <c r="G14" s="4532"/>
      <c r="H14" s="4532"/>
      <c r="I14" s="4532"/>
      <c r="J14" s="4532"/>
      <c r="K14" s="4532"/>
      <c r="L14" s="4532"/>
      <c r="M14" s="4532"/>
      <c r="N14" s="4532"/>
      <c r="O14" s="12"/>
      <c r="Q14" s="4542"/>
      <c r="R14" s="4505"/>
      <c r="S14" s="4505"/>
      <c r="T14" s="4505"/>
      <c r="U14" s="4505"/>
      <c r="V14" s="4505"/>
      <c r="W14" s="4505"/>
      <c r="X14" s="4505"/>
      <c r="Y14" s="4505"/>
      <c r="Z14" s="4505"/>
      <c r="AA14" s="4505"/>
      <c r="AB14" s="4542"/>
      <c r="AC14" s="4505"/>
      <c r="AD14" s="4505"/>
      <c r="AE14" s="4505"/>
      <c r="AF14" s="4505"/>
      <c r="AG14" s="4505"/>
      <c r="AH14" s="4505"/>
      <c r="AI14" s="4505"/>
      <c r="AJ14" s="4505"/>
      <c r="AK14" s="4505"/>
      <c r="AL14" s="4505"/>
      <c r="AM14" s="12"/>
      <c r="AN14" s="14" t="s">
        <v>8805</v>
      </c>
      <c r="AO14" s="4509" t="s">
        <v>8806</v>
      </c>
      <c r="AP14" s="4509"/>
      <c r="AQ14" s="4509"/>
      <c r="AR14" s="4509"/>
      <c r="AS14" s="4509"/>
      <c r="AT14" s="4509"/>
      <c r="AU14" s="4509"/>
      <c r="AV14" s="4509"/>
      <c r="AW14" s="4509"/>
      <c r="AX14" s="4509"/>
      <c r="AY14" s="12"/>
      <c r="AZ14" s="4539"/>
      <c r="BA14" s="4509"/>
      <c r="BB14" s="4509"/>
      <c r="BC14" s="4509"/>
      <c r="BD14" s="4509"/>
      <c r="BE14" s="4509"/>
      <c r="BF14" s="4509"/>
      <c r="BG14" s="4509"/>
      <c r="BH14" s="4509"/>
      <c r="BI14" s="4509"/>
      <c r="BJ14" s="4509"/>
    </row>
    <row r="15" spans="4:62" ht="21.9" customHeight="1">
      <c r="O15" s="12"/>
      <c r="Q15" s="4542"/>
      <c r="R15" s="4505"/>
      <c r="S15" s="4505"/>
      <c r="T15" s="4505"/>
      <c r="U15" s="4505"/>
      <c r="V15" s="4505"/>
      <c r="W15" s="4505"/>
      <c r="X15" s="4505"/>
      <c r="Y15" s="4505"/>
      <c r="Z15" s="4505"/>
      <c r="AA15" s="4505"/>
      <c r="AB15" s="4542"/>
      <c r="AC15" s="4505"/>
      <c r="AD15" s="4505"/>
      <c r="AE15" s="4505"/>
      <c r="AF15" s="4505"/>
      <c r="AG15" s="4505"/>
      <c r="AH15" s="4505"/>
      <c r="AI15" s="4505"/>
      <c r="AJ15" s="4505"/>
      <c r="AK15" s="4505"/>
      <c r="AL15" s="4505"/>
      <c r="AM15" s="12"/>
      <c r="AN15" s="14" t="s">
        <v>8807</v>
      </c>
      <c r="AO15" s="4509" t="s">
        <v>8808</v>
      </c>
      <c r="AP15" s="4509"/>
      <c r="AQ15" s="4509"/>
      <c r="AR15" s="4509"/>
      <c r="AS15" s="4509"/>
      <c r="AT15" s="4509"/>
      <c r="AU15" s="4509"/>
      <c r="AV15" s="4509"/>
      <c r="AW15" s="4509"/>
      <c r="AX15" s="4509"/>
      <c r="AY15" s="12"/>
      <c r="AZ15" s="4539"/>
      <c r="BA15" s="4509"/>
      <c r="BB15" s="4509"/>
      <c r="BC15" s="4509"/>
      <c r="BD15" s="4509"/>
      <c r="BE15" s="4509"/>
      <c r="BF15" s="4509"/>
      <c r="BG15" s="4509"/>
      <c r="BH15" s="4509"/>
      <c r="BI15" s="4509"/>
      <c r="BJ15" s="4509"/>
    </row>
    <row r="16" spans="4:62" ht="21.9" customHeight="1">
      <c r="D16" s="4571" t="s">
        <v>8809</v>
      </c>
      <c r="E16" s="4571"/>
      <c r="F16" s="4571"/>
      <c r="G16" s="4571"/>
      <c r="H16" s="4571"/>
      <c r="I16" s="4571"/>
      <c r="J16" s="4571"/>
      <c r="K16" s="4571"/>
      <c r="L16" s="4571"/>
      <c r="M16" s="4571"/>
      <c r="N16" s="4571"/>
      <c r="O16" s="12"/>
      <c r="Q16" s="4542"/>
      <c r="R16" s="4505"/>
      <c r="S16" s="4505"/>
      <c r="T16" s="4505"/>
      <c r="U16" s="4505"/>
      <c r="V16" s="4505"/>
      <c r="W16" s="4505"/>
      <c r="X16" s="4505"/>
      <c r="Y16" s="4505"/>
      <c r="Z16" s="4505"/>
      <c r="AA16" s="4505"/>
      <c r="AB16" s="4542"/>
      <c r="AC16" s="4505"/>
      <c r="AD16" s="4505"/>
      <c r="AE16" s="4505"/>
      <c r="AF16" s="4505"/>
      <c r="AG16" s="4505"/>
      <c r="AH16" s="4505"/>
      <c r="AI16" s="4505"/>
      <c r="AJ16" s="4505"/>
      <c r="AK16" s="4505"/>
      <c r="AL16" s="4505"/>
      <c r="AM16" s="12"/>
      <c r="AN16" s="14" t="s">
        <v>8810</v>
      </c>
      <c r="AO16" s="4501" t="s">
        <v>8811</v>
      </c>
      <c r="AP16" s="4501"/>
      <c r="AQ16" s="4501"/>
      <c r="AR16" s="4501"/>
      <c r="AS16" s="4501"/>
      <c r="AT16" s="4501"/>
      <c r="AU16" s="4501"/>
      <c r="AV16" s="4501"/>
      <c r="AW16" s="4501"/>
      <c r="AX16" s="4501"/>
      <c r="AY16" s="12"/>
      <c r="AZ16" s="4551" t="s">
        <v>8812</v>
      </c>
      <c r="BA16" s="4551"/>
      <c r="BB16" s="4551"/>
      <c r="BC16" s="4551"/>
      <c r="BD16" s="4551"/>
      <c r="BE16" s="4551"/>
      <c r="BF16" s="4551"/>
      <c r="BG16" s="4551"/>
      <c r="BH16" s="4551"/>
      <c r="BI16" s="4551"/>
      <c r="BJ16" s="4551"/>
    </row>
    <row r="17" spans="4:62" ht="21.9" customHeight="1">
      <c r="D17" s="4535" t="s">
        <v>8813</v>
      </c>
      <c r="E17" s="4536"/>
      <c r="F17" s="4536"/>
      <c r="G17" s="4536"/>
      <c r="H17" s="4536"/>
      <c r="I17" s="4536"/>
      <c r="J17" s="4536"/>
      <c r="K17" s="4536"/>
      <c r="L17" s="4536"/>
      <c r="M17" s="4536"/>
      <c r="N17" s="4536"/>
      <c r="O17" s="12"/>
      <c r="Q17" s="4542" t="s">
        <v>321</v>
      </c>
      <c r="R17" s="4505" t="s">
        <v>8814</v>
      </c>
      <c r="S17" s="4505"/>
      <c r="T17" s="4505"/>
      <c r="U17" s="4505"/>
      <c r="V17" s="4505"/>
      <c r="W17" s="4505"/>
      <c r="X17" s="4505"/>
      <c r="Y17" s="4505"/>
      <c r="Z17" s="4505"/>
      <c r="AA17" s="4505"/>
      <c r="AB17" s="4542" t="s">
        <v>321</v>
      </c>
      <c r="AC17" s="4505" t="s">
        <v>8815</v>
      </c>
      <c r="AD17" s="4505"/>
      <c r="AE17" s="4505"/>
      <c r="AF17" s="4505"/>
      <c r="AG17" s="4505"/>
      <c r="AH17" s="4505"/>
      <c r="AI17" s="4505"/>
      <c r="AJ17" s="4505"/>
      <c r="AK17" s="4505"/>
      <c r="AL17" s="4505"/>
      <c r="AM17" s="12"/>
      <c r="AN17" s="4551" t="s">
        <v>8816</v>
      </c>
      <c r="AO17" s="4551"/>
      <c r="AP17" s="4551"/>
      <c r="AQ17" s="4551"/>
      <c r="AR17" s="4551"/>
      <c r="AS17" s="4551"/>
      <c r="AT17" s="4551"/>
      <c r="AU17" s="4551"/>
      <c r="AV17" s="4551"/>
      <c r="AW17" s="4551"/>
      <c r="AX17" s="4551"/>
      <c r="AY17" s="12"/>
      <c r="AZ17" s="4539"/>
      <c r="BA17" s="4501"/>
      <c r="BB17" s="4501"/>
      <c r="BC17" s="4501"/>
      <c r="BD17" s="4501"/>
      <c r="BE17" s="4501"/>
      <c r="BF17" s="4501"/>
      <c r="BG17" s="4501"/>
      <c r="BH17" s="4501"/>
      <c r="BI17" s="4501"/>
      <c r="BJ17" s="4501"/>
    </row>
    <row r="18" spans="4:62" ht="21.9" customHeight="1">
      <c r="D18" s="4536"/>
      <c r="E18" s="4536"/>
      <c r="F18" s="4536"/>
      <c r="G18" s="4536"/>
      <c r="H18" s="4536"/>
      <c r="I18" s="4536"/>
      <c r="J18" s="4536"/>
      <c r="K18" s="4536"/>
      <c r="L18" s="4536"/>
      <c r="M18" s="4536"/>
      <c r="N18" s="4536"/>
      <c r="O18" s="12"/>
      <c r="Q18" s="4542"/>
      <c r="R18" s="4505"/>
      <c r="S18" s="4505"/>
      <c r="T18" s="4505"/>
      <c r="U18" s="4505"/>
      <c r="V18" s="4505"/>
      <c r="W18" s="4505"/>
      <c r="X18" s="4505"/>
      <c r="Y18" s="4505"/>
      <c r="Z18" s="4505"/>
      <c r="AA18" s="4505"/>
      <c r="AB18" s="4542"/>
      <c r="AC18" s="4505"/>
      <c r="AD18" s="4505"/>
      <c r="AE18" s="4505"/>
      <c r="AF18" s="4505"/>
      <c r="AG18" s="4505"/>
      <c r="AH18" s="4505"/>
      <c r="AI18" s="4505"/>
      <c r="AJ18" s="4505"/>
      <c r="AK18" s="4505"/>
      <c r="AL18" s="4505"/>
      <c r="AM18" s="12"/>
      <c r="AN18" s="4542" t="s">
        <v>8781</v>
      </c>
      <c r="AO18" s="4501" t="s">
        <v>8817</v>
      </c>
      <c r="AP18" s="4501"/>
      <c r="AQ18" s="4501"/>
      <c r="AR18" s="4501"/>
      <c r="AS18" s="4501"/>
      <c r="AT18" s="4501"/>
      <c r="AU18" s="4501"/>
      <c r="AV18" s="4501"/>
      <c r="AW18" s="4501"/>
      <c r="AX18" s="4501"/>
      <c r="AY18" s="12"/>
      <c r="AZ18" s="4539"/>
      <c r="BA18" s="4501"/>
      <c r="BB18" s="4501"/>
      <c r="BC18" s="4501"/>
      <c r="BD18" s="4501"/>
      <c r="BE18" s="4501"/>
      <c r="BF18" s="4501"/>
      <c r="BG18" s="4501"/>
      <c r="BH18" s="4501"/>
      <c r="BI18" s="4501"/>
      <c r="BJ18" s="4501"/>
    </row>
    <row r="19" spans="4:62" ht="21.9" customHeight="1">
      <c r="D19" s="4535" t="s">
        <v>8818</v>
      </c>
      <c r="E19" s="4536"/>
      <c r="F19" s="4536"/>
      <c r="G19" s="4536"/>
      <c r="H19" s="4536"/>
      <c r="I19" s="4536"/>
      <c r="J19" s="4536"/>
      <c r="K19" s="4536"/>
      <c r="L19" s="4536"/>
      <c r="M19" s="4536"/>
      <c r="N19" s="4536"/>
      <c r="O19" s="12"/>
      <c r="Q19" s="4542"/>
      <c r="R19" s="4505"/>
      <c r="S19" s="4505"/>
      <c r="T19" s="4505"/>
      <c r="U19" s="4505"/>
      <c r="V19" s="4505"/>
      <c r="W19" s="4505"/>
      <c r="X19" s="4505"/>
      <c r="Y19" s="4505"/>
      <c r="Z19" s="4505"/>
      <c r="AA19" s="4505"/>
      <c r="AB19" s="4542"/>
      <c r="AC19" s="4505"/>
      <c r="AD19" s="4505"/>
      <c r="AE19" s="4505"/>
      <c r="AF19" s="4505"/>
      <c r="AG19" s="4505"/>
      <c r="AH19" s="4505"/>
      <c r="AI19" s="4505"/>
      <c r="AJ19" s="4505"/>
      <c r="AK19" s="4505"/>
      <c r="AL19" s="4505"/>
      <c r="AM19" s="12"/>
      <c r="AN19" s="4542"/>
      <c r="AO19" s="4501" t="s">
        <v>8819</v>
      </c>
      <c r="AP19" s="4501"/>
      <c r="AQ19" s="4501"/>
      <c r="AR19" s="4501"/>
      <c r="AS19" s="4501"/>
      <c r="AT19" s="4501"/>
      <c r="AU19" s="4501"/>
      <c r="AV19" s="4501"/>
      <c r="AW19" s="4501"/>
      <c r="AX19" s="4501"/>
      <c r="AY19" s="12"/>
      <c r="AZ19" s="4539"/>
      <c r="BA19" s="4501"/>
      <c r="BB19" s="4501"/>
      <c r="BC19" s="4501"/>
      <c r="BD19" s="4501"/>
      <c r="BE19" s="4501"/>
      <c r="BF19" s="4501"/>
      <c r="BG19" s="4501"/>
      <c r="BH19" s="4501"/>
      <c r="BI19" s="4501"/>
      <c r="BJ19" s="4501"/>
    </row>
    <row r="20" spans="4:62" ht="21.9" customHeight="1">
      <c r="D20" s="4536"/>
      <c r="E20" s="4536"/>
      <c r="F20" s="4536"/>
      <c r="G20" s="4536"/>
      <c r="H20" s="4536"/>
      <c r="I20" s="4536"/>
      <c r="J20" s="4536"/>
      <c r="K20" s="4536"/>
      <c r="L20" s="4536"/>
      <c r="M20" s="4536"/>
      <c r="N20" s="4536"/>
      <c r="O20" s="12"/>
      <c r="Q20" s="4542"/>
      <c r="R20" s="4505"/>
      <c r="S20" s="4505"/>
      <c r="T20" s="4505"/>
      <c r="U20" s="4505"/>
      <c r="V20" s="4505"/>
      <c r="W20" s="4505"/>
      <c r="X20" s="4505"/>
      <c r="Y20" s="4505"/>
      <c r="Z20" s="4505"/>
      <c r="AA20" s="4505"/>
      <c r="AB20" s="4542"/>
      <c r="AC20" s="4505"/>
      <c r="AD20" s="4505"/>
      <c r="AE20" s="4505"/>
      <c r="AF20" s="4505"/>
      <c r="AG20" s="4505"/>
      <c r="AH20" s="4505"/>
      <c r="AI20" s="4505"/>
      <c r="AJ20" s="4505"/>
      <c r="AK20" s="4505"/>
      <c r="AL20" s="4505"/>
      <c r="AM20" s="12"/>
      <c r="AN20" s="4542"/>
      <c r="AO20" s="4501" t="s">
        <v>8820</v>
      </c>
      <c r="AP20" s="4501"/>
      <c r="AQ20" s="4501"/>
      <c r="AR20" s="4501"/>
      <c r="AS20" s="4501"/>
      <c r="AT20" s="4501"/>
      <c r="AU20" s="4501"/>
      <c r="AV20" s="4501"/>
      <c r="AW20" s="4501"/>
      <c r="AX20" s="4501"/>
      <c r="AY20" s="12"/>
      <c r="AZ20" s="4539"/>
      <c r="BA20" s="4501"/>
      <c r="BB20" s="4501"/>
      <c r="BC20" s="4501"/>
      <c r="BD20" s="4501"/>
      <c r="BE20" s="4501"/>
      <c r="BF20" s="4501"/>
      <c r="BG20" s="4501"/>
      <c r="BH20" s="4501"/>
      <c r="BI20" s="4501"/>
      <c r="BJ20" s="4501"/>
    </row>
    <row r="21" spans="4:62" ht="21.9" customHeight="1">
      <c r="D21" s="4535" t="s">
        <v>8821</v>
      </c>
      <c r="E21" s="4536"/>
      <c r="F21" s="4536"/>
      <c r="G21" s="4536"/>
      <c r="H21" s="4536"/>
      <c r="I21" s="4536"/>
      <c r="J21" s="4536"/>
      <c r="K21" s="4536"/>
      <c r="L21" s="4536"/>
      <c r="M21" s="4536"/>
      <c r="N21" s="4536"/>
      <c r="O21" s="12"/>
      <c r="Q21" s="4551" t="s">
        <v>8822</v>
      </c>
      <c r="R21" s="4551"/>
      <c r="S21" s="4551"/>
      <c r="T21" s="4551"/>
      <c r="U21" s="4551"/>
      <c r="V21" s="4551"/>
      <c r="W21" s="4551"/>
      <c r="X21" s="4551"/>
      <c r="Y21" s="4551"/>
      <c r="Z21" s="4551"/>
      <c r="AA21" s="4551"/>
      <c r="AB21" s="4551" t="s">
        <v>8823</v>
      </c>
      <c r="AC21" s="4551"/>
      <c r="AD21" s="4551"/>
      <c r="AE21" s="4551"/>
      <c r="AF21" s="4551"/>
      <c r="AG21" s="4551"/>
      <c r="AH21" s="4551"/>
      <c r="AI21" s="4551"/>
      <c r="AJ21" s="4551"/>
      <c r="AK21" s="4551"/>
      <c r="AL21" s="4551"/>
      <c r="AM21" s="12"/>
      <c r="AN21" s="4542"/>
      <c r="AO21" s="4501" t="s">
        <v>8824</v>
      </c>
      <c r="AP21" s="4501"/>
      <c r="AQ21" s="4501"/>
      <c r="AR21" s="4501"/>
      <c r="AS21" s="4501"/>
      <c r="AT21" s="4501"/>
      <c r="AU21" s="4501"/>
      <c r="AV21" s="4501"/>
      <c r="AW21" s="4501"/>
      <c r="AX21" s="4501"/>
      <c r="AY21" s="12"/>
      <c r="AZ21" s="4539"/>
      <c r="BA21" s="4501"/>
      <c r="BB21" s="4501"/>
      <c r="BC21" s="4501"/>
      <c r="BD21" s="4501"/>
      <c r="BE21" s="4501"/>
      <c r="BF21" s="4501"/>
      <c r="BG21" s="4501"/>
      <c r="BH21" s="4501"/>
      <c r="BI21" s="4501"/>
      <c r="BJ21" s="4501"/>
    </row>
    <row r="22" spans="4:62" ht="21.9" customHeight="1">
      <c r="D22" s="4536"/>
      <c r="E22" s="4536"/>
      <c r="F22" s="4536"/>
      <c r="G22" s="4536"/>
      <c r="H22" s="4536"/>
      <c r="I22" s="4536"/>
      <c r="J22" s="4536"/>
      <c r="K22" s="4536"/>
      <c r="L22" s="4536"/>
      <c r="M22" s="4536"/>
      <c r="N22" s="4536"/>
      <c r="O22" s="12"/>
      <c r="Q22" s="4542" t="s">
        <v>8778</v>
      </c>
      <c r="R22" s="4505" t="s">
        <v>8825</v>
      </c>
      <c r="S22" s="4505"/>
      <c r="T22" s="4505"/>
      <c r="U22" s="4505"/>
      <c r="V22" s="4505"/>
      <c r="W22" s="4505"/>
      <c r="X22" s="4505"/>
      <c r="Y22" s="4505"/>
      <c r="Z22" s="4505"/>
      <c r="AA22" s="4505"/>
      <c r="AB22" s="4542" t="s">
        <v>8778</v>
      </c>
      <c r="AC22" s="4505" t="s">
        <v>8826</v>
      </c>
      <c r="AD22" s="4505"/>
      <c r="AE22" s="4505"/>
      <c r="AF22" s="4505"/>
      <c r="AG22" s="4505"/>
      <c r="AH22" s="4505"/>
      <c r="AI22" s="4505"/>
      <c r="AJ22" s="4505"/>
      <c r="AK22" s="4505"/>
      <c r="AL22" s="4505"/>
      <c r="AM22" s="12"/>
      <c r="AN22" s="4542"/>
      <c r="AO22" s="4501" t="s">
        <v>8827</v>
      </c>
      <c r="AP22" s="4501"/>
      <c r="AQ22" s="4501"/>
      <c r="AR22" s="4501"/>
      <c r="AS22" s="4501"/>
      <c r="AT22" s="4501"/>
      <c r="AU22" s="4501"/>
      <c r="AV22" s="4501"/>
      <c r="AW22" s="4501"/>
      <c r="AX22" s="4501"/>
      <c r="AY22" s="12"/>
      <c r="AZ22" s="4539"/>
      <c r="BA22" s="4509" t="s">
        <v>8828</v>
      </c>
      <c r="BB22" s="4509"/>
      <c r="BC22" s="4509"/>
      <c r="BD22" s="4509"/>
      <c r="BE22" s="4509"/>
      <c r="BF22" s="4509"/>
      <c r="BG22" s="4509"/>
      <c r="BH22" s="4509"/>
      <c r="BI22" s="4509"/>
      <c r="BJ22" s="4509"/>
    </row>
    <row r="23" spans="4:62" ht="21.9" customHeight="1">
      <c r="O23" s="12"/>
      <c r="Q23" s="4542"/>
      <c r="R23" s="4505"/>
      <c r="S23" s="4505"/>
      <c r="T23" s="4505"/>
      <c r="U23" s="4505"/>
      <c r="V23" s="4505"/>
      <c r="W23" s="4505"/>
      <c r="X23" s="4505"/>
      <c r="Y23" s="4505"/>
      <c r="Z23" s="4505"/>
      <c r="AA23" s="4505"/>
      <c r="AB23" s="4542"/>
      <c r="AC23" s="4505"/>
      <c r="AD23" s="4505"/>
      <c r="AE23" s="4505"/>
      <c r="AF23" s="4505"/>
      <c r="AG23" s="4505"/>
      <c r="AH23" s="4505"/>
      <c r="AI23" s="4505"/>
      <c r="AJ23" s="4505"/>
      <c r="AK23" s="4505"/>
      <c r="AL23" s="4505"/>
      <c r="AM23" s="12"/>
      <c r="AN23" s="16" t="s">
        <v>8829</v>
      </c>
      <c r="AO23" s="4501" t="s">
        <v>8830</v>
      </c>
      <c r="AP23" s="4501"/>
      <c r="AQ23" s="4501"/>
      <c r="AR23" s="4501"/>
      <c r="AS23" s="4501"/>
      <c r="AT23" s="4501"/>
      <c r="AU23" s="4501"/>
      <c r="AV23" s="4501"/>
      <c r="AW23" s="4501"/>
      <c r="AX23" s="4501"/>
      <c r="AY23" s="12"/>
      <c r="AZ23" s="4539"/>
      <c r="BA23" s="4509" t="s">
        <v>8831</v>
      </c>
      <c r="BB23" s="4509"/>
      <c r="BC23" s="4509"/>
      <c r="BD23" s="4509"/>
      <c r="BE23" s="4509"/>
      <c r="BF23" s="4509"/>
      <c r="BG23" s="4509"/>
      <c r="BH23" s="4509"/>
      <c r="BI23" s="4509"/>
      <c r="BJ23" s="4509"/>
    </row>
    <row r="24" spans="4:62" ht="21.9" customHeight="1">
      <c r="D24" s="4571" t="s">
        <v>8832</v>
      </c>
      <c r="E24" s="4571"/>
      <c r="F24" s="4571"/>
      <c r="G24" s="4571"/>
      <c r="H24" s="4571"/>
      <c r="I24" s="4571"/>
      <c r="J24" s="4571"/>
      <c r="K24" s="4571"/>
      <c r="L24" s="4571"/>
      <c r="M24" s="4571"/>
      <c r="N24" s="4571"/>
      <c r="O24" s="12"/>
      <c r="Q24" s="4542"/>
      <c r="R24" s="4505"/>
      <c r="S24" s="4505"/>
      <c r="T24" s="4505"/>
      <c r="U24" s="4505"/>
      <c r="V24" s="4505"/>
      <c r="W24" s="4505"/>
      <c r="X24" s="4505"/>
      <c r="Y24" s="4505"/>
      <c r="Z24" s="4505"/>
      <c r="AA24" s="4505"/>
      <c r="AB24" s="4542"/>
      <c r="AC24" s="4505"/>
      <c r="AD24" s="4505"/>
      <c r="AE24" s="4505"/>
      <c r="AF24" s="4505"/>
      <c r="AG24" s="4505"/>
      <c r="AH24" s="4505"/>
      <c r="AI24" s="4505"/>
      <c r="AJ24" s="4505"/>
      <c r="AK24" s="4505"/>
      <c r="AL24" s="4505"/>
      <c r="AM24" s="12"/>
      <c r="AN24" s="13" t="s">
        <v>321</v>
      </c>
      <c r="AO24" s="4504"/>
      <c r="AP24" s="4504"/>
      <c r="AQ24" s="4504"/>
      <c r="AR24" s="4504"/>
      <c r="AS24" s="4504"/>
      <c r="AT24" s="4504"/>
      <c r="AU24" s="4504"/>
      <c r="AV24" s="4504"/>
      <c r="AW24" s="4504"/>
      <c r="AX24" s="4504"/>
      <c r="AY24" s="12"/>
      <c r="AZ24" s="4539"/>
      <c r="BA24" s="4501" t="s">
        <v>8833</v>
      </c>
      <c r="BB24" s="4501"/>
      <c r="BC24" s="4501"/>
      <c r="BD24" s="4501"/>
      <c r="BE24" s="4501"/>
      <c r="BF24" s="4501"/>
      <c r="BG24" s="4501"/>
      <c r="BH24" s="4501"/>
      <c r="BI24" s="4501"/>
      <c r="BJ24" s="4501"/>
    </row>
    <row r="25" spans="4:62" ht="21.9" customHeight="1">
      <c r="D25" s="4535" t="s">
        <v>8834</v>
      </c>
      <c r="E25" s="4536"/>
      <c r="F25" s="4536"/>
      <c r="G25" s="4536"/>
      <c r="H25" s="4536"/>
      <c r="I25" s="4536"/>
      <c r="J25" s="4536"/>
      <c r="K25" s="4536"/>
      <c r="L25" s="4536"/>
      <c r="M25" s="4536"/>
      <c r="N25" s="4536"/>
      <c r="O25" s="12"/>
      <c r="Q25" s="4542"/>
      <c r="R25" s="4505"/>
      <c r="S25" s="4505"/>
      <c r="T25" s="4505"/>
      <c r="U25" s="4505"/>
      <c r="V25" s="4505"/>
      <c r="W25" s="4505"/>
      <c r="X25" s="4505"/>
      <c r="Y25" s="4505"/>
      <c r="Z25" s="4505"/>
      <c r="AA25" s="4505"/>
      <c r="AB25" s="4542"/>
      <c r="AC25" s="4505"/>
      <c r="AD25" s="4505"/>
      <c r="AE25" s="4505"/>
      <c r="AF25" s="4505"/>
      <c r="AG25" s="4505"/>
      <c r="AH25" s="4505"/>
      <c r="AI25" s="4505"/>
      <c r="AJ25" s="4505"/>
      <c r="AK25" s="4505"/>
      <c r="AL25" s="4505"/>
      <c r="AM25" s="12"/>
      <c r="AN25" s="4551" t="s">
        <v>8835</v>
      </c>
      <c r="AO25" s="4551"/>
      <c r="AP25" s="4551"/>
      <c r="AQ25" s="4551"/>
      <c r="AR25" s="4551"/>
      <c r="AS25" s="4551"/>
      <c r="AT25" s="4551"/>
      <c r="AU25" s="4551"/>
      <c r="AV25" s="4551"/>
      <c r="AW25" s="4551"/>
      <c r="AX25" s="4551"/>
      <c r="AY25" s="12"/>
      <c r="AZ25" s="4539"/>
      <c r="BA25" s="4501"/>
      <c r="BB25" s="4501"/>
      <c r="BC25" s="4501"/>
      <c r="BD25" s="4501"/>
      <c r="BE25" s="4501"/>
      <c r="BF25" s="4501"/>
      <c r="BG25" s="4501"/>
      <c r="BH25" s="4501"/>
      <c r="BI25" s="4501"/>
      <c r="BJ25" s="4501"/>
    </row>
    <row r="26" spans="4:62" ht="21.9" customHeight="1">
      <c r="D26" s="4536"/>
      <c r="E26" s="4536"/>
      <c r="F26" s="4536"/>
      <c r="G26" s="4536"/>
      <c r="H26" s="4536"/>
      <c r="I26" s="4536"/>
      <c r="J26" s="4536"/>
      <c r="K26" s="4536"/>
      <c r="L26" s="4536"/>
      <c r="M26" s="4536"/>
      <c r="N26" s="4536"/>
      <c r="O26" s="12"/>
      <c r="Q26" s="4542" t="s">
        <v>321</v>
      </c>
      <c r="R26" s="4505" t="s">
        <v>8836</v>
      </c>
      <c r="S26" s="4505"/>
      <c r="T26" s="4505"/>
      <c r="U26" s="4505"/>
      <c r="V26" s="4505"/>
      <c r="W26" s="4505"/>
      <c r="X26" s="4505"/>
      <c r="Y26" s="4505"/>
      <c r="Z26" s="4505"/>
      <c r="AA26" s="4505"/>
      <c r="AB26" s="4542" t="s">
        <v>321</v>
      </c>
      <c r="AC26" s="4505" t="s">
        <v>8837</v>
      </c>
      <c r="AD26" s="4505"/>
      <c r="AE26" s="4505"/>
      <c r="AF26" s="4505"/>
      <c r="AG26" s="4505"/>
      <c r="AH26" s="4505"/>
      <c r="AI26" s="4505"/>
      <c r="AJ26" s="4505"/>
      <c r="AK26" s="4505"/>
      <c r="AL26" s="4505"/>
      <c r="AM26" s="12"/>
      <c r="AN26" s="4542" t="s">
        <v>8781</v>
      </c>
      <c r="AO26" s="4501" t="s">
        <v>8838</v>
      </c>
      <c r="AP26" s="4509"/>
      <c r="AQ26" s="4509"/>
      <c r="AR26" s="4509"/>
      <c r="AS26" s="4509"/>
      <c r="AT26" s="4509"/>
      <c r="AU26" s="4509"/>
      <c r="AV26" s="4509"/>
      <c r="AW26" s="4509"/>
      <c r="AX26" s="4509"/>
      <c r="AY26" s="12"/>
      <c r="AZ26" s="4539"/>
      <c r="BA26" s="4501"/>
      <c r="BB26" s="4501"/>
      <c r="BC26" s="4501"/>
      <c r="BD26" s="4501"/>
      <c r="BE26" s="4501"/>
      <c r="BF26" s="4501"/>
      <c r="BG26" s="4501"/>
      <c r="BH26" s="4501"/>
      <c r="BI26" s="4501"/>
      <c r="BJ26" s="4501"/>
    </row>
    <row r="27" spans="4:62" ht="21.9" customHeight="1">
      <c r="O27" s="12"/>
      <c r="Q27" s="4542"/>
      <c r="R27" s="4505"/>
      <c r="S27" s="4505"/>
      <c r="T27" s="4505"/>
      <c r="U27" s="4505"/>
      <c r="V27" s="4505"/>
      <c r="W27" s="4505"/>
      <c r="X27" s="4505"/>
      <c r="Y27" s="4505"/>
      <c r="Z27" s="4505"/>
      <c r="AA27" s="4505"/>
      <c r="AB27" s="4542"/>
      <c r="AC27" s="4505"/>
      <c r="AD27" s="4505"/>
      <c r="AE27" s="4505"/>
      <c r="AF27" s="4505"/>
      <c r="AG27" s="4505"/>
      <c r="AH27" s="4505"/>
      <c r="AI27" s="4505"/>
      <c r="AJ27" s="4505"/>
      <c r="AK27" s="4505"/>
      <c r="AL27" s="4505"/>
      <c r="AM27" s="12"/>
      <c r="AN27" s="4542"/>
      <c r="AO27" s="4509"/>
      <c r="AP27" s="4509"/>
      <c r="AQ27" s="4509"/>
      <c r="AR27" s="4509"/>
      <c r="AS27" s="4509"/>
      <c r="AT27" s="4509"/>
      <c r="AU27" s="4509"/>
      <c r="AV27" s="4509"/>
      <c r="AW27" s="4509"/>
      <c r="AX27" s="4509"/>
      <c r="AY27" s="12"/>
      <c r="AZ27" s="4539"/>
      <c r="BA27" s="4501" t="s">
        <v>8839</v>
      </c>
      <c r="BB27" s="4501"/>
      <c r="BC27" s="4501"/>
      <c r="BD27" s="4501"/>
      <c r="BE27" s="4501"/>
      <c r="BF27" s="4501"/>
      <c r="BG27" s="4501"/>
      <c r="BH27" s="4501"/>
      <c r="BI27" s="4501"/>
      <c r="BJ27" s="4501"/>
    </row>
    <row r="28" spans="4:62" ht="21.9" customHeight="1">
      <c r="D28" s="4571" t="s">
        <v>437</v>
      </c>
      <c r="E28" s="4571"/>
      <c r="F28" s="4571"/>
      <c r="G28" s="4571"/>
      <c r="H28" s="4571"/>
      <c r="I28" s="4571"/>
      <c r="J28" s="4571"/>
      <c r="K28" s="4571"/>
      <c r="L28" s="4571"/>
      <c r="M28" s="4571"/>
      <c r="N28" s="4571"/>
      <c r="O28" s="12"/>
      <c r="Q28" s="4542"/>
      <c r="R28" s="4505"/>
      <c r="S28" s="4505"/>
      <c r="T28" s="4505"/>
      <c r="U28" s="4505"/>
      <c r="V28" s="4505"/>
      <c r="W28" s="4505"/>
      <c r="X28" s="4505"/>
      <c r="Y28" s="4505"/>
      <c r="Z28" s="4505"/>
      <c r="AA28" s="4505"/>
      <c r="AB28" s="4542"/>
      <c r="AC28" s="4505"/>
      <c r="AD28" s="4505"/>
      <c r="AE28" s="4505"/>
      <c r="AF28" s="4505"/>
      <c r="AG28" s="4505"/>
      <c r="AH28" s="4505"/>
      <c r="AI28" s="4505"/>
      <c r="AJ28" s="4505"/>
      <c r="AK28" s="4505"/>
      <c r="AL28" s="4505"/>
      <c r="AM28" s="12"/>
      <c r="AN28" s="4542"/>
      <c r="AO28" s="4509"/>
      <c r="AP28" s="4509"/>
      <c r="AQ28" s="4509"/>
      <c r="AR28" s="4509"/>
      <c r="AS28" s="4509"/>
      <c r="AT28" s="4509"/>
      <c r="AU28" s="4509"/>
      <c r="AV28" s="4509"/>
      <c r="AW28" s="4509"/>
      <c r="AX28" s="4509"/>
      <c r="AY28" s="12"/>
      <c r="AZ28" s="4539"/>
      <c r="BA28" s="4501"/>
      <c r="BB28" s="4501"/>
      <c r="BC28" s="4501"/>
      <c r="BD28" s="4501"/>
      <c r="BE28" s="4501"/>
      <c r="BF28" s="4501"/>
      <c r="BG28" s="4501"/>
      <c r="BH28" s="4501"/>
      <c r="BI28" s="4501"/>
      <c r="BJ28" s="4501"/>
    </row>
    <row r="29" spans="4:62" ht="21.9" customHeight="1">
      <c r="D29" s="4535" t="s">
        <v>8840</v>
      </c>
      <c r="E29" s="4536"/>
      <c r="F29" s="4536"/>
      <c r="G29" s="4536"/>
      <c r="H29" s="4536"/>
      <c r="I29" s="4536"/>
      <c r="J29" s="4536"/>
      <c r="K29" s="4536"/>
      <c r="L29" s="4536"/>
      <c r="M29" s="4536"/>
      <c r="N29" s="4536"/>
      <c r="O29" s="12"/>
      <c r="Q29" s="4542"/>
      <c r="R29" s="4505"/>
      <c r="S29" s="4505"/>
      <c r="T29" s="4505"/>
      <c r="U29" s="4505"/>
      <c r="V29" s="4505"/>
      <c r="W29" s="4505"/>
      <c r="X29" s="4505"/>
      <c r="Y29" s="4505"/>
      <c r="Z29" s="4505"/>
      <c r="AA29" s="4505"/>
      <c r="AB29" s="4542"/>
      <c r="AC29" s="4505"/>
      <c r="AD29" s="4505"/>
      <c r="AE29" s="4505"/>
      <c r="AF29" s="4505"/>
      <c r="AG29" s="4505"/>
      <c r="AH29" s="4505"/>
      <c r="AI29" s="4505"/>
      <c r="AJ29" s="4505"/>
      <c r="AK29" s="4505"/>
      <c r="AL29" s="4505"/>
      <c r="AM29" s="12"/>
      <c r="AN29" s="4542"/>
      <c r="AO29" s="4525" t="s">
        <v>8841</v>
      </c>
      <c r="AP29" s="4525"/>
      <c r="AQ29" s="4525"/>
      <c r="AR29" s="4525"/>
      <c r="AS29" s="4525"/>
      <c r="AT29" s="4525"/>
      <c r="AU29" s="4525"/>
      <c r="AV29" s="4525"/>
      <c r="AW29" s="4525"/>
      <c r="AX29" s="4525"/>
      <c r="AY29" s="12"/>
      <c r="AZ29" s="4539"/>
      <c r="BA29" s="4501"/>
      <c r="BB29" s="4501"/>
      <c r="BC29" s="4501"/>
      <c r="BD29" s="4501"/>
      <c r="BE29" s="4501"/>
      <c r="BF29" s="4501"/>
      <c r="BG29" s="4501"/>
      <c r="BH29" s="4501"/>
      <c r="BI29" s="4501"/>
      <c r="BJ29" s="4501"/>
    </row>
    <row r="30" spans="4:62" ht="21.9" customHeight="1">
      <c r="D30" s="4536"/>
      <c r="E30" s="4536"/>
      <c r="F30" s="4536"/>
      <c r="G30" s="4536"/>
      <c r="H30" s="4536"/>
      <c r="I30" s="4536"/>
      <c r="J30" s="4536"/>
      <c r="K30" s="4536"/>
      <c r="L30" s="4536"/>
      <c r="M30" s="4536"/>
      <c r="N30" s="4536"/>
      <c r="O30" s="12"/>
      <c r="Q30" s="4551" t="s">
        <v>8842</v>
      </c>
      <c r="R30" s="4551"/>
      <c r="S30" s="4551"/>
      <c r="T30" s="4551"/>
      <c r="U30" s="4551"/>
      <c r="V30" s="4551"/>
      <c r="W30" s="4551"/>
      <c r="X30" s="4551"/>
      <c r="Y30" s="4551"/>
      <c r="Z30" s="4551"/>
      <c r="AA30" s="4551"/>
      <c r="AB30" s="4551" t="s">
        <v>8843</v>
      </c>
      <c r="AC30" s="4551"/>
      <c r="AD30" s="4551"/>
      <c r="AE30" s="4551"/>
      <c r="AF30" s="4551"/>
      <c r="AG30" s="4551"/>
      <c r="AH30" s="4551"/>
      <c r="AI30" s="4551"/>
      <c r="AJ30" s="4551"/>
      <c r="AK30" s="4551"/>
      <c r="AL30" s="4551"/>
      <c r="AM30" s="12"/>
      <c r="AN30" s="4542"/>
      <c r="AO30" s="4525"/>
      <c r="AP30" s="4525"/>
      <c r="AQ30" s="4525"/>
      <c r="AR30" s="4525"/>
      <c r="AS30" s="4525"/>
      <c r="AT30" s="4525"/>
      <c r="AU30" s="4525"/>
      <c r="AV30" s="4525"/>
      <c r="AW30" s="4525"/>
      <c r="AX30" s="4525"/>
      <c r="AY30" s="12"/>
      <c r="AZ30" s="4539"/>
      <c r="BA30" s="4501"/>
      <c r="BB30" s="4501"/>
      <c r="BC30" s="4501"/>
      <c r="BD30" s="4501"/>
      <c r="BE30" s="4501"/>
      <c r="BF30" s="4501"/>
      <c r="BG30" s="4501"/>
      <c r="BH30" s="4501"/>
      <c r="BI30" s="4501"/>
      <c r="BJ30" s="4501"/>
    </row>
    <row r="31" spans="4:62" ht="21.9" customHeight="1">
      <c r="D31" s="4535" t="s">
        <v>8844</v>
      </c>
      <c r="E31" s="4536"/>
      <c r="F31" s="4536"/>
      <c r="G31" s="4536"/>
      <c r="H31" s="4536"/>
      <c r="I31" s="4536"/>
      <c r="J31" s="4536"/>
      <c r="K31" s="4536"/>
      <c r="L31" s="4536"/>
      <c r="M31" s="4536"/>
      <c r="N31" s="4536"/>
      <c r="O31" s="12"/>
      <c r="Q31" s="4542" t="s">
        <v>8778</v>
      </c>
      <c r="R31" s="4505" t="s">
        <v>8845</v>
      </c>
      <c r="S31" s="4505"/>
      <c r="T31" s="4505"/>
      <c r="U31" s="4505"/>
      <c r="V31" s="4505"/>
      <c r="W31" s="4505"/>
      <c r="X31" s="4505"/>
      <c r="Y31" s="4505"/>
      <c r="Z31" s="4505"/>
      <c r="AA31" s="4505"/>
      <c r="AB31" s="4542" t="s">
        <v>8778</v>
      </c>
      <c r="AC31" s="4505" t="s">
        <v>8846</v>
      </c>
      <c r="AD31" s="4505"/>
      <c r="AE31" s="4505"/>
      <c r="AF31" s="4505"/>
      <c r="AG31" s="4505"/>
      <c r="AH31" s="4505"/>
      <c r="AI31" s="4505"/>
      <c r="AJ31" s="4505"/>
      <c r="AK31" s="4505"/>
      <c r="AL31" s="4505"/>
      <c r="AM31" s="12"/>
      <c r="AN31" s="4542"/>
      <c r="AO31" s="4501" t="s">
        <v>8847</v>
      </c>
      <c r="AP31" s="4501"/>
      <c r="AQ31" s="4501"/>
      <c r="AR31" s="4501"/>
      <c r="AS31" s="4501"/>
      <c r="AT31" s="4501"/>
      <c r="AU31" s="4501"/>
      <c r="AV31" s="4501"/>
      <c r="AW31" s="4501"/>
      <c r="AX31" s="4501"/>
      <c r="AY31" s="12"/>
      <c r="AZ31" s="4539"/>
      <c r="BA31" s="4501"/>
      <c r="BB31" s="4501"/>
      <c r="BC31" s="4501"/>
      <c r="BD31" s="4501"/>
      <c r="BE31" s="4501"/>
      <c r="BF31" s="4501"/>
      <c r="BG31" s="4501"/>
      <c r="BH31" s="4501"/>
      <c r="BI31" s="4501"/>
      <c r="BJ31" s="4501"/>
    </row>
    <row r="32" spans="4:62" ht="21.9" customHeight="1">
      <c r="D32" s="4536"/>
      <c r="E32" s="4536"/>
      <c r="F32" s="4536"/>
      <c r="G32" s="4536"/>
      <c r="H32" s="4536"/>
      <c r="I32" s="4536"/>
      <c r="J32" s="4536"/>
      <c r="K32" s="4536"/>
      <c r="L32" s="4536"/>
      <c r="M32" s="4536"/>
      <c r="N32" s="4536"/>
      <c r="O32" s="12"/>
      <c r="Q32" s="4542"/>
      <c r="R32" s="4505"/>
      <c r="S32" s="4505"/>
      <c r="T32" s="4505"/>
      <c r="U32" s="4505"/>
      <c r="V32" s="4505"/>
      <c r="W32" s="4505"/>
      <c r="X32" s="4505"/>
      <c r="Y32" s="4505"/>
      <c r="Z32" s="4505"/>
      <c r="AA32" s="4505"/>
      <c r="AB32" s="4542"/>
      <c r="AC32" s="4505"/>
      <c r="AD32" s="4505"/>
      <c r="AE32" s="4505"/>
      <c r="AF32" s="4505"/>
      <c r="AG32" s="4505"/>
      <c r="AH32" s="4505"/>
      <c r="AI32" s="4505"/>
      <c r="AJ32" s="4505"/>
      <c r="AK32" s="4505"/>
      <c r="AL32" s="4505"/>
      <c r="AM32" s="12"/>
      <c r="AN32" s="4542"/>
      <c r="AO32" s="4501"/>
      <c r="AP32" s="4501"/>
      <c r="AQ32" s="4501"/>
      <c r="AR32" s="4501"/>
      <c r="AS32" s="4501"/>
      <c r="AT32" s="4501"/>
      <c r="AU32" s="4501"/>
      <c r="AV32" s="4501"/>
      <c r="AW32" s="4501"/>
      <c r="AX32" s="4501"/>
      <c r="AY32" s="12"/>
      <c r="AZ32" s="4539"/>
      <c r="BA32" s="4501"/>
      <c r="BB32" s="4501"/>
      <c r="BC32" s="4501"/>
      <c r="BD32" s="4501"/>
      <c r="BE32" s="4501"/>
      <c r="BF32" s="4501"/>
      <c r="BG32" s="4501"/>
      <c r="BH32" s="4501"/>
      <c r="BI32" s="4501"/>
      <c r="BJ32" s="4501"/>
    </row>
    <row r="33" spans="4:62" ht="21.9" customHeight="1">
      <c r="D33" s="4535" t="s">
        <v>8848</v>
      </c>
      <c r="E33" s="4536"/>
      <c r="F33" s="4536"/>
      <c r="G33" s="4536"/>
      <c r="H33" s="4536"/>
      <c r="I33" s="4536"/>
      <c r="J33" s="4536"/>
      <c r="K33" s="4536"/>
      <c r="L33" s="4536"/>
      <c r="M33" s="4536"/>
      <c r="N33" s="4536"/>
      <c r="O33" s="12"/>
      <c r="Q33" s="4542"/>
      <c r="R33" s="4505"/>
      <c r="S33" s="4505"/>
      <c r="T33" s="4505"/>
      <c r="U33" s="4505"/>
      <c r="V33" s="4505"/>
      <c r="W33" s="4505"/>
      <c r="X33" s="4505"/>
      <c r="Y33" s="4505"/>
      <c r="Z33" s="4505"/>
      <c r="AA33" s="4505"/>
      <c r="AB33" s="4542"/>
      <c r="AC33" s="4505"/>
      <c r="AD33" s="4505"/>
      <c r="AE33" s="4505"/>
      <c r="AF33" s="4505"/>
      <c r="AG33" s="4505"/>
      <c r="AH33" s="4505"/>
      <c r="AI33" s="4505"/>
      <c r="AJ33" s="4505"/>
      <c r="AK33" s="4505"/>
      <c r="AL33" s="4505"/>
      <c r="AM33" s="12"/>
      <c r="AN33" s="4542"/>
      <c r="AO33" s="4501"/>
      <c r="AP33" s="4501"/>
      <c r="AQ33" s="4501"/>
      <c r="AR33" s="4501"/>
      <c r="AS33" s="4501"/>
      <c r="AT33" s="4501"/>
      <c r="AU33" s="4501"/>
      <c r="AV33" s="4501"/>
      <c r="AW33" s="4501"/>
      <c r="AX33" s="4501"/>
      <c r="AY33" s="12"/>
      <c r="AZ33" s="4539"/>
      <c r="BA33" s="4501"/>
      <c r="BB33" s="4501"/>
      <c r="BC33" s="4501"/>
      <c r="BD33" s="4501"/>
      <c r="BE33" s="4501"/>
      <c r="BF33" s="4501"/>
      <c r="BG33" s="4501"/>
      <c r="BH33" s="4501"/>
      <c r="BI33" s="4501"/>
      <c r="BJ33" s="4501"/>
    </row>
    <row r="34" spans="4:62" ht="21.9" customHeight="1">
      <c r="D34" s="4536"/>
      <c r="E34" s="4536"/>
      <c r="F34" s="4536"/>
      <c r="G34" s="4536"/>
      <c r="H34" s="4536"/>
      <c r="I34" s="4536"/>
      <c r="J34" s="4536"/>
      <c r="K34" s="4536"/>
      <c r="L34" s="4536"/>
      <c r="M34" s="4536"/>
      <c r="N34" s="4536"/>
      <c r="O34" s="12"/>
      <c r="Q34" s="4542"/>
      <c r="R34" s="4505"/>
      <c r="S34" s="4505"/>
      <c r="T34" s="4505"/>
      <c r="U34" s="4505"/>
      <c r="V34" s="4505"/>
      <c r="W34" s="4505"/>
      <c r="X34" s="4505"/>
      <c r="Y34" s="4505"/>
      <c r="Z34" s="4505"/>
      <c r="AA34" s="4505"/>
      <c r="AB34" s="4542"/>
      <c r="AC34" s="4505"/>
      <c r="AD34" s="4505"/>
      <c r="AE34" s="4505"/>
      <c r="AF34" s="4505"/>
      <c r="AG34" s="4505"/>
      <c r="AH34" s="4505"/>
      <c r="AI34" s="4505"/>
      <c r="AJ34" s="4505"/>
      <c r="AK34" s="4505"/>
      <c r="AL34" s="4505"/>
      <c r="AM34" s="12"/>
      <c r="AN34" s="4542"/>
      <c r="AO34" s="4501"/>
      <c r="AP34" s="4501"/>
      <c r="AQ34" s="4501"/>
      <c r="AR34" s="4501"/>
      <c r="AS34" s="4501"/>
      <c r="AT34" s="4501"/>
      <c r="AU34" s="4501"/>
      <c r="AV34" s="4501"/>
      <c r="AW34" s="4501"/>
      <c r="AX34" s="4501"/>
      <c r="AY34" s="12"/>
      <c r="AZ34" s="4539"/>
      <c r="BA34" s="4501"/>
      <c r="BB34" s="4501"/>
      <c r="BC34" s="4501"/>
      <c r="BD34" s="4501"/>
      <c r="BE34" s="4501"/>
      <c r="BF34" s="4501"/>
      <c r="BG34" s="4501"/>
      <c r="BH34" s="4501"/>
      <c r="BI34" s="4501"/>
      <c r="BJ34" s="4501"/>
    </row>
    <row r="35" spans="4:62" ht="21.9" customHeight="1">
      <c r="D35" s="4569" t="s">
        <v>8849</v>
      </c>
      <c r="E35" s="4569"/>
      <c r="F35" s="4569"/>
      <c r="G35" s="4569"/>
      <c r="H35" s="4569"/>
      <c r="I35" s="4569"/>
      <c r="J35" s="4569"/>
      <c r="K35" s="4569"/>
      <c r="L35" s="4569"/>
      <c r="M35" s="4569"/>
      <c r="N35" s="4569"/>
      <c r="O35" s="12"/>
      <c r="Q35" s="4542" t="s">
        <v>321</v>
      </c>
      <c r="R35" s="4505" t="s">
        <v>8850</v>
      </c>
      <c r="S35" s="4505"/>
      <c r="T35" s="4505"/>
      <c r="U35" s="4505"/>
      <c r="V35" s="4505"/>
      <c r="W35" s="4505"/>
      <c r="X35" s="4505"/>
      <c r="Y35" s="4505"/>
      <c r="Z35" s="4505"/>
      <c r="AA35" s="4505"/>
      <c r="AB35" s="4542" t="s">
        <v>321</v>
      </c>
      <c r="AC35" s="4505" t="s">
        <v>8851</v>
      </c>
      <c r="AD35" s="4505"/>
      <c r="AE35" s="4505"/>
      <c r="AF35" s="4505"/>
      <c r="AG35" s="4505"/>
      <c r="AH35" s="4505"/>
      <c r="AI35" s="4505"/>
      <c r="AJ35" s="4505"/>
      <c r="AK35" s="4505"/>
      <c r="AL35" s="4505"/>
      <c r="AM35" s="12"/>
      <c r="AN35" s="4542"/>
      <c r="AO35" s="4501"/>
      <c r="AP35" s="4501"/>
      <c r="AQ35" s="4501"/>
      <c r="AR35" s="4501"/>
      <c r="AS35" s="4501"/>
      <c r="AT35" s="4501"/>
      <c r="AU35" s="4501"/>
      <c r="AV35" s="4501"/>
      <c r="AW35" s="4501"/>
      <c r="AX35" s="4501"/>
      <c r="AY35" s="12"/>
      <c r="AZ35" s="4539"/>
      <c r="BA35" s="4501"/>
      <c r="BB35" s="4501"/>
      <c r="BC35" s="4501"/>
      <c r="BD35" s="4501"/>
      <c r="BE35" s="4501"/>
      <c r="BF35" s="4501"/>
      <c r="BG35" s="4501"/>
      <c r="BH35" s="4501"/>
      <c r="BI35" s="4501"/>
      <c r="BJ35" s="4501"/>
    </row>
    <row r="36" spans="4:62" ht="21.9" customHeight="1">
      <c r="D36" s="4570" t="s">
        <v>8852</v>
      </c>
      <c r="E36" s="4570"/>
      <c r="F36" s="4570"/>
      <c r="G36" s="4570" t="s">
        <v>321</v>
      </c>
      <c r="H36" s="4570"/>
      <c r="I36" s="4570"/>
      <c r="J36" s="4570"/>
      <c r="K36" s="4570"/>
      <c r="L36" s="4570"/>
      <c r="M36" s="4570"/>
      <c r="N36" s="4570"/>
      <c r="O36" s="12"/>
      <c r="Q36" s="4542"/>
      <c r="R36" s="4505"/>
      <c r="S36" s="4505"/>
      <c r="T36" s="4505"/>
      <c r="U36" s="4505"/>
      <c r="V36" s="4505"/>
      <c r="W36" s="4505"/>
      <c r="X36" s="4505"/>
      <c r="Y36" s="4505"/>
      <c r="Z36" s="4505"/>
      <c r="AA36" s="4505"/>
      <c r="AB36" s="4542"/>
      <c r="AC36" s="4505"/>
      <c r="AD36" s="4505"/>
      <c r="AE36" s="4505"/>
      <c r="AF36" s="4505"/>
      <c r="AG36" s="4505"/>
      <c r="AH36" s="4505"/>
      <c r="AI36" s="4505"/>
      <c r="AJ36" s="4505"/>
      <c r="AK36" s="4505"/>
      <c r="AL36" s="4505"/>
      <c r="AM36" s="12"/>
      <c r="AN36" s="4542"/>
      <c r="AO36" s="4501"/>
      <c r="AP36" s="4501"/>
      <c r="AQ36" s="4501"/>
      <c r="AR36" s="4501"/>
      <c r="AS36" s="4501"/>
      <c r="AT36" s="4501"/>
      <c r="AU36" s="4501"/>
      <c r="AV36" s="4501"/>
      <c r="AW36" s="4501"/>
      <c r="AX36" s="4501"/>
      <c r="AY36" s="12"/>
      <c r="AZ36" s="4539"/>
      <c r="BA36" s="4501"/>
      <c r="BB36" s="4501"/>
      <c r="BC36" s="4501"/>
      <c r="BD36" s="4501"/>
      <c r="BE36" s="4501"/>
      <c r="BF36" s="4501"/>
      <c r="BG36" s="4501"/>
      <c r="BH36" s="4501"/>
      <c r="BI36" s="4501"/>
      <c r="BJ36" s="4501"/>
    </row>
    <row r="37" spans="4:62" ht="21.9" customHeight="1">
      <c r="D37" s="4534" t="s">
        <v>8853</v>
      </c>
      <c r="E37" s="4534"/>
      <c r="F37" s="4534"/>
      <c r="G37" s="4534"/>
      <c r="H37" s="4534"/>
      <c r="I37" s="4534"/>
      <c r="J37" s="4534"/>
      <c r="K37" s="4534"/>
      <c r="L37" s="4534"/>
      <c r="M37" s="4534"/>
      <c r="N37" s="4534"/>
      <c r="O37" s="12"/>
      <c r="Q37" s="4542"/>
      <c r="R37" s="4505"/>
      <c r="S37" s="4505"/>
      <c r="T37" s="4505"/>
      <c r="U37" s="4505"/>
      <c r="V37" s="4505"/>
      <c r="W37" s="4505"/>
      <c r="X37" s="4505"/>
      <c r="Y37" s="4505"/>
      <c r="Z37" s="4505"/>
      <c r="AA37" s="4505"/>
      <c r="AB37" s="4542"/>
      <c r="AC37" s="4505"/>
      <c r="AD37" s="4505"/>
      <c r="AE37" s="4505"/>
      <c r="AF37" s="4505"/>
      <c r="AG37" s="4505"/>
      <c r="AH37" s="4505"/>
      <c r="AI37" s="4505"/>
      <c r="AJ37" s="4505"/>
      <c r="AK37" s="4505"/>
      <c r="AL37" s="4505"/>
      <c r="AM37" s="12"/>
      <c r="AN37" s="4542"/>
      <c r="AO37" s="4509" t="s">
        <v>8854</v>
      </c>
      <c r="AP37" s="4509"/>
      <c r="AQ37" s="4509"/>
      <c r="AR37" s="4509"/>
      <c r="AS37" s="4509"/>
      <c r="AT37" s="4509"/>
      <c r="AU37" s="4509"/>
      <c r="AV37" s="4509"/>
      <c r="AW37" s="4509"/>
      <c r="AX37" s="4509"/>
      <c r="AY37" s="12"/>
      <c r="AZ37" s="4539" t="s">
        <v>8855</v>
      </c>
      <c r="BA37" s="4509" t="s">
        <v>8856</v>
      </c>
      <c r="BB37" s="4509"/>
      <c r="BC37" s="4509"/>
      <c r="BD37" s="4509"/>
      <c r="BE37" s="4509"/>
      <c r="BF37" s="4509"/>
      <c r="BG37" s="4509"/>
      <c r="BH37" s="4509"/>
      <c r="BI37" s="4509"/>
      <c r="BJ37" s="4509"/>
    </row>
    <row r="38" spans="4:62" ht="21.9" customHeight="1">
      <c r="D38" s="4534" t="s">
        <v>8857</v>
      </c>
      <c r="E38" s="4534"/>
      <c r="F38" s="4534"/>
      <c r="G38" s="4534"/>
      <c r="H38" s="4534"/>
      <c r="I38" s="4534"/>
      <c r="J38" s="4534"/>
      <c r="K38" s="4534"/>
      <c r="L38" s="4534"/>
      <c r="M38" s="4534"/>
      <c r="N38" s="4534"/>
      <c r="O38" s="12"/>
      <c r="Q38" s="4542"/>
      <c r="R38" s="4505"/>
      <c r="S38" s="4505"/>
      <c r="T38" s="4505"/>
      <c r="U38" s="4505"/>
      <c r="V38" s="4505"/>
      <c r="W38" s="4505"/>
      <c r="X38" s="4505"/>
      <c r="Y38" s="4505"/>
      <c r="Z38" s="4505"/>
      <c r="AA38" s="4505"/>
      <c r="AB38" s="4542"/>
      <c r="AC38" s="4505"/>
      <c r="AD38" s="4505"/>
      <c r="AE38" s="4505"/>
      <c r="AF38" s="4505"/>
      <c r="AG38" s="4505"/>
      <c r="AH38" s="4505"/>
      <c r="AI38" s="4505"/>
      <c r="AJ38" s="4505"/>
      <c r="AK38" s="4505"/>
      <c r="AL38" s="4505"/>
      <c r="AM38" s="12"/>
      <c r="AN38" s="16" t="s">
        <v>8829</v>
      </c>
      <c r="AO38" s="4501" t="s">
        <v>8858</v>
      </c>
      <c r="AP38" s="4501"/>
      <c r="AQ38" s="4501"/>
      <c r="AR38" s="4501"/>
      <c r="AS38" s="4501"/>
      <c r="AT38" s="4501"/>
      <c r="AU38" s="4501"/>
      <c r="AV38" s="4501"/>
      <c r="AW38" s="4501"/>
      <c r="AX38" s="4501"/>
      <c r="AY38" s="12"/>
      <c r="AZ38" s="4539"/>
      <c r="BA38" s="4501" t="s">
        <v>8859</v>
      </c>
      <c r="BB38" s="4501"/>
      <c r="BC38" s="4501"/>
      <c r="BD38" s="4501"/>
      <c r="BE38" s="4501"/>
      <c r="BF38" s="4501"/>
      <c r="BG38" s="4501"/>
      <c r="BH38" s="4501"/>
      <c r="BI38" s="4501"/>
      <c r="BJ38" s="4501"/>
    </row>
    <row r="39" spans="4:62" ht="21.9" customHeight="1">
      <c r="D39" s="4534" t="s">
        <v>8860</v>
      </c>
      <c r="E39" s="4534"/>
      <c r="F39" s="4534"/>
      <c r="G39" s="4534"/>
      <c r="H39" s="4534"/>
      <c r="I39" s="4534"/>
      <c r="J39" s="4534"/>
      <c r="K39" s="4534"/>
      <c r="L39" s="4534"/>
      <c r="M39" s="4534"/>
      <c r="N39" s="4534"/>
      <c r="O39" s="12"/>
      <c r="Q39" s="4551" t="s">
        <v>8861</v>
      </c>
      <c r="R39" s="4551"/>
      <c r="S39" s="4551"/>
      <c r="T39" s="4551"/>
      <c r="U39" s="4551"/>
      <c r="V39" s="4551"/>
      <c r="W39" s="4551"/>
      <c r="X39" s="4551"/>
      <c r="Y39" s="4551"/>
      <c r="Z39" s="4551"/>
      <c r="AA39" s="4551"/>
      <c r="AB39" s="4566" t="s">
        <v>8862</v>
      </c>
      <c r="AC39" s="4567"/>
      <c r="AD39" s="4567"/>
      <c r="AE39" s="4567"/>
      <c r="AF39" s="4567"/>
      <c r="AG39" s="4567"/>
      <c r="AH39" s="4567"/>
      <c r="AI39" s="4567"/>
      <c r="AJ39" s="4567"/>
      <c r="AK39" s="4567"/>
      <c r="AL39" s="4568"/>
      <c r="AM39" s="12"/>
      <c r="AN39" s="4539" t="s">
        <v>8810</v>
      </c>
      <c r="AO39" s="4501" t="s">
        <v>8863</v>
      </c>
      <c r="AP39" s="4501"/>
      <c r="AQ39" s="4501"/>
      <c r="AR39" s="4501"/>
      <c r="AS39" s="4501"/>
      <c r="AT39" s="4501"/>
      <c r="AU39" s="4501"/>
      <c r="AV39" s="4501"/>
      <c r="AW39" s="4501"/>
      <c r="AX39" s="4501"/>
      <c r="AY39" s="12"/>
      <c r="AZ39" s="4539"/>
      <c r="BA39" s="4501"/>
      <c r="BB39" s="4501"/>
      <c r="BC39" s="4501"/>
      <c r="BD39" s="4501"/>
      <c r="BE39" s="4501"/>
      <c r="BF39" s="4501"/>
      <c r="BG39" s="4501"/>
      <c r="BH39" s="4501"/>
      <c r="BI39" s="4501"/>
      <c r="BJ39" s="4501"/>
    </row>
    <row r="40" spans="4:62" ht="21.9" customHeight="1">
      <c r="D40" s="4534" t="s">
        <v>8864</v>
      </c>
      <c r="E40" s="4534"/>
      <c r="F40" s="4534"/>
      <c r="G40" s="4534"/>
      <c r="H40" s="4534"/>
      <c r="I40" s="4534"/>
      <c r="J40" s="4534"/>
      <c r="K40" s="4534"/>
      <c r="L40" s="4534"/>
      <c r="M40" s="4534"/>
      <c r="N40" s="4534"/>
      <c r="O40" s="12"/>
      <c r="Q40" s="4542" t="s">
        <v>8778</v>
      </c>
      <c r="R40" s="4505" t="s">
        <v>8865</v>
      </c>
      <c r="S40" s="4505"/>
      <c r="T40" s="4505"/>
      <c r="U40" s="4505"/>
      <c r="V40" s="4505"/>
      <c r="W40" s="4505"/>
      <c r="X40" s="4505"/>
      <c r="Y40" s="4505"/>
      <c r="Z40" s="4505"/>
      <c r="AA40" s="4505"/>
      <c r="AB40" s="4547" t="s">
        <v>8778</v>
      </c>
      <c r="AC40" s="4511" t="s">
        <v>8866</v>
      </c>
      <c r="AD40" s="4512"/>
      <c r="AE40" s="4512"/>
      <c r="AF40" s="4512"/>
      <c r="AG40" s="4512"/>
      <c r="AH40" s="4512"/>
      <c r="AI40" s="4512"/>
      <c r="AJ40" s="4512"/>
      <c r="AK40" s="4512"/>
      <c r="AL40" s="4513"/>
      <c r="AM40" s="12"/>
      <c r="AN40" s="4539"/>
      <c r="AO40" s="4501" t="s">
        <v>8867</v>
      </c>
      <c r="AP40" s="4501"/>
      <c r="AQ40" s="4501"/>
      <c r="AR40" s="4501"/>
      <c r="AS40" s="4501"/>
      <c r="AT40" s="4501"/>
      <c r="AU40" s="4501"/>
      <c r="AV40" s="4501"/>
      <c r="AW40" s="4501"/>
      <c r="AX40" s="4501"/>
      <c r="AY40" s="12"/>
      <c r="AZ40" s="4539"/>
      <c r="BA40" s="4501"/>
      <c r="BB40" s="4501"/>
      <c r="BC40" s="4501"/>
      <c r="BD40" s="4501"/>
      <c r="BE40" s="4501"/>
      <c r="BF40" s="4501"/>
      <c r="BG40" s="4501"/>
      <c r="BH40" s="4501"/>
      <c r="BI40" s="4501"/>
      <c r="BJ40" s="4501"/>
    </row>
    <row r="41" spans="4:62" ht="21.9" customHeight="1">
      <c r="D41" s="4534" t="s">
        <v>8868</v>
      </c>
      <c r="E41" s="4534"/>
      <c r="F41" s="4534"/>
      <c r="G41" s="4534"/>
      <c r="H41" s="4534"/>
      <c r="I41" s="4534"/>
      <c r="J41" s="4534"/>
      <c r="K41" s="4534"/>
      <c r="L41" s="4534"/>
      <c r="M41" s="4534"/>
      <c r="N41" s="4534"/>
      <c r="O41" s="12"/>
      <c r="Q41" s="4542"/>
      <c r="R41" s="4505"/>
      <c r="S41" s="4505"/>
      <c r="T41" s="4505"/>
      <c r="U41" s="4505"/>
      <c r="V41" s="4505"/>
      <c r="W41" s="4505"/>
      <c r="X41" s="4505"/>
      <c r="Y41" s="4505"/>
      <c r="Z41" s="4505"/>
      <c r="AA41" s="4505"/>
      <c r="AB41" s="4548"/>
      <c r="AC41" s="4514"/>
      <c r="AD41" s="4515"/>
      <c r="AE41" s="4515"/>
      <c r="AF41" s="4515"/>
      <c r="AG41" s="4515"/>
      <c r="AH41" s="4515"/>
      <c r="AI41" s="4515"/>
      <c r="AJ41" s="4515"/>
      <c r="AK41" s="4515"/>
      <c r="AL41" s="4516"/>
      <c r="AM41" s="12"/>
      <c r="AN41" s="4539"/>
      <c r="AO41" s="4509" t="s">
        <v>8869</v>
      </c>
      <c r="AP41" s="4509"/>
      <c r="AQ41" s="4509"/>
      <c r="AR41" s="4509"/>
      <c r="AS41" s="4509"/>
      <c r="AT41" s="4509"/>
      <c r="AU41" s="4509"/>
      <c r="AV41" s="4509"/>
      <c r="AW41" s="4509"/>
      <c r="AX41" s="4509"/>
      <c r="AY41" s="12"/>
      <c r="AZ41" s="4539"/>
      <c r="BA41" s="4501"/>
      <c r="BB41" s="4501"/>
      <c r="BC41" s="4501"/>
      <c r="BD41" s="4501"/>
      <c r="BE41" s="4501"/>
      <c r="BF41" s="4501"/>
      <c r="BG41" s="4501"/>
      <c r="BH41" s="4501"/>
      <c r="BI41" s="4501"/>
      <c r="BJ41" s="4501"/>
    </row>
    <row r="42" spans="4:62" ht="21.9" customHeight="1">
      <c r="D42" s="4534" t="s">
        <v>8870</v>
      </c>
      <c r="E42" s="4534"/>
      <c r="F42" s="4534"/>
      <c r="G42" s="4534"/>
      <c r="H42" s="4534"/>
      <c r="I42" s="4534"/>
      <c r="J42" s="4534"/>
      <c r="K42" s="4534"/>
      <c r="L42" s="4534"/>
      <c r="M42" s="4534"/>
      <c r="N42" s="4534"/>
      <c r="O42" s="12"/>
      <c r="Q42" s="4542"/>
      <c r="R42" s="4505"/>
      <c r="S42" s="4505"/>
      <c r="T42" s="4505"/>
      <c r="U42" s="4505"/>
      <c r="V42" s="4505"/>
      <c r="W42" s="4505"/>
      <c r="X42" s="4505"/>
      <c r="Y42" s="4505"/>
      <c r="Z42" s="4505"/>
      <c r="AA42" s="4505"/>
      <c r="AB42" s="4549"/>
      <c r="AC42" s="4517"/>
      <c r="AD42" s="4518"/>
      <c r="AE42" s="4518"/>
      <c r="AF42" s="4518"/>
      <c r="AG42" s="4518"/>
      <c r="AH42" s="4518"/>
      <c r="AI42" s="4518"/>
      <c r="AJ42" s="4518"/>
      <c r="AK42" s="4518"/>
      <c r="AL42" s="4519"/>
      <c r="AM42" s="12"/>
      <c r="AN42" s="13" t="s">
        <v>321</v>
      </c>
      <c r="AO42" s="4504"/>
      <c r="AP42" s="4504"/>
      <c r="AQ42" s="4504"/>
      <c r="AR42" s="4504"/>
      <c r="AS42" s="4504"/>
      <c r="AT42" s="4504"/>
      <c r="AU42" s="4504"/>
      <c r="AV42" s="4504"/>
      <c r="AW42" s="4504"/>
      <c r="AX42" s="4504"/>
      <c r="AY42" s="12"/>
      <c r="AZ42" s="4539" t="s">
        <v>8871</v>
      </c>
      <c r="BA42" s="4501" t="s">
        <v>8872</v>
      </c>
      <c r="BB42" s="4501"/>
      <c r="BC42" s="4501"/>
      <c r="BD42" s="4501"/>
      <c r="BE42" s="4501"/>
      <c r="BF42" s="4501"/>
      <c r="BG42" s="4501"/>
      <c r="BH42" s="4501"/>
      <c r="BI42" s="4501"/>
      <c r="BJ42" s="4501"/>
    </row>
    <row r="43" spans="4:62" ht="21.9" customHeight="1">
      <c r="D43" s="4534" t="s">
        <v>8873</v>
      </c>
      <c r="E43" s="4534"/>
      <c r="F43" s="4534"/>
      <c r="G43" s="4534"/>
      <c r="H43" s="4534"/>
      <c r="I43" s="4534"/>
      <c r="J43" s="4534"/>
      <c r="K43" s="4534"/>
      <c r="L43" s="4534"/>
      <c r="M43" s="4534"/>
      <c r="N43" s="4534"/>
      <c r="O43" s="12"/>
      <c r="Q43" s="4542"/>
      <c r="R43" s="4505"/>
      <c r="S43" s="4505"/>
      <c r="T43" s="4505"/>
      <c r="U43" s="4505"/>
      <c r="V43" s="4505"/>
      <c r="W43" s="4505"/>
      <c r="X43" s="4505"/>
      <c r="Y43" s="4505"/>
      <c r="Z43" s="4505"/>
      <c r="AA43" s="4505"/>
      <c r="AB43" s="4547" t="s">
        <v>321</v>
      </c>
      <c r="AC43" s="4511" t="s">
        <v>8874</v>
      </c>
      <c r="AD43" s="4512"/>
      <c r="AE43" s="4512"/>
      <c r="AF43" s="4512"/>
      <c r="AG43" s="4512"/>
      <c r="AH43" s="4512"/>
      <c r="AI43" s="4512"/>
      <c r="AJ43" s="4512"/>
      <c r="AK43" s="4512"/>
      <c r="AL43" s="4513"/>
      <c r="AM43" s="12"/>
      <c r="AN43" s="4551" t="s">
        <v>8875</v>
      </c>
      <c r="AO43" s="4551"/>
      <c r="AP43" s="4551"/>
      <c r="AQ43" s="4551"/>
      <c r="AR43" s="4551"/>
      <c r="AS43" s="4551"/>
      <c r="AT43" s="4551"/>
      <c r="AU43" s="4551"/>
      <c r="AV43" s="4551"/>
      <c r="AW43" s="4551"/>
      <c r="AX43" s="4551"/>
      <c r="AY43" s="12"/>
      <c r="AZ43" s="4539"/>
      <c r="BA43" s="4501"/>
      <c r="BB43" s="4501"/>
      <c r="BC43" s="4501"/>
      <c r="BD43" s="4501"/>
      <c r="BE43" s="4501"/>
      <c r="BF43" s="4501"/>
      <c r="BG43" s="4501"/>
      <c r="BH43" s="4501"/>
      <c r="BI43" s="4501"/>
      <c r="BJ43" s="4501"/>
    </row>
    <row r="44" spans="4:62" ht="21.9" customHeight="1">
      <c r="D44" s="4534" t="s">
        <v>8876</v>
      </c>
      <c r="E44" s="4534"/>
      <c r="F44" s="4534"/>
      <c r="G44" s="4534"/>
      <c r="H44" s="4534"/>
      <c r="I44" s="4534"/>
      <c r="J44" s="4534"/>
      <c r="K44" s="4534"/>
      <c r="L44" s="4534"/>
      <c r="M44" s="4534"/>
      <c r="N44" s="4534"/>
      <c r="O44" s="12"/>
      <c r="Q44" s="4542" t="s">
        <v>321</v>
      </c>
      <c r="R44" s="4505" t="s">
        <v>8850</v>
      </c>
      <c r="S44" s="4505"/>
      <c r="T44" s="4505"/>
      <c r="U44" s="4505"/>
      <c r="V44" s="4505"/>
      <c r="W44" s="4505"/>
      <c r="X44" s="4505"/>
      <c r="Y44" s="4505"/>
      <c r="Z44" s="4505"/>
      <c r="AA44" s="4505"/>
      <c r="AB44" s="4548"/>
      <c r="AC44" s="4514"/>
      <c r="AD44" s="4515"/>
      <c r="AE44" s="4515"/>
      <c r="AF44" s="4515"/>
      <c r="AG44" s="4515"/>
      <c r="AH44" s="4515"/>
      <c r="AI44" s="4515"/>
      <c r="AJ44" s="4515"/>
      <c r="AK44" s="4515"/>
      <c r="AL44" s="4516"/>
      <c r="AM44" s="12"/>
      <c r="AN44" s="4542" t="s">
        <v>8781</v>
      </c>
      <c r="AO44" s="4509" t="s">
        <v>8877</v>
      </c>
      <c r="AP44" s="4509"/>
      <c r="AQ44" s="4509"/>
      <c r="AR44" s="4509"/>
      <c r="AS44" s="4509"/>
      <c r="AT44" s="4509"/>
      <c r="AU44" s="4509"/>
      <c r="AV44" s="4509"/>
      <c r="AW44" s="4509"/>
      <c r="AX44" s="4509"/>
      <c r="AY44" s="12"/>
      <c r="AZ44" s="4539"/>
      <c r="BA44" s="4501"/>
      <c r="BB44" s="4501"/>
      <c r="BC44" s="4501"/>
      <c r="BD44" s="4501"/>
      <c r="BE44" s="4501"/>
      <c r="BF44" s="4501"/>
      <c r="BG44" s="4501"/>
      <c r="BH44" s="4501"/>
      <c r="BI44" s="4501"/>
      <c r="BJ44" s="4501"/>
    </row>
    <row r="45" spans="4:62" ht="21.9" customHeight="1">
      <c r="D45" s="4534" t="s">
        <v>8878</v>
      </c>
      <c r="E45" s="4534"/>
      <c r="F45" s="4534"/>
      <c r="G45" s="4534"/>
      <c r="H45" s="4534"/>
      <c r="I45" s="4534"/>
      <c r="J45" s="4534"/>
      <c r="K45" s="4534"/>
      <c r="L45" s="4534"/>
      <c r="M45" s="4534"/>
      <c r="N45" s="4534"/>
      <c r="O45" s="12"/>
      <c r="Q45" s="4542"/>
      <c r="R45" s="4505"/>
      <c r="S45" s="4505"/>
      <c r="T45" s="4505"/>
      <c r="U45" s="4505"/>
      <c r="V45" s="4505"/>
      <c r="W45" s="4505"/>
      <c r="X45" s="4505"/>
      <c r="Y45" s="4505"/>
      <c r="Z45" s="4505"/>
      <c r="AA45" s="4505"/>
      <c r="AB45" s="4548"/>
      <c r="AC45" s="4514"/>
      <c r="AD45" s="4515"/>
      <c r="AE45" s="4515"/>
      <c r="AF45" s="4515"/>
      <c r="AG45" s="4515"/>
      <c r="AH45" s="4515"/>
      <c r="AI45" s="4515"/>
      <c r="AJ45" s="4515"/>
      <c r="AK45" s="4515"/>
      <c r="AL45" s="4516"/>
      <c r="AM45" s="12"/>
      <c r="AN45" s="4542"/>
      <c r="AO45" s="4509" t="s">
        <v>8879</v>
      </c>
      <c r="AP45" s="4509"/>
      <c r="AQ45" s="4509"/>
      <c r="AR45" s="4509"/>
      <c r="AS45" s="4509"/>
      <c r="AT45" s="4509"/>
      <c r="AU45" s="4509"/>
      <c r="AV45" s="4509"/>
      <c r="AW45" s="4509"/>
      <c r="AX45" s="4509"/>
      <c r="AY45" s="12"/>
      <c r="AZ45" s="4539"/>
      <c r="BA45" s="4501" t="s">
        <v>8880</v>
      </c>
      <c r="BB45" s="4501"/>
      <c r="BC45" s="4501"/>
      <c r="BD45" s="4501"/>
      <c r="BE45" s="4501"/>
      <c r="BF45" s="4501"/>
      <c r="BG45" s="4501"/>
      <c r="BH45" s="4501"/>
      <c r="BI45" s="4501"/>
      <c r="BJ45" s="4501"/>
    </row>
    <row r="46" spans="4:62" ht="21.9" customHeight="1">
      <c r="D46" s="4534" t="s">
        <v>8881</v>
      </c>
      <c r="E46" s="4534"/>
      <c r="F46" s="4534"/>
      <c r="G46" s="4534"/>
      <c r="H46" s="4534"/>
      <c r="I46" s="4534"/>
      <c r="J46" s="4534"/>
      <c r="K46" s="4534"/>
      <c r="L46" s="4534"/>
      <c r="M46" s="4534"/>
      <c r="N46" s="4534"/>
      <c r="O46" s="12"/>
      <c r="Q46" s="4542"/>
      <c r="R46" s="4505"/>
      <c r="S46" s="4505"/>
      <c r="T46" s="4505"/>
      <c r="U46" s="4505"/>
      <c r="V46" s="4505"/>
      <c r="W46" s="4505"/>
      <c r="X46" s="4505"/>
      <c r="Y46" s="4505"/>
      <c r="Z46" s="4505"/>
      <c r="AA46" s="4505"/>
      <c r="AB46" s="4548"/>
      <c r="AC46" s="4514"/>
      <c r="AD46" s="4515"/>
      <c r="AE46" s="4515"/>
      <c r="AF46" s="4515"/>
      <c r="AG46" s="4515"/>
      <c r="AH46" s="4515"/>
      <c r="AI46" s="4515"/>
      <c r="AJ46" s="4515"/>
      <c r="AK46" s="4515"/>
      <c r="AL46" s="4516"/>
      <c r="AM46" s="12"/>
      <c r="AN46" s="4542"/>
      <c r="AO46" s="4525" t="s">
        <v>8882</v>
      </c>
      <c r="AP46" s="4526"/>
      <c r="AQ46" s="4526"/>
      <c r="AR46" s="4526"/>
      <c r="AS46" s="4526"/>
      <c r="AT46" s="4526"/>
      <c r="AU46" s="4526"/>
      <c r="AV46" s="4526"/>
      <c r="AW46" s="4526"/>
      <c r="AX46" s="4526"/>
      <c r="AY46" s="12"/>
      <c r="AZ46" s="4539"/>
      <c r="BA46" s="4501"/>
      <c r="BB46" s="4501"/>
      <c r="BC46" s="4501"/>
      <c r="BD46" s="4501"/>
      <c r="BE46" s="4501"/>
      <c r="BF46" s="4501"/>
      <c r="BG46" s="4501"/>
      <c r="BH46" s="4501"/>
      <c r="BI46" s="4501"/>
      <c r="BJ46" s="4501"/>
    </row>
    <row r="47" spans="4:62" ht="21.9" customHeight="1">
      <c r="D47" s="4534" t="s">
        <v>8883</v>
      </c>
      <c r="E47" s="4534"/>
      <c r="F47" s="4534"/>
      <c r="G47" s="4534"/>
      <c r="H47" s="4534"/>
      <c r="I47" s="4534"/>
      <c r="J47" s="4534"/>
      <c r="K47" s="4534"/>
      <c r="L47" s="4534"/>
      <c r="M47" s="4534"/>
      <c r="N47" s="4534"/>
      <c r="O47" s="12"/>
      <c r="Q47" s="4542"/>
      <c r="R47" s="4505"/>
      <c r="S47" s="4505"/>
      <c r="T47" s="4505"/>
      <c r="U47" s="4505"/>
      <c r="V47" s="4505"/>
      <c r="W47" s="4505"/>
      <c r="X47" s="4505"/>
      <c r="Y47" s="4505"/>
      <c r="Z47" s="4505"/>
      <c r="AA47" s="4505"/>
      <c r="AB47" s="4548"/>
      <c r="AC47" s="4514"/>
      <c r="AD47" s="4515"/>
      <c r="AE47" s="4515"/>
      <c r="AF47" s="4515"/>
      <c r="AG47" s="4515"/>
      <c r="AH47" s="4515"/>
      <c r="AI47" s="4515"/>
      <c r="AJ47" s="4515"/>
      <c r="AK47" s="4515"/>
      <c r="AL47" s="4516"/>
      <c r="AM47" s="12"/>
      <c r="AN47" s="4542"/>
      <c r="AO47" s="4526"/>
      <c r="AP47" s="4526"/>
      <c r="AQ47" s="4526"/>
      <c r="AR47" s="4526"/>
      <c r="AS47" s="4526"/>
      <c r="AT47" s="4526"/>
      <c r="AU47" s="4526"/>
      <c r="AV47" s="4526"/>
      <c r="AW47" s="4526"/>
      <c r="AX47" s="4526"/>
      <c r="AY47" s="12"/>
      <c r="AZ47" s="4539"/>
      <c r="BA47" s="4501"/>
      <c r="BB47" s="4501"/>
      <c r="BC47" s="4501"/>
      <c r="BD47" s="4501"/>
      <c r="BE47" s="4501"/>
      <c r="BF47" s="4501"/>
      <c r="BG47" s="4501"/>
      <c r="BH47" s="4501"/>
      <c r="BI47" s="4501"/>
      <c r="BJ47" s="4501"/>
    </row>
    <row r="48" spans="4:62" ht="21.9" customHeight="1">
      <c r="D48" s="4534" t="s">
        <v>8884</v>
      </c>
      <c r="E48" s="4534"/>
      <c r="F48" s="4534"/>
      <c r="G48" s="4534"/>
      <c r="H48" s="4534"/>
      <c r="I48" s="4534"/>
      <c r="J48" s="4534"/>
      <c r="K48" s="4534"/>
      <c r="L48" s="4534"/>
      <c r="M48" s="4534"/>
      <c r="N48" s="4534"/>
      <c r="O48" s="12"/>
      <c r="Q48" s="4551" t="s">
        <v>8885</v>
      </c>
      <c r="R48" s="4551"/>
      <c r="S48" s="4551"/>
      <c r="T48" s="4551"/>
      <c r="U48" s="4551"/>
      <c r="V48" s="4551"/>
      <c r="W48" s="4551"/>
      <c r="X48" s="4551"/>
      <c r="Y48" s="4551"/>
      <c r="Z48" s="4551"/>
      <c r="AA48" s="4551"/>
      <c r="AB48" s="4548"/>
      <c r="AC48" s="4514"/>
      <c r="AD48" s="4515"/>
      <c r="AE48" s="4515"/>
      <c r="AF48" s="4515"/>
      <c r="AG48" s="4515"/>
      <c r="AH48" s="4515"/>
      <c r="AI48" s="4515"/>
      <c r="AJ48" s="4515"/>
      <c r="AK48" s="4515"/>
      <c r="AL48" s="4516"/>
      <c r="AM48" s="12"/>
      <c r="AN48" s="4542"/>
      <c r="AO48" s="4526"/>
      <c r="AP48" s="4526"/>
      <c r="AQ48" s="4526"/>
      <c r="AR48" s="4526"/>
      <c r="AS48" s="4526"/>
      <c r="AT48" s="4526"/>
      <c r="AU48" s="4526"/>
      <c r="AV48" s="4526"/>
      <c r="AW48" s="4526"/>
      <c r="AX48" s="4526"/>
      <c r="AY48" s="12"/>
      <c r="AZ48" s="4539"/>
      <c r="BA48" s="4501"/>
      <c r="BB48" s="4501"/>
      <c r="BC48" s="4501"/>
      <c r="BD48" s="4501"/>
      <c r="BE48" s="4501"/>
      <c r="BF48" s="4501"/>
      <c r="BG48" s="4501"/>
      <c r="BH48" s="4501"/>
      <c r="BI48" s="4501"/>
      <c r="BJ48" s="4501"/>
    </row>
    <row r="49" spans="4:62" ht="21.9" customHeight="1">
      <c r="D49" s="4534" t="s">
        <v>8886</v>
      </c>
      <c r="E49" s="4534"/>
      <c r="F49" s="4534"/>
      <c r="G49" s="4534"/>
      <c r="H49" s="4534"/>
      <c r="I49" s="4534"/>
      <c r="J49" s="4534"/>
      <c r="K49" s="4534"/>
      <c r="L49" s="4534"/>
      <c r="M49" s="4534"/>
      <c r="N49" s="4534"/>
      <c r="O49" s="12"/>
      <c r="Q49" s="4542" t="s">
        <v>8778</v>
      </c>
      <c r="R49" s="4505" t="s">
        <v>8887</v>
      </c>
      <c r="S49" s="4505"/>
      <c r="T49" s="4505"/>
      <c r="U49" s="4505"/>
      <c r="V49" s="4505"/>
      <c r="W49" s="4505"/>
      <c r="X49" s="4505"/>
      <c r="Y49" s="4505"/>
      <c r="Z49" s="4505"/>
      <c r="AA49" s="4505"/>
      <c r="AB49" s="4548"/>
      <c r="AC49" s="4514"/>
      <c r="AD49" s="4515"/>
      <c r="AE49" s="4515"/>
      <c r="AF49" s="4515"/>
      <c r="AG49" s="4515"/>
      <c r="AH49" s="4515"/>
      <c r="AI49" s="4515"/>
      <c r="AJ49" s="4515"/>
      <c r="AK49" s="4515"/>
      <c r="AL49" s="4516"/>
      <c r="AM49" s="12"/>
      <c r="AN49" s="4542"/>
      <c r="AO49" s="4525" t="s">
        <v>8888</v>
      </c>
      <c r="AP49" s="4526"/>
      <c r="AQ49" s="4526"/>
      <c r="AR49" s="4526"/>
      <c r="AS49" s="4526"/>
      <c r="AT49" s="4526"/>
      <c r="AU49" s="4526"/>
      <c r="AV49" s="4526"/>
      <c r="AW49" s="4526"/>
      <c r="AX49" s="4526"/>
      <c r="AY49" s="12"/>
      <c r="AZ49" s="4539"/>
      <c r="BA49" s="4501"/>
      <c r="BB49" s="4501"/>
      <c r="BC49" s="4501"/>
      <c r="BD49" s="4501"/>
      <c r="BE49" s="4501"/>
      <c r="BF49" s="4501"/>
      <c r="BG49" s="4501"/>
      <c r="BH49" s="4501"/>
      <c r="BI49" s="4501"/>
      <c r="BJ49" s="4501"/>
    </row>
    <row r="50" spans="4:62" ht="21.9" customHeight="1">
      <c r="D50" s="4534" t="s">
        <v>8889</v>
      </c>
      <c r="E50" s="4534"/>
      <c r="F50" s="4534"/>
      <c r="G50" s="4534"/>
      <c r="H50" s="4534"/>
      <c r="I50" s="4534"/>
      <c r="J50" s="4534"/>
      <c r="K50" s="4534"/>
      <c r="L50" s="4534"/>
      <c r="M50" s="4534"/>
      <c r="N50" s="4534"/>
      <c r="O50" s="12"/>
      <c r="Q50" s="4542"/>
      <c r="R50" s="4505"/>
      <c r="S50" s="4505"/>
      <c r="T50" s="4505"/>
      <c r="U50" s="4505"/>
      <c r="V50" s="4505"/>
      <c r="W50" s="4505"/>
      <c r="X50" s="4505"/>
      <c r="Y50" s="4505"/>
      <c r="Z50" s="4505"/>
      <c r="AA50" s="4505"/>
      <c r="AB50" s="4548"/>
      <c r="AC50" s="4514"/>
      <c r="AD50" s="4515"/>
      <c r="AE50" s="4515"/>
      <c r="AF50" s="4515"/>
      <c r="AG50" s="4515"/>
      <c r="AH50" s="4515"/>
      <c r="AI50" s="4515"/>
      <c r="AJ50" s="4515"/>
      <c r="AK50" s="4515"/>
      <c r="AL50" s="4516"/>
      <c r="AM50" s="12"/>
      <c r="AN50" s="4542"/>
      <c r="AO50" s="4526"/>
      <c r="AP50" s="4526"/>
      <c r="AQ50" s="4526"/>
      <c r="AR50" s="4526"/>
      <c r="AS50" s="4526"/>
      <c r="AT50" s="4526"/>
      <c r="AU50" s="4526"/>
      <c r="AV50" s="4526"/>
      <c r="AW50" s="4526"/>
      <c r="AX50" s="4526"/>
      <c r="AY50" s="12"/>
      <c r="AZ50" s="4539" t="s">
        <v>8890</v>
      </c>
      <c r="BA50" s="4509" t="s">
        <v>8891</v>
      </c>
      <c r="BB50" s="4509"/>
      <c r="BC50" s="4509"/>
      <c r="BD50" s="4509"/>
      <c r="BE50" s="4509"/>
      <c r="BF50" s="4509"/>
      <c r="BG50" s="4509"/>
      <c r="BH50" s="4509"/>
      <c r="BI50" s="4509"/>
      <c r="BJ50" s="4509"/>
    </row>
    <row r="51" spans="4:62" ht="21.9" customHeight="1">
      <c r="D51" s="4534" t="s">
        <v>8892</v>
      </c>
      <c r="E51" s="4534"/>
      <c r="F51" s="4534"/>
      <c r="G51" s="4534"/>
      <c r="H51" s="4534"/>
      <c r="I51" s="4534"/>
      <c r="J51" s="4534"/>
      <c r="K51" s="4534"/>
      <c r="L51" s="4534"/>
      <c r="M51" s="4534"/>
      <c r="N51" s="4534"/>
      <c r="O51" s="12"/>
      <c r="Q51" s="4542"/>
      <c r="R51" s="4505"/>
      <c r="S51" s="4505"/>
      <c r="T51" s="4505"/>
      <c r="U51" s="4505"/>
      <c r="V51" s="4505"/>
      <c r="W51" s="4505"/>
      <c r="X51" s="4505"/>
      <c r="Y51" s="4505"/>
      <c r="Z51" s="4505"/>
      <c r="AA51" s="4505"/>
      <c r="AB51" s="4548"/>
      <c r="AC51" s="4514"/>
      <c r="AD51" s="4515"/>
      <c r="AE51" s="4515"/>
      <c r="AF51" s="4515"/>
      <c r="AG51" s="4515"/>
      <c r="AH51" s="4515"/>
      <c r="AI51" s="4515"/>
      <c r="AJ51" s="4515"/>
      <c r="AK51" s="4515"/>
      <c r="AL51" s="4516"/>
      <c r="AM51" s="12"/>
      <c r="AN51" s="4542"/>
      <c r="AO51" s="4526"/>
      <c r="AP51" s="4526"/>
      <c r="AQ51" s="4526"/>
      <c r="AR51" s="4526"/>
      <c r="AS51" s="4526"/>
      <c r="AT51" s="4526"/>
      <c r="AU51" s="4526"/>
      <c r="AV51" s="4526"/>
      <c r="AW51" s="4526"/>
      <c r="AX51" s="4526"/>
      <c r="AY51" s="12"/>
      <c r="AZ51" s="4539"/>
      <c r="BA51" s="4501" t="s">
        <v>8893</v>
      </c>
      <c r="BB51" s="4501"/>
      <c r="BC51" s="4501"/>
      <c r="BD51" s="4501"/>
      <c r="BE51" s="4501"/>
      <c r="BF51" s="4501"/>
      <c r="BG51" s="4501"/>
      <c r="BH51" s="4501"/>
      <c r="BI51" s="4501"/>
      <c r="BJ51" s="4501"/>
    </row>
    <row r="52" spans="4:62" ht="21.9" customHeight="1">
      <c r="D52" s="4534" t="s">
        <v>8894</v>
      </c>
      <c r="E52" s="4534"/>
      <c r="F52" s="4534"/>
      <c r="G52" s="4534" t="s">
        <v>8895</v>
      </c>
      <c r="H52" s="4534"/>
      <c r="I52" s="4534"/>
      <c r="J52" s="4534"/>
      <c r="K52" s="4534"/>
      <c r="L52" s="4534"/>
      <c r="M52" s="4534"/>
      <c r="N52" s="4534"/>
      <c r="O52" s="12"/>
      <c r="Q52" s="4542"/>
      <c r="R52" s="4505"/>
      <c r="S52" s="4505"/>
      <c r="T52" s="4505"/>
      <c r="U52" s="4505"/>
      <c r="V52" s="4505"/>
      <c r="W52" s="4505"/>
      <c r="X52" s="4505"/>
      <c r="Y52" s="4505"/>
      <c r="Z52" s="4505"/>
      <c r="AA52" s="4505"/>
      <c r="AB52" s="4548"/>
      <c r="AC52" s="4514"/>
      <c r="AD52" s="4515"/>
      <c r="AE52" s="4515"/>
      <c r="AF52" s="4515"/>
      <c r="AG52" s="4515"/>
      <c r="AH52" s="4515"/>
      <c r="AI52" s="4515"/>
      <c r="AJ52" s="4515"/>
      <c r="AK52" s="4515"/>
      <c r="AL52" s="4516"/>
      <c r="AM52" s="12"/>
      <c r="AN52" s="4542"/>
      <c r="AO52" s="4509" t="s">
        <v>8896</v>
      </c>
      <c r="AP52" s="4509"/>
      <c r="AQ52" s="4509"/>
      <c r="AR52" s="4509"/>
      <c r="AS52" s="4509"/>
      <c r="AT52" s="4509"/>
      <c r="AU52" s="4509"/>
      <c r="AV52" s="4509"/>
      <c r="AW52" s="4509"/>
      <c r="AX52" s="4509"/>
      <c r="AY52" s="12"/>
      <c r="AZ52" s="4539"/>
      <c r="BA52" s="4501"/>
      <c r="BB52" s="4501"/>
      <c r="BC52" s="4501"/>
      <c r="BD52" s="4501"/>
      <c r="BE52" s="4501"/>
      <c r="BF52" s="4501"/>
      <c r="BG52" s="4501"/>
      <c r="BH52" s="4501"/>
      <c r="BI52" s="4501"/>
      <c r="BJ52" s="4501"/>
    </row>
    <row r="53" spans="4:62" ht="21.9" customHeight="1">
      <c r="D53" s="4534" t="s">
        <v>8897</v>
      </c>
      <c r="E53" s="4534"/>
      <c r="F53" s="4534"/>
      <c r="G53" s="4534"/>
      <c r="H53" s="4534"/>
      <c r="I53" s="4534"/>
      <c r="J53" s="4534"/>
      <c r="K53" s="4534"/>
      <c r="L53" s="4534"/>
      <c r="M53" s="4534"/>
      <c r="N53" s="4534"/>
      <c r="O53" s="12"/>
      <c r="Q53" s="4542" t="s">
        <v>321</v>
      </c>
      <c r="R53" s="4505" t="s">
        <v>8898</v>
      </c>
      <c r="S53" s="4505"/>
      <c r="T53" s="4505"/>
      <c r="U53" s="4505"/>
      <c r="V53" s="4505"/>
      <c r="W53" s="4505"/>
      <c r="X53" s="4505"/>
      <c r="Y53" s="4505"/>
      <c r="Z53" s="4505"/>
      <c r="AA53" s="4505"/>
      <c r="AB53" s="4548"/>
      <c r="AC53" s="4514"/>
      <c r="AD53" s="4515"/>
      <c r="AE53" s="4515"/>
      <c r="AF53" s="4515"/>
      <c r="AG53" s="4515"/>
      <c r="AH53" s="4515"/>
      <c r="AI53" s="4515"/>
      <c r="AJ53" s="4515"/>
      <c r="AK53" s="4515"/>
      <c r="AL53" s="4516"/>
      <c r="AM53" s="12"/>
      <c r="AN53" s="4542"/>
      <c r="AO53" s="4525" t="s">
        <v>8899</v>
      </c>
      <c r="AP53" s="4526"/>
      <c r="AQ53" s="4526"/>
      <c r="AR53" s="4526"/>
      <c r="AS53" s="4526"/>
      <c r="AT53" s="4526"/>
      <c r="AU53" s="4526"/>
      <c r="AV53" s="4526"/>
      <c r="AW53" s="4526"/>
      <c r="AX53" s="4526"/>
      <c r="AY53" s="12"/>
      <c r="AZ53" s="4539"/>
      <c r="BA53" s="4501"/>
      <c r="BB53" s="4501"/>
      <c r="BC53" s="4501"/>
      <c r="BD53" s="4501"/>
      <c r="BE53" s="4501"/>
      <c r="BF53" s="4501"/>
      <c r="BG53" s="4501"/>
      <c r="BH53" s="4501"/>
      <c r="BI53" s="4501"/>
      <c r="BJ53" s="4501"/>
    </row>
    <row r="54" spans="4:62" ht="21.9" customHeight="1">
      <c r="D54" s="4534" t="s">
        <v>8900</v>
      </c>
      <c r="E54" s="4534"/>
      <c r="F54" s="4534"/>
      <c r="G54" s="4534"/>
      <c r="H54" s="4534"/>
      <c r="I54" s="4534"/>
      <c r="J54" s="4534"/>
      <c r="K54" s="4534"/>
      <c r="L54" s="4534"/>
      <c r="M54" s="4534"/>
      <c r="N54" s="4534"/>
      <c r="O54" s="12"/>
      <c r="Q54" s="4542"/>
      <c r="R54" s="4505"/>
      <c r="S54" s="4505"/>
      <c r="T54" s="4505"/>
      <c r="U54" s="4505"/>
      <c r="V54" s="4505"/>
      <c r="W54" s="4505"/>
      <c r="X54" s="4505"/>
      <c r="Y54" s="4505"/>
      <c r="Z54" s="4505"/>
      <c r="AA54" s="4505"/>
      <c r="AB54" s="4549"/>
      <c r="AC54" s="4517"/>
      <c r="AD54" s="4518"/>
      <c r="AE54" s="4518"/>
      <c r="AF54" s="4518"/>
      <c r="AG54" s="4518"/>
      <c r="AH54" s="4518"/>
      <c r="AI54" s="4518"/>
      <c r="AJ54" s="4518"/>
      <c r="AK54" s="4518"/>
      <c r="AL54" s="4519"/>
      <c r="AM54" s="12"/>
      <c r="AN54" s="4542"/>
      <c r="AO54" s="4526"/>
      <c r="AP54" s="4526"/>
      <c r="AQ54" s="4526"/>
      <c r="AR54" s="4526"/>
      <c r="AS54" s="4526"/>
      <c r="AT54" s="4526"/>
      <c r="AU54" s="4526"/>
      <c r="AV54" s="4526"/>
      <c r="AW54" s="4526"/>
      <c r="AX54" s="4526"/>
      <c r="AY54" s="12"/>
      <c r="AZ54" s="4539"/>
      <c r="BA54" s="4501"/>
      <c r="BB54" s="4501"/>
      <c r="BC54" s="4501"/>
      <c r="BD54" s="4501"/>
      <c r="BE54" s="4501"/>
      <c r="BF54" s="4501"/>
      <c r="BG54" s="4501"/>
      <c r="BH54" s="4501"/>
      <c r="BI54" s="4501"/>
      <c r="BJ54" s="4501"/>
    </row>
    <row r="55" spans="4:62" ht="21.9" customHeight="1">
      <c r="D55" s="4534" t="s">
        <v>8901</v>
      </c>
      <c r="E55" s="4534"/>
      <c r="F55" s="4534"/>
      <c r="G55" s="4534"/>
      <c r="H55" s="4534"/>
      <c r="I55" s="4534"/>
      <c r="J55" s="4534"/>
      <c r="K55" s="4534"/>
      <c r="L55" s="4534"/>
      <c r="M55" s="4534"/>
      <c r="N55" s="4534"/>
      <c r="O55" s="12"/>
      <c r="Q55" s="4542"/>
      <c r="R55" s="4505"/>
      <c r="S55" s="4505"/>
      <c r="T55" s="4505"/>
      <c r="U55" s="4505"/>
      <c r="V55" s="4505"/>
      <c r="W55" s="4505"/>
      <c r="X55" s="4505"/>
      <c r="Y55" s="4505"/>
      <c r="Z55" s="4505"/>
      <c r="AA55" s="4505"/>
      <c r="AB55" s="4566" t="s">
        <v>8902</v>
      </c>
      <c r="AC55" s="4567"/>
      <c r="AD55" s="4567"/>
      <c r="AE55" s="4567"/>
      <c r="AF55" s="4567"/>
      <c r="AG55" s="4567"/>
      <c r="AH55" s="4567"/>
      <c r="AI55" s="4567"/>
      <c r="AJ55" s="4567"/>
      <c r="AK55" s="4567"/>
      <c r="AL55" s="4568"/>
      <c r="AM55" s="12"/>
      <c r="AN55" s="4542"/>
      <c r="AO55" s="4526"/>
      <c r="AP55" s="4526"/>
      <c r="AQ55" s="4526"/>
      <c r="AR55" s="4526"/>
      <c r="AS55" s="4526"/>
      <c r="AT55" s="4526"/>
      <c r="AU55" s="4526"/>
      <c r="AV55" s="4526"/>
      <c r="AW55" s="4526"/>
      <c r="AX55" s="4526"/>
      <c r="AY55" s="12"/>
      <c r="AZ55" s="4539"/>
      <c r="BA55" s="4501"/>
      <c r="BB55" s="4501"/>
      <c r="BC55" s="4501"/>
      <c r="BD55" s="4501"/>
      <c r="BE55" s="4501"/>
      <c r="BF55" s="4501"/>
      <c r="BG55" s="4501"/>
      <c r="BH55" s="4501"/>
      <c r="BI55" s="4501"/>
      <c r="BJ55" s="4501"/>
    </row>
    <row r="56" spans="4:62" ht="21.9" customHeight="1">
      <c r="D56" s="4534" t="s">
        <v>8903</v>
      </c>
      <c r="E56" s="4534"/>
      <c r="F56" s="4534"/>
      <c r="G56" s="4534"/>
      <c r="H56" s="4534"/>
      <c r="I56" s="4534"/>
      <c r="J56" s="4534"/>
      <c r="K56" s="4534"/>
      <c r="L56" s="4534"/>
      <c r="M56" s="4534"/>
      <c r="N56" s="4534"/>
      <c r="O56" s="12"/>
      <c r="Q56" s="4542"/>
      <c r="R56" s="4505"/>
      <c r="S56" s="4505"/>
      <c r="T56" s="4505"/>
      <c r="U56" s="4505"/>
      <c r="V56" s="4505"/>
      <c r="W56" s="4505"/>
      <c r="X56" s="4505"/>
      <c r="Y56" s="4505"/>
      <c r="Z56" s="4505"/>
      <c r="AA56" s="4505"/>
      <c r="AB56" s="4547" t="s">
        <v>8778</v>
      </c>
      <c r="AC56" s="4511" t="s">
        <v>8904</v>
      </c>
      <c r="AD56" s="4512"/>
      <c r="AE56" s="4512"/>
      <c r="AF56" s="4512"/>
      <c r="AG56" s="4512"/>
      <c r="AH56" s="4512"/>
      <c r="AI56" s="4512"/>
      <c r="AJ56" s="4512"/>
      <c r="AK56" s="4512"/>
      <c r="AL56" s="4513"/>
      <c r="AM56" s="12"/>
      <c r="AN56" s="4542"/>
      <c r="AO56" s="4526"/>
      <c r="AP56" s="4526"/>
      <c r="AQ56" s="4526"/>
      <c r="AR56" s="4526"/>
      <c r="AS56" s="4526"/>
      <c r="AT56" s="4526"/>
      <c r="AU56" s="4526"/>
      <c r="AV56" s="4526"/>
      <c r="AW56" s="4526"/>
      <c r="AX56" s="4526"/>
      <c r="AY56" s="12"/>
      <c r="AZ56" s="4539"/>
      <c r="BA56" s="4501"/>
      <c r="BB56" s="4501"/>
      <c r="BC56" s="4501"/>
      <c r="BD56" s="4501"/>
      <c r="BE56" s="4501"/>
      <c r="BF56" s="4501"/>
      <c r="BG56" s="4501"/>
      <c r="BH56" s="4501"/>
      <c r="BI56" s="4501"/>
      <c r="BJ56" s="4501"/>
    </row>
    <row r="57" spans="4:62" ht="21.9" customHeight="1">
      <c r="D57" s="4534" t="s">
        <v>8905</v>
      </c>
      <c r="E57" s="4534"/>
      <c r="F57" s="4534"/>
      <c r="G57" s="4534" t="s">
        <v>8906</v>
      </c>
      <c r="H57" s="4534"/>
      <c r="I57" s="4534"/>
      <c r="J57" s="4534"/>
      <c r="K57" s="4534"/>
      <c r="L57" s="4534"/>
      <c r="M57" s="4534"/>
      <c r="N57" s="4534"/>
      <c r="O57" s="12"/>
      <c r="Q57" s="4551" t="s">
        <v>8907</v>
      </c>
      <c r="R57" s="4551"/>
      <c r="S57" s="4551"/>
      <c r="T57" s="4551"/>
      <c r="U57" s="4551"/>
      <c r="V57" s="4551"/>
      <c r="W57" s="4551"/>
      <c r="X57" s="4551"/>
      <c r="Y57" s="4551"/>
      <c r="Z57" s="4551"/>
      <c r="AA57" s="4551"/>
      <c r="AB57" s="4548"/>
      <c r="AC57" s="4514"/>
      <c r="AD57" s="4515"/>
      <c r="AE57" s="4515"/>
      <c r="AF57" s="4515"/>
      <c r="AG57" s="4515"/>
      <c r="AH57" s="4515"/>
      <c r="AI57" s="4515"/>
      <c r="AJ57" s="4515"/>
      <c r="AK57" s="4515"/>
      <c r="AL57" s="4516"/>
      <c r="AM57" s="12"/>
      <c r="AN57" s="4542"/>
      <c r="AO57" s="4526"/>
      <c r="AP57" s="4526"/>
      <c r="AQ57" s="4526"/>
      <c r="AR57" s="4526"/>
      <c r="AS57" s="4526"/>
      <c r="AT57" s="4526"/>
      <c r="AU57" s="4526"/>
      <c r="AV57" s="4526"/>
      <c r="AW57" s="4526"/>
      <c r="AX57" s="4526"/>
      <c r="AY57" s="12"/>
      <c r="AZ57" s="4539"/>
      <c r="BA57" s="4501"/>
      <c r="BB57" s="4501"/>
      <c r="BC57" s="4501"/>
      <c r="BD57" s="4501"/>
      <c r="BE57" s="4501"/>
      <c r="BF57" s="4501"/>
      <c r="BG57" s="4501"/>
      <c r="BH57" s="4501"/>
      <c r="BI57" s="4501"/>
      <c r="BJ57" s="4501"/>
    </row>
    <row r="58" spans="4:62" ht="21.9" customHeight="1">
      <c r="D58" s="4534" t="s">
        <v>8908</v>
      </c>
      <c r="E58" s="4534"/>
      <c r="F58" s="4534"/>
      <c r="G58" s="4534" t="s">
        <v>8909</v>
      </c>
      <c r="H58" s="4534"/>
      <c r="I58" s="4534"/>
      <c r="J58" s="4534"/>
      <c r="K58" s="4534"/>
      <c r="L58" s="4534"/>
      <c r="M58" s="4534"/>
      <c r="N58" s="4534"/>
      <c r="O58" s="12"/>
      <c r="Q58" s="4542" t="s">
        <v>8778</v>
      </c>
      <c r="R58" s="4505" t="s">
        <v>8910</v>
      </c>
      <c r="S58" s="4505"/>
      <c r="T58" s="4505"/>
      <c r="U58" s="4505"/>
      <c r="V58" s="4505"/>
      <c r="W58" s="4505"/>
      <c r="X58" s="4505"/>
      <c r="Y58" s="4505"/>
      <c r="Z58" s="4505"/>
      <c r="AA58" s="4505"/>
      <c r="AB58" s="4548"/>
      <c r="AC58" s="4514"/>
      <c r="AD58" s="4515"/>
      <c r="AE58" s="4515"/>
      <c r="AF58" s="4515"/>
      <c r="AG58" s="4515"/>
      <c r="AH58" s="4515"/>
      <c r="AI58" s="4515"/>
      <c r="AJ58" s="4515"/>
      <c r="AK58" s="4515"/>
      <c r="AL58" s="4516"/>
      <c r="AM58" s="12"/>
      <c r="AN58" s="4542"/>
      <c r="AO58" s="4509" t="s">
        <v>8911</v>
      </c>
      <c r="AP58" s="4509"/>
      <c r="AQ58" s="4509"/>
      <c r="AR58" s="4509"/>
      <c r="AS58" s="4509"/>
      <c r="AT58" s="4509"/>
      <c r="AU58" s="4509"/>
      <c r="AV58" s="4509"/>
      <c r="AW58" s="4509"/>
      <c r="AX58" s="4509"/>
      <c r="AY58" s="12"/>
      <c r="AZ58" s="4539"/>
      <c r="BA58" s="4501"/>
      <c r="BB58" s="4501"/>
      <c r="BC58" s="4501"/>
      <c r="BD58" s="4501"/>
      <c r="BE58" s="4501"/>
      <c r="BF58" s="4501"/>
      <c r="BG58" s="4501"/>
      <c r="BH58" s="4501"/>
      <c r="BI58" s="4501"/>
      <c r="BJ58" s="4501"/>
    </row>
    <row r="59" spans="4:62" ht="21.9" customHeight="1">
      <c r="D59" s="4534" t="s">
        <v>8912</v>
      </c>
      <c r="E59" s="4534"/>
      <c r="F59" s="4534"/>
      <c r="G59" s="4534"/>
      <c r="H59" s="4534"/>
      <c r="I59" s="4534"/>
      <c r="J59" s="4534"/>
      <c r="K59" s="4534"/>
      <c r="L59" s="4534"/>
      <c r="M59" s="4534"/>
      <c r="N59" s="4534"/>
      <c r="O59" s="12"/>
      <c r="Q59" s="4542"/>
      <c r="R59" s="4505"/>
      <c r="S59" s="4505"/>
      <c r="T59" s="4505"/>
      <c r="U59" s="4505"/>
      <c r="V59" s="4505"/>
      <c r="W59" s="4505"/>
      <c r="X59" s="4505"/>
      <c r="Y59" s="4505"/>
      <c r="Z59" s="4505"/>
      <c r="AA59" s="4505"/>
      <c r="AB59" s="4549"/>
      <c r="AC59" s="4517"/>
      <c r="AD59" s="4518"/>
      <c r="AE59" s="4518"/>
      <c r="AF59" s="4518"/>
      <c r="AG59" s="4518"/>
      <c r="AH59" s="4518"/>
      <c r="AI59" s="4518"/>
      <c r="AJ59" s="4518"/>
      <c r="AK59" s="4518"/>
      <c r="AL59" s="4519"/>
      <c r="AM59" s="12"/>
      <c r="AN59" s="4542"/>
      <c r="AO59" s="4509" t="s">
        <v>8913</v>
      </c>
      <c r="AP59" s="4509"/>
      <c r="AQ59" s="4509"/>
      <c r="AR59" s="4509"/>
      <c r="AS59" s="4509"/>
      <c r="AT59" s="4509"/>
      <c r="AU59" s="4509"/>
      <c r="AV59" s="4509"/>
      <c r="AW59" s="4509"/>
      <c r="AX59" s="4509"/>
      <c r="AY59" s="12"/>
      <c r="AZ59" s="4539"/>
      <c r="BA59" s="4501"/>
      <c r="BB59" s="4501"/>
      <c r="BC59" s="4501"/>
      <c r="BD59" s="4501"/>
      <c r="BE59" s="4501"/>
      <c r="BF59" s="4501"/>
      <c r="BG59" s="4501"/>
      <c r="BH59" s="4501"/>
      <c r="BI59" s="4501"/>
      <c r="BJ59" s="4501"/>
    </row>
    <row r="60" spans="4:62" ht="21.9" customHeight="1">
      <c r="D60" s="4534" t="s">
        <v>8914</v>
      </c>
      <c r="E60" s="4534"/>
      <c r="F60" s="4534"/>
      <c r="G60" s="4534"/>
      <c r="H60" s="4534"/>
      <c r="I60" s="4534"/>
      <c r="J60" s="4534"/>
      <c r="K60" s="4534"/>
      <c r="L60" s="4534"/>
      <c r="M60" s="4534"/>
      <c r="N60" s="4534"/>
      <c r="O60" s="12"/>
      <c r="Q60" s="4542"/>
      <c r="R60" s="4505"/>
      <c r="S60" s="4505"/>
      <c r="T60" s="4505"/>
      <c r="U60" s="4505"/>
      <c r="V60" s="4505"/>
      <c r="W60" s="4505"/>
      <c r="X60" s="4505"/>
      <c r="Y60" s="4505"/>
      <c r="Z60" s="4505"/>
      <c r="AA60" s="4505"/>
      <c r="AB60" s="4551" t="s">
        <v>8915</v>
      </c>
      <c r="AC60" s="4551"/>
      <c r="AD60" s="4551"/>
      <c r="AE60" s="4551"/>
      <c r="AF60" s="4551"/>
      <c r="AG60" s="4551"/>
      <c r="AH60" s="4551"/>
      <c r="AI60" s="4551"/>
      <c r="AJ60" s="4551"/>
      <c r="AK60" s="4551"/>
      <c r="AL60" s="4551"/>
      <c r="AM60" s="12"/>
      <c r="AN60" s="4542"/>
      <c r="AO60" s="4501" t="s">
        <v>8916</v>
      </c>
      <c r="AP60" s="4501"/>
      <c r="AQ60" s="4501"/>
      <c r="AR60" s="4501"/>
      <c r="AS60" s="4501"/>
      <c r="AT60" s="4501"/>
      <c r="AU60" s="4501"/>
      <c r="AV60" s="4501"/>
      <c r="AW60" s="4501"/>
      <c r="AX60" s="4501"/>
      <c r="AY60" s="12"/>
      <c r="AZ60" s="4539"/>
      <c r="BA60" s="4501"/>
      <c r="BB60" s="4501"/>
      <c r="BC60" s="4501"/>
      <c r="BD60" s="4501"/>
      <c r="BE60" s="4501"/>
      <c r="BF60" s="4501"/>
      <c r="BG60" s="4501"/>
      <c r="BH60" s="4501"/>
      <c r="BI60" s="4501"/>
      <c r="BJ60" s="4501"/>
    </row>
    <row r="61" spans="4:62" ht="21.9" customHeight="1">
      <c r="D61" s="4534" t="s">
        <v>8917</v>
      </c>
      <c r="E61" s="4534"/>
      <c r="F61" s="4534"/>
      <c r="G61" s="4534" t="s">
        <v>8918</v>
      </c>
      <c r="H61" s="4534"/>
      <c r="I61" s="4534"/>
      <c r="J61" s="4534"/>
      <c r="K61" s="4534"/>
      <c r="L61" s="4534"/>
      <c r="M61" s="4534"/>
      <c r="N61" s="4534"/>
      <c r="O61" s="12"/>
      <c r="Q61" s="4542"/>
      <c r="R61" s="4505"/>
      <c r="S61" s="4505"/>
      <c r="T61" s="4505"/>
      <c r="U61" s="4505"/>
      <c r="V61" s="4505"/>
      <c r="W61" s="4505"/>
      <c r="X61" s="4505"/>
      <c r="Y61" s="4505"/>
      <c r="Z61" s="4505"/>
      <c r="AA61" s="4505"/>
      <c r="AB61" s="4542" t="s">
        <v>8778</v>
      </c>
      <c r="AC61" s="4505" t="s">
        <v>8919</v>
      </c>
      <c r="AD61" s="4505"/>
      <c r="AE61" s="4505"/>
      <c r="AF61" s="4505"/>
      <c r="AG61" s="4505"/>
      <c r="AH61" s="4505"/>
      <c r="AI61" s="4505"/>
      <c r="AJ61" s="4505"/>
      <c r="AK61" s="4505"/>
      <c r="AL61" s="4505"/>
      <c r="AM61" s="12"/>
      <c r="AN61" s="4542"/>
      <c r="AO61" s="4501"/>
      <c r="AP61" s="4501"/>
      <c r="AQ61" s="4501"/>
      <c r="AR61" s="4501"/>
      <c r="AS61" s="4501"/>
      <c r="AT61" s="4501"/>
      <c r="AU61" s="4501"/>
      <c r="AV61" s="4501"/>
      <c r="AW61" s="4501"/>
      <c r="AX61" s="4501"/>
      <c r="AY61" s="12"/>
      <c r="AZ61" s="4539" t="s">
        <v>8920</v>
      </c>
      <c r="BA61" s="4501" t="s">
        <v>8921</v>
      </c>
      <c r="BB61" s="4501"/>
      <c r="BC61" s="4501"/>
      <c r="BD61" s="4501"/>
      <c r="BE61" s="4501"/>
      <c r="BF61" s="4501"/>
      <c r="BG61" s="4501"/>
      <c r="BH61" s="4501"/>
      <c r="BI61" s="4501"/>
      <c r="BJ61" s="4501"/>
    </row>
    <row r="62" spans="4:62" ht="21.9" customHeight="1">
      <c r="D62" s="4534" t="s">
        <v>8922</v>
      </c>
      <c r="E62" s="4534"/>
      <c r="F62" s="4534"/>
      <c r="G62" s="4534"/>
      <c r="H62" s="4534"/>
      <c r="I62" s="4534"/>
      <c r="J62" s="4534"/>
      <c r="K62" s="4534"/>
      <c r="L62" s="4534"/>
      <c r="M62" s="4534"/>
      <c r="N62" s="4534"/>
      <c r="O62" s="12"/>
      <c r="Q62" s="4542" t="s">
        <v>321</v>
      </c>
      <c r="R62" s="4505" t="s">
        <v>8923</v>
      </c>
      <c r="S62" s="4505"/>
      <c r="T62" s="4505"/>
      <c r="U62" s="4505"/>
      <c r="V62" s="4505"/>
      <c r="W62" s="4505"/>
      <c r="X62" s="4505"/>
      <c r="Y62" s="4505"/>
      <c r="Z62" s="4505"/>
      <c r="AA62" s="4505"/>
      <c r="AB62" s="4542"/>
      <c r="AC62" s="4505"/>
      <c r="AD62" s="4505"/>
      <c r="AE62" s="4505"/>
      <c r="AF62" s="4505"/>
      <c r="AG62" s="4505"/>
      <c r="AH62" s="4505"/>
      <c r="AI62" s="4505"/>
      <c r="AJ62" s="4505"/>
      <c r="AK62" s="4505"/>
      <c r="AL62" s="4505"/>
      <c r="AM62" s="12"/>
      <c r="AN62" s="4542"/>
      <c r="AO62" s="4501"/>
      <c r="AP62" s="4501"/>
      <c r="AQ62" s="4501"/>
      <c r="AR62" s="4501"/>
      <c r="AS62" s="4501"/>
      <c r="AT62" s="4501"/>
      <c r="AU62" s="4501"/>
      <c r="AV62" s="4501"/>
      <c r="AW62" s="4501"/>
      <c r="AX62" s="4501"/>
      <c r="AY62" s="12"/>
      <c r="AZ62" s="4539"/>
      <c r="BA62" s="4501" t="s">
        <v>8924</v>
      </c>
      <c r="BB62" s="4501"/>
      <c r="BC62" s="4501"/>
      <c r="BD62" s="4501"/>
      <c r="BE62" s="4501"/>
      <c r="BF62" s="4501"/>
      <c r="BG62" s="4501"/>
      <c r="BH62" s="4501"/>
      <c r="BI62" s="4501"/>
      <c r="BJ62" s="4501"/>
    </row>
    <row r="63" spans="4:62" ht="21.9" customHeight="1">
      <c r="D63" s="4534"/>
      <c r="E63" s="4534"/>
      <c r="F63" s="4534"/>
      <c r="G63" s="4534"/>
      <c r="H63" s="4534"/>
      <c r="I63" s="4534"/>
      <c r="J63" s="4534"/>
      <c r="K63" s="4534"/>
      <c r="L63" s="4534"/>
      <c r="M63" s="4534"/>
      <c r="N63" s="4534"/>
      <c r="O63" s="12"/>
      <c r="Q63" s="4542"/>
      <c r="R63" s="4505"/>
      <c r="S63" s="4505"/>
      <c r="T63" s="4505"/>
      <c r="U63" s="4505"/>
      <c r="V63" s="4505"/>
      <c r="W63" s="4505"/>
      <c r="X63" s="4505"/>
      <c r="Y63" s="4505"/>
      <c r="Z63" s="4505"/>
      <c r="AA63" s="4505"/>
      <c r="AB63" s="4542"/>
      <c r="AC63" s="4505"/>
      <c r="AD63" s="4505"/>
      <c r="AE63" s="4505"/>
      <c r="AF63" s="4505"/>
      <c r="AG63" s="4505"/>
      <c r="AH63" s="4505"/>
      <c r="AI63" s="4505"/>
      <c r="AJ63" s="4505"/>
      <c r="AK63" s="4505"/>
      <c r="AL63" s="4505"/>
      <c r="AM63" s="12"/>
      <c r="AN63" s="4540" t="s">
        <v>8810</v>
      </c>
      <c r="AO63" s="4501" t="s">
        <v>8925</v>
      </c>
      <c r="AP63" s="4501"/>
      <c r="AQ63" s="4501"/>
      <c r="AR63" s="4501"/>
      <c r="AS63" s="4501"/>
      <c r="AT63" s="4501"/>
      <c r="AU63" s="4501"/>
      <c r="AV63" s="4501"/>
      <c r="AW63" s="4501"/>
      <c r="AX63" s="4501"/>
      <c r="AY63" s="12"/>
      <c r="AZ63" s="4539"/>
      <c r="BA63" s="4501"/>
      <c r="BB63" s="4501"/>
      <c r="BC63" s="4501"/>
      <c r="BD63" s="4501"/>
      <c r="BE63" s="4501"/>
      <c r="BF63" s="4501"/>
      <c r="BG63" s="4501"/>
      <c r="BH63" s="4501"/>
      <c r="BI63" s="4501"/>
      <c r="BJ63" s="4501"/>
    </row>
    <row r="64" spans="4:62" ht="21.9" customHeight="1">
      <c r="O64" s="12"/>
      <c r="Q64" s="4542"/>
      <c r="R64" s="4505"/>
      <c r="S64" s="4505"/>
      <c r="T64" s="4505"/>
      <c r="U64" s="4505"/>
      <c r="V64" s="4505"/>
      <c r="W64" s="4505"/>
      <c r="X64" s="4505"/>
      <c r="Y64" s="4505"/>
      <c r="Z64" s="4505"/>
      <c r="AA64" s="4505"/>
      <c r="AB64" s="4542"/>
      <c r="AC64" s="4505"/>
      <c r="AD64" s="4505"/>
      <c r="AE64" s="4505"/>
      <c r="AF64" s="4505"/>
      <c r="AG64" s="4505"/>
      <c r="AH64" s="4505"/>
      <c r="AI64" s="4505"/>
      <c r="AJ64" s="4505"/>
      <c r="AK64" s="4505"/>
      <c r="AL64" s="4505"/>
      <c r="AM64" s="12"/>
      <c r="AN64" s="4540"/>
      <c r="AO64" s="4501"/>
      <c r="AP64" s="4501"/>
      <c r="AQ64" s="4501"/>
      <c r="AR64" s="4501"/>
      <c r="AS64" s="4501"/>
      <c r="AT64" s="4501"/>
      <c r="AU64" s="4501"/>
      <c r="AV64" s="4501"/>
      <c r="AW64" s="4501"/>
      <c r="AX64" s="4501"/>
      <c r="AY64" s="12"/>
      <c r="AZ64" s="4539"/>
      <c r="BA64" s="4501" t="s">
        <v>8926</v>
      </c>
      <c r="BB64" s="4501"/>
      <c r="BC64" s="4501"/>
      <c r="BD64" s="4501"/>
      <c r="BE64" s="4501"/>
      <c r="BF64" s="4501"/>
      <c r="BG64" s="4501"/>
      <c r="BH64" s="4501"/>
      <c r="BI64" s="4501"/>
      <c r="BJ64" s="4501"/>
    </row>
    <row r="65" spans="15:62" ht="21.9" customHeight="1">
      <c r="O65" s="12"/>
      <c r="Q65" s="4542"/>
      <c r="R65" s="4505"/>
      <c r="S65" s="4505"/>
      <c r="T65" s="4505"/>
      <c r="U65" s="4505"/>
      <c r="V65" s="4505"/>
      <c r="W65" s="4505"/>
      <c r="X65" s="4505"/>
      <c r="Y65" s="4505"/>
      <c r="Z65" s="4505"/>
      <c r="AA65" s="4505"/>
      <c r="AB65" s="4542" t="s">
        <v>321</v>
      </c>
      <c r="AC65" s="4505" t="s">
        <v>8927</v>
      </c>
      <c r="AD65" s="4505"/>
      <c r="AE65" s="4505"/>
      <c r="AF65" s="4505"/>
      <c r="AG65" s="4505"/>
      <c r="AH65" s="4505"/>
      <c r="AI65" s="4505"/>
      <c r="AJ65" s="4505"/>
      <c r="AK65" s="4505"/>
      <c r="AL65" s="4505"/>
      <c r="AM65" s="12"/>
      <c r="AN65" s="4540"/>
      <c r="AO65" s="4501"/>
      <c r="AP65" s="4501"/>
      <c r="AQ65" s="4501"/>
      <c r="AR65" s="4501"/>
      <c r="AS65" s="4501"/>
      <c r="AT65" s="4501"/>
      <c r="AU65" s="4501"/>
      <c r="AV65" s="4501"/>
      <c r="AW65" s="4501"/>
      <c r="AX65" s="4501"/>
      <c r="AY65" s="12"/>
      <c r="AZ65" s="4539"/>
      <c r="BA65" s="4501"/>
      <c r="BB65" s="4501"/>
      <c r="BC65" s="4501"/>
      <c r="BD65" s="4501"/>
      <c r="BE65" s="4501"/>
      <c r="BF65" s="4501"/>
      <c r="BG65" s="4501"/>
      <c r="BH65" s="4501"/>
      <c r="BI65" s="4501"/>
      <c r="BJ65" s="4501"/>
    </row>
    <row r="66" spans="15:62" ht="21.9" customHeight="1">
      <c r="O66" s="12"/>
      <c r="Q66" s="4551" t="s">
        <v>8928</v>
      </c>
      <c r="R66" s="4551"/>
      <c r="S66" s="4551"/>
      <c r="T66" s="4551"/>
      <c r="U66" s="4551"/>
      <c r="V66" s="4551"/>
      <c r="W66" s="4551"/>
      <c r="X66" s="4551"/>
      <c r="Y66" s="4551"/>
      <c r="Z66" s="4551"/>
      <c r="AA66" s="4551"/>
      <c r="AB66" s="4542"/>
      <c r="AC66" s="4505"/>
      <c r="AD66" s="4505"/>
      <c r="AE66" s="4505"/>
      <c r="AF66" s="4505"/>
      <c r="AG66" s="4505"/>
      <c r="AH66" s="4505"/>
      <c r="AI66" s="4505"/>
      <c r="AJ66" s="4505"/>
      <c r="AK66" s="4505"/>
      <c r="AL66" s="4505"/>
      <c r="AM66" s="12"/>
      <c r="AN66" s="17" t="s">
        <v>8929</v>
      </c>
      <c r="AO66" s="4501" t="s">
        <v>8930</v>
      </c>
      <c r="AP66" s="4501"/>
      <c r="AQ66" s="4501"/>
      <c r="AR66" s="4501"/>
      <c r="AS66" s="4501"/>
      <c r="AT66" s="4501"/>
      <c r="AU66" s="4501"/>
      <c r="AV66" s="4501"/>
      <c r="AW66" s="4501"/>
      <c r="AX66" s="4501"/>
      <c r="AY66" s="12"/>
      <c r="AZ66" s="4539"/>
      <c r="BA66" s="4501"/>
      <c r="BB66" s="4501"/>
      <c r="BC66" s="4501"/>
      <c r="BD66" s="4501"/>
      <c r="BE66" s="4501"/>
      <c r="BF66" s="4501"/>
      <c r="BG66" s="4501"/>
      <c r="BH66" s="4501"/>
      <c r="BI66" s="4501"/>
      <c r="BJ66" s="4501"/>
    </row>
    <row r="67" spans="15:62" ht="21.9" customHeight="1">
      <c r="O67" s="12"/>
      <c r="Q67" s="4542" t="s">
        <v>8778</v>
      </c>
      <c r="R67" s="4505" t="s">
        <v>8931</v>
      </c>
      <c r="S67" s="4505"/>
      <c r="T67" s="4505"/>
      <c r="U67" s="4505"/>
      <c r="V67" s="4505"/>
      <c r="W67" s="4505"/>
      <c r="X67" s="4505"/>
      <c r="Y67" s="4505"/>
      <c r="Z67" s="4505"/>
      <c r="AA67" s="4505"/>
      <c r="AB67" s="4542"/>
      <c r="AC67" s="4505"/>
      <c r="AD67" s="4505"/>
      <c r="AE67" s="4505"/>
      <c r="AF67" s="4505"/>
      <c r="AG67" s="4505"/>
      <c r="AH67" s="4505"/>
      <c r="AI67" s="4505"/>
      <c r="AJ67" s="4505"/>
      <c r="AK67" s="4505"/>
      <c r="AL67" s="4505"/>
      <c r="AM67" s="12"/>
      <c r="AN67" s="4551" t="s">
        <v>8932</v>
      </c>
      <c r="AO67" s="4551"/>
      <c r="AP67" s="4551"/>
      <c r="AQ67" s="4551"/>
      <c r="AR67" s="4551"/>
      <c r="AS67" s="4551"/>
      <c r="AT67" s="4551"/>
      <c r="AU67" s="4551"/>
      <c r="AV67" s="4551"/>
      <c r="AW67" s="4551"/>
      <c r="AX67" s="4551"/>
      <c r="AY67" s="12"/>
      <c r="AZ67" s="4539"/>
      <c r="BA67" s="4501" t="s">
        <v>8933</v>
      </c>
      <c r="BB67" s="4501"/>
      <c r="BC67" s="4501"/>
      <c r="BD67" s="4501"/>
      <c r="BE67" s="4501"/>
      <c r="BF67" s="4501"/>
      <c r="BG67" s="4501"/>
      <c r="BH67" s="4501"/>
      <c r="BI67" s="4501"/>
      <c r="BJ67" s="4501"/>
    </row>
    <row r="68" spans="15:62" ht="21.9" customHeight="1">
      <c r="O68" s="12"/>
      <c r="Q68" s="4542"/>
      <c r="R68" s="4505"/>
      <c r="S68" s="4505"/>
      <c r="T68" s="4505"/>
      <c r="U68" s="4505"/>
      <c r="V68" s="4505"/>
      <c r="W68" s="4505"/>
      <c r="X68" s="4505"/>
      <c r="Y68" s="4505"/>
      <c r="Z68" s="4505"/>
      <c r="AA68" s="4505"/>
      <c r="AB68" s="4542"/>
      <c r="AC68" s="4505"/>
      <c r="AD68" s="4505"/>
      <c r="AE68" s="4505"/>
      <c r="AF68" s="4505"/>
      <c r="AG68" s="4505"/>
      <c r="AH68" s="4505"/>
      <c r="AI68" s="4505"/>
      <c r="AJ68" s="4505"/>
      <c r="AK68" s="4505"/>
      <c r="AL68" s="4505"/>
      <c r="AM68" s="12"/>
      <c r="AN68" s="4562" t="s">
        <v>8781</v>
      </c>
      <c r="AO68" s="4509" t="s">
        <v>8934</v>
      </c>
      <c r="AP68" s="4509"/>
      <c r="AQ68" s="4509"/>
      <c r="AR68" s="4509"/>
      <c r="AS68" s="4509"/>
      <c r="AT68" s="4509"/>
      <c r="AU68" s="4509"/>
      <c r="AV68" s="4509"/>
      <c r="AW68" s="4509"/>
      <c r="AX68" s="4509"/>
      <c r="AY68" s="12"/>
      <c r="AZ68" s="4539"/>
      <c r="BA68" s="4501"/>
      <c r="BB68" s="4501"/>
      <c r="BC68" s="4501"/>
      <c r="BD68" s="4501"/>
      <c r="BE68" s="4501"/>
      <c r="BF68" s="4501"/>
      <c r="BG68" s="4501"/>
      <c r="BH68" s="4501"/>
      <c r="BI68" s="4501"/>
      <c r="BJ68" s="4501"/>
    </row>
    <row r="69" spans="15:62" ht="21.9" customHeight="1">
      <c r="O69" s="12"/>
      <c r="Q69" s="4542"/>
      <c r="R69" s="4505"/>
      <c r="S69" s="4505"/>
      <c r="T69" s="4505"/>
      <c r="U69" s="4505"/>
      <c r="V69" s="4505"/>
      <c r="W69" s="4505"/>
      <c r="X69" s="4505"/>
      <c r="Y69" s="4505"/>
      <c r="Z69" s="4505"/>
      <c r="AA69" s="4505"/>
      <c r="AB69" s="4551" t="s">
        <v>8935</v>
      </c>
      <c r="AC69" s="4551"/>
      <c r="AD69" s="4551"/>
      <c r="AE69" s="4551"/>
      <c r="AF69" s="4551"/>
      <c r="AG69" s="4551"/>
      <c r="AH69" s="4551"/>
      <c r="AI69" s="4551"/>
      <c r="AJ69" s="4551"/>
      <c r="AK69" s="4551"/>
      <c r="AL69" s="4551"/>
      <c r="AM69" s="12"/>
      <c r="AN69" s="4562"/>
      <c r="AO69" s="4509" t="s">
        <v>8936</v>
      </c>
      <c r="AP69" s="4509"/>
      <c r="AQ69" s="4509"/>
      <c r="AR69" s="4509"/>
      <c r="AS69" s="4509"/>
      <c r="AT69" s="4509"/>
      <c r="AU69" s="4509"/>
      <c r="AV69" s="4509"/>
      <c r="AW69" s="4509"/>
      <c r="AX69" s="4509"/>
      <c r="AY69" s="12"/>
      <c r="AZ69" s="4539"/>
      <c r="BA69" s="4501"/>
      <c r="BB69" s="4501"/>
      <c r="BC69" s="4501"/>
      <c r="BD69" s="4501"/>
      <c r="BE69" s="4501"/>
      <c r="BF69" s="4501"/>
      <c r="BG69" s="4501"/>
      <c r="BH69" s="4501"/>
      <c r="BI69" s="4501"/>
      <c r="BJ69" s="4501"/>
    </row>
    <row r="70" spans="15:62" ht="21.9" customHeight="1">
      <c r="O70" s="12"/>
      <c r="Q70" s="4542"/>
      <c r="R70" s="4505"/>
      <c r="S70" s="4505"/>
      <c r="T70" s="4505"/>
      <c r="U70" s="4505"/>
      <c r="V70" s="4505"/>
      <c r="W70" s="4505"/>
      <c r="X70" s="4505"/>
      <c r="Y70" s="4505"/>
      <c r="Z70" s="4505"/>
      <c r="AA70" s="4505"/>
      <c r="AB70" s="4542" t="s">
        <v>8778</v>
      </c>
      <c r="AC70" s="4505" t="s">
        <v>8937</v>
      </c>
      <c r="AD70" s="4505"/>
      <c r="AE70" s="4505"/>
      <c r="AF70" s="4505"/>
      <c r="AG70" s="4505"/>
      <c r="AH70" s="4505"/>
      <c r="AI70" s="4505"/>
      <c r="AJ70" s="4505"/>
      <c r="AK70" s="4505"/>
      <c r="AL70" s="4505"/>
      <c r="AM70" s="12"/>
      <c r="AN70" s="4562"/>
      <c r="AO70" s="4509" t="s">
        <v>8938</v>
      </c>
      <c r="AP70" s="4509"/>
      <c r="AQ70" s="4509"/>
      <c r="AR70" s="4509"/>
      <c r="AS70" s="4509"/>
      <c r="AT70" s="4509"/>
      <c r="AU70" s="4509"/>
      <c r="AV70" s="4509"/>
      <c r="AW70" s="4509"/>
      <c r="AX70" s="4509"/>
      <c r="AY70" s="12"/>
      <c r="AZ70" s="4539"/>
      <c r="BA70" s="4501"/>
      <c r="BB70" s="4501"/>
      <c r="BC70" s="4501"/>
      <c r="BD70" s="4501"/>
      <c r="BE70" s="4501"/>
      <c r="BF70" s="4501"/>
      <c r="BG70" s="4501"/>
      <c r="BH70" s="4501"/>
      <c r="BI70" s="4501"/>
      <c r="BJ70" s="4501"/>
    </row>
    <row r="71" spans="15:62" ht="21.9" customHeight="1">
      <c r="O71" s="12"/>
      <c r="Q71" s="4542" t="s">
        <v>321</v>
      </c>
      <c r="R71" s="4505" t="s">
        <v>8923</v>
      </c>
      <c r="S71" s="4505"/>
      <c r="T71" s="4505"/>
      <c r="U71" s="4505"/>
      <c r="V71" s="4505"/>
      <c r="W71" s="4505"/>
      <c r="X71" s="4505"/>
      <c r="Y71" s="4505"/>
      <c r="Z71" s="4505"/>
      <c r="AA71" s="4505"/>
      <c r="AB71" s="4542"/>
      <c r="AC71" s="4505"/>
      <c r="AD71" s="4505"/>
      <c r="AE71" s="4505"/>
      <c r="AF71" s="4505"/>
      <c r="AG71" s="4505"/>
      <c r="AH71" s="4505"/>
      <c r="AI71" s="4505"/>
      <c r="AJ71" s="4505"/>
      <c r="AK71" s="4505"/>
      <c r="AL71" s="4505"/>
      <c r="AM71" s="12"/>
      <c r="AN71" s="18" t="s">
        <v>8929</v>
      </c>
      <c r="AO71" s="4509" t="s">
        <v>8939</v>
      </c>
      <c r="AP71" s="4509"/>
      <c r="AQ71" s="4509"/>
      <c r="AR71" s="4509"/>
      <c r="AS71" s="4509"/>
      <c r="AT71" s="4509"/>
      <c r="AU71" s="4509"/>
      <c r="AV71" s="4509"/>
      <c r="AW71" s="4509"/>
      <c r="AX71" s="4509"/>
      <c r="AY71" s="12"/>
      <c r="AZ71" s="4539"/>
      <c r="BA71" s="4501"/>
      <c r="BB71" s="4501"/>
      <c r="BC71" s="4501"/>
      <c r="BD71" s="4501"/>
      <c r="BE71" s="4501"/>
      <c r="BF71" s="4501"/>
      <c r="BG71" s="4501"/>
      <c r="BH71" s="4501"/>
      <c r="BI71" s="4501"/>
      <c r="BJ71" s="4501"/>
    </row>
    <row r="72" spans="15:62" ht="21.9" customHeight="1">
      <c r="O72" s="12"/>
      <c r="Q72" s="4542"/>
      <c r="R72" s="4505"/>
      <c r="S72" s="4505"/>
      <c r="T72" s="4505"/>
      <c r="U72" s="4505"/>
      <c r="V72" s="4505"/>
      <c r="W72" s="4505"/>
      <c r="X72" s="4505"/>
      <c r="Y72" s="4505"/>
      <c r="Z72" s="4505"/>
      <c r="AA72" s="4505"/>
      <c r="AB72" s="4542"/>
      <c r="AC72" s="4505"/>
      <c r="AD72" s="4505"/>
      <c r="AE72" s="4505"/>
      <c r="AF72" s="4505"/>
      <c r="AG72" s="4505"/>
      <c r="AH72" s="4505"/>
      <c r="AI72" s="4505"/>
      <c r="AJ72" s="4505"/>
      <c r="AK72" s="4505"/>
      <c r="AL72" s="4505"/>
      <c r="AM72" s="12"/>
      <c r="AN72" s="4539" t="s">
        <v>321</v>
      </c>
      <c r="AO72" s="4504"/>
      <c r="AP72" s="4504"/>
      <c r="AQ72" s="4504"/>
      <c r="AR72" s="4504"/>
      <c r="AS72" s="4504"/>
      <c r="AT72" s="4504"/>
      <c r="AU72" s="4504"/>
      <c r="AV72" s="4504"/>
      <c r="AW72" s="4504"/>
      <c r="AX72" s="4504"/>
      <c r="AY72" s="12"/>
      <c r="AZ72" s="4539"/>
      <c r="BA72" s="4501"/>
      <c r="BB72" s="4501"/>
      <c r="BC72" s="4501"/>
      <c r="BD72" s="4501"/>
      <c r="BE72" s="4501"/>
      <c r="BF72" s="4501"/>
      <c r="BG72" s="4501"/>
      <c r="BH72" s="4501"/>
      <c r="BI72" s="4501"/>
      <c r="BJ72" s="4501"/>
    </row>
    <row r="73" spans="15:62" ht="21.9" customHeight="1">
      <c r="O73" s="12"/>
      <c r="Q73" s="4542"/>
      <c r="R73" s="4505"/>
      <c r="S73" s="4505"/>
      <c r="T73" s="4505"/>
      <c r="U73" s="4505"/>
      <c r="V73" s="4505"/>
      <c r="W73" s="4505"/>
      <c r="X73" s="4505"/>
      <c r="Y73" s="4505"/>
      <c r="Z73" s="4505"/>
      <c r="AA73" s="4505"/>
      <c r="AB73" s="4542"/>
      <c r="AC73" s="4505"/>
      <c r="AD73" s="4505"/>
      <c r="AE73" s="4505"/>
      <c r="AF73" s="4505"/>
      <c r="AG73" s="4505"/>
      <c r="AH73" s="4505"/>
      <c r="AI73" s="4505"/>
      <c r="AJ73" s="4505"/>
      <c r="AK73" s="4505"/>
      <c r="AL73" s="4505"/>
      <c r="AM73" s="12"/>
      <c r="AN73" s="4539"/>
      <c r="AO73" s="4504"/>
      <c r="AP73" s="4504"/>
      <c r="AQ73" s="4504"/>
      <c r="AR73" s="4504"/>
      <c r="AS73" s="4504"/>
      <c r="AT73" s="4504"/>
      <c r="AU73" s="4504"/>
      <c r="AV73" s="4504"/>
      <c r="AW73" s="4504"/>
      <c r="AX73" s="4504"/>
      <c r="AY73" s="12"/>
      <c r="AZ73" s="4539"/>
      <c r="BA73" s="4501"/>
      <c r="BB73" s="4501"/>
      <c r="BC73" s="4501"/>
      <c r="BD73" s="4501"/>
      <c r="BE73" s="4501"/>
      <c r="BF73" s="4501"/>
      <c r="BG73" s="4501"/>
      <c r="BH73" s="4501"/>
      <c r="BI73" s="4501"/>
      <c r="BJ73" s="4501"/>
    </row>
    <row r="74" spans="15:62" ht="21.9" customHeight="1">
      <c r="O74" s="12"/>
      <c r="Q74" s="4542"/>
      <c r="R74" s="4505"/>
      <c r="S74" s="4505"/>
      <c r="T74" s="4505"/>
      <c r="U74" s="4505"/>
      <c r="V74" s="4505"/>
      <c r="W74" s="4505"/>
      <c r="X74" s="4505"/>
      <c r="Y74" s="4505"/>
      <c r="Z74" s="4505"/>
      <c r="AA74" s="4505"/>
      <c r="AB74" s="4542" t="s">
        <v>321</v>
      </c>
      <c r="AC74" s="4505" t="s">
        <v>8940</v>
      </c>
      <c r="AD74" s="4505"/>
      <c r="AE74" s="4505"/>
      <c r="AF74" s="4505"/>
      <c r="AG74" s="4505"/>
      <c r="AH74" s="4505"/>
      <c r="AI74" s="4505"/>
      <c r="AJ74" s="4505"/>
      <c r="AK74" s="4505"/>
      <c r="AL74" s="4505"/>
      <c r="AM74" s="12"/>
      <c r="AN74" s="4551" t="s">
        <v>8941</v>
      </c>
      <c r="AO74" s="4551"/>
      <c r="AP74" s="4551"/>
      <c r="AQ74" s="4551"/>
      <c r="AR74" s="4551"/>
      <c r="AS74" s="4551"/>
      <c r="AT74" s="4551"/>
      <c r="AU74" s="4551"/>
      <c r="AV74" s="4551"/>
      <c r="AW74" s="4551"/>
      <c r="AX74" s="4551"/>
      <c r="AY74" s="12"/>
      <c r="AZ74" s="4539"/>
      <c r="BA74" s="4501"/>
      <c r="BB74" s="4501"/>
      <c r="BC74" s="4501"/>
      <c r="BD74" s="4501"/>
      <c r="BE74" s="4501"/>
      <c r="BF74" s="4501"/>
      <c r="BG74" s="4501"/>
      <c r="BH74" s="4501"/>
      <c r="BI74" s="4501"/>
      <c r="BJ74" s="4501"/>
    </row>
    <row r="75" spans="15:62" ht="21.9" customHeight="1">
      <c r="O75" s="12"/>
      <c r="Q75" s="4551" t="s">
        <v>8942</v>
      </c>
      <c r="R75" s="4551"/>
      <c r="S75" s="4551"/>
      <c r="T75" s="4551"/>
      <c r="U75" s="4551"/>
      <c r="V75" s="4551"/>
      <c r="W75" s="4551"/>
      <c r="X75" s="4551"/>
      <c r="Y75" s="4551"/>
      <c r="Z75" s="4551"/>
      <c r="AA75" s="4551"/>
      <c r="AB75" s="4542"/>
      <c r="AC75" s="4505"/>
      <c r="AD75" s="4505"/>
      <c r="AE75" s="4505"/>
      <c r="AF75" s="4505"/>
      <c r="AG75" s="4505"/>
      <c r="AH75" s="4505"/>
      <c r="AI75" s="4505"/>
      <c r="AJ75" s="4505"/>
      <c r="AK75" s="4505"/>
      <c r="AL75" s="4505"/>
      <c r="AM75" s="12"/>
      <c r="AN75" s="4565" t="s">
        <v>8781</v>
      </c>
      <c r="AO75" s="4525" t="s">
        <v>8943</v>
      </c>
      <c r="AP75" s="4526"/>
      <c r="AQ75" s="4526"/>
      <c r="AR75" s="4526"/>
      <c r="AS75" s="4526"/>
      <c r="AT75" s="4526"/>
      <c r="AU75" s="4526"/>
      <c r="AV75" s="4526"/>
      <c r="AW75" s="4526"/>
      <c r="AX75" s="4526"/>
      <c r="AY75" s="12"/>
      <c r="AZ75" s="4539"/>
      <c r="BA75" s="4501"/>
      <c r="BB75" s="4501"/>
      <c r="BC75" s="4501"/>
      <c r="BD75" s="4501"/>
      <c r="BE75" s="4501"/>
      <c r="BF75" s="4501"/>
      <c r="BG75" s="4501"/>
      <c r="BH75" s="4501"/>
      <c r="BI75" s="4501"/>
      <c r="BJ75" s="4501"/>
    </row>
    <row r="76" spans="15:62" ht="21.9" customHeight="1">
      <c r="O76" s="12"/>
      <c r="Q76" s="4542" t="s">
        <v>8778</v>
      </c>
      <c r="R76" s="4505" t="s">
        <v>8944</v>
      </c>
      <c r="S76" s="4505"/>
      <c r="T76" s="4505"/>
      <c r="U76" s="4505"/>
      <c r="V76" s="4505"/>
      <c r="W76" s="4505"/>
      <c r="X76" s="4505"/>
      <c r="Y76" s="4505"/>
      <c r="Z76" s="4505"/>
      <c r="AA76" s="4505"/>
      <c r="AB76" s="4542"/>
      <c r="AC76" s="4505"/>
      <c r="AD76" s="4505"/>
      <c r="AE76" s="4505"/>
      <c r="AF76" s="4505"/>
      <c r="AG76" s="4505"/>
      <c r="AH76" s="4505"/>
      <c r="AI76" s="4505"/>
      <c r="AJ76" s="4505"/>
      <c r="AK76" s="4505"/>
      <c r="AL76" s="4505"/>
      <c r="AM76" s="12"/>
      <c r="AN76" s="4565"/>
      <c r="AO76" s="4526"/>
      <c r="AP76" s="4526"/>
      <c r="AQ76" s="4526"/>
      <c r="AR76" s="4526"/>
      <c r="AS76" s="4526"/>
      <c r="AT76" s="4526"/>
      <c r="AU76" s="4526"/>
      <c r="AV76" s="4526"/>
      <c r="AW76" s="4526"/>
      <c r="AX76" s="4526"/>
      <c r="AY76" s="12"/>
      <c r="AZ76" s="4539"/>
      <c r="BA76" s="4501"/>
      <c r="BB76" s="4501"/>
      <c r="BC76" s="4501"/>
      <c r="BD76" s="4501"/>
      <c r="BE76" s="4501"/>
      <c r="BF76" s="4501"/>
      <c r="BG76" s="4501"/>
      <c r="BH76" s="4501"/>
      <c r="BI76" s="4501"/>
      <c r="BJ76" s="4501"/>
    </row>
    <row r="77" spans="15:62" ht="21.9" customHeight="1">
      <c r="O77" s="12"/>
      <c r="Q77" s="4542"/>
      <c r="R77" s="4505"/>
      <c r="S77" s="4505"/>
      <c r="T77" s="4505"/>
      <c r="U77" s="4505"/>
      <c r="V77" s="4505"/>
      <c r="W77" s="4505"/>
      <c r="X77" s="4505"/>
      <c r="Y77" s="4505"/>
      <c r="Z77" s="4505"/>
      <c r="AA77" s="4505"/>
      <c r="AB77" s="4542"/>
      <c r="AC77" s="4505"/>
      <c r="AD77" s="4505"/>
      <c r="AE77" s="4505"/>
      <c r="AF77" s="4505"/>
      <c r="AG77" s="4505"/>
      <c r="AH77" s="4505"/>
      <c r="AI77" s="4505"/>
      <c r="AJ77" s="4505"/>
      <c r="AK77" s="4505"/>
      <c r="AL77" s="4505"/>
      <c r="AM77" s="12"/>
      <c r="AN77" s="4565"/>
      <c r="AO77" s="4526"/>
      <c r="AP77" s="4526"/>
      <c r="AQ77" s="4526"/>
      <c r="AR77" s="4526"/>
      <c r="AS77" s="4526"/>
      <c r="AT77" s="4526"/>
      <c r="AU77" s="4526"/>
      <c r="AV77" s="4526"/>
      <c r="AW77" s="4526"/>
      <c r="AX77" s="4526"/>
      <c r="AY77" s="12"/>
      <c r="AZ77" s="4539"/>
      <c r="BA77" s="4501"/>
      <c r="BB77" s="4501"/>
      <c r="BC77" s="4501"/>
      <c r="BD77" s="4501"/>
      <c r="BE77" s="4501"/>
      <c r="BF77" s="4501"/>
      <c r="BG77" s="4501"/>
      <c r="BH77" s="4501"/>
      <c r="BI77" s="4501"/>
      <c r="BJ77" s="4501"/>
    </row>
    <row r="78" spans="15:62" ht="21.9" customHeight="1">
      <c r="O78" s="12"/>
      <c r="Q78" s="4542"/>
      <c r="R78" s="4505"/>
      <c r="S78" s="4505"/>
      <c r="T78" s="4505"/>
      <c r="U78" s="4505"/>
      <c r="V78" s="4505"/>
      <c r="W78" s="4505"/>
      <c r="X78" s="4505"/>
      <c r="Y78" s="4505"/>
      <c r="Z78" s="4505"/>
      <c r="AA78" s="4505"/>
      <c r="AB78" s="4551" t="s">
        <v>8945</v>
      </c>
      <c r="AC78" s="4551"/>
      <c r="AD78" s="4551"/>
      <c r="AE78" s="4551"/>
      <c r="AF78" s="4551"/>
      <c r="AG78" s="4551"/>
      <c r="AH78" s="4551"/>
      <c r="AI78" s="4551"/>
      <c r="AJ78" s="4551"/>
      <c r="AK78" s="4551"/>
      <c r="AL78" s="4551"/>
      <c r="AM78" s="12"/>
      <c r="AN78" s="4565"/>
      <c r="AO78" s="4526"/>
      <c r="AP78" s="4526"/>
      <c r="AQ78" s="4526"/>
      <c r="AR78" s="4526"/>
      <c r="AS78" s="4526"/>
      <c r="AT78" s="4526"/>
      <c r="AU78" s="4526"/>
      <c r="AV78" s="4526"/>
      <c r="AW78" s="4526"/>
      <c r="AX78" s="4526"/>
      <c r="AY78" s="12"/>
      <c r="AZ78" s="4539"/>
      <c r="BA78" s="4501"/>
      <c r="BB78" s="4501"/>
      <c r="BC78" s="4501"/>
      <c r="BD78" s="4501"/>
      <c r="BE78" s="4501"/>
      <c r="BF78" s="4501"/>
      <c r="BG78" s="4501"/>
      <c r="BH78" s="4501"/>
      <c r="BI78" s="4501"/>
      <c r="BJ78" s="4501"/>
    </row>
    <row r="79" spans="15:62" ht="21.9" customHeight="1">
      <c r="O79" s="12"/>
      <c r="Q79" s="4542"/>
      <c r="R79" s="4505"/>
      <c r="S79" s="4505"/>
      <c r="T79" s="4505"/>
      <c r="U79" s="4505"/>
      <c r="V79" s="4505"/>
      <c r="W79" s="4505"/>
      <c r="X79" s="4505"/>
      <c r="Y79" s="4505"/>
      <c r="Z79" s="4505"/>
      <c r="AA79" s="4505"/>
      <c r="AB79" s="4547" t="s">
        <v>8778</v>
      </c>
      <c r="AC79" s="4511" t="s">
        <v>8946</v>
      </c>
      <c r="AD79" s="4512"/>
      <c r="AE79" s="4512"/>
      <c r="AF79" s="4512"/>
      <c r="AG79" s="4512"/>
      <c r="AH79" s="4512"/>
      <c r="AI79" s="4512"/>
      <c r="AJ79" s="4512"/>
      <c r="AK79" s="4512"/>
      <c r="AL79" s="4513"/>
      <c r="AM79" s="12"/>
      <c r="AN79" s="4565"/>
      <c r="AO79" s="4526"/>
      <c r="AP79" s="4526"/>
      <c r="AQ79" s="4526"/>
      <c r="AR79" s="4526"/>
      <c r="AS79" s="4526"/>
      <c r="AT79" s="4526"/>
      <c r="AU79" s="4526"/>
      <c r="AV79" s="4526"/>
      <c r="AW79" s="4526"/>
      <c r="AX79" s="4526"/>
      <c r="AY79" s="12"/>
      <c r="AZ79" s="4539"/>
      <c r="BA79" s="4501" t="s">
        <v>8947</v>
      </c>
      <c r="BB79" s="4501"/>
      <c r="BC79" s="4501"/>
      <c r="BD79" s="4501"/>
      <c r="BE79" s="4501"/>
      <c r="BF79" s="4501"/>
      <c r="BG79" s="4501"/>
      <c r="BH79" s="4501"/>
      <c r="BI79" s="4501"/>
      <c r="BJ79" s="4501"/>
    </row>
    <row r="80" spans="15:62" ht="21.9" customHeight="1">
      <c r="O80" s="12"/>
      <c r="Q80" s="4542" t="s">
        <v>321</v>
      </c>
      <c r="R80" s="4505" t="s">
        <v>8948</v>
      </c>
      <c r="S80" s="4505"/>
      <c r="T80" s="4505"/>
      <c r="U80" s="4505"/>
      <c r="V80" s="4505"/>
      <c r="W80" s="4505"/>
      <c r="X80" s="4505"/>
      <c r="Y80" s="4505"/>
      <c r="Z80" s="4505"/>
      <c r="AA80" s="4505"/>
      <c r="AB80" s="4548"/>
      <c r="AC80" s="4514"/>
      <c r="AD80" s="4515"/>
      <c r="AE80" s="4515"/>
      <c r="AF80" s="4515"/>
      <c r="AG80" s="4515"/>
      <c r="AH80" s="4515"/>
      <c r="AI80" s="4515"/>
      <c r="AJ80" s="4515"/>
      <c r="AK80" s="4515"/>
      <c r="AL80" s="4516"/>
      <c r="AM80" s="12"/>
      <c r="AN80" s="4565"/>
      <c r="AO80" s="4525" t="s">
        <v>8949</v>
      </c>
      <c r="AP80" s="4526"/>
      <c r="AQ80" s="4526"/>
      <c r="AR80" s="4526"/>
      <c r="AS80" s="4526"/>
      <c r="AT80" s="4526"/>
      <c r="AU80" s="4526"/>
      <c r="AV80" s="4526"/>
      <c r="AW80" s="4526"/>
      <c r="AX80" s="4526"/>
      <c r="AY80" s="12"/>
      <c r="AZ80" s="4539"/>
      <c r="BA80" s="4501"/>
      <c r="BB80" s="4501"/>
      <c r="BC80" s="4501"/>
      <c r="BD80" s="4501"/>
      <c r="BE80" s="4501"/>
      <c r="BF80" s="4501"/>
      <c r="BG80" s="4501"/>
      <c r="BH80" s="4501"/>
      <c r="BI80" s="4501"/>
      <c r="BJ80" s="4501"/>
    </row>
    <row r="81" spans="15:62" ht="21.9" customHeight="1">
      <c r="O81" s="12"/>
      <c r="Q81" s="4542"/>
      <c r="R81" s="4505"/>
      <c r="S81" s="4505"/>
      <c r="T81" s="4505"/>
      <c r="U81" s="4505"/>
      <c r="V81" s="4505"/>
      <c r="W81" s="4505"/>
      <c r="X81" s="4505"/>
      <c r="Y81" s="4505"/>
      <c r="Z81" s="4505"/>
      <c r="AA81" s="4505"/>
      <c r="AB81" s="4548"/>
      <c r="AC81" s="4514"/>
      <c r="AD81" s="4515"/>
      <c r="AE81" s="4515"/>
      <c r="AF81" s="4515"/>
      <c r="AG81" s="4515"/>
      <c r="AH81" s="4515"/>
      <c r="AI81" s="4515"/>
      <c r="AJ81" s="4515"/>
      <c r="AK81" s="4515"/>
      <c r="AL81" s="4516"/>
      <c r="AM81" s="12"/>
      <c r="AN81" s="4565"/>
      <c r="AO81" s="4526"/>
      <c r="AP81" s="4526"/>
      <c r="AQ81" s="4526"/>
      <c r="AR81" s="4526"/>
      <c r="AS81" s="4526"/>
      <c r="AT81" s="4526"/>
      <c r="AU81" s="4526"/>
      <c r="AV81" s="4526"/>
      <c r="AW81" s="4526"/>
      <c r="AX81" s="4526"/>
      <c r="AY81" s="12"/>
      <c r="AZ81" s="4539"/>
      <c r="BA81" s="4501"/>
      <c r="BB81" s="4501"/>
      <c r="BC81" s="4501"/>
      <c r="BD81" s="4501"/>
      <c r="BE81" s="4501"/>
      <c r="BF81" s="4501"/>
      <c r="BG81" s="4501"/>
      <c r="BH81" s="4501"/>
      <c r="BI81" s="4501"/>
      <c r="BJ81" s="4501"/>
    </row>
    <row r="82" spans="15:62" ht="21.9" customHeight="1">
      <c r="O82" s="12"/>
      <c r="Q82" s="4542"/>
      <c r="R82" s="4505"/>
      <c r="S82" s="4505"/>
      <c r="T82" s="4505"/>
      <c r="U82" s="4505"/>
      <c r="V82" s="4505"/>
      <c r="W82" s="4505"/>
      <c r="X82" s="4505"/>
      <c r="Y82" s="4505"/>
      <c r="Z82" s="4505"/>
      <c r="AA82" s="4505"/>
      <c r="AB82" s="4548"/>
      <c r="AC82" s="4514"/>
      <c r="AD82" s="4515"/>
      <c r="AE82" s="4515"/>
      <c r="AF82" s="4515"/>
      <c r="AG82" s="4515"/>
      <c r="AH82" s="4515"/>
      <c r="AI82" s="4515"/>
      <c r="AJ82" s="4515"/>
      <c r="AK82" s="4515"/>
      <c r="AL82" s="4516"/>
      <c r="AM82" s="12"/>
      <c r="AN82" s="4565"/>
      <c r="AO82" s="4509" t="s">
        <v>8950</v>
      </c>
      <c r="AP82" s="4509"/>
      <c r="AQ82" s="4509"/>
      <c r="AR82" s="4509"/>
      <c r="AS82" s="4509"/>
      <c r="AT82" s="4509"/>
      <c r="AU82" s="4509"/>
      <c r="AV82" s="4509"/>
      <c r="AW82" s="4509"/>
      <c r="AX82" s="4509"/>
      <c r="AY82" s="12"/>
      <c r="AZ82" s="4539"/>
      <c r="BA82" s="4501"/>
      <c r="BB82" s="4501"/>
      <c r="BC82" s="4501"/>
      <c r="BD82" s="4501"/>
      <c r="BE82" s="4501"/>
      <c r="BF82" s="4501"/>
      <c r="BG82" s="4501"/>
      <c r="BH82" s="4501"/>
      <c r="BI82" s="4501"/>
      <c r="BJ82" s="4501"/>
    </row>
    <row r="83" spans="15:62" ht="21.9" customHeight="1">
      <c r="O83" s="12"/>
      <c r="Q83" s="4542"/>
      <c r="R83" s="4505"/>
      <c r="S83" s="4505"/>
      <c r="T83" s="4505"/>
      <c r="U83" s="4505"/>
      <c r="V83" s="4505"/>
      <c r="W83" s="4505"/>
      <c r="X83" s="4505"/>
      <c r="Y83" s="4505"/>
      <c r="Z83" s="4505"/>
      <c r="AA83" s="4505"/>
      <c r="AB83" s="4549"/>
      <c r="AC83" s="4517"/>
      <c r="AD83" s="4518"/>
      <c r="AE83" s="4518"/>
      <c r="AF83" s="4518"/>
      <c r="AG83" s="4518"/>
      <c r="AH83" s="4518"/>
      <c r="AI83" s="4518"/>
      <c r="AJ83" s="4518"/>
      <c r="AK83" s="4518"/>
      <c r="AL83" s="4519"/>
      <c r="AM83" s="12"/>
      <c r="AN83" s="4565"/>
      <c r="AO83" s="4509" t="s">
        <v>8896</v>
      </c>
      <c r="AP83" s="4509"/>
      <c r="AQ83" s="4509"/>
      <c r="AR83" s="4509"/>
      <c r="AS83" s="4509"/>
      <c r="AT83" s="4509"/>
      <c r="AU83" s="4509"/>
      <c r="AV83" s="4509"/>
      <c r="AW83" s="4509"/>
      <c r="AX83" s="4509"/>
      <c r="AY83" s="12"/>
      <c r="AZ83" s="4539"/>
      <c r="BA83" s="4501"/>
      <c r="BB83" s="4501"/>
      <c r="BC83" s="4501"/>
      <c r="BD83" s="4501"/>
      <c r="BE83" s="4501"/>
      <c r="BF83" s="4501"/>
      <c r="BG83" s="4501"/>
      <c r="BH83" s="4501"/>
      <c r="BI83" s="4501"/>
      <c r="BJ83" s="4501"/>
    </row>
    <row r="84" spans="15:62" ht="21.9" customHeight="1">
      <c r="O84" s="12"/>
      <c r="Q84" s="4551" t="s">
        <v>8951</v>
      </c>
      <c r="R84" s="4551"/>
      <c r="S84" s="4551"/>
      <c r="T84" s="4551"/>
      <c r="U84" s="4551"/>
      <c r="V84" s="4551"/>
      <c r="W84" s="4551"/>
      <c r="X84" s="4551"/>
      <c r="Y84" s="4551"/>
      <c r="Z84" s="4551"/>
      <c r="AA84" s="4551"/>
      <c r="AB84" s="4547" t="s">
        <v>321</v>
      </c>
      <c r="AC84" s="4511" t="s">
        <v>8952</v>
      </c>
      <c r="AD84" s="4512"/>
      <c r="AE84" s="4512"/>
      <c r="AF84" s="4512"/>
      <c r="AG84" s="4512"/>
      <c r="AH84" s="4512"/>
      <c r="AI84" s="4512"/>
      <c r="AJ84" s="4512"/>
      <c r="AK84" s="4512"/>
      <c r="AL84" s="4513"/>
      <c r="AM84" s="12"/>
      <c r="AN84" s="4565"/>
      <c r="AO84" s="4509" t="s">
        <v>8953</v>
      </c>
      <c r="AP84" s="4509"/>
      <c r="AQ84" s="4509"/>
      <c r="AR84" s="4509"/>
      <c r="AS84" s="4509"/>
      <c r="AT84" s="4509"/>
      <c r="AU84" s="4509"/>
      <c r="AV84" s="4509"/>
      <c r="AW84" s="4509"/>
      <c r="AX84" s="4509"/>
      <c r="AY84" s="12"/>
    </row>
    <row r="85" spans="15:62" ht="21.9" customHeight="1">
      <c r="O85" s="12"/>
      <c r="Q85" s="4542" t="s">
        <v>8778</v>
      </c>
      <c r="R85" s="4505" t="s">
        <v>8954</v>
      </c>
      <c r="S85" s="4505"/>
      <c r="T85" s="4505"/>
      <c r="U85" s="4505"/>
      <c r="V85" s="4505"/>
      <c r="W85" s="4505"/>
      <c r="X85" s="4505"/>
      <c r="Y85" s="4505"/>
      <c r="Z85" s="4505"/>
      <c r="AA85" s="4505"/>
      <c r="AB85" s="4548"/>
      <c r="AC85" s="4514"/>
      <c r="AD85" s="4515"/>
      <c r="AE85" s="4515"/>
      <c r="AF85" s="4515"/>
      <c r="AG85" s="4515"/>
      <c r="AH85" s="4515"/>
      <c r="AI85" s="4515"/>
      <c r="AJ85" s="4515"/>
      <c r="AK85" s="4515"/>
      <c r="AL85" s="4516"/>
      <c r="AM85" s="12"/>
      <c r="AN85" s="4565"/>
      <c r="AO85" s="4509" t="s">
        <v>8955</v>
      </c>
      <c r="AP85" s="4509"/>
      <c r="AQ85" s="4509"/>
      <c r="AR85" s="4509"/>
      <c r="AS85" s="4509"/>
      <c r="AT85" s="4509"/>
      <c r="AU85" s="4509"/>
      <c r="AV85" s="4509"/>
      <c r="AW85" s="4509"/>
      <c r="AX85" s="4509"/>
      <c r="AY85" s="12"/>
    </row>
    <row r="86" spans="15:62" ht="21.9" customHeight="1">
      <c r="O86" s="12"/>
      <c r="Q86" s="4542"/>
      <c r="R86" s="4505"/>
      <c r="S86" s="4505"/>
      <c r="T86" s="4505"/>
      <c r="U86" s="4505"/>
      <c r="V86" s="4505"/>
      <c r="W86" s="4505"/>
      <c r="X86" s="4505"/>
      <c r="Y86" s="4505"/>
      <c r="Z86" s="4505"/>
      <c r="AA86" s="4505"/>
      <c r="AB86" s="4549"/>
      <c r="AC86" s="4517"/>
      <c r="AD86" s="4518"/>
      <c r="AE86" s="4518"/>
      <c r="AF86" s="4518"/>
      <c r="AG86" s="4518"/>
      <c r="AH86" s="4518"/>
      <c r="AI86" s="4518"/>
      <c r="AJ86" s="4518"/>
      <c r="AK86" s="4518"/>
      <c r="AL86" s="4519"/>
      <c r="AM86" s="12"/>
      <c r="AN86" s="4565"/>
      <c r="AO86" s="4509" t="s">
        <v>8956</v>
      </c>
      <c r="AP86" s="4509"/>
      <c r="AQ86" s="4509"/>
      <c r="AR86" s="4509"/>
      <c r="AS86" s="4509"/>
      <c r="AT86" s="4509"/>
      <c r="AU86" s="4509"/>
      <c r="AV86" s="4509"/>
      <c r="AW86" s="4509"/>
      <c r="AX86" s="4509"/>
      <c r="AY86" s="12"/>
    </row>
    <row r="87" spans="15:62" ht="21.9" customHeight="1">
      <c r="O87" s="12"/>
      <c r="Q87" s="4542"/>
      <c r="R87" s="4505"/>
      <c r="S87" s="4505"/>
      <c r="T87" s="4505"/>
      <c r="U87" s="4505"/>
      <c r="V87" s="4505"/>
      <c r="W87" s="4505"/>
      <c r="X87" s="4505"/>
      <c r="Y87" s="4505"/>
      <c r="Z87" s="4505"/>
      <c r="AA87" s="4505"/>
      <c r="AB87" s="4551" t="s">
        <v>8957</v>
      </c>
      <c r="AC87" s="4551"/>
      <c r="AD87" s="4551"/>
      <c r="AE87" s="4551"/>
      <c r="AF87" s="4551"/>
      <c r="AG87" s="4551"/>
      <c r="AH87" s="4551"/>
      <c r="AI87" s="4551"/>
      <c r="AJ87" s="4551"/>
      <c r="AK87" s="4551"/>
      <c r="AL87" s="4551"/>
      <c r="AM87" s="12"/>
      <c r="AN87" s="4565"/>
      <c r="AO87" s="4509" t="s">
        <v>8953</v>
      </c>
      <c r="AP87" s="4509"/>
      <c r="AQ87" s="4509"/>
      <c r="AR87" s="4509"/>
      <c r="AS87" s="4509"/>
      <c r="AT87" s="4509"/>
      <c r="AU87" s="4509"/>
      <c r="AV87" s="4509"/>
      <c r="AW87" s="4509"/>
      <c r="AX87" s="4509"/>
      <c r="AY87" s="12"/>
    </row>
    <row r="88" spans="15:62" ht="21.9" customHeight="1">
      <c r="O88" s="12"/>
      <c r="Q88" s="4542"/>
      <c r="R88" s="4505"/>
      <c r="S88" s="4505"/>
      <c r="T88" s="4505"/>
      <c r="U88" s="4505"/>
      <c r="V88" s="4505"/>
      <c r="W88" s="4505"/>
      <c r="X88" s="4505"/>
      <c r="Y88" s="4505"/>
      <c r="Z88" s="4505"/>
      <c r="AA88" s="4505"/>
      <c r="AB88" s="4542" t="s">
        <v>8778</v>
      </c>
      <c r="AC88" s="4520" t="s">
        <v>8958</v>
      </c>
      <c r="AD88" s="4520"/>
      <c r="AE88" s="4520"/>
      <c r="AF88" s="4520"/>
      <c r="AG88" s="4520"/>
      <c r="AH88" s="4520"/>
      <c r="AI88" s="4520"/>
      <c r="AJ88" s="4520"/>
      <c r="AK88" s="4520"/>
      <c r="AL88" s="4520"/>
      <c r="AM88" s="12"/>
      <c r="AN88" s="4565"/>
      <c r="AO88" s="4509" t="s">
        <v>8959</v>
      </c>
      <c r="AP88" s="4509"/>
      <c r="AQ88" s="4509"/>
      <c r="AR88" s="4509"/>
      <c r="AS88" s="4509"/>
      <c r="AT88" s="4509"/>
      <c r="AU88" s="4509"/>
      <c r="AV88" s="4509"/>
      <c r="AW88" s="4509"/>
      <c r="AX88" s="4509"/>
      <c r="AY88" s="12"/>
    </row>
    <row r="89" spans="15:62" ht="21.9" customHeight="1">
      <c r="O89" s="12"/>
      <c r="Q89" s="4542" t="s">
        <v>321</v>
      </c>
      <c r="R89" s="4505" t="s">
        <v>8960</v>
      </c>
      <c r="S89" s="4505"/>
      <c r="T89" s="4505"/>
      <c r="U89" s="4505"/>
      <c r="V89" s="4505"/>
      <c r="W89" s="4505"/>
      <c r="X89" s="4505"/>
      <c r="Y89" s="4505"/>
      <c r="Z89" s="4505"/>
      <c r="AA89" s="4505"/>
      <c r="AB89" s="4542"/>
      <c r="AC89" s="4520"/>
      <c r="AD89" s="4520"/>
      <c r="AE89" s="4520"/>
      <c r="AF89" s="4520"/>
      <c r="AG89" s="4520"/>
      <c r="AH89" s="4520"/>
      <c r="AI89" s="4520"/>
      <c r="AJ89" s="4520"/>
      <c r="AK89" s="4520"/>
      <c r="AL89" s="4520"/>
      <c r="AM89" s="12"/>
      <c r="AN89" s="4565"/>
      <c r="AO89" s="4509" t="s">
        <v>8961</v>
      </c>
      <c r="AP89" s="4509"/>
      <c r="AQ89" s="4509"/>
      <c r="AR89" s="4509"/>
      <c r="AS89" s="4509"/>
      <c r="AT89" s="4509"/>
      <c r="AU89" s="4509"/>
      <c r="AV89" s="4509"/>
      <c r="AW89" s="4509"/>
      <c r="AX89" s="4509"/>
      <c r="AY89" s="12"/>
    </row>
    <row r="90" spans="15:62" ht="21.9" customHeight="1">
      <c r="O90" s="12"/>
      <c r="Q90" s="4542"/>
      <c r="R90" s="4505"/>
      <c r="S90" s="4505"/>
      <c r="T90" s="4505"/>
      <c r="U90" s="4505"/>
      <c r="V90" s="4505"/>
      <c r="W90" s="4505"/>
      <c r="X90" s="4505"/>
      <c r="Y90" s="4505"/>
      <c r="Z90" s="4505"/>
      <c r="AA90" s="4505"/>
      <c r="AB90" s="4542"/>
      <c r="AC90" s="4520"/>
      <c r="AD90" s="4520"/>
      <c r="AE90" s="4520"/>
      <c r="AF90" s="4520"/>
      <c r="AG90" s="4520"/>
      <c r="AH90" s="4520"/>
      <c r="AI90" s="4520"/>
      <c r="AJ90" s="4520"/>
      <c r="AK90" s="4520"/>
      <c r="AL90" s="4520"/>
      <c r="AM90" s="12"/>
      <c r="AN90" s="4565"/>
      <c r="AO90" s="4509" t="s">
        <v>8962</v>
      </c>
      <c r="AP90" s="4509"/>
      <c r="AQ90" s="4509"/>
      <c r="AR90" s="4509"/>
      <c r="AS90" s="4509"/>
      <c r="AT90" s="4509"/>
      <c r="AU90" s="4509"/>
      <c r="AV90" s="4509"/>
      <c r="AW90" s="4509"/>
      <c r="AX90" s="4509"/>
      <c r="AY90" s="12"/>
    </row>
    <row r="91" spans="15:62" ht="21.9" customHeight="1">
      <c r="O91" s="12"/>
      <c r="Q91" s="4542"/>
      <c r="R91" s="4505"/>
      <c r="S91" s="4505"/>
      <c r="T91" s="4505"/>
      <c r="U91" s="4505"/>
      <c r="V91" s="4505"/>
      <c r="W91" s="4505"/>
      <c r="X91" s="4505"/>
      <c r="Y91" s="4505"/>
      <c r="Z91" s="4505"/>
      <c r="AA91" s="4505"/>
      <c r="AB91" s="4542" t="s">
        <v>321</v>
      </c>
      <c r="AC91" s="4505" t="s">
        <v>8963</v>
      </c>
      <c r="AD91" s="4505"/>
      <c r="AE91" s="4505"/>
      <c r="AF91" s="4505"/>
      <c r="AG91" s="4505"/>
      <c r="AH91" s="4505"/>
      <c r="AI91" s="4505"/>
      <c r="AJ91" s="4505"/>
      <c r="AK91" s="4505"/>
      <c r="AL91" s="4505"/>
      <c r="AM91" s="12"/>
      <c r="AN91" s="4565"/>
      <c r="AO91" s="4509" t="s">
        <v>8964</v>
      </c>
      <c r="AP91" s="4509"/>
      <c r="AQ91" s="4509"/>
      <c r="AR91" s="4509"/>
      <c r="AS91" s="4509"/>
      <c r="AT91" s="4509"/>
      <c r="AU91" s="4509"/>
      <c r="AV91" s="4509"/>
      <c r="AW91" s="4509"/>
      <c r="AX91" s="4509"/>
      <c r="AY91" s="12"/>
    </row>
    <row r="92" spans="15:62" ht="21.9" customHeight="1">
      <c r="O92" s="12"/>
      <c r="Q92" s="4542"/>
      <c r="R92" s="4505"/>
      <c r="S92" s="4505"/>
      <c r="T92" s="4505"/>
      <c r="U92" s="4505"/>
      <c r="V92" s="4505"/>
      <c r="W92" s="4505"/>
      <c r="X92" s="4505"/>
      <c r="Y92" s="4505"/>
      <c r="Z92" s="4505"/>
      <c r="AA92" s="4505"/>
      <c r="AB92" s="4542"/>
      <c r="AC92" s="4505"/>
      <c r="AD92" s="4505"/>
      <c r="AE92" s="4505"/>
      <c r="AF92" s="4505"/>
      <c r="AG92" s="4505"/>
      <c r="AH92" s="4505"/>
      <c r="AI92" s="4505"/>
      <c r="AJ92" s="4505"/>
      <c r="AK92" s="4505"/>
      <c r="AL92" s="4505"/>
      <c r="AM92" s="12"/>
      <c r="AN92" s="4565"/>
      <c r="AO92" s="4509" t="s">
        <v>8965</v>
      </c>
      <c r="AP92" s="4509"/>
      <c r="AQ92" s="4509"/>
      <c r="AR92" s="4509"/>
      <c r="AS92" s="4509"/>
      <c r="AT92" s="4509"/>
      <c r="AU92" s="4509"/>
      <c r="AV92" s="4509"/>
      <c r="AW92" s="4509"/>
      <c r="AX92" s="4509"/>
      <c r="AY92" s="12"/>
    </row>
    <row r="93" spans="15:62" ht="21.9" customHeight="1">
      <c r="O93" s="12"/>
      <c r="AB93" s="4542"/>
      <c r="AC93" s="4505"/>
      <c r="AD93" s="4505"/>
      <c r="AE93" s="4505"/>
      <c r="AF93" s="4505"/>
      <c r="AG93" s="4505"/>
      <c r="AH93" s="4505"/>
      <c r="AI93" s="4505"/>
      <c r="AJ93" s="4505"/>
      <c r="AK93" s="4505"/>
      <c r="AL93" s="4505"/>
      <c r="AM93" s="12"/>
      <c r="AN93" s="4539" t="s">
        <v>8966</v>
      </c>
      <c r="AO93" s="4501" t="s">
        <v>8967</v>
      </c>
      <c r="AP93" s="4501"/>
      <c r="AQ93" s="4501"/>
      <c r="AR93" s="4501"/>
      <c r="AS93" s="4501"/>
      <c r="AT93" s="4501"/>
      <c r="AU93" s="4501"/>
      <c r="AV93" s="4501"/>
      <c r="AW93" s="4501"/>
      <c r="AX93" s="4501"/>
      <c r="AY93" s="12"/>
    </row>
    <row r="94" spans="15:62" ht="21.9" customHeight="1">
      <c r="O94" s="12"/>
      <c r="AB94" s="4542"/>
      <c r="AC94" s="4505"/>
      <c r="AD94" s="4505"/>
      <c r="AE94" s="4505"/>
      <c r="AF94" s="4505"/>
      <c r="AG94" s="4505"/>
      <c r="AH94" s="4505"/>
      <c r="AI94" s="4505"/>
      <c r="AJ94" s="4505"/>
      <c r="AK94" s="4505"/>
      <c r="AL94" s="4505"/>
      <c r="AM94" s="12"/>
      <c r="AN94" s="4539"/>
      <c r="AO94" s="4501" t="s">
        <v>8968</v>
      </c>
      <c r="AP94" s="4501"/>
      <c r="AQ94" s="4501"/>
      <c r="AR94" s="4501"/>
      <c r="AS94" s="4501"/>
      <c r="AT94" s="4501"/>
      <c r="AU94" s="4501"/>
      <c r="AV94" s="4501"/>
      <c r="AW94" s="4501"/>
      <c r="AX94" s="4501"/>
      <c r="AY94" s="12"/>
    </row>
    <row r="95" spans="15:62" ht="21.9" customHeight="1">
      <c r="O95" s="12"/>
      <c r="AB95" s="4542"/>
      <c r="AC95" s="4505"/>
      <c r="AD95" s="4505"/>
      <c r="AE95" s="4505"/>
      <c r="AF95" s="4505"/>
      <c r="AG95" s="4505"/>
      <c r="AH95" s="4505"/>
      <c r="AI95" s="4505"/>
      <c r="AJ95" s="4505"/>
      <c r="AK95" s="4505"/>
      <c r="AL95" s="4505"/>
      <c r="AM95" s="12"/>
      <c r="AN95" s="4539"/>
      <c r="AO95" s="4509" t="s">
        <v>8969</v>
      </c>
      <c r="AP95" s="4509"/>
      <c r="AQ95" s="4509"/>
      <c r="AR95" s="4509"/>
      <c r="AS95" s="4509"/>
      <c r="AT95" s="4509"/>
      <c r="AU95" s="4509"/>
      <c r="AV95" s="4509"/>
      <c r="AW95" s="4509"/>
      <c r="AX95" s="4509"/>
      <c r="AY95" s="12"/>
    </row>
    <row r="96" spans="15:62" ht="21.9" customHeight="1">
      <c r="O96" s="12"/>
      <c r="AB96" s="4551" t="s">
        <v>8970</v>
      </c>
      <c r="AC96" s="4551"/>
      <c r="AD96" s="4551"/>
      <c r="AE96" s="4551"/>
      <c r="AF96" s="4551"/>
      <c r="AG96" s="4551"/>
      <c r="AH96" s="4551"/>
      <c r="AI96" s="4551"/>
      <c r="AJ96" s="4551"/>
      <c r="AK96" s="4551"/>
      <c r="AL96" s="4551"/>
      <c r="AM96" s="12"/>
      <c r="AN96" s="4539" t="s">
        <v>8797</v>
      </c>
      <c r="AO96" s="4564" t="s">
        <v>8971</v>
      </c>
      <c r="AP96" s="4564"/>
      <c r="AQ96" s="4564"/>
      <c r="AR96" s="4564"/>
      <c r="AS96" s="4564"/>
      <c r="AT96" s="4564"/>
      <c r="AU96" s="4564"/>
      <c r="AV96" s="4564"/>
      <c r="AW96" s="4564"/>
      <c r="AX96" s="4564"/>
      <c r="AY96" s="12"/>
    </row>
    <row r="97" spans="15:51" ht="21.9" customHeight="1">
      <c r="O97" s="12"/>
      <c r="AB97" s="4542" t="s">
        <v>8778</v>
      </c>
      <c r="AC97" s="4520" t="s">
        <v>8972</v>
      </c>
      <c r="AD97" s="4520"/>
      <c r="AE97" s="4520"/>
      <c r="AF97" s="4520"/>
      <c r="AG97" s="4520"/>
      <c r="AH97" s="4520"/>
      <c r="AI97" s="4520"/>
      <c r="AJ97" s="4520"/>
      <c r="AK97" s="4520"/>
      <c r="AL97" s="4520"/>
      <c r="AM97" s="12"/>
      <c r="AN97" s="4539"/>
      <c r="AO97" s="4509" t="s">
        <v>8973</v>
      </c>
      <c r="AP97" s="4509"/>
      <c r="AQ97" s="4509"/>
      <c r="AR97" s="4509"/>
      <c r="AS97" s="4509"/>
      <c r="AT97" s="4509"/>
      <c r="AU97" s="4509"/>
      <c r="AV97" s="4509"/>
      <c r="AW97" s="4509"/>
      <c r="AX97" s="4509"/>
      <c r="AY97" s="12"/>
    </row>
    <row r="98" spans="15:51" ht="21.9" customHeight="1">
      <c r="O98" s="12"/>
      <c r="AB98" s="4542"/>
      <c r="AC98" s="4520"/>
      <c r="AD98" s="4520"/>
      <c r="AE98" s="4520"/>
      <c r="AF98" s="4520"/>
      <c r="AG98" s="4520"/>
      <c r="AH98" s="4520"/>
      <c r="AI98" s="4520"/>
      <c r="AJ98" s="4520"/>
      <c r="AK98" s="4520"/>
      <c r="AL98" s="4520"/>
      <c r="AM98" s="12"/>
      <c r="AN98" s="4539" t="s">
        <v>8805</v>
      </c>
      <c r="AO98" s="4509" t="s">
        <v>8974</v>
      </c>
      <c r="AP98" s="4509"/>
      <c r="AQ98" s="4509"/>
      <c r="AR98" s="4509"/>
      <c r="AS98" s="4509"/>
      <c r="AT98" s="4509"/>
      <c r="AU98" s="4509"/>
      <c r="AV98" s="4509"/>
      <c r="AW98" s="4509"/>
      <c r="AX98" s="4509"/>
      <c r="AY98" s="12"/>
    </row>
    <row r="99" spans="15:51" ht="21.9" customHeight="1">
      <c r="O99" s="12"/>
      <c r="AB99" s="4542"/>
      <c r="AC99" s="4520"/>
      <c r="AD99" s="4520"/>
      <c r="AE99" s="4520"/>
      <c r="AF99" s="4520"/>
      <c r="AG99" s="4520"/>
      <c r="AH99" s="4520"/>
      <c r="AI99" s="4520"/>
      <c r="AJ99" s="4520"/>
      <c r="AK99" s="4520"/>
      <c r="AL99" s="4520"/>
      <c r="AM99" s="12"/>
      <c r="AN99" s="4539"/>
      <c r="AO99" s="4509" t="s">
        <v>8975</v>
      </c>
      <c r="AP99" s="4509"/>
      <c r="AQ99" s="4509"/>
      <c r="AR99" s="4509"/>
      <c r="AS99" s="4509"/>
      <c r="AT99" s="4509"/>
      <c r="AU99" s="4509"/>
      <c r="AV99" s="4509"/>
      <c r="AW99" s="4509"/>
      <c r="AX99" s="4509"/>
      <c r="AY99" s="12"/>
    </row>
    <row r="100" spans="15:51" ht="21.9" customHeight="1">
      <c r="O100" s="12"/>
      <c r="AB100" s="4551" t="s">
        <v>8976</v>
      </c>
      <c r="AC100" s="4551"/>
      <c r="AD100" s="4551"/>
      <c r="AE100" s="4551"/>
      <c r="AF100" s="4551"/>
      <c r="AG100" s="4551"/>
      <c r="AH100" s="4551"/>
      <c r="AI100" s="4551"/>
      <c r="AJ100" s="4551"/>
      <c r="AK100" s="4551"/>
      <c r="AL100" s="4551"/>
      <c r="AM100" s="12"/>
      <c r="AN100" s="4539"/>
      <c r="AO100" s="4509" t="s">
        <v>8977</v>
      </c>
      <c r="AP100" s="4509"/>
      <c r="AQ100" s="4509"/>
      <c r="AR100" s="4509"/>
      <c r="AS100" s="4509"/>
      <c r="AT100" s="4509"/>
      <c r="AU100" s="4509"/>
      <c r="AV100" s="4509"/>
      <c r="AW100" s="4509"/>
      <c r="AX100" s="4509"/>
      <c r="AY100" s="12"/>
    </row>
    <row r="101" spans="15:51" ht="21.9" customHeight="1">
      <c r="O101" s="12"/>
      <c r="AB101" s="4542" t="s">
        <v>8778</v>
      </c>
      <c r="AC101" s="4520" t="s">
        <v>8978</v>
      </c>
      <c r="AD101" s="4520"/>
      <c r="AE101" s="4520"/>
      <c r="AF101" s="4520"/>
      <c r="AG101" s="4520"/>
      <c r="AH101" s="4520"/>
      <c r="AI101" s="4520"/>
      <c r="AJ101" s="4520"/>
      <c r="AK101" s="4520"/>
      <c r="AL101" s="4520"/>
      <c r="AM101" s="12"/>
      <c r="AN101" s="4539" t="s">
        <v>8807</v>
      </c>
      <c r="AO101" s="4509" t="s">
        <v>8979</v>
      </c>
      <c r="AP101" s="4509"/>
      <c r="AQ101" s="4509"/>
      <c r="AR101" s="4509"/>
      <c r="AS101" s="4509"/>
      <c r="AT101" s="4509"/>
      <c r="AU101" s="4509"/>
      <c r="AV101" s="4509"/>
      <c r="AW101" s="4509"/>
      <c r="AX101" s="4509"/>
      <c r="AY101" s="12"/>
    </row>
    <row r="102" spans="15:51" ht="21.9" customHeight="1">
      <c r="O102" s="12"/>
      <c r="AB102" s="4542"/>
      <c r="AC102" s="4520"/>
      <c r="AD102" s="4520"/>
      <c r="AE102" s="4520"/>
      <c r="AF102" s="4520"/>
      <c r="AG102" s="4520"/>
      <c r="AH102" s="4520"/>
      <c r="AI102" s="4520"/>
      <c r="AJ102" s="4520"/>
      <c r="AK102" s="4520"/>
      <c r="AL102" s="4520"/>
      <c r="AM102" s="12"/>
      <c r="AN102" s="4539"/>
      <c r="AO102" s="4501" t="s">
        <v>8980</v>
      </c>
      <c r="AP102" s="4501"/>
      <c r="AQ102" s="4501"/>
      <c r="AR102" s="4501"/>
      <c r="AS102" s="4501"/>
      <c r="AT102" s="4501"/>
      <c r="AU102" s="4501"/>
      <c r="AV102" s="4501"/>
      <c r="AW102" s="4501"/>
      <c r="AX102" s="4501"/>
      <c r="AY102" s="12"/>
    </row>
    <row r="103" spans="15:51" ht="21.9" customHeight="1">
      <c r="O103" s="12"/>
      <c r="AB103" s="4542"/>
      <c r="AC103" s="4520"/>
      <c r="AD103" s="4520"/>
      <c r="AE103" s="4520"/>
      <c r="AF103" s="4520"/>
      <c r="AG103" s="4520"/>
      <c r="AH103" s="4520"/>
      <c r="AI103" s="4520"/>
      <c r="AJ103" s="4520"/>
      <c r="AK103" s="4520"/>
      <c r="AL103" s="4520"/>
      <c r="AM103" s="12"/>
      <c r="AN103" s="4539"/>
      <c r="AO103" s="4501"/>
      <c r="AP103" s="4501"/>
      <c r="AQ103" s="4501"/>
      <c r="AR103" s="4501"/>
      <c r="AS103" s="4501"/>
      <c r="AT103" s="4501"/>
      <c r="AU103" s="4501"/>
      <c r="AV103" s="4501"/>
      <c r="AW103" s="4501"/>
      <c r="AX103" s="4501"/>
      <c r="AY103" s="12"/>
    </row>
    <row r="104" spans="15:51" ht="21.9" customHeight="1">
      <c r="O104" s="12"/>
      <c r="AB104" s="4551" t="s">
        <v>8981</v>
      </c>
      <c r="AC104" s="4551"/>
      <c r="AD104" s="4551"/>
      <c r="AE104" s="4551"/>
      <c r="AF104" s="4551"/>
      <c r="AG104" s="4551"/>
      <c r="AH104" s="4551"/>
      <c r="AI104" s="4551"/>
      <c r="AJ104" s="4551"/>
      <c r="AK104" s="4551"/>
      <c r="AL104" s="4551"/>
      <c r="AM104" s="12"/>
      <c r="AN104" s="4539"/>
      <c r="AO104" s="4509" t="s">
        <v>8982</v>
      </c>
      <c r="AP104" s="4509"/>
      <c r="AQ104" s="4509"/>
      <c r="AR104" s="4509"/>
      <c r="AS104" s="4509"/>
      <c r="AT104" s="4509"/>
      <c r="AU104" s="4509"/>
      <c r="AV104" s="4509"/>
      <c r="AW104" s="4509"/>
      <c r="AX104" s="4509"/>
      <c r="AY104" s="12"/>
    </row>
    <row r="105" spans="15:51" ht="21.9" customHeight="1">
      <c r="O105" s="12"/>
      <c r="AB105" s="4542" t="s">
        <v>8778</v>
      </c>
      <c r="AC105" s="4520" t="s">
        <v>8983</v>
      </c>
      <c r="AD105" s="4520"/>
      <c r="AE105" s="4520"/>
      <c r="AF105" s="4520"/>
      <c r="AG105" s="4520"/>
      <c r="AH105" s="4520"/>
      <c r="AI105" s="4520"/>
      <c r="AJ105" s="4520"/>
      <c r="AK105" s="4520"/>
      <c r="AL105" s="4520"/>
      <c r="AM105" s="12"/>
      <c r="AN105" s="4539" t="s">
        <v>8984</v>
      </c>
      <c r="AO105" s="4509" t="s">
        <v>8985</v>
      </c>
      <c r="AP105" s="4509"/>
      <c r="AQ105" s="4509"/>
      <c r="AR105" s="4509"/>
      <c r="AS105" s="4509"/>
      <c r="AT105" s="4509"/>
      <c r="AU105" s="4509"/>
      <c r="AV105" s="4509"/>
      <c r="AW105" s="4509"/>
      <c r="AX105" s="4509"/>
      <c r="AY105" s="12"/>
    </row>
    <row r="106" spans="15:51" ht="21.9" customHeight="1">
      <c r="O106" s="12"/>
      <c r="AB106" s="4542"/>
      <c r="AC106" s="4520"/>
      <c r="AD106" s="4520"/>
      <c r="AE106" s="4520"/>
      <c r="AF106" s="4520"/>
      <c r="AG106" s="4520"/>
      <c r="AH106" s="4520"/>
      <c r="AI106" s="4520"/>
      <c r="AJ106" s="4520"/>
      <c r="AK106" s="4520"/>
      <c r="AL106" s="4520"/>
      <c r="AM106" s="12"/>
      <c r="AN106" s="4539"/>
      <c r="AO106" s="4509" t="s">
        <v>8986</v>
      </c>
      <c r="AP106" s="4509"/>
      <c r="AQ106" s="4509"/>
      <c r="AR106" s="4509"/>
      <c r="AS106" s="4509"/>
      <c r="AT106" s="4509"/>
      <c r="AU106" s="4509"/>
      <c r="AV106" s="4509"/>
      <c r="AW106" s="4509"/>
      <c r="AX106" s="4509"/>
      <c r="AY106" s="12"/>
    </row>
    <row r="107" spans="15:51" ht="21.9" customHeight="1">
      <c r="O107" s="12"/>
      <c r="AB107" s="4542"/>
      <c r="AC107" s="4520"/>
      <c r="AD107" s="4520"/>
      <c r="AE107" s="4520"/>
      <c r="AF107" s="4520"/>
      <c r="AG107" s="4520"/>
      <c r="AH107" s="4520"/>
      <c r="AI107" s="4520"/>
      <c r="AJ107" s="4520"/>
      <c r="AK107" s="4520"/>
      <c r="AL107" s="4520"/>
      <c r="AM107" s="12"/>
      <c r="AN107" s="4539"/>
      <c r="AO107" s="4509" t="s">
        <v>8987</v>
      </c>
      <c r="AP107" s="4509"/>
      <c r="AQ107" s="4509"/>
      <c r="AR107" s="4509"/>
      <c r="AS107" s="4509"/>
      <c r="AT107" s="4509"/>
      <c r="AU107" s="4509"/>
      <c r="AV107" s="4509"/>
      <c r="AW107" s="4509"/>
      <c r="AX107" s="4509"/>
      <c r="AY107" s="12"/>
    </row>
    <row r="108" spans="15:51" ht="21.9" customHeight="1">
      <c r="O108" s="12"/>
      <c r="AB108" s="4551" t="s">
        <v>8988</v>
      </c>
      <c r="AC108" s="4551"/>
      <c r="AD108" s="4551"/>
      <c r="AE108" s="4551"/>
      <c r="AF108" s="4551"/>
      <c r="AG108" s="4551"/>
      <c r="AH108" s="4551"/>
      <c r="AI108" s="4551"/>
      <c r="AJ108" s="4551"/>
      <c r="AK108" s="4551"/>
      <c r="AL108" s="4551"/>
      <c r="AM108" s="12"/>
      <c r="AN108" s="4539"/>
      <c r="AO108" s="4509" t="s">
        <v>8989</v>
      </c>
      <c r="AP108" s="4509"/>
      <c r="AQ108" s="4509"/>
      <c r="AR108" s="4509"/>
      <c r="AS108" s="4509"/>
      <c r="AT108" s="4509"/>
      <c r="AU108" s="4509"/>
      <c r="AV108" s="4509"/>
      <c r="AW108" s="4509"/>
      <c r="AX108" s="4509"/>
      <c r="AY108" s="12"/>
    </row>
    <row r="109" spans="15:51" ht="21.9" customHeight="1">
      <c r="O109" s="12"/>
      <c r="AB109" s="4542" t="s">
        <v>8990</v>
      </c>
      <c r="AC109" s="4520" t="s">
        <v>8991</v>
      </c>
      <c r="AD109" s="4520"/>
      <c r="AE109" s="4520"/>
      <c r="AF109" s="4520"/>
      <c r="AG109" s="4520"/>
      <c r="AH109" s="4520"/>
      <c r="AI109" s="4520"/>
      <c r="AJ109" s="4520"/>
      <c r="AK109" s="4520"/>
      <c r="AL109" s="4520"/>
      <c r="AM109" s="12"/>
      <c r="AN109" s="4556" t="s">
        <v>8929</v>
      </c>
      <c r="AO109" s="4524" t="s">
        <v>8992</v>
      </c>
      <c r="AP109" s="4561"/>
      <c r="AQ109" s="4561"/>
      <c r="AR109" s="4561"/>
      <c r="AS109" s="4561"/>
      <c r="AT109" s="4561"/>
      <c r="AU109" s="4561"/>
      <c r="AV109" s="4561"/>
      <c r="AW109" s="4561"/>
      <c r="AX109" s="4561"/>
      <c r="AY109" s="12"/>
    </row>
    <row r="110" spans="15:51" ht="21.9" customHeight="1">
      <c r="O110" s="12"/>
      <c r="AB110" s="4542"/>
      <c r="AC110" s="4520"/>
      <c r="AD110" s="4520"/>
      <c r="AE110" s="4520"/>
      <c r="AF110" s="4520"/>
      <c r="AG110" s="4520"/>
      <c r="AH110" s="4520"/>
      <c r="AI110" s="4520"/>
      <c r="AJ110" s="4520"/>
      <c r="AK110" s="4520"/>
      <c r="AL110" s="4520"/>
      <c r="AM110" s="12"/>
      <c r="AN110" s="4556"/>
      <c r="AO110" s="4509" t="s">
        <v>8993</v>
      </c>
      <c r="AP110" s="4509"/>
      <c r="AQ110" s="4509"/>
      <c r="AR110" s="4509"/>
      <c r="AS110" s="4509"/>
      <c r="AT110" s="4509"/>
      <c r="AU110" s="4509"/>
      <c r="AV110" s="4509"/>
      <c r="AW110" s="4509"/>
      <c r="AX110" s="4509"/>
      <c r="AY110" s="12"/>
    </row>
    <row r="111" spans="15:51" ht="21.9" customHeight="1">
      <c r="O111" s="12"/>
      <c r="AB111" s="4542"/>
      <c r="AC111" s="4520"/>
      <c r="AD111" s="4520"/>
      <c r="AE111" s="4520"/>
      <c r="AF111" s="4520"/>
      <c r="AG111" s="4520"/>
      <c r="AH111" s="4520"/>
      <c r="AI111" s="4520"/>
      <c r="AJ111" s="4520"/>
      <c r="AK111" s="4520"/>
      <c r="AL111" s="4520"/>
      <c r="AM111" s="12"/>
      <c r="AN111" s="4556"/>
      <c r="AO111" s="4509" t="s">
        <v>8994</v>
      </c>
      <c r="AP111" s="4509"/>
      <c r="AQ111" s="4509"/>
      <c r="AR111" s="4509"/>
      <c r="AS111" s="4509"/>
      <c r="AT111" s="4509"/>
      <c r="AU111" s="4509"/>
      <c r="AV111" s="4509"/>
      <c r="AW111" s="4509"/>
      <c r="AX111" s="4509"/>
      <c r="AY111" s="12"/>
    </row>
    <row r="112" spans="15:51" ht="21.9" customHeight="1">
      <c r="O112" s="12"/>
      <c r="AB112" s="4542" t="s">
        <v>8995</v>
      </c>
      <c r="AC112" s="4520" t="s">
        <v>8996</v>
      </c>
      <c r="AD112" s="4520"/>
      <c r="AE112" s="4520"/>
      <c r="AF112" s="4520"/>
      <c r="AG112" s="4520"/>
      <c r="AH112" s="4520"/>
      <c r="AI112" s="4520"/>
      <c r="AJ112" s="4520"/>
      <c r="AK112" s="4520"/>
      <c r="AL112" s="4520"/>
      <c r="AM112" s="12"/>
      <c r="AN112" s="4556"/>
      <c r="AO112" s="4509" t="s">
        <v>8997</v>
      </c>
      <c r="AP112" s="4509"/>
      <c r="AQ112" s="4509"/>
      <c r="AR112" s="4509"/>
      <c r="AS112" s="4509"/>
      <c r="AT112" s="4509"/>
      <c r="AU112" s="4509"/>
      <c r="AV112" s="4509"/>
      <c r="AW112" s="4509"/>
      <c r="AX112" s="4509"/>
      <c r="AY112" s="12"/>
    </row>
    <row r="113" spans="15:51" ht="21.9" customHeight="1">
      <c r="O113" s="12"/>
      <c r="AB113" s="4542"/>
      <c r="AC113" s="4520"/>
      <c r="AD113" s="4520"/>
      <c r="AE113" s="4520"/>
      <c r="AF113" s="4520"/>
      <c r="AG113" s="4520"/>
      <c r="AH113" s="4520"/>
      <c r="AI113" s="4520"/>
      <c r="AJ113" s="4520"/>
      <c r="AK113" s="4520"/>
      <c r="AL113" s="4520"/>
      <c r="AM113" s="12"/>
      <c r="AN113" s="4551" t="s">
        <v>8998</v>
      </c>
      <c r="AO113" s="4551"/>
      <c r="AP113" s="4551"/>
      <c r="AQ113" s="4551"/>
      <c r="AR113" s="4551"/>
      <c r="AS113" s="4551"/>
      <c r="AT113" s="4551"/>
      <c r="AU113" s="4551"/>
      <c r="AV113" s="4551"/>
      <c r="AW113" s="4551"/>
      <c r="AX113" s="4551"/>
      <c r="AY113" s="12"/>
    </row>
    <row r="114" spans="15:51" ht="21.9" customHeight="1">
      <c r="O114" s="12"/>
      <c r="AB114" s="4542"/>
      <c r="AC114" s="4520"/>
      <c r="AD114" s="4520"/>
      <c r="AE114" s="4520"/>
      <c r="AF114" s="4520"/>
      <c r="AG114" s="4520"/>
      <c r="AH114" s="4520"/>
      <c r="AI114" s="4520"/>
      <c r="AJ114" s="4520"/>
      <c r="AK114" s="4520"/>
      <c r="AL114" s="4520"/>
      <c r="AM114" s="12"/>
      <c r="AN114" s="4562" t="s">
        <v>8781</v>
      </c>
      <c r="AO114" s="4501" t="s">
        <v>8999</v>
      </c>
      <c r="AP114" s="4501"/>
      <c r="AQ114" s="4501"/>
      <c r="AR114" s="4501"/>
      <c r="AS114" s="4501"/>
      <c r="AT114" s="4501"/>
      <c r="AU114" s="4501"/>
      <c r="AV114" s="4501"/>
      <c r="AW114" s="4501"/>
      <c r="AX114" s="4501"/>
      <c r="AY114" s="12"/>
    </row>
    <row r="115" spans="15:51" ht="21.9" customHeight="1">
      <c r="O115" s="12"/>
      <c r="AB115" s="4542" t="s">
        <v>9000</v>
      </c>
      <c r="AC115" s="4520" t="s">
        <v>9001</v>
      </c>
      <c r="AD115" s="4520"/>
      <c r="AE115" s="4520"/>
      <c r="AF115" s="4520"/>
      <c r="AG115" s="4520"/>
      <c r="AH115" s="4520"/>
      <c r="AI115" s="4520"/>
      <c r="AJ115" s="4520"/>
      <c r="AK115" s="4520"/>
      <c r="AL115" s="4520"/>
      <c r="AM115" s="12"/>
      <c r="AN115" s="4562"/>
      <c r="AO115" s="4501" t="s">
        <v>9002</v>
      </c>
      <c r="AP115" s="4501"/>
      <c r="AQ115" s="4501"/>
      <c r="AR115" s="4501"/>
      <c r="AS115" s="4501"/>
      <c r="AT115" s="4501"/>
      <c r="AU115" s="4501"/>
      <c r="AV115" s="4501"/>
      <c r="AW115" s="4501"/>
      <c r="AX115" s="4501"/>
      <c r="AY115" s="12"/>
    </row>
    <row r="116" spans="15:51" ht="21.9" customHeight="1">
      <c r="O116" s="12"/>
      <c r="AB116" s="4542"/>
      <c r="AC116" s="4520"/>
      <c r="AD116" s="4520"/>
      <c r="AE116" s="4520"/>
      <c r="AF116" s="4520"/>
      <c r="AG116" s="4520"/>
      <c r="AH116" s="4520"/>
      <c r="AI116" s="4520"/>
      <c r="AJ116" s="4520"/>
      <c r="AK116" s="4520"/>
      <c r="AL116" s="4520"/>
      <c r="AM116" s="12"/>
      <c r="AN116" s="20" t="s">
        <v>9000</v>
      </c>
      <c r="AO116" s="4509" t="s">
        <v>561</v>
      </c>
      <c r="AP116" s="4509"/>
      <c r="AQ116" s="4509"/>
      <c r="AR116" s="4509"/>
      <c r="AS116" s="4509"/>
      <c r="AT116" s="4509"/>
      <c r="AU116" s="4509"/>
      <c r="AV116" s="4509"/>
      <c r="AW116" s="4509"/>
      <c r="AX116" s="4509"/>
      <c r="AY116" s="12"/>
    </row>
    <row r="117" spans="15:51" ht="21.9" customHeight="1">
      <c r="O117" s="12"/>
      <c r="AB117" s="4542" t="s">
        <v>321</v>
      </c>
      <c r="AC117" s="4521" t="s">
        <v>9003</v>
      </c>
      <c r="AD117" s="4521"/>
      <c r="AE117" s="4521"/>
      <c r="AF117" s="4521"/>
      <c r="AG117" s="4521"/>
      <c r="AH117" s="4521"/>
      <c r="AI117" s="4521"/>
      <c r="AJ117" s="4521"/>
      <c r="AK117" s="4521"/>
      <c r="AL117" s="4521"/>
      <c r="AM117" s="12"/>
      <c r="AN117" s="4563" t="s">
        <v>9004</v>
      </c>
      <c r="AO117" s="4501" t="s">
        <v>9005</v>
      </c>
      <c r="AP117" s="4509"/>
      <c r="AQ117" s="4509"/>
      <c r="AR117" s="4509"/>
      <c r="AS117" s="4509"/>
      <c r="AT117" s="4509"/>
      <c r="AU117" s="4509"/>
      <c r="AV117" s="4509"/>
      <c r="AW117" s="4509"/>
      <c r="AX117" s="4509"/>
      <c r="AY117" s="12"/>
    </row>
    <row r="118" spans="15:51" ht="21.9" customHeight="1">
      <c r="O118" s="12"/>
      <c r="AB118" s="4547"/>
      <c r="AC118" s="4522"/>
      <c r="AD118" s="4522"/>
      <c r="AE118" s="4522"/>
      <c r="AF118" s="4522"/>
      <c r="AG118" s="4522"/>
      <c r="AH118" s="4522"/>
      <c r="AI118" s="4522"/>
      <c r="AJ118" s="4522"/>
      <c r="AK118" s="4522"/>
      <c r="AL118" s="4522"/>
      <c r="AM118" s="12"/>
      <c r="AN118" s="4563"/>
      <c r="AO118" s="4509"/>
      <c r="AP118" s="4509"/>
      <c r="AQ118" s="4509"/>
      <c r="AR118" s="4509"/>
      <c r="AS118" s="4509"/>
      <c r="AT118" s="4509"/>
      <c r="AU118" s="4509"/>
      <c r="AV118" s="4509"/>
      <c r="AW118" s="4509"/>
      <c r="AX118" s="4509"/>
      <c r="AY118" s="12"/>
    </row>
    <row r="119" spans="15:51" ht="21.9" customHeight="1">
      <c r="O119" s="12"/>
      <c r="AB119" s="4551" t="s">
        <v>9006</v>
      </c>
      <c r="AC119" s="4551"/>
      <c r="AD119" s="4551"/>
      <c r="AE119" s="4551"/>
      <c r="AF119" s="4551"/>
      <c r="AG119" s="4551"/>
      <c r="AH119" s="4551"/>
      <c r="AI119" s="4551"/>
      <c r="AJ119" s="4551"/>
      <c r="AK119" s="4551"/>
      <c r="AL119" s="4551"/>
      <c r="AM119" s="12"/>
      <c r="AN119" s="4563"/>
      <c r="AO119" s="4509"/>
      <c r="AP119" s="4509"/>
      <c r="AQ119" s="4509"/>
      <c r="AR119" s="4509"/>
      <c r="AS119" s="4509"/>
      <c r="AT119" s="4509"/>
      <c r="AU119" s="4509"/>
      <c r="AV119" s="4509"/>
      <c r="AW119" s="4509"/>
      <c r="AX119" s="4509"/>
      <c r="AY119" s="12"/>
    </row>
    <row r="120" spans="15:51" ht="21.9" customHeight="1">
      <c r="O120" s="12"/>
      <c r="AB120" s="4542" t="s">
        <v>8990</v>
      </c>
      <c r="AC120" s="4520" t="s">
        <v>9007</v>
      </c>
      <c r="AD120" s="4520"/>
      <c r="AE120" s="4520"/>
      <c r="AF120" s="4520"/>
      <c r="AG120" s="4520"/>
      <c r="AH120" s="4520"/>
      <c r="AI120" s="4520"/>
      <c r="AJ120" s="4520"/>
      <c r="AK120" s="4520"/>
      <c r="AL120" s="4520"/>
      <c r="AM120" s="12"/>
      <c r="AN120" s="4563"/>
      <c r="AO120" s="4509"/>
      <c r="AP120" s="4509"/>
      <c r="AQ120" s="4509"/>
      <c r="AR120" s="4509"/>
      <c r="AS120" s="4509"/>
      <c r="AT120" s="4509"/>
      <c r="AU120" s="4509"/>
      <c r="AV120" s="4509"/>
      <c r="AW120" s="4509"/>
      <c r="AX120" s="4509"/>
      <c r="AY120" s="12"/>
    </row>
    <row r="121" spans="15:51" ht="21.9" customHeight="1">
      <c r="O121" s="12"/>
      <c r="AB121" s="4542"/>
      <c r="AC121" s="4520"/>
      <c r="AD121" s="4520"/>
      <c r="AE121" s="4520"/>
      <c r="AF121" s="4520"/>
      <c r="AG121" s="4520"/>
      <c r="AH121" s="4520"/>
      <c r="AI121" s="4520"/>
      <c r="AJ121" s="4520"/>
      <c r="AK121" s="4520"/>
      <c r="AL121" s="4520"/>
      <c r="AM121" s="12"/>
      <c r="AN121" s="4563"/>
      <c r="AO121" s="4509" t="s">
        <v>9008</v>
      </c>
      <c r="AP121" s="4509"/>
      <c r="AQ121" s="4509"/>
      <c r="AR121" s="4509"/>
      <c r="AS121" s="4509"/>
      <c r="AT121" s="4509"/>
      <c r="AU121" s="4509"/>
      <c r="AV121" s="4509"/>
      <c r="AW121" s="4509"/>
      <c r="AX121" s="4509"/>
      <c r="AY121" s="12"/>
    </row>
    <row r="122" spans="15:51" ht="21.9" customHeight="1">
      <c r="O122" s="12"/>
      <c r="AB122" s="4542"/>
      <c r="AC122" s="4520"/>
      <c r="AD122" s="4520"/>
      <c r="AE122" s="4520"/>
      <c r="AF122" s="4520"/>
      <c r="AG122" s="4520"/>
      <c r="AH122" s="4520"/>
      <c r="AI122" s="4520"/>
      <c r="AJ122" s="4520"/>
      <c r="AK122" s="4520"/>
      <c r="AL122" s="4520"/>
      <c r="AM122" s="12"/>
      <c r="AN122" s="4563"/>
      <c r="AO122" s="4501" t="s">
        <v>9009</v>
      </c>
      <c r="AP122" s="4501"/>
      <c r="AQ122" s="4501"/>
      <c r="AR122" s="4501"/>
      <c r="AS122" s="4501"/>
      <c r="AT122" s="4501"/>
      <c r="AU122" s="4501"/>
      <c r="AV122" s="4501"/>
      <c r="AW122" s="4501"/>
      <c r="AX122" s="4501"/>
      <c r="AY122" s="12"/>
    </row>
    <row r="123" spans="15:51" ht="21.9" customHeight="1">
      <c r="O123" s="12"/>
      <c r="AB123" s="4542" t="s">
        <v>8797</v>
      </c>
      <c r="AC123" s="4520" t="s">
        <v>9010</v>
      </c>
      <c r="AD123" s="4520"/>
      <c r="AE123" s="4520"/>
      <c r="AF123" s="4520"/>
      <c r="AG123" s="4520"/>
      <c r="AH123" s="4520"/>
      <c r="AI123" s="4520"/>
      <c r="AJ123" s="4520"/>
      <c r="AK123" s="4520"/>
      <c r="AL123" s="4520"/>
      <c r="AM123" s="12"/>
      <c r="AN123" s="4563"/>
      <c r="AO123" s="4501"/>
      <c r="AP123" s="4501"/>
      <c r="AQ123" s="4501"/>
      <c r="AR123" s="4501"/>
      <c r="AS123" s="4501"/>
      <c r="AT123" s="4501"/>
      <c r="AU123" s="4501"/>
      <c r="AV123" s="4501"/>
      <c r="AW123" s="4501"/>
      <c r="AX123" s="4501"/>
      <c r="AY123" s="12"/>
    </row>
    <row r="124" spans="15:51" ht="21.9" customHeight="1">
      <c r="O124" s="12"/>
      <c r="AB124" s="4542"/>
      <c r="AC124" s="4520"/>
      <c r="AD124" s="4520"/>
      <c r="AE124" s="4520"/>
      <c r="AF124" s="4520"/>
      <c r="AG124" s="4520"/>
      <c r="AH124" s="4520"/>
      <c r="AI124" s="4520"/>
      <c r="AJ124" s="4520"/>
      <c r="AK124" s="4520"/>
      <c r="AL124" s="4520"/>
      <c r="AM124" s="12"/>
      <c r="AN124" s="4563"/>
      <c r="AO124" s="4501"/>
      <c r="AP124" s="4501"/>
      <c r="AQ124" s="4501"/>
      <c r="AR124" s="4501"/>
      <c r="AS124" s="4501"/>
      <c r="AT124" s="4501"/>
      <c r="AU124" s="4501"/>
      <c r="AV124" s="4501"/>
      <c r="AW124" s="4501"/>
      <c r="AX124" s="4501"/>
      <c r="AY124" s="12"/>
    </row>
    <row r="125" spans="15:51" ht="21.9" customHeight="1">
      <c r="O125" s="12"/>
      <c r="AB125" s="4542"/>
      <c r="AC125" s="4520"/>
      <c r="AD125" s="4520"/>
      <c r="AE125" s="4520"/>
      <c r="AF125" s="4520"/>
      <c r="AG125" s="4520"/>
      <c r="AH125" s="4520"/>
      <c r="AI125" s="4520"/>
      <c r="AJ125" s="4520"/>
      <c r="AK125" s="4520"/>
      <c r="AL125" s="4520"/>
      <c r="AM125" s="12"/>
      <c r="AN125" s="4539" t="s">
        <v>9011</v>
      </c>
      <c r="AO125" s="4509" t="s">
        <v>9012</v>
      </c>
      <c r="AP125" s="4509"/>
      <c r="AQ125" s="4509"/>
      <c r="AR125" s="4509"/>
      <c r="AS125" s="4509"/>
      <c r="AT125" s="4509"/>
      <c r="AU125" s="4509"/>
      <c r="AV125" s="4509"/>
      <c r="AW125" s="4509"/>
      <c r="AX125" s="4509"/>
      <c r="AY125" s="12"/>
    </row>
    <row r="126" spans="15:51" ht="21.9" customHeight="1">
      <c r="O126" s="12"/>
      <c r="AB126" s="4542" t="s">
        <v>8805</v>
      </c>
      <c r="AC126" s="4520" t="s">
        <v>9013</v>
      </c>
      <c r="AD126" s="4520"/>
      <c r="AE126" s="4520"/>
      <c r="AF126" s="4520"/>
      <c r="AG126" s="4520"/>
      <c r="AH126" s="4520"/>
      <c r="AI126" s="4520"/>
      <c r="AJ126" s="4520"/>
      <c r="AK126" s="4520"/>
      <c r="AL126" s="4520"/>
      <c r="AM126" s="12"/>
      <c r="AN126" s="4539"/>
      <c r="AO126" s="4509" t="s">
        <v>9014</v>
      </c>
      <c r="AP126" s="4509"/>
      <c r="AQ126" s="4509"/>
      <c r="AR126" s="4509"/>
      <c r="AS126" s="4509"/>
      <c r="AT126" s="4509"/>
      <c r="AU126" s="4509"/>
      <c r="AV126" s="4509"/>
      <c r="AW126" s="4509"/>
      <c r="AX126" s="4509"/>
      <c r="AY126" s="12"/>
    </row>
    <row r="127" spans="15:51" ht="21.9" customHeight="1">
      <c r="O127" s="12"/>
      <c r="AB127" s="4542"/>
      <c r="AC127" s="4520"/>
      <c r="AD127" s="4520"/>
      <c r="AE127" s="4520"/>
      <c r="AF127" s="4520"/>
      <c r="AG127" s="4520"/>
      <c r="AH127" s="4520"/>
      <c r="AI127" s="4520"/>
      <c r="AJ127" s="4520"/>
      <c r="AK127" s="4520"/>
      <c r="AL127" s="4520"/>
      <c r="AM127" s="12"/>
      <c r="AN127" s="4539"/>
      <c r="AO127" s="4509" t="s">
        <v>9015</v>
      </c>
      <c r="AP127" s="4509"/>
      <c r="AQ127" s="4509"/>
      <c r="AR127" s="4509"/>
      <c r="AS127" s="4509"/>
      <c r="AT127" s="4509"/>
      <c r="AU127" s="4509"/>
      <c r="AV127" s="4509"/>
      <c r="AW127" s="4509"/>
      <c r="AX127" s="4509"/>
      <c r="AY127" s="12"/>
    </row>
    <row r="128" spans="15:51" ht="21.9" customHeight="1">
      <c r="O128" s="12"/>
      <c r="AB128" s="4542" t="s">
        <v>321</v>
      </c>
      <c r="AC128" s="4521" t="s">
        <v>9016</v>
      </c>
      <c r="AD128" s="4521"/>
      <c r="AE128" s="4521"/>
      <c r="AF128" s="4521"/>
      <c r="AG128" s="4521"/>
      <c r="AH128" s="4521"/>
      <c r="AI128" s="4521"/>
      <c r="AJ128" s="4521"/>
      <c r="AK128" s="4521"/>
      <c r="AL128" s="4521"/>
      <c r="AM128" s="12"/>
      <c r="AN128" s="4539"/>
      <c r="AO128" s="4509" t="s">
        <v>9017</v>
      </c>
      <c r="AP128" s="4509"/>
      <c r="AQ128" s="4509"/>
      <c r="AR128" s="4509"/>
      <c r="AS128" s="4509"/>
      <c r="AT128" s="4509"/>
      <c r="AU128" s="4509"/>
      <c r="AV128" s="4509"/>
      <c r="AW128" s="4509"/>
      <c r="AX128" s="4509"/>
      <c r="AY128" s="12"/>
    </row>
    <row r="129" spans="15:51" ht="21.9" customHeight="1">
      <c r="O129" s="12"/>
      <c r="AB129" s="4547"/>
      <c r="AC129" s="4522"/>
      <c r="AD129" s="4522"/>
      <c r="AE129" s="4522"/>
      <c r="AF129" s="4522"/>
      <c r="AG129" s="4522"/>
      <c r="AH129" s="4522"/>
      <c r="AI129" s="4522"/>
      <c r="AJ129" s="4522"/>
      <c r="AK129" s="4522"/>
      <c r="AL129" s="4522"/>
      <c r="AM129" s="12"/>
      <c r="AN129" s="4559" t="s">
        <v>8807</v>
      </c>
      <c r="AO129" s="4501" t="s">
        <v>9018</v>
      </c>
      <c r="AP129" s="4509"/>
      <c r="AQ129" s="4509"/>
      <c r="AR129" s="4509"/>
      <c r="AS129" s="4509"/>
      <c r="AT129" s="4509"/>
      <c r="AU129" s="4509"/>
      <c r="AV129" s="4509"/>
      <c r="AW129" s="4509"/>
      <c r="AX129" s="4509"/>
      <c r="AY129" s="12"/>
    </row>
    <row r="130" spans="15:51" ht="21.9" customHeight="1">
      <c r="O130" s="12"/>
      <c r="AB130" s="4551" t="s">
        <v>9019</v>
      </c>
      <c r="AC130" s="4551"/>
      <c r="AD130" s="4551"/>
      <c r="AE130" s="4551"/>
      <c r="AF130" s="4551"/>
      <c r="AG130" s="4551"/>
      <c r="AH130" s="4551"/>
      <c r="AI130" s="4551"/>
      <c r="AJ130" s="4551"/>
      <c r="AK130" s="4551"/>
      <c r="AL130" s="4551"/>
      <c r="AM130" s="12"/>
      <c r="AN130" s="4559"/>
      <c r="AO130" s="4509"/>
      <c r="AP130" s="4509"/>
      <c r="AQ130" s="4509"/>
      <c r="AR130" s="4509"/>
      <c r="AS130" s="4509"/>
      <c r="AT130" s="4509"/>
      <c r="AU130" s="4509"/>
      <c r="AV130" s="4509"/>
      <c r="AW130" s="4509"/>
      <c r="AX130" s="4509"/>
      <c r="AY130" s="12"/>
    </row>
    <row r="131" spans="15:51" ht="21.9" customHeight="1">
      <c r="O131" s="12"/>
      <c r="AB131" s="4542" t="s">
        <v>8778</v>
      </c>
      <c r="AC131" s="4520" t="s">
        <v>9020</v>
      </c>
      <c r="AD131" s="4506"/>
      <c r="AE131" s="4506"/>
      <c r="AF131" s="4506"/>
      <c r="AG131" s="4506"/>
      <c r="AH131" s="4506"/>
      <c r="AI131" s="4506"/>
      <c r="AJ131" s="4506"/>
      <c r="AK131" s="4506"/>
      <c r="AL131" s="4506"/>
      <c r="AM131" s="12"/>
      <c r="AN131" s="4559"/>
      <c r="AO131" s="4509"/>
      <c r="AP131" s="4509"/>
      <c r="AQ131" s="4509"/>
      <c r="AR131" s="4509"/>
      <c r="AS131" s="4509"/>
      <c r="AT131" s="4509"/>
      <c r="AU131" s="4509"/>
      <c r="AV131" s="4509"/>
      <c r="AW131" s="4509"/>
      <c r="AX131" s="4509"/>
      <c r="AY131" s="12"/>
    </row>
    <row r="132" spans="15:51" ht="21.9" customHeight="1">
      <c r="O132" s="12"/>
      <c r="AB132" s="4542"/>
      <c r="AC132" s="4506"/>
      <c r="AD132" s="4506"/>
      <c r="AE132" s="4506"/>
      <c r="AF132" s="4506"/>
      <c r="AG132" s="4506"/>
      <c r="AH132" s="4506"/>
      <c r="AI132" s="4506"/>
      <c r="AJ132" s="4506"/>
      <c r="AK132" s="4506"/>
      <c r="AL132" s="4506"/>
      <c r="AM132" s="12"/>
      <c r="AN132" s="4559"/>
      <c r="AO132" s="4509"/>
      <c r="AP132" s="4509"/>
      <c r="AQ132" s="4509"/>
      <c r="AR132" s="4509"/>
      <c r="AS132" s="4509"/>
      <c r="AT132" s="4509"/>
      <c r="AU132" s="4509"/>
      <c r="AV132" s="4509"/>
      <c r="AW132" s="4509"/>
      <c r="AX132" s="4509"/>
      <c r="AY132" s="12"/>
    </row>
    <row r="133" spans="15:51" ht="21.9" customHeight="1">
      <c r="O133" s="12"/>
      <c r="AB133" s="4542"/>
      <c r="AC133" s="4506"/>
      <c r="AD133" s="4506"/>
      <c r="AE133" s="4506"/>
      <c r="AF133" s="4506"/>
      <c r="AG133" s="4506"/>
      <c r="AH133" s="4506"/>
      <c r="AI133" s="4506"/>
      <c r="AJ133" s="4506"/>
      <c r="AK133" s="4506"/>
      <c r="AL133" s="4506"/>
      <c r="AM133" s="12"/>
      <c r="AN133" s="4559"/>
      <c r="AO133" s="4501" t="s">
        <v>9021</v>
      </c>
      <c r="AP133" s="4501"/>
      <c r="AQ133" s="4501"/>
      <c r="AR133" s="4501"/>
      <c r="AS133" s="4501"/>
      <c r="AT133" s="4501"/>
      <c r="AU133" s="4501"/>
      <c r="AV133" s="4501"/>
      <c r="AW133" s="4501"/>
      <c r="AX133" s="4501"/>
      <c r="AY133" s="12"/>
    </row>
    <row r="134" spans="15:51" ht="21.9" customHeight="1">
      <c r="O134" s="12"/>
      <c r="AB134" s="4542"/>
      <c r="AC134" s="4506"/>
      <c r="AD134" s="4506"/>
      <c r="AE134" s="4506"/>
      <c r="AF134" s="4506"/>
      <c r="AG134" s="4506"/>
      <c r="AH134" s="4506"/>
      <c r="AI134" s="4506"/>
      <c r="AJ134" s="4506"/>
      <c r="AK134" s="4506"/>
      <c r="AL134" s="4506"/>
      <c r="AM134" s="12"/>
      <c r="AN134" s="4559"/>
      <c r="AO134" s="4501"/>
      <c r="AP134" s="4501"/>
      <c r="AQ134" s="4501"/>
      <c r="AR134" s="4501"/>
      <c r="AS134" s="4501"/>
      <c r="AT134" s="4501"/>
      <c r="AU134" s="4501"/>
      <c r="AV134" s="4501"/>
      <c r="AW134" s="4501"/>
      <c r="AX134" s="4501"/>
      <c r="AY134" s="12"/>
    </row>
    <row r="135" spans="15:51" ht="21.9" customHeight="1">
      <c r="O135" s="12"/>
      <c r="AB135" s="4542"/>
      <c r="AC135" s="4506"/>
      <c r="AD135" s="4506"/>
      <c r="AE135" s="4506"/>
      <c r="AF135" s="4506"/>
      <c r="AG135" s="4506"/>
      <c r="AH135" s="4506"/>
      <c r="AI135" s="4506"/>
      <c r="AJ135" s="4506"/>
      <c r="AK135" s="4506"/>
      <c r="AL135" s="4506"/>
      <c r="AM135" s="12"/>
      <c r="AN135" s="4559"/>
      <c r="AO135" s="4501"/>
      <c r="AP135" s="4501"/>
      <c r="AQ135" s="4501"/>
      <c r="AR135" s="4501"/>
      <c r="AS135" s="4501"/>
      <c r="AT135" s="4501"/>
      <c r="AU135" s="4501"/>
      <c r="AV135" s="4501"/>
      <c r="AW135" s="4501"/>
      <c r="AX135" s="4501"/>
      <c r="AY135" s="12"/>
    </row>
    <row r="136" spans="15:51" ht="21.9" customHeight="1">
      <c r="O136" s="12"/>
      <c r="AB136" s="4542"/>
      <c r="AC136" s="4506"/>
      <c r="AD136" s="4506"/>
      <c r="AE136" s="4506"/>
      <c r="AF136" s="4506"/>
      <c r="AG136" s="4506"/>
      <c r="AH136" s="4506"/>
      <c r="AI136" s="4506"/>
      <c r="AJ136" s="4506"/>
      <c r="AK136" s="4506"/>
      <c r="AL136" s="4506"/>
      <c r="AM136" s="12"/>
      <c r="AN136" s="4559"/>
      <c r="AO136" s="4501" t="s">
        <v>9022</v>
      </c>
      <c r="AP136" s="4501"/>
      <c r="AQ136" s="4501"/>
      <c r="AR136" s="4501"/>
      <c r="AS136" s="4501"/>
      <c r="AT136" s="4501"/>
      <c r="AU136" s="4501"/>
      <c r="AV136" s="4501"/>
      <c r="AW136" s="4501"/>
      <c r="AX136" s="4501"/>
      <c r="AY136" s="12"/>
    </row>
    <row r="137" spans="15:51" ht="21.9" customHeight="1">
      <c r="O137" s="12"/>
      <c r="AB137" s="4542"/>
      <c r="AC137" s="4506"/>
      <c r="AD137" s="4506"/>
      <c r="AE137" s="4506"/>
      <c r="AF137" s="4506"/>
      <c r="AG137" s="4506"/>
      <c r="AH137" s="4506"/>
      <c r="AI137" s="4506"/>
      <c r="AJ137" s="4506"/>
      <c r="AK137" s="4506"/>
      <c r="AL137" s="4506"/>
      <c r="AM137" s="12"/>
      <c r="AN137" s="4559"/>
      <c r="AO137" s="4501" t="s">
        <v>9023</v>
      </c>
      <c r="AP137" s="4501"/>
      <c r="AQ137" s="4501"/>
      <c r="AR137" s="4501"/>
      <c r="AS137" s="4501"/>
      <c r="AT137" s="4501"/>
      <c r="AU137" s="4501"/>
      <c r="AV137" s="4501"/>
      <c r="AW137" s="4501"/>
      <c r="AX137" s="4501"/>
      <c r="AY137" s="12"/>
    </row>
    <row r="138" spans="15:51" ht="21.9" customHeight="1">
      <c r="O138" s="12"/>
      <c r="AB138" s="4542"/>
      <c r="AC138" s="4506"/>
      <c r="AD138" s="4506"/>
      <c r="AE138" s="4506"/>
      <c r="AF138" s="4506"/>
      <c r="AG138" s="4506"/>
      <c r="AH138" s="4506"/>
      <c r="AI138" s="4506"/>
      <c r="AJ138" s="4506"/>
      <c r="AK138" s="4506"/>
      <c r="AL138" s="4506"/>
      <c r="AM138" s="12"/>
      <c r="AN138" s="4559" t="s">
        <v>8984</v>
      </c>
      <c r="AO138" s="4501" t="s">
        <v>9024</v>
      </c>
      <c r="AP138" s="4501"/>
      <c r="AQ138" s="4501"/>
      <c r="AR138" s="4501"/>
      <c r="AS138" s="4501"/>
      <c r="AT138" s="4501"/>
      <c r="AU138" s="4501"/>
      <c r="AV138" s="4501"/>
      <c r="AW138" s="4501"/>
      <c r="AX138" s="4501"/>
      <c r="AY138" s="12"/>
    </row>
    <row r="139" spans="15:51" ht="21.9" customHeight="1">
      <c r="O139" s="12"/>
      <c r="AB139" s="4542"/>
      <c r="AC139" s="4506"/>
      <c r="AD139" s="4506"/>
      <c r="AE139" s="4506"/>
      <c r="AF139" s="4506"/>
      <c r="AG139" s="4506"/>
      <c r="AH139" s="4506"/>
      <c r="AI139" s="4506"/>
      <c r="AJ139" s="4506"/>
      <c r="AK139" s="4506"/>
      <c r="AL139" s="4506"/>
      <c r="AM139" s="12"/>
      <c r="AN139" s="4559"/>
      <c r="AO139" s="4501"/>
      <c r="AP139" s="4501"/>
      <c r="AQ139" s="4501"/>
      <c r="AR139" s="4501"/>
      <c r="AS139" s="4501"/>
      <c r="AT139" s="4501"/>
      <c r="AU139" s="4501"/>
      <c r="AV139" s="4501"/>
      <c r="AW139" s="4501"/>
      <c r="AX139" s="4501"/>
      <c r="AY139" s="12"/>
    </row>
    <row r="140" spans="15:51" ht="21.9" customHeight="1">
      <c r="O140" s="12"/>
      <c r="AB140" s="4542"/>
      <c r="AC140" s="4506"/>
      <c r="AD140" s="4506"/>
      <c r="AE140" s="4506"/>
      <c r="AF140" s="4506"/>
      <c r="AG140" s="4506"/>
      <c r="AH140" s="4506"/>
      <c r="AI140" s="4506"/>
      <c r="AJ140" s="4506"/>
      <c r="AK140" s="4506"/>
      <c r="AL140" s="4506"/>
      <c r="AM140" s="12"/>
      <c r="AN140" s="4559"/>
      <c r="AO140" s="4501"/>
      <c r="AP140" s="4501"/>
      <c r="AQ140" s="4501"/>
      <c r="AR140" s="4501"/>
      <c r="AS140" s="4501"/>
      <c r="AT140" s="4501"/>
      <c r="AU140" s="4501"/>
      <c r="AV140" s="4501"/>
      <c r="AW140" s="4501"/>
      <c r="AX140" s="4501"/>
      <c r="AY140" s="12"/>
    </row>
    <row r="141" spans="15:51" ht="21.9" customHeight="1">
      <c r="O141" s="12"/>
      <c r="AB141" s="4542"/>
      <c r="AC141" s="4506"/>
      <c r="AD141" s="4506"/>
      <c r="AE141" s="4506"/>
      <c r="AF141" s="4506"/>
      <c r="AG141" s="4506"/>
      <c r="AH141" s="4506"/>
      <c r="AI141" s="4506"/>
      <c r="AJ141" s="4506"/>
      <c r="AK141" s="4506"/>
      <c r="AL141" s="4506"/>
      <c r="AM141" s="12"/>
      <c r="AN141" s="4559"/>
      <c r="AO141" s="4501"/>
      <c r="AP141" s="4501"/>
      <c r="AQ141" s="4501"/>
      <c r="AR141" s="4501"/>
      <c r="AS141" s="4501"/>
      <c r="AT141" s="4501"/>
      <c r="AU141" s="4501"/>
      <c r="AV141" s="4501"/>
      <c r="AW141" s="4501"/>
      <c r="AX141" s="4501"/>
      <c r="AY141" s="12"/>
    </row>
    <row r="142" spans="15:51" ht="21.9" customHeight="1">
      <c r="O142" s="12"/>
      <c r="AB142" s="4542"/>
      <c r="AC142" s="4506"/>
      <c r="AD142" s="4506"/>
      <c r="AE142" s="4506"/>
      <c r="AF142" s="4506"/>
      <c r="AG142" s="4506"/>
      <c r="AH142" s="4506"/>
      <c r="AI142" s="4506"/>
      <c r="AJ142" s="4506"/>
      <c r="AK142" s="4506"/>
      <c r="AL142" s="4506"/>
      <c r="AM142" s="12"/>
      <c r="AN142" s="4559"/>
      <c r="AO142" s="4501"/>
      <c r="AP142" s="4501"/>
      <c r="AQ142" s="4501"/>
      <c r="AR142" s="4501"/>
      <c r="AS142" s="4501"/>
      <c r="AT142" s="4501"/>
      <c r="AU142" s="4501"/>
      <c r="AV142" s="4501"/>
      <c r="AW142" s="4501"/>
      <c r="AX142" s="4501"/>
      <c r="AY142" s="12"/>
    </row>
    <row r="143" spans="15:51" ht="21.9" customHeight="1">
      <c r="O143" s="12"/>
      <c r="AB143" s="4542"/>
      <c r="AC143" s="4506"/>
      <c r="AD143" s="4506"/>
      <c r="AE143" s="4506"/>
      <c r="AF143" s="4506"/>
      <c r="AG143" s="4506"/>
      <c r="AH143" s="4506"/>
      <c r="AI143" s="4506"/>
      <c r="AJ143" s="4506"/>
      <c r="AK143" s="4506"/>
      <c r="AL143" s="4506"/>
      <c r="AM143" s="12"/>
      <c r="AN143" s="4559"/>
      <c r="AO143" s="4501"/>
      <c r="AP143" s="4501"/>
      <c r="AQ143" s="4501"/>
      <c r="AR143" s="4501"/>
      <c r="AS143" s="4501"/>
      <c r="AT143" s="4501"/>
      <c r="AU143" s="4501"/>
      <c r="AV143" s="4501"/>
      <c r="AW143" s="4501"/>
      <c r="AX143" s="4501"/>
      <c r="AY143" s="12"/>
    </row>
    <row r="144" spans="15:51" ht="21.9" customHeight="1">
      <c r="O144" s="12"/>
      <c r="AB144" s="4542"/>
      <c r="AC144" s="4506"/>
      <c r="AD144" s="4506"/>
      <c r="AE144" s="4506"/>
      <c r="AF144" s="4506"/>
      <c r="AG144" s="4506"/>
      <c r="AH144" s="4506"/>
      <c r="AI144" s="4506"/>
      <c r="AJ144" s="4506"/>
      <c r="AK144" s="4506"/>
      <c r="AL144" s="4506"/>
      <c r="AM144" s="12"/>
      <c r="AN144" s="4559"/>
      <c r="AO144" s="4501"/>
      <c r="AP144" s="4501"/>
      <c r="AQ144" s="4501"/>
      <c r="AR144" s="4501"/>
      <c r="AS144" s="4501"/>
      <c r="AT144" s="4501"/>
      <c r="AU144" s="4501"/>
      <c r="AV144" s="4501"/>
      <c r="AW144" s="4501"/>
      <c r="AX144" s="4501"/>
      <c r="AY144" s="12"/>
    </row>
    <row r="145" spans="15:51" ht="21.9" customHeight="1">
      <c r="O145" s="12"/>
      <c r="AB145" s="4542"/>
      <c r="AC145" s="4506"/>
      <c r="AD145" s="4506"/>
      <c r="AE145" s="4506"/>
      <c r="AF145" s="4506"/>
      <c r="AG145" s="4506"/>
      <c r="AH145" s="4506"/>
      <c r="AI145" s="4506"/>
      <c r="AJ145" s="4506"/>
      <c r="AK145" s="4506"/>
      <c r="AL145" s="4506"/>
      <c r="AM145" s="12"/>
      <c r="AN145" s="4559"/>
      <c r="AO145" s="4501"/>
      <c r="AP145" s="4501"/>
      <c r="AQ145" s="4501"/>
      <c r="AR145" s="4501"/>
      <c r="AS145" s="4501"/>
      <c r="AT145" s="4501"/>
      <c r="AU145" s="4501"/>
      <c r="AV145" s="4501"/>
      <c r="AW145" s="4501"/>
      <c r="AX145" s="4501"/>
      <c r="AY145" s="12"/>
    </row>
    <row r="146" spans="15:51" ht="21.9" customHeight="1">
      <c r="O146" s="12"/>
      <c r="AB146" s="4542" t="s">
        <v>321</v>
      </c>
      <c r="AC146" s="4507" t="s">
        <v>9025</v>
      </c>
      <c r="AD146" s="4507"/>
      <c r="AE146" s="4507"/>
      <c r="AF146" s="4507"/>
      <c r="AG146" s="4507"/>
      <c r="AH146" s="4507"/>
      <c r="AI146" s="4507"/>
      <c r="AJ146" s="4507"/>
      <c r="AK146" s="4507"/>
      <c r="AL146" s="4507"/>
      <c r="AM146" s="12"/>
      <c r="AN146" s="4559"/>
      <c r="AO146" s="4501"/>
      <c r="AP146" s="4501"/>
      <c r="AQ146" s="4501"/>
      <c r="AR146" s="4501"/>
      <c r="AS146" s="4501"/>
      <c r="AT146" s="4501"/>
      <c r="AU146" s="4501"/>
      <c r="AV146" s="4501"/>
      <c r="AW146" s="4501"/>
      <c r="AX146" s="4501"/>
      <c r="AY146" s="12"/>
    </row>
    <row r="147" spans="15:51" ht="21.9" customHeight="1">
      <c r="O147" s="12"/>
      <c r="AB147" s="4542"/>
      <c r="AC147" s="4507"/>
      <c r="AD147" s="4507"/>
      <c r="AE147" s="4507"/>
      <c r="AF147" s="4507"/>
      <c r="AG147" s="4507"/>
      <c r="AH147" s="4507"/>
      <c r="AI147" s="4507"/>
      <c r="AJ147" s="4507"/>
      <c r="AK147" s="4507"/>
      <c r="AL147" s="4507"/>
      <c r="AM147" s="12"/>
      <c r="AN147" s="4559"/>
      <c r="AO147" s="4501"/>
      <c r="AP147" s="4501"/>
      <c r="AQ147" s="4501"/>
      <c r="AR147" s="4501"/>
      <c r="AS147" s="4501"/>
      <c r="AT147" s="4501"/>
      <c r="AU147" s="4501"/>
      <c r="AV147" s="4501"/>
      <c r="AW147" s="4501"/>
      <c r="AX147" s="4501"/>
      <c r="AY147" s="12"/>
    </row>
    <row r="148" spans="15:51" ht="21.9" customHeight="1">
      <c r="O148" s="12"/>
      <c r="AB148" s="4551" t="s">
        <v>9026</v>
      </c>
      <c r="AC148" s="4551"/>
      <c r="AD148" s="4551"/>
      <c r="AE148" s="4551"/>
      <c r="AF148" s="4551"/>
      <c r="AG148" s="4551"/>
      <c r="AH148" s="4551"/>
      <c r="AI148" s="4551"/>
      <c r="AJ148" s="4551"/>
      <c r="AK148" s="4551"/>
      <c r="AL148" s="4551"/>
      <c r="AM148" s="12"/>
      <c r="AN148" s="4559"/>
      <c r="AO148" s="4501" t="s">
        <v>9027</v>
      </c>
      <c r="AP148" s="4501"/>
      <c r="AQ148" s="4501"/>
      <c r="AR148" s="4501"/>
      <c r="AS148" s="4501"/>
      <c r="AT148" s="4501"/>
      <c r="AU148" s="4501"/>
      <c r="AV148" s="4501"/>
      <c r="AW148" s="4501"/>
      <c r="AX148" s="4501"/>
      <c r="AY148" s="12"/>
    </row>
    <row r="149" spans="15:51" ht="21.9" customHeight="1">
      <c r="O149" s="12"/>
      <c r="AB149" s="4542" t="s">
        <v>8990</v>
      </c>
      <c r="AC149" s="4506" t="s">
        <v>9028</v>
      </c>
      <c r="AD149" s="4506"/>
      <c r="AE149" s="4506"/>
      <c r="AF149" s="4506"/>
      <c r="AG149" s="4506"/>
      <c r="AH149" s="4506"/>
      <c r="AI149" s="4506"/>
      <c r="AJ149" s="4506"/>
      <c r="AK149" s="4506"/>
      <c r="AL149" s="4506"/>
      <c r="AM149" s="12"/>
      <c r="AN149" s="4559"/>
      <c r="AO149" s="4501"/>
      <c r="AP149" s="4501"/>
      <c r="AQ149" s="4501"/>
      <c r="AR149" s="4501"/>
      <c r="AS149" s="4501"/>
      <c r="AT149" s="4501"/>
      <c r="AU149" s="4501"/>
      <c r="AV149" s="4501"/>
      <c r="AW149" s="4501"/>
      <c r="AX149" s="4501"/>
      <c r="AY149" s="12"/>
    </row>
    <row r="150" spans="15:51" ht="21.9" customHeight="1">
      <c r="O150" s="12"/>
      <c r="AB150" s="4542"/>
      <c r="AC150" s="4506"/>
      <c r="AD150" s="4506"/>
      <c r="AE150" s="4506"/>
      <c r="AF150" s="4506"/>
      <c r="AG150" s="4506"/>
      <c r="AH150" s="4506"/>
      <c r="AI150" s="4506"/>
      <c r="AJ150" s="4506"/>
      <c r="AK150" s="4506"/>
      <c r="AL150" s="4506"/>
      <c r="AM150" s="12"/>
      <c r="AN150" s="4559"/>
      <c r="AO150" s="4501"/>
      <c r="AP150" s="4501"/>
      <c r="AQ150" s="4501"/>
      <c r="AR150" s="4501"/>
      <c r="AS150" s="4501"/>
      <c r="AT150" s="4501"/>
      <c r="AU150" s="4501"/>
      <c r="AV150" s="4501"/>
      <c r="AW150" s="4501"/>
      <c r="AX150" s="4501"/>
      <c r="AY150" s="12"/>
    </row>
    <row r="151" spans="15:51" ht="21.9" customHeight="1">
      <c r="O151" s="12"/>
      <c r="AB151" s="4542"/>
      <c r="AC151" s="4526" t="s">
        <v>9029</v>
      </c>
      <c r="AD151" s="4526"/>
      <c r="AE151" s="4526"/>
      <c r="AF151" s="4526"/>
      <c r="AG151" s="4526"/>
      <c r="AH151" s="4526"/>
      <c r="AI151" s="4526"/>
      <c r="AJ151" s="4526"/>
      <c r="AK151" s="4526"/>
      <c r="AL151" s="4526"/>
      <c r="AM151" s="12"/>
      <c r="AN151" s="4559"/>
      <c r="AO151" s="4501"/>
      <c r="AP151" s="4501"/>
      <c r="AQ151" s="4501"/>
      <c r="AR151" s="4501"/>
      <c r="AS151" s="4501"/>
      <c r="AT151" s="4501"/>
      <c r="AU151" s="4501"/>
      <c r="AV151" s="4501"/>
      <c r="AW151" s="4501"/>
      <c r="AX151" s="4501"/>
      <c r="AY151" s="12"/>
    </row>
    <row r="152" spans="15:51" ht="21.9" customHeight="1">
      <c r="O152" s="12"/>
      <c r="AB152" s="4542"/>
      <c r="AC152" s="4526"/>
      <c r="AD152" s="4526"/>
      <c r="AE152" s="4526"/>
      <c r="AF152" s="4526"/>
      <c r="AG152" s="4526"/>
      <c r="AH152" s="4526"/>
      <c r="AI152" s="4526"/>
      <c r="AJ152" s="4526"/>
      <c r="AK152" s="4526"/>
      <c r="AL152" s="4526"/>
      <c r="AM152" s="12"/>
      <c r="AN152" s="4559"/>
      <c r="AO152" s="4501"/>
      <c r="AP152" s="4501"/>
      <c r="AQ152" s="4501"/>
      <c r="AR152" s="4501"/>
      <c r="AS152" s="4501"/>
      <c r="AT152" s="4501"/>
      <c r="AU152" s="4501"/>
      <c r="AV152" s="4501"/>
      <c r="AW152" s="4501"/>
      <c r="AX152" s="4501"/>
      <c r="AY152" s="12"/>
    </row>
    <row r="153" spans="15:51" ht="21.9" customHeight="1">
      <c r="O153" s="12"/>
      <c r="AB153" s="4542" t="s">
        <v>8797</v>
      </c>
      <c r="AC153" s="4501" t="s">
        <v>9030</v>
      </c>
      <c r="AD153" s="4501"/>
      <c r="AE153" s="4501"/>
      <c r="AF153" s="4501"/>
      <c r="AG153" s="4501"/>
      <c r="AH153" s="4501"/>
      <c r="AI153" s="4501"/>
      <c r="AJ153" s="4501"/>
      <c r="AK153" s="4501"/>
      <c r="AL153" s="4501"/>
      <c r="AM153" s="12"/>
      <c r="AN153" s="4559"/>
      <c r="AO153" s="4509" t="s">
        <v>9031</v>
      </c>
      <c r="AP153" s="4509"/>
      <c r="AQ153" s="4509"/>
      <c r="AR153" s="4509"/>
      <c r="AS153" s="4509"/>
      <c r="AT153" s="4509"/>
      <c r="AU153" s="4509"/>
      <c r="AV153" s="4509"/>
      <c r="AW153" s="4509"/>
      <c r="AX153" s="4509"/>
      <c r="AY153" s="12"/>
    </row>
    <row r="154" spans="15:51" ht="21.9" customHeight="1">
      <c r="O154" s="12"/>
      <c r="AB154" s="4542"/>
      <c r="AC154" s="4501"/>
      <c r="AD154" s="4501"/>
      <c r="AE154" s="4501"/>
      <c r="AF154" s="4501"/>
      <c r="AG154" s="4501"/>
      <c r="AH154" s="4501"/>
      <c r="AI154" s="4501"/>
      <c r="AJ154" s="4501"/>
      <c r="AK154" s="4501"/>
      <c r="AL154" s="4501"/>
      <c r="AM154" s="12"/>
      <c r="AN154" s="4559"/>
      <c r="AO154" s="4509" t="s">
        <v>9032</v>
      </c>
      <c r="AP154" s="4509"/>
      <c r="AQ154" s="4509"/>
      <c r="AR154" s="4509"/>
      <c r="AS154" s="4509"/>
      <c r="AT154" s="4509"/>
      <c r="AU154" s="4509"/>
      <c r="AV154" s="4509"/>
      <c r="AW154" s="4509"/>
      <c r="AX154" s="4509"/>
      <c r="AY154" s="12"/>
    </row>
    <row r="155" spans="15:51" ht="21.9" customHeight="1">
      <c r="O155" s="12"/>
      <c r="AB155" s="4542"/>
      <c r="AC155" s="4501" t="s">
        <v>9033</v>
      </c>
      <c r="AD155" s="4501"/>
      <c r="AE155" s="4501"/>
      <c r="AF155" s="4501"/>
      <c r="AG155" s="4501"/>
      <c r="AH155" s="4501"/>
      <c r="AI155" s="4501"/>
      <c r="AJ155" s="4501"/>
      <c r="AK155" s="4501"/>
      <c r="AL155" s="4501"/>
      <c r="AM155" s="12"/>
      <c r="AN155" s="4541" t="s">
        <v>8810</v>
      </c>
      <c r="AO155" s="4509" t="s">
        <v>9034</v>
      </c>
      <c r="AP155" s="4509"/>
      <c r="AQ155" s="4509"/>
      <c r="AR155" s="4509"/>
      <c r="AS155" s="4509"/>
      <c r="AT155" s="4509"/>
      <c r="AU155" s="4509"/>
      <c r="AV155" s="4509"/>
      <c r="AW155" s="4509"/>
      <c r="AX155" s="4509"/>
      <c r="AY155" s="12"/>
    </row>
    <row r="156" spans="15:51" ht="21.9" customHeight="1">
      <c r="O156" s="12"/>
      <c r="AB156" s="4542"/>
      <c r="AC156" s="4501"/>
      <c r="AD156" s="4501"/>
      <c r="AE156" s="4501"/>
      <c r="AF156" s="4501"/>
      <c r="AG156" s="4501"/>
      <c r="AH156" s="4501"/>
      <c r="AI156" s="4501"/>
      <c r="AJ156" s="4501"/>
      <c r="AK156" s="4501"/>
      <c r="AL156" s="4501"/>
      <c r="AM156" s="12"/>
      <c r="AN156" s="4541"/>
      <c r="AO156" s="4509" t="s">
        <v>9035</v>
      </c>
      <c r="AP156" s="4509"/>
      <c r="AQ156" s="4509"/>
      <c r="AR156" s="4509"/>
      <c r="AS156" s="4509"/>
      <c r="AT156" s="4509"/>
      <c r="AU156" s="4509"/>
      <c r="AV156" s="4509"/>
      <c r="AW156" s="4509"/>
      <c r="AX156" s="4509"/>
      <c r="AY156" s="12"/>
    </row>
    <row r="157" spans="15:51" ht="21.9" customHeight="1">
      <c r="O157" s="12"/>
      <c r="AB157" s="4542" t="s">
        <v>9011</v>
      </c>
      <c r="AC157" s="4506" t="s">
        <v>9036</v>
      </c>
      <c r="AD157" s="4506"/>
      <c r="AE157" s="4506"/>
      <c r="AF157" s="4506"/>
      <c r="AG157" s="4506"/>
      <c r="AH157" s="4506"/>
      <c r="AI157" s="4506"/>
      <c r="AJ157" s="4506"/>
      <c r="AK157" s="4506"/>
      <c r="AL157" s="4506"/>
      <c r="AM157" s="12"/>
      <c r="AN157" s="4551" t="s">
        <v>9037</v>
      </c>
      <c r="AO157" s="4551"/>
      <c r="AP157" s="4551"/>
      <c r="AQ157" s="4551"/>
      <c r="AR157" s="4551"/>
      <c r="AS157" s="4551"/>
      <c r="AT157" s="4551"/>
      <c r="AU157" s="4551"/>
      <c r="AV157" s="4551"/>
      <c r="AW157" s="4551"/>
      <c r="AX157" s="4551"/>
      <c r="AY157" s="12"/>
    </row>
    <row r="158" spans="15:51" ht="21.9" customHeight="1">
      <c r="O158" s="12"/>
      <c r="AB158" s="4542"/>
      <c r="AC158" s="4506"/>
      <c r="AD158" s="4506"/>
      <c r="AE158" s="4506"/>
      <c r="AF158" s="4506"/>
      <c r="AG158" s="4506"/>
      <c r="AH158" s="4506"/>
      <c r="AI158" s="4506"/>
      <c r="AJ158" s="4506"/>
      <c r="AK158" s="4506"/>
      <c r="AL158" s="4506"/>
      <c r="AM158" s="12"/>
      <c r="AN158" s="21" t="s">
        <v>8781</v>
      </c>
      <c r="AO158" s="4509" t="s">
        <v>9038</v>
      </c>
      <c r="AP158" s="4509"/>
      <c r="AQ158" s="4509"/>
      <c r="AR158" s="4509"/>
      <c r="AS158" s="4509"/>
      <c r="AT158" s="4509"/>
      <c r="AU158" s="4509"/>
      <c r="AV158" s="4509"/>
      <c r="AW158" s="4509"/>
      <c r="AX158" s="4509"/>
      <c r="AY158" s="12"/>
    </row>
    <row r="159" spans="15:51" ht="21.9" customHeight="1">
      <c r="O159" s="12"/>
      <c r="AB159" s="4542"/>
      <c r="AC159" s="4506"/>
      <c r="AD159" s="4506"/>
      <c r="AE159" s="4506"/>
      <c r="AF159" s="4506"/>
      <c r="AG159" s="4506"/>
      <c r="AH159" s="4506"/>
      <c r="AI159" s="4506"/>
      <c r="AJ159" s="4506"/>
      <c r="AK159" s="4506"/>
      <c r="AL159" s="4506"/>
      <c r="AM159" s="12"/>
      <c r="AN159" s="14" t="s">
        <v>8807</v>
      </c>
      <c r="AO159" s="4509" t="s">
        <v>9039</v>
      </c>
      <c r="AP159" s="4509"/>
      <c r="AQ159" s="4509"/>
      <c r="AR159" s="4509"/>
      <c r="AS159" s="4509"/>
      <c r="AT159" s="4509"/>
      <c r="AU159" s="4509"/>
      <c r="AV159" s="4509"/>
      <c r="AW159" s="4509"/>
      <c r="AX159" s="4509"/>
      <c r="AY159" s="12"/>
    </row>
    <row r="160" spans="15:51" ht="21.9" customHeight="1">
      <c r="O160" s="12"/>
      <c r="AB160" s="4542" t="s">
        <v>8810</v>
      </c>
      <c r="AC160" s="4506" t="s">
        <v>9040</v>
      </c>
      <c r="AD160" s="4506"/>
      <c r="AE160" s="4506"/>
      <c r="AF160" s="4506"/>
      <c r="AG160" s="4506"/>
      <c r="AH160" s="4506"/>
      <c r="AI160" s="4506"/>
      <c r="AJ160" s="4506"/>
      <c r="AK160" s="4506"/>
      <c r="AL160" s="4506"/>
      <c r="AM160" s="12"/>
      <c r="AN160" s="4551" t="s">
        <v>9041</v>
      </c>
      <c r="AO160" s="4551"/>
      <c r="AP160" s="4551"/>
      <c r="AQ160" s="4551"/>
      <c r="AR160" s="4551"/>
      <c r="AS160" s="4551"/>
      <c r="AT160" s="4551"/>
      <c r="AU160" s="4551"/>
      <c r="AV160" s="4551"/>
      <c r="AW160" s="4551"/>
      <c r="AX160" s="4551"/>
      <c r="AY160" s="12"/>
    </row>
    <row r="161" spans="15:51" ht="21.9" customHeight="1">
      <c r="O161" s="12"/>
      <c r="AB161" s="4542"/>
      <c r="AC161" s="4506"/>
      <c r="AD161" s="4506"/>
      <c r="AE161" s="4506"/>
      <c r="AF161" s="4506"/>
      <c r="AG161" s="4506"/>
      <c r="AH161" s="4506"/>
      <c r="AI161" s="4506"/>
      <c r="AJ161" s="4506"/>
      <c r="AK161" s="4506"/>
      <c r="AL161" s="4506"/>
      <c r="AM161" s="12"/>
      <c r="AN161" s="17" t="s">
        <v>8929</v>
      </c>
      <c r="AO161" s="4561" t="s">
        <v>9042</v>
      </c>
      <c r="AP161" s="4561"/>
      <c r="AQ161" s="4561"/>
      <c r="AR161" s="4561"/>
      <c r="AS161" s="4561"/>
      <c r="AT161" s="4561"/>
      <c r="AU161" s="4561"/>
      <c r="AV161" s="4561"/>
      <c r="AW161" s="4561"/>
      <c r="AX161" s="4561"/>
      <c r="AY161" s="12"/>
    </row>
    <row r="162" spans="15:51" ht="21.9" customHeight="1">
      <c r="O162" s="12"/>
      <c r="AB162" s="4542" t="s">
        <v>8929</v>
      </c>
      <c r="AC162" s="4506" t="s">
        <v>9043</v>
      </c>
      <c r="AD162" s="4506"/>
      <c r="AE162" s="4506"/>
      <c r="AF162" s="4506"/>
      <c r="AG162" s="4506"/>
      <c r="AH162" s="4506"/>
      <c r="AI162" s="4506"/>
      <c r="AJ162" s="4506"/>
      <c r="AK162" s="4506"/>
      <c r="AL162" s="4506"/>
      <c r="AM162" s="12"/>
      <c r="AN162" s="4551" t="s">
        <v>9044</v>
      </c>
      <c r="AO162" s="4551"/>
      <c r="AP162" s="4551"/>
      <c r="AQ162" s="4551"/>
      <c r="AR162" s="4551"/>
      <c r="AS162" s="4551"/>
      <c r="AT162" s="4551"/>
      <c r="AU162" s="4551"/>
      <c r="AV162" s="4551"/>
      <c r="AW162" s="4551"/>
      <c r="AX162" s="4551"/>
      <c r="AY162" s="12"/>
    </row>
    <row r="163" spans="15:51" ht="21.9" customHeight="1">
      <c r="O163" s="12"/>
      <c r="AB163" s="4542"/>
      <c r="AC163" s="4506"/>
      <c r="AD163" s="4506"/>
      <c r="AE163" s="4506"/>
      <c r="AF163" s="4506"/>
      <c r="AG163" s="4506"/>
      <c r="AH163" s="4506"/>
      <c r="AI163" s="4506"/>
      <c r="AJ163" s="4506"/>
      <c r="AK163" s="4506"/>
      <c r="AL163" s="4506"/>
      <c r="AM163" s="12"/>
      <c r="AN163" s="4559" t="s">
        <v>8781</v>
      </c>
      <c r="AO163" s="4501" t="s">
        <v>9045</v>
      </c>
      <c r="AP163" s="4509"/>
      <c r="AQ163" s="4509"/>
      <c r="AR163" s="4509"/>
      <c r="AS163" s="4509"/>
      <c r="AT163" s="4509"/>
      <c r="AU163" s="4509"/>
      <c r="AV163" s="4509"/>
      <c r="AW163" s="4509"/>
      <c r="AX163" s="4509"/>
      <c r="AY163" s="12"/>
    </row>
    <row r="164" spans="15:51" ht="21.9" customHeight="1">
      <c r="O164" s="12"/>
      <c r="AB164" s="4542" t="s">
        <v>321</v>
      </c>
      <c r="AC164" s="4507" t="s">
        <v>9046</v>
      </c>
      <c r="AD164" s="4507"/>
      <c r="AE164" s="4507"/>
      <c r="AF164" s="4507"/>
      <c r="AG164" s="4507"/>
      <c r="AH164" s="4507"/>
      <c r="AI164" s="4507"/>
      <c r="AJ164" s="4507"/>
      <c r="AK164" s="4507"/>
      <c r="AL164" s="4507"/>
      <c r="AM164" s="12"/>
      <c r="AN164" s="4559"/>
      <c r="AO164" s="4509"/>
      <c r="AP164" s="4509"/>
      <c r="AQ164" s="4509"/>
      <c r="AR164" s="4509"/>
      <c r="AS164" s="4509"/>
      <c r="AT164" s="4509"/>
      <c r="AU164" s="4509"/>
      <c r="AV164" s="4509"/>
      <c r="AW164" s="4509"/>
      <c r="AX164" s="4509"/>
      <c r="AY164" s="12"/>
    </row>
    <row r="165" spans="15:51" ht="21.9" customHeight="1">
      <c r="O165" s="12"/>
      <c r="AB165" s="4542"/>
      <c r="AC165" s="4507"/>
      <c r="AD165" s="4507"/>
      <c r="AE165" s="4507"/>
      <c r="AF165" s="4507"/>
      <c r="AG165" s="4507"/>
      <c r="AH165" s="4507"/>
      <c r="AI165" s="4507"/>
      <c r="AJ165" s="4507"/>
      <c r="AK165" s="4507"/>
      <c r="AL165" s="4507"/>
      <c r="AM165" s="12"/>
      <c r="AN165" s="4559"/>
      <c r="AO165" s="4509"/>
      <c r="AP165" s="4509"/>
      <c r="AQ165" s="4509"/>
      <c r="AR165" s="4509"/>
      <c r="AS165" s="4509"/>
      <c r="AT165" s="4509"/>
      <c r="AU165" s="4509"/>
      <c r="AV165" s="4509"/>
      <c r="AW165" s="4509"/>
      <c r="AX165" s="4509"/>
      <c r="AY165" s="12"/>
    </row>
    <row r="166" spans="15:51" ht="21.9" customHeight="1">
      <c r="O166" s="12"/>
      <c r="AB166" s="4558" t="s">
        <v>9047</v>
      </c>
      <c r="AC166" s="4558"/>
      <c r="AD166" s="4558"/>
      <c r="AE166" s="4558"/>
      <c r="AF166" s="4558"/>
      <c r="AG166" s="4558"/>
      <c r="AH166" s="4558"/>
      <c r="AI166" s="4558"/>
      <c r="AJ166" s="4558"/>
      <c r="AK166" s="4558"/>
      <c r="AL166" s="4558"/>
      <c r="AM166" s="12"/>
      <c r="AN166" s="4559"/>
      <c r="AO166" s="4501" t="s">
        <v>9048</v>
      </c>
      <c r="AP166" s="4509"/>
      <c r="AQ166" s="4509"/>
      <c r="AR166" s="4509"/>
      <c r="AS166" s="4509"/>
      <c r="AT166" s="4509"/>
      <c r="AU166" s="4509"/>
      <c r="AV166" s="4509"/>
      <c r="AW166" s="4509"/>
      <c r="AX166" s="4509"/>
      <c r="AY166" s="12"/>
    </row>
    <row r="167" spans="15:51" ht="21.9" customHeight="1">
      <c r="O167" s="12"/>
      <c r="AB167" s="4542" t="s">
        <v>8781</v>
      </c>
      <c r="AC167" s="4501" t="s">
        <v>9049</v>
      </c>
      <c r="AD167" s="4501"/>
      <c r="AE167" s="4501"/>
      <c r="AF167" s="4501"/>
      <c r="AG167" s="4501"/>
      <c r="AH167" s="4501"/>
      <c r="AI167" s="4501"/>
      <c r="AJ167" s="4501"/>
      <c r="AK167" s="4501"/>
      <c r="AL167" s="4501"/>
      <c r="AM167" s="12"/>
      <c r="AN167" s="4559"/>
      <c r="AO167" s="4509"/>
      <c r="AP167" s="4509"/>
      <c r="AQ167" s="4509"/>
      <c r="AR167" s="4509"/>
      <c r="AS167" s="4509"/>
      <c r="AT167" s="4509"/>
      <c r="AU167" s="4509"/>
      <c r="AV167" s="4509"/>
      <c r="AW167" s="4509"/>
      <c r="AX167" s="4509"/>
      <c r="AY167" s="12"/>
    </row>
    <row r="168" spans="15:51" ht="21.9" customHeight="1">
      <c r="O168" s="12"/>
      <c r="AB168" s="4542"/>
      <c r="AC168" s="4501"/>
      <c r="AD168" s="4501"/>
      <c r="AE168" s="4501"/>
      <c r="AF168" s="4501"/>
      <c r="AG168" s="4501"/>
      <c r="AH168" s="4501"/>
      <c r="AI168" s="4501"/>
      <c r="AJ168" s="4501"/>
      <c r="AK168" s="4501"/>
      <c r="AL168" s="4501"/>
      <c r="AM168" s="12"/>
      <c r="AN168" s="4559"/>
      <c r="AO168" s="4501" t="s">
        <v>9050</v>
      </c>
      <c r="AP168" s="4509"/>
      <c r="AQ168" s="4509"/>
      <c r="AR168" s="4509"/>
      <c r="AS168" s="4509"/>
      <c r="AT168" s="4509"/>
      <c r="AU168" s="4509"/>
      <c r="AV168" s="4509"/>
      <c r="AW168" s="4509"/>
      <c r="AX168" s="4509"/>
      <c r="AY168" s="12"/>
    </row>
    <row r="169" spans="15:51" ht="21.9" customHeight="1">
      <c r="O169" s="12"/>
      <c r="AB169" s="4542" t="s">
        <v>9000</v>
      </c>
      <c r="AC169" s="4501" t="s">
        <v>9051</v>
      </c>
      <c r="AD169" s="4501"/>
      <c r="AE169" s="4501"/>
      <c r="AF169" s="4501"/>
      <c r="AG169" s="4501"/>
      <c r="AH169" s="4501"/>
      <c r="AI169" s="4501"/>
      <c r="AJ169" s="4501"/>
      <c r="AK169" s="4501"/>
      <c r="AL169" s="4501"/>
      <c r="AM169" s="12"/>
      <c r="AN169" s="4559"/>
      <c r="AO169" s="4509"/>
      <c r="AP169" s="4509"/>
      <c r="AQ169" s="4509"/>
      <c r="AR169" s="4509"/>
      <c r="AS169" s="4509"/>
      <c r="AT169" s="4509"/>
      <c r="AU169" s="4509"/>
      <c r="AV169" s="4509"/>
      <c r="AW169" s="4509"/>
      <c r="AX169" s="4509"/>
      <c r="AY169" s="12"/>
    </row>
    <row r="170" spans="15:51" ht="21.9" customHeight="1">
      <c r="O170" s="12"/>
      <c r="AB170" s="4542"/>
      <c r="AC170" s="4501"/>
      <c r="AD170" s="4501"/>
      <c r="AE170" s="4501"/>
      <c r="AF170" s="4501"/>
      <c r="AG170" s="4501"/>
      <c r="AH170" s="4501"/>
      <c r="AI170" s="4501"/>
      <c r="AJ170" s="4501"/>
      <c r="AK170" s="4501"/>
      <c r="AL170" s="4501"/>
      <c r="AM170" s="12"/>
      <c r="AN170" s="4559"/>
      <c r="AO170" s="4501" t="s">
        <v>9052</v>
      </c>
      <c r="AP170" s="4501"/>
      <c r="AQ170" s="4501"/>
      <c r="AR170" s="4501"/>
      <c r="AS170" s="4501"/>
      <c r="AT170" s="4501"/>
      <c r="AU170" s="4501"/>
      <c r="AV170" s="4501"/>
      <c r="AW170" s="4501"/>
      <c r="AX170" s="4501"/>
      <c r="AY170" s="12"/>
    </row>
    <row r="171" spans="15:51" ht="21.9" customHeight="1">
      <c r="O171" s="12"/>
      <c r="AB171" s="4542" t="s">
        <v>8797</v>
      </c>
      <c r="AC171" s="4501" t="s">
        <v>9053</v>
      </c>
      <c r="AD171" s="4501"/>
      <c r="AE171" s="4501"/>
      <c r="AF171" s="4501"/>
      <c r="AG171" s="4501"/>
      <c r="AH171" s="4501"/>
      <c r="AI171" s="4501"/>
      <c r="AJ171" s="4501"/>
      <c r="AK171" s="4501"/>
      <c r="AL171" s="4501"/>
      <c r="AM171" s="12"/>
      <c r="AN171" s="4559"/>
      <c r="AO171" s="4501"/>
      <c r="AP171" s="4501"/>
      <c r="AQ171" s="4501"/>
      <c r="AR171" s="4501"/>
      <c r="AS171" s="4501"/>
      <c r="AT171" s="4501"/>
      <c r="AU171" s="4501"/>
      <c r="AV171" s="4501"/>
      <c r="AW171" s="4501"/>
      <c r="AX171" s="4501"/>
      <c r="AY171" s="12"/>
    </row>
    <row r="172" spans="15:51" ht="21.9" customHeight="1">
      <c r="O172" s="12"/>
      <c r="AB172" s="4542"/>
      <c r="AC172" s="4501"/>
      <c r="AD172" s="4501"/>
      <c r="AE172" s="4501"/>
      <c r="AF172" s="4501"/>
      <c r="AG172" s="4501"/>
      <c r="AH172" s="4501"/>
      <c r="AI172" s="4501"/>
      <c r="AJ172" s="4501"/>
      <c r="AK172" s="4501"/>
      <c r="AL172" s="4501"/>
      <c r="AM172" s="12"/>
      <c r="AN172" s="4559"/>
      <c r="AO172" s="4509" t="s">
        <v>9054</v>
      </c>
      <c r="AP172" s="4509"/>
      <c r="AQ172" s="4509"/>
      <c r="AR172" s="4509"/>
      <c r="AS172" s="4509"/>
      <c r="AT172" s="4509"/>
      <c r="AU172" s="4509"/>
      <c r="AV172" s="4509"/>
      <c r="AW172" s="4509"/>
      <c r="AX172" s="4509"/>
      <c r="AY172" s="12"/>
    </row>
    <row r="173" spans="15:51" ht="21.9" customHeight="1">
      <c r="O173" s="12"/>
      <c r="AB173" s="4542" t="s">
        <v>8810</v>
      </c>
      <c r="AC173" s="4508" t="s">
        <v>9055</v>
      </c>
      <c r="AD173" s="4508"/>
      <c r="AE173" s="4508"/>
      <c r="AF173" s="4508"/>
      <c r="AG173" s="4508"/>
      <c r="AH173" s="4508"/>
      <c r="AI173" s="4508"/>
      <c r="AJ173" s="4508"/>
      <c r="AK173" s="4508"/>
      <c r="AL173" s="4508"/>
      <c r="AM173" s="12"/>
      <c r="AN173" s="4559"/>
      <c r="AO173" s="4509" t="s">
        <v>9056</v>
      </c>
      <c r="AP173" s="4509"/>
      <c r="AQ173" s="4509"/>
      <c r="AR173" s="4509"/>
      <c r="AS173" s="4509"/>
      <c r="AT173" s="4509"/>
      <c r="AU173" s="4509"/>
      <c r="AV173" s="4509"/>
      <c r="AW173" s="4509"/>
      <c r="AX173" s="4509"/>
      <c r="AY173" s="12"/>
    </row>
    <row r="174" spans="15:51" ht="21.9" customHeight="1">
      <c r="O174" s="12"/>
      <c r="AB174" s="4542"/>
      <c r="AC174" s="4508"/>
      <c r="AD174" s="4508"/>
      <c r="AE174" s="4508"/>
      <c r="AF174" s="4508"/>
      <c r="AG174" s="4508"/>
      <c r="AH174" s="4508"/>
      <c r="AI174" s="4508"/>
      <c r="AJ174" s="4508"/>
      <c r="AK174" s="4508"/>
      <c r="AL174" s="4508"/>
      <c r="AM174" s="12"/>
      <c r="AN174" s="4559"/>
      <c r="AO174" s="4509" t="s">
        <v>9057</v>
      </c>
      <c r="AP174" s="4509"/>
      <c r="AQ174" s="4509"/>
      <c r="AR174" s="4509"/>
      <c r="AS174" s="4509"/>
      <c r="AT174" s="4509"/>
      <c r="AU174" s="4509"/>
      <c r="AV174" s="4509"/>
      <c r="AW174" s="4509"/>
      <c r="AX174" s="4509"/>
      <c r="AY174" s="12"/>
    </row>
    <row r="175" spans="15:51" ht="21.9" customHeight="1">
      <c r="O175" s="12"/>
      <c r="AB175" s="4542" t="s">
        <v>8929</v>
      </c>
      <c r="AC175" s="4506" t="s">
        <v>9058</v>
      </c>
      <c r="AD175" s="4506"/>
      <c r="AE175" s="4506"/>
      <c r="AF175" s="4506"/>
      <c r="AG175" s="4506"/>
      <c r="AH175" s="4506"/>
      <c r="AI175" s="4506"/>
      <c r="AJ175" s="4506"/>
      <c r="AK175" s="4506"/>
      <c r="AL175" s="4506"/>
      <c r="AM175" s="12"/>
      <c r="AN175" s="4559"/>
      <c r="AO175" s="4509" t="s">
        <v>9059</v>
      </c>
      <c r="AP175" s="4509"/>
      <c r="AQ175" s="4509"/>
      <c r="AR175" s="4509"/>
      <c r="AS175" s="4509"/>
      <c r="AT175" s="4509"/>
      <c r="AU175" s="4509"/>
      <c r="AV175" s="4509"/>
      <c r="AW175" s="4509"/>
      <c r="AX175" s="4509"/>
      <c r="AY175" s="12"/>
    </row>
    <row r="176" spans="15:51" ht="21.9" customHeight="1">
      <c r="O176" s="12"/>
      <c r="AB176" s="4542"/>
      <c r="AC176" s="4506"/>
      <c r="AD176" s="4506"/>
      <c r="AE176" s="4506"/>
      <c r="AF176" s="4506"/>
      <c r="AG176" s="4506"/>
      <c r="AH176" s="4506"/>
      <c r="AI176" s="4506"/>
      <c r="AJ176" s="4506"/>
      <c r="AK176" s="4506"/>
      <c r="AL176" s="4506"/>
      <c r="AM176" s="12"/>
      <c r="AN176" s="4559"/>
      <c r="AO176" s="4501" t="s">
        <v>9060</v>
      </c>
      <c r="AP176" s="4501"/>
      <c r="AQ176" s="4501"/>
      <c r="AR176" s="4501"/>
      <c r="AS176" s="4501"/>
      <c r="AT176" s="4501"/>
      <c r="AU176" s="4501"/>
      <c r="AV176" s="4501"/>
      <c r="AW176" s="4501"/>
      <c r="AX176" s="4501"/>
      <c r="AY176" s="12"/>
    </row>
    <row r="177" spans="15:51" ht="21.9" customHeight="1">
      <c r="O177" s="12"/>
      <c r="AB177" s="4542" t="s">
        <v>321</v>
      </c>
      <c r="AC177" s="4507" t="s">
        <v>9061</v>
      </c>
      <c r="AD177" s="4507"/>
      <c r="AE177" s="4507"/>
      <c r="AF177" s="4507"/>
      <c r="AG177" s="4507"/>
      <c r="AH177" s="4507"/>
      <c r="AI177" s="4507"/>
      <c r="AJ177" s="4507"/>
      <c r="AK177" s="4507"/>
      <c r="AL177" s="4507"/>
      <c r="AM177" s="12"/>
      <c r="AN177" s="4559"/>
      <c r="AO177" s="4501"/>
      <c r="AP177" s="4501"/>
      <c r="AQ177" s="4501"/>
      <c r="AR177" s="4501"/>
      <c r="AS177" s="4501"/>
      <c r="AT177" s="4501"/>
      <c r="AU177" s="4501"/>
      <c r="AV177" s="4501"/>
      <c r="AW177" s="4501"/>
      <c r="AX177" s="4501"/>
      <c r="AY177" s="12"/>
    </row>
    <row r="178" spans="15:51" ht="21.9" customHeight="1">
      <c r="O178" s="12"/>
      <c r="AB178" s="4542"/>
      <c r="AC178" s="4507"/>
      <c r="AD178" s="4507"/>
      <c r="AE178" s="4507"/>
      <c r="AF178" s="4507"/>
      <c r="AG178" s="4507"/>
      <c r="AH178" s="4507"/>
      <c r="AI178" s="4507"/>
      <c r="AJ178" s="4507"/>
      <c r="AK178" s="4507"/>
      <c r="AL178" s="4507"/>
      <c r="AM178" s="12"/>
      <c r="AN178" s="4559"/>
      <c r="AO178" s="4501"/>
      <c r="AP178" s="4501"/>
      <c r="AQ178" s="4501"/>
      <c r="AR178" s="4501"/>
      <c r="AS178" s="4501"/>
      <c r="AT178" s="4501"/>
      <c r="AU178" s="4501"/>
      <c r="AV178" s="4501"/>
      <c r="AW178" s="4501"/>
      <c r="AX178" s="4501"/>
      <c r="AY178" s="12"/>
    </row>
    <row r="179" spans="15:51" ht="21.9" customHeight="1">
      <c r="O179" s="12"/>
      <c r="AB179" s="4542"/>
      <c r="AC179" s="4507"/>
      <c r="AD179" s="4507"/>
      <c r="AE179" s="4507"/>
      <c r="AF179" s="4507"/>
      <c r="AG179" s="4507"/>
      <c r="AH179" s="4507"/>
      <c r="AI179" s="4507"/>
      <c r="AJ179" s="4507"/>
      <c r="AK179" s="4507"/>
      <c r="AL179" s="4507"/>
      <c r="AM179" s="12"/>
      <c r="AN179" s="17" t="s">
        <v>8829</v>
      </c>
      <c r="AO179" s="4509" t="s">
        <v>9062</v>
      </c>
      <c r="AP179" s="4509"/>
      <c r="AQ179" s="4509"/>
      <c r="AR179" s="4509"/>
      <c r="AS179" s="4509"/>
      <c r="AT179" s="4509"/>
      <c r="AU179" s="4509"/>
      <c r="AV179" s="4509"/>
      <c r="AW179" s="4509"/>
      <c r="AX179" s="4509"/>
      <c r="AY179" s="12"/>
    </row>
    <row r="180" spans="15:51" ht="21.9" customHeight="1">
      <c r="O180" s="12"/>
      <c r="AB180" s="4551" t="s">
        <v>9063</v>
      </c>
      <c r="AC180" s="4551"/>
      <c r="AD180" s="4551"/>
      <c r="AE180" s="4551"/>
      <c r="AF180" s="4551"/>
      <c r="AG180" s="4551"/>
      <c r="AH180" s="4551"/>
      <c r="AI180" s="4551"/>
      <c r="AJ180" s="4551"/>
      <c r="AK180" s="4551"/>
      <c r="AL180" s="4551"/>
      <c r="AM180" s="12"/>
      <c r="AN180" s="4546" t="s">
        <v>9064</v>
      </c>
      <c r="AO180" s="4509" t="s">
        <v>9065</v>
      </c>
      <c r="AP180" s="4509"/>
      <c r="AQ180" s="4509"/>
      <c r="AR180" s="4509"/>
      <c r="AS180" s="4509"/>
      <c r="AT180" s="4509"/>
      <c r="AU180" s="4509"/>
      <c r="AV180" s="4509"/>
      <c r="AW180" s="4509"/>
      <c r="AX180" s="4509"/>
      <c r="AY180" s="12"/>
    </row>
    <row r="181" spans="15:51" ht="21.9" customHeight="1">
      <c r="O181" s="12"/>
      <c r="AB181" s="4542" t="s">
        <v>8781</v>
      </c>
      <c r="AC181" s="4501" t="s">
        <v>9066</v>
      </c>
      <c r="AD181" s="4501"/>
      <c r="AE181" s="4501"/>
      <c r="AF181" s="4501"/>
      <c r="AG181" s="4501"/>
      <c r="AH181" s="4501"/>
      <c r="AI181" s="4501"/>
      <c r="AJ181" s="4501"/>
      <c r="AK181" s="4501"/>
      <c r="AL181" s="4501"/>
      <c r="AM181" s="12"/>
      <c r="AN181" s="4546"/>
      <c r="AO181" s="4509" t="s">
        <v>9067</v>
      </c>
      <c r="AP181" s="4509"/>
      <c r="AQ181" s="4509"/>
      <c r="AR181" s="4509"/>
      <c r="AS181" s="4509"/>
      <c r="AT181" s="4509"/>
      <c r="AU181" s="4509"/>
      <c r="AV181" s="4509"/>
      <c r="AW181" s="4509"/>
      <c r="AX181" s="4509"/>
      <c r="AY181" s="12"/>
    </row>
    <row r="182" spans="15:51" ht="21.9" customHeight="1">
      <c r="O182" s="12"/>
      <c r="AB182" s="4542"/>
      <c r="AC182" s="4501"/>
      <c r="AD182" s="4501"/>
      <c r="AE182" s="4501"/>
      <c r="AF182" s="4501"/>
      <c r="AG182" s="4501"/>
      <c r="AH182" s="4501"/>
      <c r="AI182" s="4501"/>
      <c r="AJ182" s="4501"/>
      <c r="AK182" s="4501"/>
      <c r="AL182" s="4501"/>
      <c r="AM182" s="12"/>
      <c r="AN182" s="4546"/>
      <c r="AO182" s="4509" t="s">
        <v>9068</v>
      </c>
      <c r="AP182" s="4509"/>
      <c r="AQ182" s="4509"/>
      <c r="AR182" s="4509"/>
      <c r="AS182" s="4509"/>
      <c r="AT182" s="4509"/>
      <c r="AU182" s="4509"/>
      <c r="AV182" s="4509"/>
      <c r="AW182" s="4509"/>
      <c r="AX182" s="4509"/>
      <c r="AY182" s="12"/>
    </row>
    <row r="183" spans="15:51" ht="21.9" customHeight="1">
      <c r="O183" s="12"/>
      <c r="AB183" s="4542"/>
      <c r="AC183" s="4501" t="s">
        <v>9069</v>
      </c>
      <c r="AD183" s="4501"/>
      <c r="AE183" s="4501"/>
      <c r="AF183" s="4501"/>
      <c r="AG183" s="4501"/>
      <c r="AH183" s="4501"/>
      <c r="AI183" s="4501"/>
      <c r="AJ183" s="4501"/>
      <c r="AK183" s="4501"/>
      <c r="AL183" s="4501"/>
      <c r="AM183" s="12"/>
      <c r="AN183" s="4546"/>
      <c r="AO183" s="4509" t="s">
        <v>9070</v>
      </c>
      <c r="AP183" s="4509"/>
      <c r="AQ183" s="4509"/>
      <c r="AR183" s="4509"/>
      <c r="AS183" s="4509"/>
      <c r="AT183" s="4509"/>
      <c r="AU183" s="4509"/>
      <c r="AV183" s="4509"/>
      <c r="AW183" s="4509"/>
      <c r="AX183" s="4509"/>
      <c r="AY183" s="12"/>
    </row>
    <row r="184" spans="15:51" ht="21.9" customHeight="1">
      <c r="O184" s="12"/>
      <c r="AB184" s="4542"/>
      <c r="AC184" s="4501"/>
      <c r="AD184" s="4501"/>
      <c r="AE184" s="4501"/>
      <c r="AF184" s="4501"/>
      <c r="AG184" s="4501"/>
      <c r="AH184" s="4501"/>
      <c r="AI184" s="4501"/>
      <c r="AJ184" s="4501"/>
      <c r="AK184" s="4501"/>
      <c r="AL184" s="4501"/>
      <c r="AM184" s="12"/>
      <c r="AN184" s="4546"/>
      <c r="AO184" s="4560" t="s">
        <v>9071</v>
      </c>
      <c r="AP184" s="4560"/>
      <c r="AQ184" s="4560"/>
      <c r="AR184" s="4560"/>
      <c r="AS184" s="4560"/>
      <c r="AT184" s="4560"/>
      <c r="AU184" s="4560"/>
      <c r="AV184" s="4560"/>
      <c r="AW184" s="4560"/>
      <c r="AX184" s="4560"/>
      <c r="AY184" s="12"/>
    </row>
    <row r="185" spans="15:51" ht="21.9" customHeight="1">
      <c r="O185" s="12"/>
      <c r="AB185" s="4542"/>
      <c r="AC185" s="4501"/>
      <c r="AD185" s="4501"/>
      <c r="AE185" s="4501"/>
      <c r="AF185" s="4501"/>
      <c r="AG185" s="4501"/>
      <c r="AH185" s="4501"/>
      <c r="AI185" s="4501"/>
      <c r="AJ185" s="4501"/>
      <c r="AK185" s="4501"/>
      <c r="AL185" s="4501"/>
      <c r="AM185" s="12"/>
      <c r="AN185" s="4551" t="s">
        <v>9072</v>
      </c>
      <c r="AO185" s="4551"/>
      <c r="AP185" s="4551"/>
      <c r="AQ185" s="4551"/>
      <c r="AR185" s="4551"/>
      <c r="AS185" s="4551"/>
      <c r="AT185" s="4551"/>
      <c r="AU185" s="4551"/>
      <c r="AV185" s="4551"/>
      <c r="AW185" s="4551"/>
      <c r="AX185" s="4551"/>
      <c r="AY185" s="12"/>
    </row>
    <row r="186" spans="15:51" ht="21.9" customHeight="1">
      <c r="O186" s="12"/>
      <c r="AB186" s="4542" t="s">
        <v>8929</v>
      </c>
      <c r="AC186" s="4508" t="s">
        <v>9073</v>
      </c>
      <c r="AD186" s="4508"/>
      <c r="AE186" s="4508"/>
      <c r="AF186" s="4508"/>
      <c r="AG186" s="4508"/>
      <c r="AH186" s="4508"/>
      <c r="AI186" s="4508"/>
      <c r="AJ186" s="4508"/>
      <c r="AK186" s="4508"/>
      <c r="AL186" s="4508"/>
      <c r="AM186" s="12"/>
      <c r="AN186" s="4559" t="s">
        <v>8781</v>
      </c>
      <c r="AO186" s="4509" t="s">
        <v>9074</v>
      </c>
      <c r="AP186" s="4509"/>
      <c r="AQ186" s="4509"/>
      <c r="AR186" s="4509"/>
      <c r="AS186" s="4509"/>
      <c r="AT186" s="4509"/>
      <c r="AU186" s="4509"/>
      <c r="AV186" s="4509"/>
      <c r="AW186" s="4509"/>
      <c r="AX186" s="4509"/>
      <c r="AY186" s="12"/>
    </row>
    <row r="187" spans="15:51" ht="21.9" customHeight="1">
      <c r="O187" s="12"/>
      <c r="AB187" s="4542"/>
      <c r="AC187" s="4508"/>
      <c r="AD187" s="4508"/>
      <c r="AE187" s="4508"/>
      <c r="AF187" s="4508"/>
      <c r="AG187" s="4508"/>
      <c r="AH187" s="4508"/>
      <c r="AI187" s="4508"/>
      <c r="AJ187" s="4508"/>
      <c r="AK187" s="4508"/>
      <c r="AL187" s="4508"/>
      <c r="AM187" s="12"/>
      <c r="AN187" s="4559"/>
      <c r="AO187" s="4525" t="s">
        <v>9075</v>
      </c>
      <c r="AP187" s="4526"/>
      <c r="AQ187" s="4526"/>
      <c r="AR187" s="4526"/>
      <c r="AS187" s="4526"/>
      <c r="AT187" s="4526"/>
      <c r="AU187" s="4526"/>
      <c r="AV187" s="4526"/>
      <c r="AW187" s="4526"/>
      <c r="AX187" s="4526"/>
      <c r="AY187" s="12"/>
    </row>
    <row r="188" spans="15:51" ht="21.9" customHeight="1">
      <c r="O188" s="12"/>
      <c r="AB188" s="4542"/>
      <c r="AC188" s="4507" t="s">
        <v>9076</v>
      </c>
      <c r="AD188" s="4507"/>
      <c r="AE188" s="4507"/>
      <c r="AF188" s="4507"/>
      <c r="AG188" s="4507"/>
      <c r="AH188" s="4507"/>
      <c r="AI188" s="4507"/>
      <c r="AJ188" s="4507"/>
      <c r="AK188" s="4507"/>
      <c r="AL188" s="4507"/>
      <c r="AM188" s="12"/>
      <c r="AN188" s="4559"/>
      <c r="AO188" s="4526"/>
      <c r="AP188" s="4526"/>
      <c r="AQ188" s="4526"/>
      <c r="AR188" s="4526"/>
      <c r="AS188" s="4526"/>
      <c r="AT188" s="4526"/>
      <c r="AU188" s="4526"/>
      <c r="AV188" s="4526"/>
      <c r="AW188" s="4526"/>
      <c r="AX188" s="4526"/>
      <c r="AY188" s="12"/>
    </row>
    <row r="189" spans="15:51" ht="21.9" customHeight="1">
      <c r="O189" s="12"/>
      <c r="AB189" s="4542"/>
      <c r="AC189" s="4507"/>
      <c r="AD189" s="4507"/>
      <c r="AE189" s="4507"/>
      <c r="AF189" s="4507"/>
      <c r="AG189" s="4507"/>
      <c r="AH189" s="4507"/>
      <c r="AI189" s="4507"/>
      <c r="AJ189" s="4507"/>
      <c r="AK189" s="4507"/>
      <c r="AL189" s="4507"/>
      <c r="AM189" s="12"/>
      <c r="AN189" s="4559"/>
      <c r="AO189" s="4509" t="s">
        <v>9077</v>
      </c>
      <c r="AP189" s="4509"/>
      <c r="AQ189" s="4509"/>
      <c r="AR189" s="4509"/>
      <c r="AS189" s="4509"/>
      <c r="AT189" s="4509"/>
      <c r="AU189" s="4509"/>
      <c r="AV189" s="4509"/>
      <c r="AW189" s="4509"/>
      <c r="AX189" s="4509"/>
      <c r="AY189" s="12"/>
    </row>
    <row r="190" spans="15:51" ht="21.9" customHeight="1">
      <c r="O190" s="12"/>
      <c r="AB190" s="4539" t="s">
        <v>321</v>
      </c>
      <c r="AC190" s="4504" t="s">
        <v>9078</v>
      </c>
      <c r="AD190" s="4504"/>
      <c r="AE190" s="4504"/>
      <c r="AF190" s="4504"/>
      <c r="AG190" s="4504"/>
      <c r="AH190" s="4504"/>
      <c r="AI190" s="4504"/>
      <c r="AJ190" s="4504"/>
      <c r="AK190" s="4504"/>
      <c r="AL190" s="4504"/>
      <c r="AM190" s="12"/>
      <c r="AN190" s="4559"/>
      <c r="AO190" s="4509" t="s">
        <v>9079</v>
      </c>
      <c r="AP190" s="4509"/>
      <c r="AQ190" s="4509"/>
      <c r="AR190" s="4509"/>
      <c r="AS190" s="4509"/>
      <c r="AT190" s="4509"/>
      <c r="AU190" s="4509"/>
      <c r="AV190" s="4509"/>
      <c r="AW190" s="4509"/>
      <c r="AX190" s="4509"/>
      <c r="AY190" s="12"/>
    </row>
    <row r="191" spans="15:51" ht="21.9" customHeight="1">
      <c r="O191" s="12"/>
      <c r="AB191" s="4539"/>
      <c r="AC191" s="4504"/>
      <c r="AD191" s="4504"/>
      <c r="AE191" s="4504"/>
      <c r="AF191" s="4504"/>
      <c r="AG191" s="4504"/>
      <c r="AH191" s="4504"/>
      <c r="AI191" s="4504"/>
      <c r="AJ191" s="4504"/>
      <c r="AK191" s="4504"/>
      <c r="AL191" s="4504"/>
      <c r="AM191" s="12"/>
      <c r="AN191" s="4559"/>
      <c r="AO191" s="4509" t="s">
        <v>8896</v>
      </c>
      <c r="AP191" s="4509"/>
      <c r="AQ191" s="4509"/>
      <c r="AR191" s="4509"/>
      <c r="AS191" s="4509"/>
      <c r="AT191" s="4509"/>
      <c r="AU191" s="4509"/>
      <c r="AV191" s="4509"/>
      <c r="AW191" s="4509"/>
      <c r="AX191" s="4509"/>
      <c r="AY191" s="12"/>
    </row>
    <row r="192" spans="15:51" ht="21.9" customHeight="1">
      <c r="O192" s="12"/>
      <c r="AB192" s="4539"/>
      <c r="AC192" s="4504"/>
      <c r="AD192" s="4504"/>
      <c r="AE192" s="4504"/>
      <c r="AF192" s="4504"/>
      <c r="AG192" s="4504"/>
      <c r="AH192" s="4504"/>
      <c r="AI192" s="4504"/>
      <c r="AJ192" s="4504"/>
      <c r="AK192" s="4504"/>
      <c r="AL192" s="4504"/>
      <c r="AM192" s="12"/>
      <c r="AN192" s="14" t="s">
        <v>8797</v>
      </c>
      <c r="AO192" s="4509" t="s">
        <v>9080</v>
      </c>
      <c r="AP192" s="4509"/>
      <c r="AQ192" s="4509"/>
      <c r="AR192" s="4509"/>
      <c r="AS192" s="4509"/>
      <c r="AT192" s="4509"/>
      <c r="AU192" s="4509"/>
      <c r="AV192" s="4509"/>
      <c r="AW192" s="4509"/>
      <c r="AX192" s="4509"/>
      <c r="AY192" s="12"/>
    </row>
    <row r="193" spans="15:51" ht="21.9" customHeight="1">
      <c r="O193" s="12"/>
      <c r="AB193" s="4539"/>
      <c r="AC193" s="4504"/>
      <c r="AD193" s="4504"/>
      <c r="AE193" s="4504"/>
      <c r="AF193" s="4504"/>
      <c r="AG193" s="4504"/>
      <c r="AH193" s="4504"/>
      <c r="AI193" s="4504"/>
      <c r="AJ193" s="4504"/>
      <c r="AK193" s="4504"/>
      <c r="AL193" s="4504"/>
      <c r="AM193" s="12"/>
      <c r="AN193" s="21" t="s">
        <v>9000</v>
      </c>
      <c r="AO193" s="4509" t="s">
        <v>9081</v>
      </c>
      <c r="AP193" s="4509"/>
      <c r="AQ193" s="4509"/>
      <c r="AR193" s="4509"/>
      <c r="AS193" s="4509"/>
      <c r="AT193" s="4509"/>
      <c r="AU193" s="4509"/>
      <c r="AV193" s="4509"/>
      <c r="AW193" s="4509"/>
      <c r="AX193" s="4509"/>
      <c r="AY193" s="12"/>
    </row>
    <row r="194" spans="15:51" ht="21.9" customHeight="1">
      <c r="O194" s="12"/>
      <c r="AB194" s="4539"/>
      <c r="AC194" s="4504"/>
      <c r="AD194" s="4504"/>
      <c r="AE194" s="4504"/>
      <c r="AF194" s="4504"/>
      <c r="AG194" s="4504"/>
      <c r="AH194" s="4504"/>
      <c r="AI194" s="4504"/>
      <c r="AJ194" s="4504"/>
      <c r="AK194" s="4504"/>
      <c r="AL194" s="4504"/>
      <c r="AM194" s="12"/>
      <c r="AN194" s="22" t="s">
        <v>9082</v>
      </c>
      <c r="AO194" s="4509" t="s">
        <v>9083</v>
      </c>
      <c r="AP194" s="4509"/>
      <c r="AQ194" s="4509"/>
      <c r="AR194" s="4509"/>
      <c r="AS194" s="4509"/>
      <c r="AT194" s="4509"/>
      <c r="AU194" s="4509"/>
      <c r="AV194" s="4509"/>
      <c r="AW194" s="4509"/>
      <c r="AX194" s="4509"/>
      <c r="AY194" s="12"/>
    </row>
    <row r="195" spans="15:51" ht="21.9" customHeight="1">
      <c r="O195" s="12"/>
      <c r="AB195" s="4558" t="s">
        <v>9084</v>
      </c>
      <c r="AC195" s="4558"/>
      <c r="AD195" s="4558"/>
      <c r="AE195" s="4558"/>
      <c r="AF195" s="4558"/>
      <c r="AG195" s="4558"/>
      <c r="AH195" s="4558"/>
      <c r="AI195" s="4558"/>
      <c r="AJ195" s="4558"/>
      <c r="AK195" s="4558"/>
      <c r="AL195" s="4558"/>
      <c r="AM195" s="12"/>
      <c r="AN195" s="4552" t="s">
        <v>8807</v>
      </c>
      <c r="AO195" s="4509" t="s">
        <v>9083</v>
      </c>
      <c r="AP195" s="4509"/>
      <c r="AQ195" s="4509"/>
      <c r="AR195" s="4509"/>
      <c r="AS195" s="4509"/>
      <c r="AT195" s="4509"/>
      <c r="AU195" s="4509"/>
      <c r="AV195" s="4509"/>
      <c r="AW195" s="4509"/>
      <c r="AX195" s="4509"/>
      <c r="AY195" s="12"/>
    </row>
    <row r="196" spans="15:51" ht="21.9" customHeight="1">
      <c r="O196" s="12"/>
      <c r="AB196" s="4542" t="s">
        <v>8781</v>
      </c>
      <c r="AC196" s="4509" t="s">
        <v>9085</v>
      </c>
      <c r="AD196" s="4509"/>
      <c r="AE196" s="4509"/>
      <c r="AF196" s="4509"/>
      <c r="AG196" s="4509"/>
      <c r="AH196" s="4509"/>
      <c r="AI196" s="4509"/>
      <c r="AJ196" s="4509"/>
      <c r="AK196" s="4509"/>
      <c r="AL196" s="4509"/>
      <c r="AM196" s="12"/>
      <c r="AN196" s="4552"/>
      <c r="AO196" s="4509" t="s">
        <v>9086</v>
      </c>
      <c r="AP196" s="4509"/>
      <c r="AQ196" s="4509"/>
      <c r="AR196" s="4509"/>
      <c r="AS196" s="4509"/>
      <c r="AT196" s="4509"/>
      <c r="AU196" s="4509"/>
      <c r="AV196" s="4509"/>
      <c r="AW196" s="4509"/>
      <c r="AX196" s="4509"/>
      <c r="AY196" s="12"/>
    </row>
    <row r="197" spans="15:51" ht="21.9" customHeight="1">
      <c r="O197" s="12"/>
      <c r="AB197" s="4542"/>
      <c r="AC197" s="4509"/>
      <c r="AD197" s="4509"/>
      <c r="AE197" s="4509"/>
      <c r="AF197" s="4509"/>
      <c r="AG197" s="4509"/>
      <c r="AH197" s="4509"/>
      <c r="AI197" s="4509"/>
      <c r="AJ197" s="4509"/>
      <c r="AK197" s="4509"/>
      <c r="AL197" s="4509"/>
      <c r="AM197" s="12"/>
      <c r="AN197" s="4551" t="s">
        <v>9087</v>
      </c>
      <c r="AO197" s="4551"/>
      <c r="AP197" s="4551"/>
      <c r="AQ197" s="4551"/>
      <c r="AR197" s="4551"/>
      <c r="AS197" s="4551"/>
      <c r="AT197" s="4551"/>
      <c r="AU197" s="4551"/>
      <c r="AV197" s="4551"/>
      <c r="AW197" s="4551"/>
      <c r="AX197" s="4551"/>
      <c r="AY197" s="12"/>
    </row>
    <row r="198" spans="15:51" ht="21.9" customHeight="1">
      <c r="O198" s="12"/>
      <c r="AB198" s="4542"/>
      <c r="AC198" s="4501" t="s">
        <v>9088</v>
      </c>
      <c r="AD198" s="4501"/>
      <c r="AE198" s="4501"/>
      <c r="AF198" s="4501"/>
      <c r="AG198" s="4501"/>
      <c r="AH198" s="4501"/>
      <c r="AI198" s="4501"/>
      <c r="AJ198" s="4501"/>
      <c r="AK198" s="4501"/>
      <c r="AL198" s="4501"/>
      <c r="AM198" s="12"/>
      <c r="AN198" s="4554" t="s">
        <v>8781</v>
      </c>
      <c r="AO198" s="4509" t="s">
        <v>9089</v>
      </c>
      <c r="AP198" s="4509"/>
      <c r="AQ198" s="4509"/>
      <c r="AR198" s="4509"/>
      <c r="AS198" s="4509"/>
      <c r="AT198" s="4509"/>
      <c r="AU198" s="4509"/>
      <c r="AV198" s="4509"/>
      <c r="AW198" s="4509"/>
      <c r="AX198" s="4509"/>
      <c r="AY198" s="12"/>
    </row>
    <row r="199" spans="15:51" ht="21.9" customHeight="1">
      <c r="O199" s="12"/>
      <c r="AB199" s="4542"/>
      <c r="AC199" s="4501"/>
      <c r="AD199" s="4501"/>
      <c r="AE199" s="4501"/>
      <c r="AF199" s="4501"/>
      <c r="AG199" s="4501"/>
      <c r="AH199" s="4501"/>
      <c r="AI199" s="4501"/>
      <c r="AJ199" s="4501"/>
      <c r="AK199" s="4501"/>
      <c r="AL199" s="4501"/>
      <c r="AM199" s="12"/>
      <c r="AN199" s="4554"/>
      <c r="AO199" s="4509" t="s">
        <v>9090</v>
      </c>
      <c r="AP199" s="4509"/>
      <c r="AQ199" s="4509"/>
      <c r="AR199" s="4509"/>
      <c r="AS199" s="4509"/>
      <c r="AT199" s="4509"/>
      <c r="AU199" s="4509"/>
      <c r="AV199" s="4509"/>
      <c r="AW199" s="4509"/>
      <c r="AX199" s="4509"/>
      <c r="AY199" s="12"/>
    </row>
    <row r="200" spans="15:51" ht="21.9" customHeight="1">
      <c r="O200" s="12"/>
      <c r="AB200" s="4542"/>
      <c r="AC200" s="4501" t="s">
        <v>9091</v>
      </c>
      <c r="AD200" s="4501"/>
      <c r="AE200" s="4501"/>
      <c r="AF200" s="4501"/>
      <c r="AG200" s="4501"/>
      <c r="AH200" s="4501"/>
      <c r="AI200" s="4501"/>
      <c r="AJ200" s="4501"/>
      <c r="AK200" s="4501"/>
      <c r="AL200" s="4501"/>
      <c r="AM200" s="12"/>
      <c r="AN200" s="4554"/>
      <c r="AO200" s="4509" t="s">
        <v>9092</v>
      </c>
      <c r="AP200" s="4509"/>
      <c r="AQ200" s="4509"/>
      <c r="AR200" s="4509"/>
      <c r="AS200" s="4509"/>
      <c r="AT200" s="4509"/>
      <c r="AU200" s="4509"/>
      <c r="AV200" s="4509"/>
      <c r="AW200" s="4509"/>
      <c r="AX200" s="4509"/>
      <c r="AY200" s="12"/>
    </row>
    <row r="201" spans="15:51" ht="21.9" customHeight="1">
      <c r="O201" s="12"/>
      <c r="AB201" s="4542"/>
      <c r="AC201" s="4501"/>
      <c r="AD201" s="4501"/>
      <c r="AE201" s="4501"/>
      <c r="AF201" s="4501"/>
      <c r="AG201" s="4501"/>
      <c r="AH201" s="4501"/>
      <c r="AI201" s="4501"/>
      <c r="AJ201" s="4501"/>
      <c r="AK201" s="4501"/>
      <c r="AL201" s="4501"/>
      <c r="AM201" s="12"/>
      <c r="AN201" s="4554"/>
      <c r="AO201" s="4501" t="s">
        <v>9093</v>
      </c>
      <c r="AP201" s="4509"/>
      <c r="AQ201" s="4509"/>
      <c r="AR201" s="4509"/>
      <c r="AS201" s="4509"/>
      <c r="AT201" s="4509"/>
      <c r="AU201" s="4509"/>
      <c r="AV201" s="4509"/>
      <c r="AW201" s="4509"/>
      <c r="AX201" s="4509"/>
      <c r="AY201" s="12"/>
    </row>
    <row r="202" spans="15:51" ht="21.9" customHeight="1">
      <c r="O202" s="12"/>
      <c r="AB202" s="4542" t="s">
        <v>9000</v>
      </c>
      <c r="AC202" s="4501" t="s">
        <v>9094</v>
      </c>
      <c r="AD202" s="4501"/>
      <c r="AE202" s="4501"/>
      <c r="AF202" s="4501"/>
      <c r="AG202" s="4501"/>
      <c r="AH202" s="4501"/>
      <c r="AI202" s="4501"/>
      <c r="AJ202" s="4501"/>
      <c r="AK202" s="4501"/>
      <c r="AL202" s="4501"/>
      <c r="AM202" s="12"/>
      <c r="AN202" s="4554"/>
      <c r="AO202" s="4509"/>
      <c r="AP202" s="4509"/>
      <c r="AQ202" s="4509"/>
      <c r="AR202" s="4509"/>
      <c r="AS202" s="4509"/>
      <c r="AT202" s="4509"/>
      <c r="AU202" s="4509"/>
      <c r="AV202" s="4509"/>
      <c r="AW202" s="4509"/>
      <c r="AX202" s="4509"/>
      <c r="AY202" s="12"/>
    </row>
    <row r="203" spans="15:51" ht="21.9" customHeight="1">
      <c r="O203" s="12"/>
      <c r="AB203" s="4542"/>
      <c r="AC203" s="4501"/>
      <c r="AD203" s="4501"/>
      <c r="AE203" s="4501"/>
      <c r="AF203" s="4501"/>
      <c r="AG203" s="4501"/>
      <c r="AH203" s="4501"/>
      <c r="AI203" s="4501"/>
      <c r="AJ203" s="4501"/>
      <c r="AK203" s="4501"/>
      <c r="AL203" s="4501"/>
      <c r="AM203" s="12"/>
      <c r="AN203" s="4554"/>
      <c r="AO203" s="4509" t="s">
        <v>9095</v>
      </c>
      <c r="AP203" s="4509"/>
      <c r="AQ203" s="4509"/>
      <c r="AR203" s="4509"/>
      <c r="AS203" s="4509"/>
      <c r="AT203" s="4509"/>
      <c r="AU203" s="4509"/>
      <c r="AV203" s="4509"/>
      <c r="AW203" s="4509"/>
      <c r="AX203" s="4509"/>
      <c r="AY203" s="12"/>
    </row>
    <row r="204" spans="15:51" ht="21.9" customHeight="1">
      <c r="O204" s="12"/>
      <c r="AB204" s="4542"/>
      <c r="AC204" s="4557" t="s">
        <v>9096</v>
      </c>
      <c r="AD204" s="4557"/>
      <c r="AE204" s="4557"/>
      <c r="AF204" s="4557"/>
      <c r="AG204" s="4557"/>
      <c r="AH204" s="4557"/>
      <c r="AI204" s="4557"/>
      <c r="AJ204" s="4557"/>
      <c r="AK204" s="4557"/>
      <c r="AL204" s="4557"/>
      <c r="AM204" s="12"/>
      <c r="AN204" s="4542" t="s">
        <v>8829</v>
      </c>
      <c r="AO204" s="4509" t="s">
        <v>9097</v>
      </c>
      <c r="AP204" s="4509"/>
      <c r="AQ204" s="4509"/>
      <c r="AR204" s="4509"/>
      <c r="AS204" s="4509"/>
      <c r="AT204" s="4509"/>
      <c r="AU204" s="4509"/>
      <c r="AV204" s="4509"/>
      <c r="AW204" s="4509"/>
      <c r="AX204" s="4509"/>
      <c r="AY204" s="12"/>
    </row>
    <row r="205" spans="15:51" ht="21.9" customHeight="1">
      <c r="O205" s="12"/>
      <c r="AB205" s="4542"/>
      <c r="AC205" s="4557"/>
      <c r="AD205" s="4557"/>
      <c r="AE205" s="4557"/>
      <c r="AF205" s="4557"/>
      <c r="AG205" s="4557"/>
      <c r="AH205" s="4557"/>
      <c r="AI205" s="4557"/>
      <c r="AJ205" s="4557"/>
      <c r="AK205" s="4557"/>
      <c r="AL205" s="4557"/>
      <c r="AM205" s="12"/>
      <c r="AN205" s="4542"/>
      <c r="AO205" s="4525" t="s">
        <v>9098</v>
      </c>
      <c r="AP205" s="4526"/>
      <c r="AQ205" s="4526"/>
      <c r="AR205" s="4526"/>
      <c r="AS205" s="4526"/>
      <c r="AT205" s="4526"/>
      <c r="AU205" s="4526"/>
      <c r="AV205" s="4526"/>
      <c r="AW205" s="4526"/>
      <c r="AX205" s="4526"/>
      <c r="AY205" s="12"/>
    </row>
    <row r="206" spans="15:51" ht="21.9" customHeight="1">
      <c r="O206" s="12"/>
      <c r="AB206" s="4539" t="s">
        <v>321</v>
      </c>
      <c r="AC206" s="4504" t="s">
        <v>9099</v>
      </c>
      <c r="AD206" s="4504"/>
      <c r="AE206" s="4504"/>
      <c r="AF206" s="4504"/>
      <c r="AG206" s="4504"/>
      <c r="AH206" s="4504"/>
      <c r="AI206" s="4504"/>
      <c r="AJ206" s="4504"/>
      <c r="AK206" s="4504"/>
      <c r="AL206" s="4504"/>
      <c r="AM206" s="12"/>
      <c r="AN206" s="4542"/>
      <c r="AO206" s="4526"/>
      <c r="AP206" s="4526"/>
      <c r="AQ206" s="4526"/>
      <c r="AR206" s="4526"/>
      <c r="AS206" s="4526"/>
      <c r="AT206" s="4526"/>
      <c r="AU206" s="4526"/>
      <c r="AV206" s="4526"/>
      <c r="AW206" s="4526"/>
      <c r="AX206" s="4526"/>
      <c r="AY206" s="12"/>
    </row>
    <row r="207" spans="15:51" ht="21.9" customHeight="1">
      <c r="O207" s="12"/>
      <c r="AB207" s="4539"/>
      <c r="AC207" s="4504"/>
      <c r="AD207" s="4504"/>
      <c r="AE207" s="4504"/>
      <c r="AF207" s="4504"/>
      <c r="AG207" s="4504"/>
      <c r="AH207" s="4504"/>
      <c r="AI207" s="4504"/>
      <c r="AJ207" s="4504"/>
      <c r="AK207" s="4504"/>
      <c r="AL207" s="4504"/>
      <c r="AM207" s="12"/>
      <c r="AN207" s="4542"/>
      <c r="AO207" s="4526"/>
      <c r="AP207" s="4526"/>
      <c r="AQ207" s="4526"/>
      <c r="AR207" s="4526"/>
      <c r="AS207" s="4526"/>
      <c r="AT207" s="4526"/>
      <c r="AU207" s="4526"/>
      <c r="AV207" s="4526"/>
      <c r="AW207" s="4526"/>
      <c r="AX207" s="4526"/>
      <c r="AY207" s="12"/>
    </row>
    <row r="208" spans="15:51" ht="21.9" customHeight="1">
      <c r="O208" s="12"/>
      <c r="AB208" s="4539"/>
      <c r="AC208" s="4504"/>
      <c r="AD208" s="4504"/>
      <c r="AE208" s="4504"/>
      <c r="AF208" s="4504"/>
      <c r="AG208" s="4504"/>
      <c r="AH208" s="4504"/>
      <c r="AI208" s="4504"/>
      <c r="AJ208" s="4504"/>
      <c r="AK208" s="4504"/>
      <c r="AL208" s="4504"/>
      <c r="AM208" s="12"/>
      <c r="AN208" s="4542"/>
      <c r="AO208" s="4509" t="s">
        <v>9100</v>
      </c>
      <c r="AP208" s="4509"/>
      <c r="AQ208" s="4509"/>
      <c r="AR208" s="4509"/>
      <c r="AS208" s="4509"/>
      <c r="AT208" s="4509"/>
      <c r="AU208" s="4509"/>
      <c r="AV208" s="4509"/>
      <c r="AW208" s="4509"/>
      <c r="AX208" s="4509"/>
      <c r="AY208" s="12"/>
    </row>
    <row r="209" spans="15:51" ht="21.9" customHeight="1">
      <c r="O209" s="12"/>
      <c r="AB209" s="4551" t="s">
        <v>9101</v>
      </c>
      <c r="AC209" s="4551"/>
      <c r="AD209" s="4551"/>
      <c r="AE209" s="4551"/>
      <c r="AF209" s="4551"/>
      <c r="AG209" s="4551"/>
      <c r="AH209" s="4551"/>
      <c r="AI209" s="4551"/>
      <c r="AJ209" s="4551"/>
      <c r="AK209" s="4551"/>
      <c r="AL209" s="4551"/>
      <c r="AM209" s="12"/>
      <c r="AN209" s="4542"/>
      <c r="AO209" s="4501" t="s">
        <v>9102</v>
      </c>
      <c r="AP209" s="4501"/>
      <c r="AQ209" s="4501"/>
      <c r="AR209" s="4501"/>
      <c r="AS209" s="4501"/>
      <c r="AT209" s="4501"/>
      <c r="AU209" s="4501"/>
      <c r="AV209" s="4501"/>
      <c r="AW209" s="4501"/>
      <c r="AX209" s="4501"/>
      <c r="AY209" s="12"/>
    </row>
    <row r="210" spans="15:51" ht="21.9" customHeight="1">
      <c r="O210" s="12"/>
      <c r="AB210" s="4542" t="s">
        <v>8781</v>
      </c>
      <c r="AC210" s="4501" t="s">
        <v>9103</v>
      </c>
      <c r="AD210" s="4509"/>
      <c r="AE210" s="4509"/>
      <c r="AF210" s="4509"/>
      <c r="AG210" s="4509"/>
      <c r="AH210" s="4509"/>
      <c r="AI210" s="4509"/>
      <c r="AJ210" s="4509"/>
      <c r="AK210" s="4509"/>
      <c r="AL210" s="4509"/>
      <c r="AM210" s="12"/>
      <c r="AN210" s="4542"/>
      <c r="AO210" s="4501"/>
      <c r="AP210" s="4501"/>
      <c r="AQ210" s="4501"/>
      <c r="AR210" s="4501"/>
      <c r="AS210" s="4501"/>
      <c r="AT210" s="4501"/>
      <c r="AU210" s="4501"/>
      <c r="AV210" s="4501"/>
      <c r="AW210" s="4501"/>
      <c r="AX210" s="4501"/>
      <c r="AY210" s="12"/>
    </row>
    <row r="211" spans="15:51" ht="21.9" customHeight="1">
      <c r="O211" s="12"/>
      <c r="AB211" s="4542"/>
      <c r="AC211" s="4509"/>
      <c r="AD211" s="4509"/>
      <c r="AE211" s="4509"/>
      <c r="AF211" s="4509"/>
      <c r="AG211" s="4509"/>
      <c r="AH211" s="4509"/>
      <c r="AI211" s="4509"/>
      <c r="AJ211" s="4509"/>
      <c r="AK211" s="4509"/>
      <c r="AL211" s="4509"/>
      <c r="AM211" s="12"/>
      <c r="AN211" s="4542"/>
      <c r="AO211" s="4501"/>
      <c r="AP211" s="4501"/>
      <c r="AQ211" s="4501"/>
      <c r="AR211" s="4501"/>
      <c r="AS211" s="4501"/>
      <c r="AT211" s="4501"/>
      <c r="AU211" s="4501"/>
      <c r="AV211" s="4501"/>
      <c r="AW211" s="4501"/>
      <c r="AX211" s="4501"/>
      <c r="AY211" s="12"/>
    </row>
    <row r="212" spans="15:51" ht="21.9" customHeight="1">
      <c r="O212" s="12"/>
      <c r="AB212" s="4542"/>
      <c r="AC212" s="4509"/>
      <c r="AD212" s="4509"/>
      <c r="AE212" s="4509"/>
      <c r="AF212" s="4509"/>
      <c r="AG212" s="4509"/>
      <c r="AH212" s="4509"/>
      <c r="AI212" s="4509"/>
      <c r="AJ212" s="4509"/>
      <c r="AK212" s="4509"/>
      <c r="AL212" s="4509"/>
      <c r="AM212" s="12"/>
      <c r="AN212" s="4542"/>
      <c r="AO212" s="4501"/>
      <c r="AP212" s="4501"/>
      <c r="AQ212" s="4501"/>
      <c r="AR212" s="4501"/>
      <c r="AS212" s="4501"/>
      <c r="AT212" s="4501"/>
      <c r="AU212" s="4501"/>
      <c r="AV212" s="4501"/>
      <c r="AW212" s="4501"/>
      <c r="AX212" s="4501"/>
      <c r="AY212" s="12"/>
    </row>
    <row r="213" spans="15:51" ht="21.9" customHeight="1">
      <c r="O213" s="12"/>
      <c r="AB213" s="4543" t="s">
        <v>9000</v>
      </c>
      <c r="AC213" s="4557" t="s">
        <v>9104</v>
      </c>
      <c r="AD213" s="4503"/>
      <c r="AE213" s="4503"/>
      <c r="AF213" s="4503"/>
      <c r="AG213" s="4503"/>
      <c r="AH213" s="4503"/>
      <c r="AI213" s="4503"/>
      <c r="AJ213" s="4503"/>
      <c r="AK213" s="4503"/>
      <c r="AL213" s="4503"/>
      <c r="AM213" s="12"/>
      <c r="AN213" s="4542"/>
      <c r="AO213" s="4501"/>
      <c r="AP213" s="4501"/>
      <c r="AQ213" s="4501"/>
      <c r="AR213" s="4501"/>
      <c r="AS213" s="4501"/>
      <c r="AT213" s="4501"/>
      <c r="AU213" s="4501"/>
      <c r="AV213" s="4501"/>
      <c r="AW213" s="4501"/>
      <c r="AX213" s="4501"/>
      <c r="AY213" s="12"/>
    </row>
    <row r="214" spans="15:51" ht="21.9" customHeight="1">
      <c r="O214" s="12"/>
      <c r="AB214" s="4543"/>
      <c r="AC214" s="4503"/>
      <c r="AD214" s="4503"/>
      <c r="AE214" s="4503"/>
      <c r="AF214" s="4503"/>
      <c r="AG214" s="4503"/>
      <c r="AH214" s="4503"/>
      <c r="AI214" s="4503"/>
      <c r="AJ214" s="4503"/>
      <c r="AK214" s="4503"/>
      <c r="AL214" s="4503"/>
      <c r="AM214" s="12"/>
      <c r="AN214" s="4542"/>
      <c r="AO214" s="4509" t="s">
        <v>9105</v>
      </c>
      <c r="AP214" s="4509"/>
      <c r="AQ214" s="4509"/>
      <c r="AR214" s="4509"/>
      <c r="AS214" s="4509"/>
      <c r="AT214" s="4509"/>
      <c r="AU214" s="4509"/>
      <c r="AV214" s="4509"/>
      <c r="AW214" s="4509"/>
      <c r="AX214" s="4509"/>
      <c r="AY214" s="12"/>
    </row>
    <row r="215" spans="15:51" ht="21.9" customHeight="1">
      <c r="O215" s="12"/>
      <c r="AB215" s="4539" t="s">
        <v>321</v>
      </c>
      <c r="AC215" s="4504" t="s">
        <v>9106</v>
      </c>
      <c r="AD215" s="4504"/>
      <c r="AE215" s="4504"/>
      <c r="AF215" s="4504"/>
      <c r="AG215" s="4504"/>
      <c r="AH215" s="4504"/>
      <c r="AI215" s="4504"/>
      <c r="AJ215" s="4504"/>
      <c r="AK215" s="4504"/>
      <c r="AL215" s="4504"/>
      <c r="AM215" s="12"/>
      <c r="AN215" s="4542"/>
      <c r="AO215" s="4509" t="s">
        <v>9107</v>
      </c>
      <c r="AP215" s="4509"/>
      <c r="AQ215" s="4509"/>
      <c r="AR215" s="4509"/>
      <c r="AS215" s="4509"/>
      <c r="AT215" s="4509"/>
      <c r="AU215" s="4509"/>
      <c r="AV215" s="4509"/>
      <c r="AW215" s="4509"/>
      <c r="AX215" s="4509"/>
      <c r="AY215" s="12"/>
    </row>
    <row r="216" spans="15:51" ht="21.9" customHeight="1">
      <c r="O216" s="12"/>
      <c r="AB216" s="4539"/>
      <c r="AC216" s="4504"/>
      <c r="AD216" s="4504"/>
      <c r="AE216" s="4504"/>
      <c r="AF216" s="4504"/>
      <c r="AG216" s="4504"/>
      <c r="AH216" s="4504"/>
      <c r="AI216" s="4504"/>
      <c r="AJ216" s="4504"/>
      <c r="AK216" s="4504"/>
      <c r="AL216" s="4504"/>
      <c r="AM216" s="12"/>
      <c r="AN216" s="4556" t="s">
        <v>8797</v>
      </c>
      <c r="AO216" s="4509" t="s">
        <v>9108</v>
      </c>
      <c r="AP216" s="4509"/>
      <c r="AQ216" s="4509"/>
      <c r="AR216" s="4509"/>
      <c r="AS216" s="4509"/>
      <c r="AT216" s="4509"/>
      <c r="AU216" s="4509"/>
      <c r="AV216" s="4509"/>
      <c r="AW216" s="4509"/>
      <c r="AX216" s="4509"/>
      <c r="AY216" s="12"/>
    </row>
    <row r="217" spans="15:51" ht="21.9" customHeight="1">
      <c r="O217" s="12"/>
      <c r="AB217" s="4539"/>
      <c r="AC217" s="4504"/>
      <c r="AD217" s="4504"/>
      <c r="AE217" s="4504"/>
      <c r="AF217" s="4504"/>
      <c r="AG217" s="4504"/>
      <c r="AH217" s="4504"/>
      <c r="AI217" s="4504"/>
      <c r="AJ217" s="4504"/>
      <c r="AK217" s="4504"/>
      <c r="AL217" s="4504"/>
      <c r="AM217" s="12"/>
      <c r="AN217" s="4556"/>
      <c r="AO217" s="4501" t="s">
        <v>9109</v>
      </c>
      <c r="AP217" s="4509"/>
      <c r="AQ217" s="4509"/>
      <c r="AR217" s="4509"/>
      <c r="AS217" s="4509"/>
      <c r="AT217" s="4509"/>
      <c r="AU217" s="4509"/>
      <c r="AV217" s="4509"/>
      <c r="AW217" s="4509"/>
      <c r="AX217" s="4509"/>
      <c r="AY217" s="12"/>
    </row>
    <row r="218" spans="15:51" ht="21.9" customHeight="1">
      <c r="O218" s="12"/>
      <c r="AB218" s="4539"/>
      <c r="AC218" s="4504"/>
      <c r="AD218" s="4504"/>
      <c r="AE218" s="4504"/>
      <c r="AF218" s="4504"/>
      <c r="AG218" s="4504"/>
      <c r="AH218" s="4504"/>
      <c r="AI218" s="4504"/>
      <c r="AJ218" s="4504"/>
      <c r="AK218" s="4504"/>
      <c r="AL218" s="4504"/>
      <c r="AM218" s="12"/>
      <c r="AN218" s="4556"/>
      <c r="AO218" s="4509"/>
      <c r="AP218" s="4509"/>
      <c r="AQ218" s="4509"/>
      <c r="AR218" s="4509"/>
      <c r="AS218" s="4509"/>
      <c r="AT218" s="4509"/>
      <c r="AU218" s="4509"/>
      <c r="AV218" s="4509"/>
      <c r="AW218" s="4509"/>
      <c r="AX218" s="4509"/>
      <c r="AY218" s="12"/>
    </row>
    <row r="219" spans="15:51" ht="21.9" customHeight="1">
      <c r="O219" s="12"/>
      <c r="AB219" s="4539"/>
      <c r="AC219" s="4504"/>
      <c r="AD219" s="4504"/>
      <c r="AE219" s="4504"/>
      <c r="AF219" s="4504"/>
      <c r="AG219" s="4504"/>
      <c r="AH219" s="4504"/>
      <c r="AI219" s="4504"/>
      <c r="AJ219" s="4504"/>
      <c r="AK219" s="4504"/>
      <c r="AL219" s="4504"/>
      <c r="AM219" s="12"/>
      <c r="AN219" s="14" t="s">
        <v>8807</v>
      </c>
      <c r="AO219" s="4501" t="s">
        <v>9110</v>
      </c>
      <c r="AP219" s="4501"/>
      <c r="AQ219" s="4501"/>
      <c r="AR219" s="4501"/>
      <c r="AS219" s="4501"/>
      <c r="AT219" s="4501"/>
      <c r="AU219" s="4501"/>
      <c r="AV219" s="4501"/>
      <c r="AW219" s="4501"/>
      <c r="AX219" s="4501"/>
      <c r="AY219" s="12"/>
    </row>
    <row r="220" spans="15:51" ht="21.9" customHeight="1">
      <c r="O220" s="12"/>
      <c r="AB220" s="4551" t="s">
        <v>9111</v>
      </c>
      <c r="AC220" s="4551"/>
      <c r="AD220" s="4551"/>
      <c r="AE220" s="4551"/>
      <c r="AF220" s="4551"/>
      <c r="AG220" s="4551"/>
      <c r="AH220" s="4551"/>
      <c r="AI220" s="4551"/>
      <c r="AJ220" s="4551"/>
      <c r="AK220" s="4551"/>
      <c r="AL220" s="4551"/>
      <c r="AM220" s="12"/>
      <c r="AN220" s="4539" t="s">
        <v>8984</v>
      </c>
      <c r="AO220" s="4501" t="s">
        <v>9112</v>
      </c>
      <c r="AP220" s="4509"/>
      <c r="AQ220" s="4509"/>
      <c r="AR220" s="4509"/>
      <c r="AS220" s="4509"/>
      <c r="AT220" s="4509"/>
      <c r="AU220" s="4509"/>
      <c r="AV220" s="4509"/>
      <c r="AW220" s="4509"/>
      <c r="AX220" s="4509"/>
      <c r="AY220" s="12"/>
    </row>
    <row r="221" spans="15:51" ht="21.9" customHeight="1">
      <c r="O221" s="12"/>
      <c r="AB221" s="4542" t="s">
        <v>8781</v>
      </c>
      <c r="AC221" s="4509" t="s">
        <v>9113</v>
      </c>
      <c r="AD221" s="4509"/>
      <c r="AE221" s="4509"/>
      <c r="AF221" s="4509"/>
      <c r="AG221" s="4509"/>
      <c r="AH221" s="4509"/>
      <c r="AI221" s="4509"/>
      <c r="AJ221" s="4509"/>
      <c r="AK221" s="4509"/>
      <c r="AL221" s="4509"/>
      <c r="AM221" s="12"/>
      <c r="AN221" s="4539"/>
      <c r="AO221" s="4501" t="s">
        <v>9114</v>
      </c>
      <c r="AP221" s="4501"/>
      <c r="AQ221" s="4501"/>
      <c r="AR221" s="4501"/>
      <c r="AS221" s="4501"/>
      <c r="AT221" s="4501"/>
      <c r="AU221" s="4501"/>
      <c r="AV221" s="4501"/>
      <c r="AW221" s="4501"/>
      <c r="AX221" s="4501"/>
      <c r="AY221" s="12"/>
    </row>
    <row r="222" spans="15:51" ht="21.9" customHeight="1">
      <c r="O222" s="12"/>
      <c r="AB222" s="4542"/>
      <c r="AC222" s="4509"/>
      <c r="AD222" s="4509"/>
      <c r="AE222" s="4509"/>
      <c r="AF222" s="4509"/>
      <c r="AG222" s="4509"/>
      <c r="AH222" s="4509"/>
      <c r="AI222" s="4509"/>
      <c r="AJ222" s="4509"/>
      <c r="AK222" s="4509"/>
      <c r="AL222" s="4509"/>
      <c r="AM222" s="12"/>
      <c r="AN222" s="4539"/>
      <c r="AO222" s="4501"/>
      <c r="AP222" s="4501"/>
      <c r="AQ222" s="4501"/>
      <c r="AR222" s="4501"/>
      <c r="AS222" s="4501"/>
      <c r="AT222" s="4501"/>
      <c r="AU222" s="4501"/>
      <c r="AV222" s="4501"/>
      <c r="AW222" s="4501"/>
      <c r="AX222" s="4501"/>
      <c r="AY222" s="12"/>
    </row>
    <row r="223" spans="15:51" ht="21.9" customHeight="1">
      <c r="O223" s="12"/>
      <c r="AB223" s="4542"/>
      <c r="AC223" s="4501" t="s">
        <v>9115</v>
      </c>
      <c r="AD223" s="4501"/>
      <c r="AE223" s="4501"/>
      <c r="AF223" s="4501"/>
      <c r="AG223" s="4501"/>
      <c r="AH223" s="4501"/>
      <c r="AI223" s="4501"/>
      <c r="AJ223" s="4501"/>
      <c r="AK223" s="4501"/>
      <c r="AL223" s="4501"/>
      <c r="AM223" s="12"/>
      <c r="AN223" s="4539"/>
      <c r="AO223" s="4501"/>
      <c r="AP223" s="4501"/>
      <c r="AQ223" s="4501"/>
      <c r="AR223" s="4501"/>
      <c r="AS223" s="4501"/>
      <c r="AT223" s="4501"/>
      <c r="AU223" s="4501"/>
      <c r="AV223" s="4501"/>
      <c r="AW223" s="4501"/>
      <c r="AX223" s="4501"/>
      <c r="AY223" s="12"/>
    </row>
    <row r="224" spans="15:51" ht="21.9" customHeight="1">
      <c r="O224" s="12"/>
      <c r="AB224" s="4542"/>
      <c r="AC224" s="4501"/>
      <c r="AD224" s="4501"/>
      <c r="AE224" s="4501"/>
      <c r="AF224" s="4501"/>
      <c r="AG224" s="4501"/>
      <c r="AH224" s="4501"/>
      <c r="AI224" s="4501"/>
      <c r="AJ224" s="4501"/>
      <c r="AK224" s="4501"/>
      <c r="AL224" s="4501"/>
      <c r="AM224" s="12"/>
      <c r="AN224" s="4539"/>
      <c r="AO224" s="4501" t="s">
        <v>9116</v>
      </c>
      <c r="AP224" s="4501"/>
      <c r="AQ224" s="4501"/>
      <c r="AR224" s="4501"/>
      <c r="AS224" s="4501"/>
      <c r="AT224" s="4501"/>
      <c r="AU224" s="4501"/>
      <c r="AV224" s="4501"/>
      <c r="AW224" s="4501"/>
      <c r="AX224" s="4501"/>
      <c r="AY224" s="12"/>
    </row>
    <row r="225" spans="15:51" ht="21.9" customHeight="1">
      <c r="O225" s="12"/>
      <c r="AB225" s="4542"/>
      <c r="AC225" s="4501"/>
      <c r="AD225" s="4501"/>
      <c r="AE225" s="4501"/>
      <c r="AF225" s="4501"/>
      <c r="AG225" s="4501"/>
      <c r="AH225" s="4501"/>
      <c r="AI225" s="4501"/>
      <c r="AJ225" s="4501"/>
      <c r="AK225" s="4501"/>
      <c r="AL225" s="4501"/>
      <c r="AM225" s="12"/>
      <c r="AN225" s="4551" t="s">
        <v>9117</v>
      </c>
      <c r="AO225" s="4551"/>
      <c r="AP225" s="4551"/>
      <c r="AQ225" s="4551"/>
      <c r="AR225" s="4551"/>
      <c r="AS225" s="4551"/>
      <c r="AT225" s="4551"/>
      <c r="AU225" s="4551"/>
      <c r="AV225" s="4551"/>
      <c r="AW225" s="4551"/>
      <c r="AX225" s="4551"/>
      <c r="AY225" s="12"/>
    </row>
    <row r="226" spans="15:51" ht="21.9" customHeight="1">
      <c r="O226" s="12"/>
      <c r="AB226" s="4542"/>
      <c r="AC226" s="4501" t="s">
        <v>9118</v>
      </c>
      <c r="AD226" s="4501"/>
      <c r="AE226" s="4501"/>
      <c r="AF226" s="4501"/>
      <c r="AG226" s="4501"/>
      <c r="AH226" s="4501"/>
      <c r="AI226" s="4501"/>
      <c r="AJ226" s="4501"/>
      <c r="AK226" s="4501"/>
      <c r="AL226" s="4501"/>
      <c r="AM226" s="12"/>
      <c r="AN226" s="4554" t="s">
        <v>8781</v>
      </c>
      <c r="AO226" s="4509" t="s">
        <v>9119</v>
      </c>
      <c r="AP226" s="4509"/>
      <c r="AQ226" s="4509"/>
      <c r="AR226" s="4509"/>
      <c r="AS226" s="4509"/>
      <c r="AT226" s="4509"/>
      <c r="AU226" s="4509"/>
      <c r="AV226" s="4509"/>
      <c r="AW226" s="4509"/>
      <c r="AX226" s="4509"/>
      <c r="AY226" s="12"/>
    </row>
    <row r="227" spans="15:51" ht="21.9" customHeight="1">
      <c r="O227" s="12"/>
      <c r="AB227" s="4542"/>
      <c r="AC227" s="4501"/>
      <c r="AD227" s="4501"/>
      <c r="AE227" s="4501"/>
      <c r="AF227" s="4501"/>
      <c r="AG227" s="4501"/>
      <c r="AH227" s="4501"/>
      <c r="AI227" s="4501"/>
      <c r="AJ227" s="4501"/>
      <c r="AK227" s="4501"/>
      <c r="AL227" s="4501"/>
      <c r="AM227" s="12"/>
      <c r="AN227" s="4554"/>
      <c r="AO227" s="4501" t="s">
        <v>9120</v>
      </c>
      <c r="AP227" s="4509"/>
      <c r="AQ227" s="4509"/>
      <c r="AR227" s="4509"/>
      <c r="AS227" s="4509"/>
      <c r="AT227" s="4509"/>
      <c r="AU227" s="4509"/>
      <c r="AV227" s="4509"/>
      <c r="AW227" s="4509"/>
      <c r="AX227" s="4509"/>
      <c r="AY227" s="12"/>
    </row>
    <row r="228" spans="15:51" ht="21.9" customHeight="1">
      <c r="O228" s="12"/>
      <c r="AB228" s="4542"/>
      <c r="AC228" s="4526" t="s">
        <v>9121</v>
      </c>
      <c r="AD228" s="4526"/>
      <c r="AE228" s="4526"/>
      <c r="AF228" s="4526"/>
      <c r="AG228" s="4526"/>
      <c r="AH228" s="4526"/>
      <c r="AI228" s="4526"/>
      <c r="AJ228" s="4526"/>
      <c r="AK228" s="4526"/>
      <c r="AL228" s="4526"/>
      <c r="AM228" s="12"/>
      <c r="AN228" s="4554"/>
      <c r="AO228" s="4509"/>
      <c r="AP228" s="4509"/>
      <c r="AQ228" s="4509"/>
      <c r="AR228" s="4509"/>
      <c r="AS228" s="4509"/>
      <c r="AT228" s="4509"/>
      <c r="AU228" s="4509"/>
      <c r="AV228" s="4509"/>
      <c r="AW228" s="4509"/>
      <c r="AX228" s="4509"/>
      <c r="AY228" s="12"/>
    </row>
    <row r="229" spans="15:51" ht="21.9" customHeight="1">
      <c r="O229" s="12"/>
      <c r="AB229" s="4539" t="s">
        <v>321</v>
      </c>
      <c r="AC229" s="4504" t="s">
        <v>9122</v>
      </c>
      <c r="AD229" s="4504"/>
      <c r="AE229" s="4504"/>
      <c r="AF229" s="4504"/>
      <c r="AG229" s="4504"/>
      <c r="AH229" s="4504"/>
      <c r="AI229" s="4504"/>
      <c r="AJ229" s="4504"/>
      <c r="AK229" s="4504"/>
      <c r="AL229" s="4504"/>
      <c r="AM229" s="12"/>
      <c r="AN229" s="4554"/>
      <c r="AO229" s="4509" t="s">
        <v>9123</v>
      </c>
      <c r="AP229" s="4509"/>
      <c r="AQ229" s="4509"/>
      <c r="AR229" s="4509"/>
      <c r="AS229" s="4509"/>
      <c r="AT229" s="4509"/>
      <c r="AU229" s="4509"/>
      <c r="AV229" s="4509"/>
      <c r="AW229" s="4509"/>
      <c r="AX229" s="4509"/>
      <c r="AY229" s="12"/>
    </row>
    <row r="230" spans="15:51" ht="21.9" customHeight="1">
      <c r="O230" s="12"/>
      <c r="AB230" s="4539"/>
      <c r="AC230" s="4504"/>
      <c r="AD230" s="4504"/>
      <c r="AE230" s="4504"/>
      <c r="AF230" s="4504"/>
      <c r="AG230" s="4504"/>
      <c r="AH230" s="4504"/>
      <c r="AI230" s="4504"/>
      <c r="AJ230" s="4504"/>
      <c r="AK230" s="4504"/>
      <c r="AL230" s="4504"/>
      <c r="AM230" s="12"/>
      <c r="AN230" s="4554"/>
      <c r="AO230" s="4501" t="s">
        <v>9124</v>
      </c>
      <c r="AP230" s="4509"/>
      <c r="AQ230" s="4509"/>
      <c r="AR230" s="4509"/>
      <c r="AS230" s="4509"/>
      <c r="AT230" s="4509"/>
      <c r="AU230" s="4509"/>
      <c r="AV230" s="4509"/>
      <c r="AW230" s="4509"/>
      <c r="AX230" s="4509"/>
      <c r="AY230" s="12"/>
    </row>
    <row r="231" spans="15:51" ht="21.9" customHeight="1">
      <c r="O231" s="12"/>
      <c r="AB231" s="4539"/>
      <c r="AC231" s="4504"/>
      <c r="AD231" s="4504"/>
      <c r="AE231" s="4504"/>
      <c r="AF231" s="4504"/>
      <c r="AG231" s="4504"/>
      <c r="AH231" s="4504"/>
      <c r="AI231" s="4504"/>
      <c r="AJ231" s="4504"/>
      <c r="AK231" s="4504"/>
      <c r="AL231" s="4504"/>
      <c r="AM231" s="12"/>
      <c r="AN231" s="4554"/>
      <c r="AO231" s="4509"/>
      <c r="AP231" s="4509"/>
      <c r="AQ231" s="4509"/>
      <c r="AR231" s="4509"/>
      <c r="AS231" s="4509"/>
      <c r="AT231" s="4509"/>
      <c r="AU231" s="4509"/>
      <c r="AV231" s="4509"/>
      <c r="AW231" s="4509"/>
      <c r="AX231" s="4509"/>
      <c r="AY231" s="12"/>
    </row>
    <row r="232" spans="15:51" ht="21.9" customHeight="1">
      <c r="O232" s="12"/>
      <c r="AB232" s="4539"/>
      <c r="AC232" s="4504"/>
      <c r="AD232" s="4504"/>
      <c r="AE232" s="4504"/>
      <c r="AF232" s="4504"/>
      <c r="AG232" s="4504"/>
      <c r="AH232" s="4504"/>
      <c r="AI232" s="4504"/>
      <c r="AJ232" s="4504"/>
      <c r="AK232" s="4504"/>
      <c r="AL232" s="4504"/>
      <c r="AN232" s="4554"/>
      <c r="AO232" s="4509"/>
      <c r="AP232" s="4509"/>
      <c r="AQ232" s="4509"/>
      <c r="AR232" s="4509"/>
      <c r="AS232" s="4509"/>
      <c r="AT232" s="4509"/>
      <c r="AU232" s="4509"/>
      <c r="AV232" s="4509"/>
      <c r="AW232" s="4509"/>
      <c r="AX232" s="4509"/>
    </row>
    <row r="233" spans="15:51" ht="21.9" customHeight="1">
      <c r="O233" s="12"/>
      <c r="AB233" s="4539"/>
      <c r="AC233" s="4504"/>
      <c r="AD233" s="4504"/>
      <c r="AE233" s="4504"/>
      <c r="AF233" s="4504"/>
      <c r="AG233" s="4504"/>
      <c r="AH233" s="4504"/>
      <c r="AI233" s="4504"/>
      <c r="AJ233" s="4504"/>
      <c r="AK233" s="4504"/>
      <c r="AL233" s="4504"/>
      <c r="AN233" s="4554"/>
      <c r="AO233" s="4509"/>
      <c r="AP233" s="4509"/>
      <c r="AQ233" s="4509"/>
      <c r="AR233" s="4509"/>
      <c r="AS233" s="4509"/>
      <c r="AT233" s="4509"/>
      <c r="AU233" s="4509"/>
      <c r="AV233" s="4509"/>
      <c r="AW233" s="4509"/>
      <c r="AX233" s="4509"/>
    </row>
    <row r="234" spans="15:51" ht="21.9" customHeight="1">
      <c r="O234" s="12"/>
      <c r="AB234" s="4553" t="s">
        <v>9125</v>
      </c>
      <c r="AC234" s="4553"/>
      <c r="AD234" s="4553"/>
      <c r="AE234" s="4553"/>
      <c r="AF234" s="4553"/>
      <c r="AG234" s="4553"/>
      <c r="AH234" s="4553"/>
      <c r="AI234" s="4553"/>
      <c r="AJ234" s="4553"/>
      <c r="AK234" s="4553"/>
      <c r="AL234" s="4553"/>
      <c r="AN234" s="4554"/>
      <c r="AO234" s="4509"/>
      <c r="AP234" s="4509"/>
      <c r="AQ234" s="4509"/>
      <c r="AR234" s="4509"/>
      <c r="AS234" s="4509"/>
      <c r="AT234" s="4509"/>
      <c r="AU234" s="4509"/>
      <c r="AV234" s="4509"/>
      <c r="AW234" s="4509"/>
      <c r="AX234" s="4509"/>
    </row>
    <row r="235" spans="15:51" ht="21.9" customHeight="1">
      <c r="O235" s="12"/>
      <c r="AB235" s="4542" t="s">
        <v>8781</v>
      </c>
      <c r="AC235" s="4509" t="s">
        <v>9126</v>
      </c>
      <c r="AD235" s="4509"/>
      <c r="AE235" s="4509"/>
      <c r="AF235" s="4509"/>
      <c r="AG235" s="4509"/>
      <c r="AH235" s="4509"/>
      <c r="AI235" s="4509"/>
      <c r="AJ235" s="4509"/>
      <c r="AK235" s="4509"/>
      <c r="AL235" s="4509"/>
      <c r="AN235" s="4554"/>
      <c r="AO235" s="4509"/>
      <c r="AP235" s="4509"/>
      <c r="AQ235" s="4509"/>
      <c r="AR235" s="4509"/>
      <c r="AS235" s="4509"/>
      <c r="AT235" s="4509"/>
      <c r="AU235" s="4509"/>
      <c r="AV235" s="4509"/>
      <c r="AW235" s="4509"/>
      <c r="AX235" s="4509"/>
    </row>
    <row r="236" spans="15:51" ht="21.9" customHeight="1">
      <c r="O236" s="12"/>
      <c r="AB236" s="4542"/>
      <c r="AC236" s="4509"/>
      <c r="AD236" s="4509"/>
      <c r="AE236" s="4509"/>
      <c r="AF236" s="4509"/>
      <c r="AG236" s="4509"/>
      <c r="AH236" s="4509"/>
      <c r="AI236" s="4509"/>
      <c r="AJ236" s="4509"/>
      <c r="AK236" s="4509"/>
      <c r="AL236" s="4509"/>
      <c r="AN236" s="4554" t="s">
        <v>9000</v>
      </c>
      <c r="AO236" s="4509" t="s">
        <v>9127</v>
      </c>
      <c r="AP236" s="4509"/>
      <c r="AQ236" s="4509"/>
      <c r="AR236" s="4509"/>
      <c r="AS236" s="4509"/>
      <c r="AT236" s="4509"/>
      <c r="AU236" s="4509"/>
      <c r="AV236" s="4509"/>
      <c r="AW236" s="4509"/>
      <c r="AX236" s="4509"/>
    </row>
    <row r="237" spans="15:51" ht="21.9" customHeight="1">
      <c r="O237" s="12"/>
      <c r="AB237" s="4542"/>
      <c r="AC237" s="4509"/>
      <c r="AD237" s="4509"/>
      <c r="AE237" s="4509"/>
      <c r="AF237" s="4509"/>
      <c r="AG237" s="4509"/>
      <c r="AH237" s="4509"/>
      <c r="AI237" s="4509"/>
      <c r="AJ237" s="4509"/>
      <c r="AK237" s="4509"/>
      <c r="AL237" s="4509"/>
      <c r="AN237" s="4554"/>
      <c r="AO237" s="4501" t="s">
        <v>9128</v>
      </c>
      <c r="AP237" s="4501"/>
      <c r="AQ237" s="4501"/>
      <c r="AR237" s="4501"/>
      <c r="AS237" s="4501"/>
      <c r="AT237" s="4501"/>
      <c r="AU237" s="4501"/>
      <c r="AV237" s="4501"/>
      <c r="AW237" s="4501"/>
      <c r="AX237" s="4501"/>
    </row>
    <row r="238" spans="15:51" ht="21.9" customHeight="1">
      <c r="O238" s="12"/>
      <c r="AB238" s="4553" t="s">
        <v>9129</v>
      </c>
      <c r="AC238" s="4551"/>
      <c r="AD238" s="4551"/>
      <c r="AE238" s="4551"/>
      <c r="AF238" s="4551"/>
      <c r="AG238" s="4551"/>
      <c r="AH238" s="4551"/>
      <c r="AI238" s="4551"/>
      <c r="AJ238" s="4551"/>
      <c r="AK238" s="4551"/>
      <c r="AL238" s="4551"/>
      <c r="AN238" s="4554"/>
      <c r="AO238" s="4501"/>
      <c r="AP238" s="4501"/>
      <c r="AQ238" s="4501"/>
      <c r="AR238" s="4501"/>
      <c r="AS238" s="4501"/>
      <c r="AT238" s="4501"/>
      <c r="AU238" s="4501"/>
      <c r="AV238" s="4501"/>
      <c r="AW238" s="4501"/>
      <c r="AX238" s="4501"/>
    </row>
    <row r="239" spans="15:51" ht="21.9" customHeight="1">
      <c r="O239" s="12"/>
      <c r="AB239" s="4542" t="s">
        <v>8781</v>
      </c>
      <c r="AC239" s="4530" t="s">
        <v>9130</v>
      </c>
      <c r="AD239" s="4509"/>
      <c r="AE239" s="4509"/>
      <c r="AF239" s="4509"/>
      <c r="AG239" s="4509"/>
      <c r="AH239" s="4509"/>
      <c r="AI239" s="4509"/>
      <c r="AJ239" s="4509"/>
      <c r="AK239" s="4509"/>
      <c r="AL239" s="4509"/>
      <c r="AN239" s="4554"/>
      <c r="AO239" s="4501"/>
      <c r="AP239" s="4501"/>
      <c r="AQ239" s="4501"/>
      <c r="AR239" s="4501"/>
      <c r="AS239" s="4501"/>
      <c r="AT239" s="4501"/>
      <c r="AU239" s="4501"/>
      <c r="AV239" s="4501"/>
      <c r="AW239" s="4501"/>
      <c r="AX239" s="4501"/>
    </row>
    <row r="240" spans="15:51" ht="21.9" customHeight="1">
      <c r="O240" s="12"/>
      <c r="AB240" s="4542"/>
      <c r="AC240" s="4529" t="s">
        <v>9131</v>
      </c>
      <c r="AD240" s="4509"/>
      <c r="AE240" s="4509"/>
      <c r="AF240" s="4509"/>
      <c r="AG240" s="4509"/>
      <c r="AH240" s="4509"/>
      <c r="AI240" s="4509"/>
      <c r="AJ240" s="4509"/>
      <c r="AK240" s="4509"/>
      <c r="AL240" s="4509"/>
      <c r="AN240" s="4554"/>
      <c r="AO240" s="4501"/>
      <c r="AP240" s="4501"/>
      <c r="AQ240" s="4501"/>
      <c r="AR240" s="4501"/>
      <c r="AS240" s="4501"/>
      <c r="AT240" s="4501"/>
      <c r="AU240" s="4501"/>
      <c r="AV240" s="4501"/>
      <c r="AW240" s="4501"/>
      <c r="AX240" s="4501"/>
    </row>
    <row r="241" spans="15:50" ht="21.9" customHeight="1">
      <c r="O241" s="12"/>
      <c r="AB241" s="4542"/>
      <c r="AC241" s="4530"/>
      <c r="AD241" s="4509"/>
      <c r="AE241" s="4509"/>
      <c r="AF241" s="4509"/>
      <c r="AG241" s="4509"/>
      <c r="AH241" s="4509"/>
      <c r="AI241" s="4509"/>
      <c r="AJ241" s="4509"/>
      <c r="AK241" s="4509"/>
      <c r="AL241" s="4509"/>
      <c r="AN241" s="4554"/>
      <c r="AO241" s="4501"/>
      <c r="AP241" s="4501"/>
      <c r="AQ241" s="4501"/>
      <c r="AR241" s="4501"/>
      <c r="AS241" s="4501"/>
      <c r="AT241" s="4501"/>
      <c r="AU241" s="4501"/>
      <c r="AV241" s="4501"/>
      <c r="AW241" s="4501"/>
      <c r="AX241" s="4501"/>
    </row>
    <row r="242" spans="15:50" ht="21.9" customHeight="1">
      <c r="O242" s="12"/>
      <c r="AB242" s="4542"/>
      <c r="AC242" s="4500" t="s">
        <v>9132</v>
      </c>
      <c r="AD242" s="4500"/>
      <c r="AE242" s="4500"/>
      <c r="AF242" s="4500"/>
      <c r="AG242" s="4500"/>
      <c r="AH242" s="4500"/>
      <c r="AI242" s="4500"/>
      <c r="AJ242" s="4500"/>
      <c r="AK242" s="4500"/>
      <c r="AL242" s="4500"/>
      <c r="AN242" s="4555" t="s">
        <v>9082</v>
      </c>
      <c r="AO242" s="4509" t="s">
        <v>9133</v>
      </c>
      <c r="AP242" s="4509"/>
      <c r="AQ242" s="4509"/>
      <c r="AR242" s="4509"/>
      <c r="AS242" s="4509"/>
      <c r="AT242" s="4509"/>
      <c r="AU242" s="4509"/>
      <c r="AV242" s="4509"/>
      <c r="AW242" s="4509"/>
      <c r="AX242" s="4509"/>
    </row>
    <row r="243" spans="15:50" ht="21.9" customHeight="1">
      <c r="O243" s="12"/>
      <c r="AB243" s="4542"/>
      <c r="AC243" s="4500"/>
      <c r="AD243" s="4500"/>
      <c r="AE243" s="4500"/>
      <c r="AF243" s="4500"/>
      <c r="AG243" s="4500"/>
      <c r="AH243" s="4500"/>
      <c r="AI243" s="4500"/>
      <c r="AJ243" s="4500"/>
      <c r="AK243" s="4500"/>
      <c r="AL243" s="4500"/>
      <c r="AN243" s="4555"/>
      <c r="AO243" s="4501" t="s">
        <v>9134</v>
      </c>
      <c r="AP243" s="4501"/>
      <c r="AQ243" s="4501"/>
      <c r="AR243" s="4501"/>
      <c r="AS243" s="4501"/>
      <c r="AT243" s="4501"/>
      <c r="AU243" s="4501"/>
      <c r="AV243" s="4501"/>
      <c r="AW243" s="4501"/>
      <c r="AX243" s="4501"/>
    </row>
    <row r="244" spans="15:50" ht="21.9" customHeight="1">
      <c r="O244" s="12"/>
      <c r="AB244" s="4544"/>
      <c r="AC244" s="4501" t="s">
        <v>9135</v>
      </c>
      <c r="AD244" s="4501"/>
      <c r="AE244" s="4501"/>
      <c r="AF244" s="4501"/>
      <c r="AG244" s="4501"/>
      <c r="AH244" s="4501"/>
      <c r="AI244" s="4501"/>
      <c r="AJ244" s="4501"/>
      <c r="AK244" s="4501"/>
      <c r="AL244" s="4501"/>
      <c r="AN244" s="4555"/>
      <c r="AO244" s="4501"/>
      <c r="AP244" s="4501"/>
      <c r="AQ244" s="4501"/>
      <c r="AR244" s="4501"/>
      <c r="AS244" s="4501"/>
      <c r="AT244" s="4501"/>
      <c r="AU244" s="4501"/>
      <c r="AV244" s="4501"/>
      <c r="AW244" s="4501"/>
      <c r="AX244" s="4501"/>
    </row>
    <row r="245" spans="15:50" ht="21.9" customHeight="1">
      <c r="O245" s="12"/>
      <c r="AB245" s="4544"/>
      <c r="AC245" s="4501"/>
      <c r="AD245" s="4501"/>
      <c r="AE245" s="4501"/>
      <c r="AF245" s="4501"/>
      <c r="AG245" s="4501"/>
      <c r="AH245" s="4501"/>
      <c r="AI245" s="4501"/>
      <c r="AJ245" s="4501"/>
      <c r="AK245" s="4501"/>
      <c r="AL245" s="4501"/>
      <c r="AN245" s="4555"/>
      <c r="AO245" s="4501"/>
      <c r="AP245" s="4501"/>
      <c r="AQ245" s="4501"/>
      <c r="AR245" s="4501"/>
      <c r="AS245" s="4501"/>
      <c r="AT245" s="4501"/>
      <c r="AU245" s="4501"/>
      <c r="AV245" s="4501"/>
      <c r="AW245" s="4501"/>
      <c r="AX245" s="4501"/>
    </row>
    <row r="246" spans="15:50" ht="21.9" customHeight="1">
      <c r="O246" s="12"/>
      <c r="AB246" s="4544"/>
      <c r="AC246" s="4501"/>
      <c r="AD246" s="4501"/>
      <c r="AE246" s="4501"/>
      <c r="AF246" s="4501"/>
      <c r="AG246" s="4501"/>
      <c r="AH246" s="4501"/>
      <c r="AI246" s="4501"/>
      <c r="AJ246" s="4501"/>
      <c r="AK246" s="4501"/>
      <c r="AL246" s="4501"/>
      <c r="AN246" s="4555"/>
      <c r="AO246" s="4509" t="s">
        <v>9123</v>
      </c>
      <c r="AP246" s="4509"/>
      <c r="AQ246" s="4509"/>
      <c r="AR246" s="4509"/>
      <c r="AS246" s="4509"/>
      <c r="AT246" s="4509"/>
      <c r="AU246" s="4509"/>
      <c r="AV246" s="4509"/>
      <c r="AW246" s="4509"/>
      <c r="AX246" s="4509"/>
    </row>
    <row r="247" spans="15:50" ht="21.9" customHeight="1">
      <c r="O247" s="12"/>
      <c r="AB247" s="4545" t="s">
        <v>8797</v>
      </c>
      <c r="AC247" s="4502" t="s">
        <v>9136</v>
      </c>
      <c r="AD247" s="4502"/>
      <c r="AE247" s="4502"/>
      <c r="AF247" s="4502"/>
      <c r="AG247" s="4502"/>
      <c r="AH247" s="4502"/>
      <c r="AI247" s="4502"/>
      <c r="AJ247" s="4502"/>
      <c r="AK247" s="4502"/>
      <c r="AL247" s="4502"/>
      <c r="AN247" s="4555"/>
      <c r="AO247" s="4501" t="s">
        <v>9137</v>
      </c>
      <c r="AP247" s="4509"/>
      <c r="AQ247" s="4509"/>
      <c r="AR247" s="4509"/>
      <c r="AS247" s="4509"/>
      <c r="AT247" s="4509"/>
      <c r="AU247" s="4509"/>
      <c r="AV247" s="4509"/>
      <c r="AW247" s="4509"/>
      <c r="AX247" s="4509"/>
    </row>
    <row r="248" spans="15:50" ht="21.9" customHeight="1">
      <c r="O248" s="12"/>
      <c r="AB248" s="4546"/>
      <c r="AC248" s="4501"/>
      <c r="AD248" s="4501"/>
      <c r="AE248" s="4501"/>
      <c r="AF248" s="4501"/>
      <c r="AG248" s="4501"/>
      <c r="AH248" s="4501"/>
      <c r="AI248" s="4501"/>
      <c r="AJ248" s="4501"/>
      <c r="AK248" s="4501"/>
      <c r="AL248" s="4501"/>
      <c r="AN248" s="4555"/>
      <c r="AO248" s="4509"/>
      <c r="AP248" s="4509"/>
      <c r="AQ248" s="4509"/>
      <c r="AR248" s="4509"/>
      <c r="AS248" s="4509"/>
      <c r="AT248" s="4509"/>
      <c r="AU248" s="4509"/>
      <c r="AV248" s="4509"/>
      <c r="AW248" s="4509"/>
      <c r="AX248" s="4509"/>
    </row>
    <row r="249" spans="15:50" ht="21.9" customHeight="1">
      <c r="O249" s="12"/>
      <c r="AB249" s="4546"/>
      <c r="AC249" s="4501"/>
      <c r="AD249" s="4501"/>
      <c r="AE249" s="4501"/>
      <c r="AF249" s="4501"/>
      <c r="AG249" s="4501"/>
      <c r="AH249" s="4501"/>
      <c r="AI249" s="4501"/>
      <c r="AJ249" s="4501"/>
      <c r="AK249" s="4501"/>
      <c r="AL249" s="4501"/>
      <c r="AN249" s="4555"/>
      <c r="AO249" s="4501" t="s">
        <v>9138</v>
      </c>
      <c r="AP249" s="4509"/>
      <c r="AQ249" s="4509"/>
      <c r="AR249" s="4509"/>
      <c r="AS249" s="4509"/>
      <c r="AT249" s="4509"/>
      <c r="AU249" s="4509"/>
      <c r="AV249" s="4509"/>
      <c r="AW249" s="4509"/>
      <c r="AX249" s="4509"/>
    </row>
    <row r="250" spans="15:50" ht="21.9" customHeight="1">
      <c r="O250" s="12"/>
      <c r="AB250" s="4543" t="s">
        <v>9000</v>
      </c>
      <c r="AC250" s="4503" t="s">
        <v>9139</v>
      </c>
      <c r="AD250" s="4503"/>
      <c r="AE250" s="4503"/>
      <c r="AF250" s="4503"/>
      <c r="AG250" s="4503"/>
      <c r="AH250" s="4503"/>
      <c r="AI250" s="4503"/>
      <c r="AJ250" s="4503"/>
      <c r="AK250" s="4503"/>
      <c r="AL250" s="4503"/>
      <c r="AN250" s="4555"/>
      <c r="AO250" s="4509"/>
      <c r="AP250" s="4509"/>
      <c r="AQ250" s="4509"/>
      <c r="AR250" s="4509"/>
      <c r="AS250" s="4509"/>
      <c r="AT250" s="4509"/>
      <c r="AU250" s="4509"/>
      <c r="AV250" s="4509"/>
      <c r="AW250" s="4509"/>
      <c r="AX250" s="4509"/>
    </row>
    <row r="251" spans="15:50" ht="21.9" customHeight="1">
      <c r="O251" s="12"/>
      <c r="AB251" s="4543"/>
      <c r="AC251" s="4503"/>
      <c r="AD251" s="4503"/>
      <c r="AE251" s="4503"/>
      <c r="AF251" s="4503"/>
      <c r="AG251" s="4503"/>
      <c r="AH251" s="4503"/>
      <c r="AI251" s="4503"/>
      <c r="AJ251" s="4503"/>
      <c r="AK251" s="4503"/>
      <c r="AL251" s="4503"/>
      <c r="AN251" s="4555"/>
      <c r="AO251" s="4509"/>
      <c r="AP251" s="4509"/>
      <c r="AQ251" s="4509"/>
      <c r="AR251" s="4509"/>
      <c r="AS251" s="4509"/>
      <c r="AT251" s="4509"/>
      <c r="AU251" s="4509"/>
      <c r="AV251" s="4509"/>
      <c r="AW251" s="4509"/>
      <c r="AX251" s="4509"/>
    </row>
    <row r="252" spans="15:50" ht="21.9" customHeight="1">
      <c r="O252" s="12"/>
      <c r="AB252" s="4543" t="s">
        <v>8810</v>
      </c>
      <c r="AC252" s="4501" t="s">
        <v>9140</v>
      </c>
      <c r="AD252" s="4501"/>
      <c r="AE252" s="4501"/>
      <c r="AF252" s="4501"/>
      <c r="AG252" s="4501"/>
      <c r="AH252" s="4501"/>
      <c r="AI252" s="4501"/>
      <c r="AJ252" s="4501"/>
      <c r="AK252" s="4501"/>
      <c r="AL252" s="4501"/>
      <c r="AN252" s="4555"/>
      <c r="AO252" s="4509"/>
      <c r="AP252" s="4509"/>
      <c r="AQ252" s="4509"/>
      <c r="AR252" s="4509"/>
      <c r="AS252" s="4509"/>
      <c r="AT252" s="4509"/>
      <c r="AU252" s="4509"/>
      <c r="AV252" s="4509"/>
      <c r="AW252" s="4509"/>
      <c r="AX252" s="4509"/>
    </row>
    <row r="253" spans="15:50" ht="21.9" customHeight="1">
      <c r="O253" s="12"/>
      <c r="AB253" s="4543"/>
      <c r="AC253" s="4501"/>
      <c r="AD253" s="4501"/>
      <c r="AE253" s="4501"/>
      <c r="AF253" s="4501"/>
      <c r="AG253" s="4501"/>
      <c r="AH253" s="4501"/>
      <c r="AI253" s="4501"/>
      <c r="AJ253" s="4501"/>
      <c r="AK253" s="4501"/>
      <c r="AL253" s="4501"/>
      <c r="AN253" s="4555"/>
      <c r="AO253" s="4509"/>
      <c r="AP253" s="4509"/>
      <c r="AQ253" s="4509"/>
      <c r="AR253" s="4509"/>
      <c r="AS253" s="4509"/>
      <c r="AT253" s="4509"/>
      <c r="AU253" s="4509"/>
      <c r="AV253" s="4509"/>
      <c r="AW253" s="4509"/>
      <c r="AX253" s="4509"/>
    </row>
    <row r="254" spans="15:50" ht="21.9" customHeight="1">
      <c r="O254" s="12"/>
      <c r="AB254" s="4539" t="s">
        <v>321</v>
      </c>
      <c r="AC254" s="4504" t="s">
        <v>9141</v>
      </c>
      <c r="AD254" s="4504"/>
      <c r="AE254" s="4504"/>
      <c r="AF254" s="4504"/>
      <c r="AG254" s="4504"/>
      <c r="AH254" s="4504"/>
      <c r="AI254" s="4504"/>
      <c r="AJ254" s="4504"/>
      <c r="AK254" s="4504"/>
      <c r="AL254" s="4504"/>
      <c r="AN254" s="4541" t="s">
        <v>9142</v>
      </c>
      <c r="AO254" s="4509" t="s">
        <v>9143</v>
      </c>
      <c r="AP254" s="4509"/>
      <c r="AQ254" s="4509"/>
      <c r="AR254" s="4509"/>
      <c r="AS254" s="4509"/>
      <c r="AT254" s="4509"/>
      <c r="AU254" s="4509"/>
      <c r="AV254" s="4509"/>
      <c r="AW254" s="4509"/>
      <c r="AX254" s="4509"/>
    </row>
    <row r="255" spans="15:50" ht="21.9" customHeight="1">
      <c r="O255" s="12"/>
      <c r="AB255" s="4539"/>
      <c r="AC255" s="4504"/>
      <c r="AD255" s="4504"/>
      <c r="AE255" s="4504"/>
      <c r="AF255" s="4504"/>
      <c r="AG255" s="4504"/>
      <c r="AH255" s="4504"/>
      <c r="AI255" s="4504"/>
      <c r="AJ255" s="4504"/>
      <c r="AK255" s="4504"/>
      <c r="AL255" s="4504"/>
      <c r="AN255" s="4541"/>
      <c r="AO255" s="4509" t="s">
        <v>9144</v>
      </c>
      <c r="AP255" s="4509"/>
      <c r="AQ255" s="4509"/>
      <c r="AR255" s="4509"/>
      <c r="AS255" s="4509"/>
      <c r="AT255" s="4509"/>
      <c r="AU255" s="4509"/>
      <c r="AV255" s="4509"/>
      <c r="AW255" s="4509"/>
      <c r="AX255" s="4509"/>
    </row>
    <row r="256" spans="15:50" ht="21.9" customHeight="1">
      <c r="O256" s="12"/>
      <c r="AB256" s="4539"/>
      <c r="AC256" s="4504"/>
      <c r="AD256" s="4504"/>
      <c r="AE256" s="4504"/>
      <c r="AF256" s="4504"/>
      <c r="AG256" s="4504"/>
      <c r="AH256" s="4504"/>
      <c r="AI256" s="4504"/>
      <c r="AJ256" s="4504"/>
      <c r="AK256" s="4504"/>
      <c r="AL256" s="4504"/>
      <c r="AN256" s="4551" t="s">
        <v>9145</v>
      </c>
      <c r="AO256" s="4551"/>
      <c r="AP256" s="4551"/>
      <c r="AQ256" s="4551"/>
      <c r="AR256" s="4551"/>
      <c r="AS256" s="4551"/>
      <c r="AT256" s="4551"/>
      <c r="AU256" s="4551"/>
      <c r="AV256" s="4551"/>
      <c r="AW256" s="4551"/>
      <c r="AX256" s="4551"/>
    </row>
    <row r="257" spans="15:50" ht="21.9" customHeight="1">
      <c r="O257" s="12"/>
      <c r="AB257" s="4539"/>
      <c r="AC257" s="4504"/>
      <c r="AD257" s="4504"/>
      <c r="AE257" s="4504"/>
      <c r="AF257" s="4504"/>
      <c r="AG257" s="4504"/>
      <c r="AH257" s="4504"/>
      <c r="AI257" s="4504"/>
      <c r="AJ257" s="4504"/>
      <c r="AK257" s="4504"/>
      <c r="AL257" s="4504"/>
      <c r="AN257" s="4552" t="s">
        <v>8781</v>
      </c>
      <c r="AO257" s="4509" t="s">
        <v>9146</v>
      </c>
      <c r="AP257" s="4509"/>
      <c r="AQ257" s="4509"/>
      <c r="AR257" s="4509"/>
      <c r="AS257" s="4509"/>
      <c r="AT257" s="4509"/>
      <c r="AU257" s="4509"/>
      <c r="AV257" s="4509"/>
      <c r="AW257" s="4509"/>
      <c r="AX257" s="4509"/>
    </row>
    <row r="258" spans="15:50" ht="21.9" customHeight="1">
      <c r="O258" s="12"/>
      <c r="AB258" s="4539"/>
      <c r="AC258" s="4504"/>
      <c r="AD258" s="4504"/>
      <c r="AE258" s="4504"/>
      <c r="AF258" s="4504"/>
      <c r="AG258" s="4504"/>
      <c r="AH258" s="4504"/>
      <c r="AI258" s="4504"/>
      <c r="AJ258" s="4504"/>
      <c r="AK258" s="4504"/>
      <c r="AL258" s="4504"/>
      <c r="AN258" s="4552"/>
      <c r="AO258" s="4509" t="s">
        <v>9147</v>
      </c>
      <c r="AP258" s="4509"/>
      <c r="AQ258" s="4509"/>
      <c r="AR258" s="4509"/>
      <c r="AS258" s="4509"/>
      <c r="AT258" s="4509"/>
      <c r="AU258" s="4509"/>
      <c r="AV258" s="4509"/>
      <c r="AW258" s="4509"/>
      <c r="AX258" s="4509"/>
    </row>
    <row r="259" spans="15:50" ht="21.9" customHeight="1">
      <c r="O259" s="12"/>
      <c r="AN259" s="4552"/>
      <c r="AO259" s="4509" t="s">
        <v>9148</v>
      </c>
      <c r="AP259" s="4509"/>
      <c r="AQ259" s="4509"/>
      <c r="AR259" s="4509"/>
      <c r="AS259" s="4509"/>
      <c r="AT259" s="4509"/>
      <c r="AU259" s="4509"/>
      <c r="AV259" s="4509"/>
      <c r="AW259" s="4509"/>
      <c r="AX259" s="4509"/>
    </row>
    <row r="260" spans="15:50" ht="21.9" customHeight="1">
      <c r="O260" s="12"/>
      <c r="AB260" s="10"/>
      <c r="AC260" s="10"/>
      <c r="AD260" s="10"/>
      <c r="AE260" s="10"/>
      <c r="AF260" s="10"/>
      <c r="AG260" s="10"/>
      <c r="AH260" s="10"/>
      <c r="AI260" s="10"/>
      <c r="AJ260" s="10"/>
      <c r="AK260" s="10"/>
      <c r="AL260" s="10"/>
      <c r="AN260" s="22" t="s">
        <v>9082</v>
      </c>
      <c r="AO260" s="4509" t="s">
        <v>9149</v>
      </c>
      <c r="AP260" s="4509"/>
      <c r="AQ260" s="4509"/>
      <c r="AR260" s="4509"/>
      <c r="AS260" s="4509"/>
      <c r="AT260" s="4509"/>
      <c r="AU260" s="4509"/>
      <c r="AV260" s="4509"/>
      <c r="AW260" s="4509"/>
      <c r="AX260" s="4509"/>
    </row>
    <row r="261" spans="15:50" ht="21.9" customHeight="1">
      <c r="O261" s="12"/>
      <c r="AN261" s="4552" t="s">
        <v>9150</v>
      </c>
      <c r="AO261" s="4501" t="s">
        <v>9151</v>
      </c>
      <c r="AP261" s="4509"/>
      <c r="AQ261" s="4509"/>
      <c r="AR261" s="4509"/>
      <c r="AS261" s="4509"/>
      <c r="AT261" s="4509"/>
      <c r="AU261" s="4509"/>
      <c r="AV261" s="4509"/>
      <c r="AW261" s="4509"/>
      <c r="AX261" s="4509"/>
    </row>
    <row r="262" spans="15:50" ht="21.9" customHeight="1">
      <c r="O262" s="12"/>
      <c r="AN262" s="4552"/>
      <c r="AO262" s="4509"/>
      <c r="AP262" s="4509"/>
      <c r="AQ262" s="4509"/>
      <c r="AR262" s="4509"/>
      <c r="AS262" s="4509"/>
      <c r="AT262" s="4509"/>
      <c r="AU262" s="4509"/>
      <c r="AV262" s="4509"/>
      <c r="AW262" s="4509"/>
      <c r="AX262" s="4509"/>
    </row>
    <row r="263" spans="15:50" ht="21.9" customHeight="1">
      <c r="O263" s="12"/>
      <c r="AN263" s="4551" t="s">
        <v>9152</v>
      </c>
      <c r="AO263" s="4551"/>
      <c r="AP263" s="4551"/>
      <c r="AQ263" s="4551"/>
      <c r="AR263" s="4551"/>
      <c r="AS263" s="4551"/>
      <c r="AT263" s="4551"/>
      <c r="AU263" s="4551"/>
      <c r="AV263" s="4551"/>
      <c r="AW263" s="4551"/>
      <c r="AX263" s="4551"/>
    </row>
    <row r="264" spans="15:50" ht="21.9" customHeight="1">
      <c r="O264" s="12"/>
      <c r="AN264" s="4552" t="s">
        <v>8781</v>
      </c>
      <c r="AO264" s="4501" t="s">
        <v>9153</v>
      </c>
      <c r="AP264" s="4501"/>
      <c r="AQ264" s="4501"/>
      <c r="AR264" s="4501"/>
      <c r="AS264" s="4501"/>
      <c r="AT264" s="4501"/>
      <c r="AU264" s="4501"/>
      <c r="AV264" s="4501"/>
      <c r="AW264" s="4501"/>
      <c r="AX264" s="4501"/>
    </row>
    <row r="265" spans="15:50" ht="21.9" customHeight="1">
      <c r="O265" s="12"/>
      <c r="AN265" s="4552"/>
      <c r="AO265" s="4501" t="s">
        <v>9154</v>
      </c>
      <c r="AP265" s="4509"/>
      <c r="AQ265" s="4509"/>
      <c r="AR265" s="4509"/>
      <c r="AS265" s="4509"/>
      <c r="AT265" s="4509"/>
      <c r="AU265" s="4509"/>
      <c r="AV265" s="4509"/>
      <c r="AW265" s="4509"/>
      <c r="AX265" s="4509"/>
    </row>
    <row r="266" spans="15:50" ht="21.9" customHeight="1">
      <c r="O266" s="12"/>
      <c r="AN266" s="4552"/>
      <c r="AO266" s="4509"/>
      <c r="AP266" s="4509"/>
      <c r="AQ266" s="4509"/>
      <c r="AR266" s="4509"/>
      <c r="AS266" s="4509"/>
      <c r="AT266" s="4509"/>
      <c r="AU266" s="4509"/>
      <c r="AV266" s="4509"/>
      <c r="AW266" s="4509"/>
      <c r="AX266" s="4509"/>
    </row>
    <row r="267" spans="15:50" ht="21.9" customHeight="1">
      <c r="O267" s="12"/>
      <c r="AN267" s="4552"/>
      <c r="AO267" s="4509" t="s">
        <v>9155</v>
      </c>
      <c r="AP267" s="4509"/>
      <c r="AQ267" s="4509"/>
      <c r="AR267" s="4509"/>
      <c r="AS267" s="4509"/>
      <c r="AT267" s="4509"/>
      <c r="AU267" s="4509"/>
      <c r="AV267" s="4509"/>
      <c r="AW267" s="4509"/>
      <c r="AX267" s="4509"/>
    </row>
    <row r="268" spans="15:50" ht="21.9" customHeight="1">
      <c r="O268" s="12"/>
      <c r="AN268" s="4552"/>
      <c r="AO268" s="4501" t="s">
        <v>9156</v>
      </c>
      <c r="AP268" s="4509"/>
      <c r="AQ268" s="4509"/>
      <c r="AR268" s="4509"/>
      <c r="AS268" s="4509"/>
      <c r="AT268" s="4509"/>
      <c r="AU268" s="4509"/>
      <c r="AV268" s="4509"/>
      <c r="AW268" s="4509"/>
      <c r="AX268" s="4509"/>
    </row>
    <row r="269" spans="15:50" ht="21.9" customHeight="1">
      <c r="O269" s="12"/>
      <c r="AN269" s="4552"/>
      <c r="AO269" s="4509"/>
      <c r="AP269" s="4509"/>
      <c r="AQ269" s="4509"/>
      <c r="AR269" s="4509"/>
      <c r="AS269" s="4509"/>
      <c r="AT269" s="4509"/>
      <c r="AU269" s="4509"/>
      <c r="AV269" s="4509"/>
      <c r="AW269" s="4509"/>
      <c r="AX269" s="4509"/>
    </row>
    <row r="270" spans="15:50" ht="21.9" customHeight="1">
      <c r="O270" s="12"/>
      <c r="AN270" s="4552"/>
      <c r="AO270" s="4525" t="s">
        <v>9157</v>
      </c>
      <c r="AP270" s="4526"/>
      <c r="AQ270" s="4526"/>
      <c r="AR270" s="4526"/>
      <c r="AS270" s="4526"/>
      <c r="AT270" s="4526"/>
      <c r="AU270" s="4526"/>
      <c r="AV270" s="4526"/>
      <c r="AW270" s="4526"/>
      <c r="AX270" s="4526"/>
    </row>
    <row r="271" spans="15:50" ht="21.9" customHeight="1">
      <c r="O271" s="12"/>
      <c r="AN271" s="4552"/>
      <c r="AO271" s="4526"/>
      <c r="AP271" s="4526"/>
      <c r="AQ271" s="4526"/>
      <c r="AR271" s="4526"/>
      <c r="AS271" s="4526"/>
      <c r="AT271" s="4526"/>
      <c r="AU271" s="4526"/>
      <c r="AV271" s="4526"/>
      <c r="AW271" s="4526"/>
      <c r="AX271" s="4526"/>
    </row>
    <row r="272" spans="15:50" ht="21.9" customHeight="1">
      <c r="O272" s="12"/>
      <c r="AN272" s="4552"/>
      <c r="AO272" s="4526"/>
      <c r="AP272" s="4526"/>
      <c r="AQ272" s="4526"/>
      <c r="AR272" s="4526"/>
      <c r="AS272" s="4526"/>
      <c r="AT272" s="4526"/>
      <c r="AU272" s="4526"/>
      <c r="AV272" s="4526"/>
      <c r="AW272" s="4526"/>
      <c r="AX272" s="4526"/>
    </row>
    <row r="273" spans="15:50" ht="21.9" customHeight="1">
      <c r="O273" s="12"/>
      <c r="AN273" s="4552"/>
      <c r="AO273" s="4526"/>
      <c r="AP273" s="4526"/>
      <c r="AQ273" s="4526"/>
      <c r="AR273" s="4526"/>
      <c r="AS273" s="4526"/>
      <c r="AT273" s="4526"/>
      <c r="AU273" s="4526"/>
      <c r="AV273" s="4526"/>
      <c r="AW273" s="4526"/>
      <c r="AX273" s="4526"/>
    </row>
    <row r="274" spans="15:50" ht="21.9" customHeight="1">
      <c r="O274" s="12"/>
      <c r="AN274" s="14" t="s">
        <v>8829</v>
      </c>
      <c r="AO274" s="4501" t="s">
        <v>9158</v>
      </c>
      <c r="AP274" s="4501"/>
      <c r="AQ274" s="4501"/>
      <c r="AR274" s="4501"/>
      <c r="AS274" s="4501"/>
      <c r="AT274" s="4501"/>
      <c r="AU274" s="4501"/>
      <c r="AV274" s="4501"/>
      <c r="AW274" s="4501"/>
      <c r="AX274" s="4501"/>
    </row>
    <row r="275" spans="15:50" ht="21.9" customHeight="1">
      <c r="O275" s="12"/>
      <c r="AN275" s="23" t="s">
        <v>9142</v>
      </c>
      <c r="AO275" s="4509" t="s">
        <v>9159</v>
      </c>
      <c r="AP275" s="4509"/>
      <c r="AQ275" s="4509"/>
      <c r="AR275" s="4509"/>
      <c r="AS275" s="4509"/>
      <c r="AT275" s="4509"/>
      <c r="AU275" s="4509"/>
      <c r="AV275" s="4509"/>
      <c r="AW275" s="4509"/>
      <c r="AX275" s="4509"/>
    </row>
    <row r="276" spans="15:50" ht="21.9" customHeight="1">
      <c r="O276" s="12"/>
      <c r="AN276" s="22" t="s">
        <v>9082</v>
      </c>
      <c r="AO276" s="4509" t="s">
        <v>9160</v>
      </c>
      <c r="AP276" s="4509"/>
      <c r="AQ276" s="4509"/>
      <c r="AR276" s="4509"/>
      <c r="AS276" s="4509"/>
      <c r="AT276" s="4509"/>
      <c r="AU276" s="4509"/>
      <c r="AV276" s="4509"/>
      <c r="AW276" s="4509"/>
      <c r="AX276" s="4509"/>
    </row>
    <row r="277" spans="15:50" ht="21.9" customHeight="1">
      <c r="O277" s="12"/>
      <c r="AN277" s="4551" t="s">
        <v>9161</v>
      </c>
      <c r="AO277" s="4551"/>
      <c r="AP277" s="4551"/>
      <c r="AQ277" s="4551"/>
      <c r="AR277" s="4551"/>
      <c r="AS277" s="4551"/>
      <c r="AT277" s="4551"/>
      <c r="AU277" s="4551"/>
      <c r="AV277" s="4551"/>
      <c r="AW277" s="4551"/>
      <c r="AX277" s="4551"/>
    </row>
    <row r="278" spans="15:50" ht="21.9" customHeight="1">
      <c r="O278" s="12"/>
      <c r="AN278" s="24" t="s">
        <v>8929</v>
      </c>
      <c r="AO278" s="4509" t="s">
        <v>9162</v>
      </c>
      <c r="AP278" s="4509"/>
      <c r="AQ278" s="4509"/>
      <c r="AR278" s="4509"/>
      <c r="AS278" s="4509"/>
      <c r="AT278" s="4509"/>
      <c r="AU278" s="4509"/>
      <c r="AV278" s="4509"/>
      <c r="AW278" s="4509"/>
      <c r="AX278" s="4509"/>
    </row>
    <row r="279" spans="15:50" ht="21.9" customHeight="1">
      <c r="O279" s="12"/>
      <c r="AN279" s="4552" t="s">
        <v>8781</v>
      </c>
      <c r="AO279" s="4501" t="s">
        <v>9163</v>
      </c>
      <c r="AP279" s="4501"/>
      <c r="AQ279" s="4501"/>
      <c r="AR279" s="4501"/>
      <c r="AS279" s="4501"/>
      <c r="AT279" s="4501"/>
      <c r="AU279" s="4501"/>
      <c r="AV279" s="4501"/>
      <c r="AW279" s="4501"/>
      <c r="AX279" s="4501"/>
    </row>
    <row r="280" spans="15:50" ht="21.9" customHeight="1">
      <c r="O280" s="12"/>
      <c r="AN280" s="4552"/>
      <c r="AO280" s="4509" t="s">
        <v>9164</v>
      </c>
      <c r="AP280" s="4509"/>
      <c r="AQ280" s="4509"/>
      <c r="AR280" s="4509"/>
      <c r="AS280" s="4509"/>
      <c r="AT280" s="4509"/>
      <c r="AU280" s="4509"/>
      <c r="AV280" s="4509"/>
      <c r="AW280" s="4509"/>
      <c r="AX280" s="4509"/>
    </row>
    <row r="281" spans="15:50" ht="21.9" customHeight="1">
      <c r="O281" s="12"/>
      <c r="AN281" s="4552"/>
      <c r="AO281" s="4509" t="s">
        <v>9165</v>
      </c>
      <c r="AP281" s="4509"/>
      <c r="AQ281" s="4509"/>
      <c r="AR281" s="4509"/>
      <c r="AS281" s="4509"/>
      <c r="AT281" s="4509"/>
      <c r="AU281" s="4509"/>
      <c r="AV281" s="4509"/>
      <c r="AW281" s="4509"/>
      <c r="AX281" s="4509"/>
    </row>
    <row r="282" spans="15:50" ht="21.9" customHeight="1">
      <c r="O282" s="12"/>
      <c r="AN282" s="4552"/>
      <c r="AO282" s="4509" t="s">
        <v>9166</v>
      </c>
      <c r="AP282" s="4509"/>
      <c r="AQ282" s="4509"/>
      <c r="AR282" s="4509"/>
      <c r="AS282" s="4509"/>
      <c r="AT282" s="4509"/>
      <c r="AU282" s="4509"/>
      <c r="AV282" s="4509"/>
      <c r="AW282" s="4509"/>
      <c r="AX282" s="4509"/>
    </row>
    <row r="283" spans="15:50" ht="21.9" customHeight="1">
      <c r="O283" s="12"/>
      <c r="AN283" s="4539" t="s">
        <v>8807</v>
      </c>
      <c r="AO283" s="4501" t="s">
        <v>9167</v>
      </c>
      <c r="AP283" s="4501"/>
      <c r="AQ283" s="4501"/>
      <c r="AR283" s="4501"/>
      <c r="AS283" s="4501"/>
      <c r="AT283" s="4501"/>
      <c r="AU283" s="4501"/>
      <c r="AV283" s="4501"/>
      <c r="AW283" s="4501"/>
      <c r="AX283" s="4501"/>
    </row>
    <row r="284" spans="15:50" ht="21.9" customHeight="1">
      <c r="O284" s="12"/>
      <c r="AN284" s="4539"/>
      <c r="AO284" s="4501"/>
      <c r="AP284" s="4501"/>
      <c r="AQ284" s="4501"/>
      <c r="AR284" s="4501"/>
      <c r="AS284" s="4501"/>
      <c r="AT284" s="4501"/>
      <c r="AU284" s="4501"/>
      <c r="AV284" s="4501"/>
      <c r="AW284" s="4501"/>
      <c r="AX284" s="4501"/>
    </row>
    <row r="285" spans="15:50" ht="21.9" customHeight="1">
      <c r="O285" s="12"/>
      <c r="AN285" s="4539"/>
      <c r="AO285" s="4501"/>
      <c r="AP285" s="4501"/>
      <c r="AQ285" s="4501"/>
      <c r="AR285" s="4501"/>
      <c r="AS285" s="4501"/>
      <c r="AT285" s="4501"/>
      <c r="AU285" s="4501"/>
      <c r="AV285" s="4501"/>
      <c r="AW285" s="4501"/>
      <c r="AX285" s="4501"/>
    </row>
    <row r="286" spans="15:50" ht="21.9" customHeight="1">
      <c r="O286" s="12"/>
      <c r="AN286" s="4539"/>
      <c r="AO286" s="4501"/>
      <c r="AP286" s="4501"/>
      <c r="AQ286" s="4501"/>
      <c r="AR286" s="4501"/>
      <c r="AS286" s="4501"/>
      <c r="AT286" s="4501"/>
      <c r="AU286" s="4501"/>
      <c r="AV286" s="4501"/>
      <c r="AW286" s="4501"/>
      <c r="AX286" s="4501"/>
    </row>
    <row r="287" spans="15:50" ht="21.9" customHeight="1">
      <c r="O287" s="12"/>
      <c r="AN287" s="4539"/>
      <c r="AO287" s="4501"/>
      <c r="AP287" s="4501"/>
      <c r="AQ287" s="4501"/>
      <c r="AR287" s="4501"/>
      <c r="AS287" s="4501"/>
      <c r="AT287" s="4501"/>
      <c r="AU287" s="4501"/>
      <c r="AV287" s="4501"/>
      <c r="AW287" s="4501"/>
      <c r="AX287" s="4501"/>
    </row>
    <row r="288" spans="15:50" ht="21.9" customHeight="1">
      <c r="O288" s="12"/>
      <c r="AN288" s="4539"/>
      <c r="AO288" s="4501"/>
      <c r="AP288" s="4501"/>
      <c r="AQ288" s="4501"/>
      <c r="AR288" s="4501"/>
      <c r="AS288" s="4501"/>
      <c r="AT288" s="4501"/>
      <c r="AU288" s="4501"/>
      <c r="AV288" s="4501"/>
      <c r="AW288" s="4501"/>
      <c r="AX288" s="4501"/>
    </row>
    <row r="289" spans="15:50" ht="21.9" customHeight="1">
      <c r="O289" s="12"/>
      <c r="AN289" s="4539"/>
      <c r="AO289" s="4501"/>
      <c r="AP289" s="4501"/>
      <c r="AQ289" s="4501"/>
      <c r="AR289" s="4501"/>
      <c r="AS289" s="4501"/>
      <c r="AT289" s="4501"/>
      <c r="AU289" s="4501"/>
      <c r="AV289" s="4501"/>
      <c r="AW289" s="4501"/>
      <c r="AX289" s="4501"/>
    </row>
    <row r="290" spans="15:50" ht="21.9" customHeight="1">
      <c r="O290" s="12"/>
      <c r="AN290" s="14" t="s">
        <v>9004</v>
      </c>
      <c r="AO290" s="4509" t="s">
        <v>9168</v>
      </c>
      <c r="AP290" s="4509"/>
      <c r="AQ290" s="4509"/>
      <c r="AR290" s="4509"/>
      <c r="AS290" s="4509"/>
      <c r="AT290" s="4509"/>
      <c r="AU290" s="4509"/>
      <c r="AV290" s="4509"/>
      <c r="AW290" s="4509"/>
      <c r="AX290" s="4509"/>
    </row>
    <row r="291" spans="15:50" ht="21.9" customHeight="1">
      <c r="O291" s="12"/>
      <c r="AN291" s="4551" t="s">
        <v>9169</v>
      </c>
      <c r="AO291" s="4551"/>
      <c r="AP291" s="4551"/>
      <c r="AQ291" s="4551"/>
      <c r="AR291" s="4551"/>
      <c r="AS291" s="4551"/>
      <c r="AT291" s="4551"/>
      <c r="AU291" s="4551"/>
      <c r="AV291" s="4551"/>
      <c r="AW291" s="4551"/>
      <c r="AX291" s="4551"/>
    </row>
    <row r="292" spans="15:50" ht="21.9" customHeight="1">
      <c r="O292" s="12"/>
      <c r="AN292" s="4539" t="s">
        <v>9170</v>
      </c>
      <c r="AO292" s="4501" t="s">
        <v>9171</v>
      </c>
      <c r="AP292" s="4501"/>
      <c r="AQ292" s="4501"/>
      <c r="AR292" s="4501"/>
      <c r="AS292" s="4501"/>
      <c r="AT292" s="4501"/>
      <c r="AU292" s="4501"/>
      <c r="AV292" s="4501"/>
      <c r="AW292" s="4501"/>
      <c r="AX292" s="4501"/>
    </row>
    <row r="293" spans="15:50" ht="21.9" customHeight="1">
      <c r="O293" s="12"/>
      <c r="AN293" s="4539"/>
      <c r="AO293" s="4501" t="s">
        <v>9172</v>
      </c>
      <c r="AP293" s="4501"/>
      <c r="AQ293" s="4501"/>
      <c r="AR293" s="4501"/>
      <c r="AS293" s="4501"/>
      <c r="AT293" s="4501"/>
      <c r="AU293" s="4501"/>
      <c r="AV293" s="4501"/>
      <c r="AW293" s="4501"/>
      <c r="AX293" s="4501"/>
    </row>
    <row r="294" spans="15:50" ht="21.9" customHeight="1">
      <c r="O294" s="12"/>
      <c r="AN294" s="4539"/>
      <c r="AO294" s="4501"/>
      <c r="AP294" s="4501"/>
      <c r="AQ294" s="4501"/>
      <c r="AR294" s="4501"/>
      <c r="AS294" s="4501"/>
      <c r="AT294" s="4501"/>
      <c r="AU294" s="4501"/>
      <c r="AV294" s="4501"/>
      <c r="AW294" s="4501"/>
      <c r="AX294" s="4501"/>
    </row>
    <row r="295" spans="15:50" ht="21.9" customHeight="1">
      <c r="O295" s="12"/>
      <c r="AN295" s="4539"/>
      <c r="AO295" s="4501"/>
      <c r="AP295" s="4501"/>
      <c r="AQ295" s="4501"/>
      <c r="AR295" s="4501"/>
      <c r="AS295" s="4501"/>
      <c r="AT295" s="4501"/>
      <c r="AU295" s="4501"/>
      <c r="AV295" s="4501"/>
      <c r="AW295" s="4501"/>
      <c r="AX295" s="4501"/>
    </row>
    <row r="296" spans="15:50" ht="21.9" customHeight="1">
      <c r="O296" s="12"/>
      <c r="AN296" s="4539"/>
      <c r="AO296" s="4501"/>
      <c r="AP296" s="4501"/>
      <c r="AQ296" s="4501"/>
      <c r="AR296" s="4501"/>
      <c r="AS296" s="4501"/>
      <c r="AT296" s="4501"/>
      <c r="AU296" s="4501"/>
      <c r="AV296" s="4501"/>
      <c r="AW296" s="4501"/>
      <c r="AX296" s="4501"/>
    </row>
    <row r="297" spans="15:50" ht="21.9" customHeight="1">
      <c r="O297" s="12"/>
      <c r="AN297" s="4539"/>
      <c r="AO297" s="4501" t="s">
        <v>9173</v>
      </c>
      <c r="AP297" s="4501"/>
      <c r="AQ297" s="4501"/>
      <c r="AR297" s="4501"/>
      <c r="AS297" s="4501"/>
      <c r="AT297" s="4501"/>
      <c r="AU297" s="4501"/>
      <c r="AV297" s="4501"/>
      <c r="AW297" s="4501"/>
      <c r="AX297" s="4501"/>
    </row>
    <row r="298" spans="15:50" ht="21.9" customHeight="1">
      <c r="O298" s="12"/>
      <c r="AN298" s="4539"/>
      <c r="AO298" s="4509" t="s">
        <v>9174</v>
      </c>
      <c r="AP298" s="4509"/>
      <c r="AQ298" s="4509"/>
      <c r="AR298" s="4509"/>
      <c r="AS298" s="4509"/>
      <c r="AT298" s="4509"/>
      <c r="AU298" s="4509"/>
      <c r="AV298" s="4509"/>
      <c r="AW298" s="4509"/>
      <c r="AX298" s="4509"/>
    </row>
    <row r="299" spans="15:50" ht="21.9" customHeight="1">
      <c r="O299" s="12"/>
      <c r="AN299" s="4539"/>
      <c r="AO299" s="4509" t="s">
        <v>9175</v>
      </c>
      <c r="AP299" s="4509"/>
      <c r="AQ299" s="4509"/>
      <c r="AR299" s="4509"/>
      <c r="AS299" s="4509"/>
      <c r="AT299" s="4509"/>
      <c r="AU299" s="4509"/>
      <c r="AV299" s="4509"/>
      <c r="AW299" s="4509"/>
      <c r="AX299" s="4509"/>
    </row>
    <row r="300" spans="15:50" ht="21.9" customHeight="1">
      <c r="O300" s="12"/>
      <c r="AN300" s="4539"/>
      <c r="AO300" s="4509" t="s">
        <v>9176</v>
      </c>
      <c r="AP300" s="4509"/>
      <c r="AQ300" s="4509"/>
      <c r="AR300" s="4509"/>
      <c r="AS300" s="4509"/>
      <c r="AT300" s="4509"/>
      <c r="AU300" s="4509"/>
      <c r="AV300" s="4509"/>
      <c r="AW300" s="4509"/>
      <c r="AX300" s="4509"/>
    </row>
    <row r="301" spans="15:50" ht="21.9" customHeight="1">
      <c r="O301" s="12"/>
      <c r="AN301" s="4539"/>
      <c r="AO301" s="4501" t="s">
        <v>9177</v>
      </c>
      <c r="AP301" s="4501"/>
      <c r="AQ301" s="4501"/>
      <c r="AR301" s="4501"/>
      <c r="AS301" s="4501"/>
      <c r="AT301" s="4501"/>
      <c r="AU301" s="4501"/>
      <c r="AV301" s="4501"/>
      <c r="AW301" s="4501"/>
      <c r="AX301" s="4501"/>
    </row>
    <row r="302" spans="15:50" ht="21.9" customHeight="1">
      <c r="O302" s="12"/>
      <c r="AN302" s="4539"/>
      <c r="AO302" s="4501"/>
      <c r="AP302" s="4501"/>
      <c r="AQ302" s="4501"/>
      <c r="AR302" s="4501"/>
      <c r="AS302" s="4501"/>
      <c r="AT302" s="4501"/>
      <c r="AU302" s="4501"/>
      <c r="AV302" s="4501"/>
      <c r="AW302" s="4501"/>
      <c r="AX302" s="4501"/>
    </row>
    <row r="303" spans="15:50" ht="21.9" customHeight="1">
      <c r="O303" s="12"/>
      <c r="AN303" s="4539"/>
      <c r="AO303" s="4501" t="s">
        <v>9178</v>
      </c>
      <c r="AP303" s="4501"/>
      <c r="AQ303" s="4501"/>
      <c r="AR303" s="4501"/>
      <c r="AS303" s="4501"/>
      <c r="AT303" s="4501"/>
      <c r="AU303" s="4501"/>
      <c r="AV303" s="4501"/>
      <c r="AW303" s="4501"/>
      <c r="AX303" s="4501"/>
    </row>
    <row r="304" spans="15:50" ht="21.9" customHeight="1">
      <c r="O304" s="12"/>
      <c r="AN304" s="4539"/>
      <c r="AO304" s="4501" t="s">
        <v>9179</v>
      </c>
      <c r="AP304" s="4501"/>
      <c r="AQ304" s="4501"/>
      <c r="AR304" s="4501"/>
      <c r="AS304" s="4501"/>
      <c r="AT304" s="4501"/>
      <c r="AU304" s="4501"/>
      <c r="AV304" s="4501"/>
      <c r="AW304" s="4501"/>
      <c r="AX304" s="4501"/>
    </row>
    <row r="305" spans="15:50" ht="21.9" customHeight="1">
      <c r="O305" s="12"/>
      <c r="AN305" s="4539"/>
      <c r="AO305" s="4509" t="s">
        <v>9180</v>
      </c>
      <c r="AP305" s="4509"/>
      <c r="AQ305" s="4509"/>
      <c r="AR305" s="4509"/>
      <c r="AS305" s="4509"/>
      <c r="AT305" s="4509"/>
      <c r="AU305" s="4509"/>
      <c r="AV305" s="4509"/>
      <c r="AW305" s="4509"/>
      <c r="AX305" s="4509"/>
    </row>
    <row r="306" spans="15:50" ht="21.9" customHeight="1">
      <c r="O306" s="12"/>
      <c r="AN306" s="4539"/>
      <c r="AO306" s="4501" t="s">
        <v>9181</v>
      </c>
      <c r="AP306" s="4509"/>
      <c r="AQ306" s="4509"/>
      <c r="AR306" s="4509"/>
      <c r="AS306" s="4509"/>
      <c r="AT306" s="4509"/>
      <c r="AU306" s="4509"/>
      <c r="AV306" s="4509"/>
      <c r="AW306" s="4509"/>
      <c r="AX306" s="4509"/>
    </row>
    <row r="307" spans="15:50" ht="21.9" customHeight="1">
      <c r="O307" s="12"/>
      <c r="AN307" s="4539"/>
      <c r="AO307" s="4509"/>
      <c r="AP307" s="4509"/>
      <c r="AQ307" s="4509"/>
      <c r="AR307" s="4509"/>
      <c r="AS307" s="4509"/>
      <c r="AT307" s="4509"/>
      <c r="AU307" s="4509"/>
      <c r="AV307" s="4509"/>
      <c r="AW307" s="4509"/>
      <c r="AX307" s="4509"/>
    </row>
    <row r="308" spans="15:50" ht="21.9" customHeight="1">
      <c r="O308" s="12"/>
      <c r="AN308" s="4539" t="s">
        <v>8807</v>
      </c>
      <c r="AO308" s="4509" t="s">
        <v>9182</v>
      </c>
      <c r="AP308" s="4509"/>
      <c r="AQ308" s="4509"/>
      <c r="AR308" s="4509"/>
      <c r="AS308" s="4509"/>
      <c r="AT308" s="4509"/>
      <c r="AU308" s="4509"/>
      <c r="AV308" s="4509"/>
      <c r="AW308" s="4509"/>
      <c r="AX308" s="4509"/>
    </row>
    <row r="309" spans="15:50" ht="21.9" customHeight="1">
      <c r="O309" s="12"/>
      <c r="AN309" s="4539"/>
      <c r="AO309" s="4501" t="s">
        <v>9183</v>
      </c>
      <c r="AP309" s="4509"/>
      <c r="AQ309" s="4509"/>
      <c r="AR309" s="4509"/>
      <c r="AS309" s="4509"/>
      <c r="AT309" s="4509"/>
      <c r="AU309" s="4509"/>
      <c r="AV309" s="4509"/>
      <c r="AW309" s="4509"/>
      <c r="AX309" s="4509"/>
    </row>
    <row r="310" spans="15:50" ht="21.9" customHeight="1">
      <c r="O310" s="12"/>
      <c r="AN310" s="4539"/>
      <c r="AO310" s="4509"/>
      <c r="AP310" s="4509"/>
      <c r="AQ310" s="4509"/>
      <c r="AR310" s="4509"/>
      <c r="AS310" s="4509"/>
      <c r="AT310" s="4509"/>
      <c r="AU310" s="4509"/>
      <c r="AV310" s="4509"/>
      <c r="AW310" s="4509"/>
      <c r="AX310" s="4509"/>
    </row>
    <row r="311" spans="15:50" ht="21.9" customHeight="1">
      <c r="O311" s="12"/>
      <c r="AN311" s="4539"/>
      <c r="AO311" s="4509" t="s">
        <v>9184</v>
      </c>
      <c r="AP311" s="4509"/>
      <c r="AQ311" s="4509"/>
      <c r="AR311" s="4509"/>
      <c r="AS311" s="4509"/>
      <c r="AT311" s="4509"/>
      <c r="AU311" s="4509"/>
      <c r="AV311" s="4509"/>
      <c r="AW311" s="4509"/>
      <c r="AX311" s="4509"/>
    </row>
    <row r="312" spans="15:50" ht="21.9" customHeight="1">
      <c r="O312" s="12"/>
      <c r="AN312" s="4541" t="s">
        <v>8984</v>
      </c>
      <c r="AO312" s="4509" t="s">
        <v>9185</v>
      </c>
      <c r="AP312" s="4509"/>
      <c r="AQ312" s="4509"/>
      <c r="AR312" s="4509"/>
      <c r="AS312" s="4509"/>
      <c r="AT312" s="4509"/>
      <c r="AU312" s="4509"/>
      <c r="AV312" s="4509"/>
      <c r="AW312" s="4509"/>
      <c r="AX312" s="4509"/>
    </row>
    <row r="313" spans="15:50" ht="21.9" customHeight="1">
      <c r="O313" s="12"/>
      <c r="AN313" s="4541"/>
      <c r="AO313" s="4509" t="s">
        <v>9186</v>
      </c>
      <c r="AP313" s="4509"/>
      <c r="AQ313" s="4509"/>
      <c r="AR313" s="4509"/>
      <c r="AS313" s="4509"/>
      <c r="AT313" s="4509"/>
      <c r="AU313" s="4509"/>
      <c r="AV313" s="4509"/>
      <c r="AW313" s="4509"/>
      <c r="AX313" s="4509"/>
    </row>
    <row r="314" spans="15:50" ht="21.9" customHeight="1">
      <c r="O314" s="12"/>
      <c r="AN314" s="23" t="s">
        <v>9142</v>
      </c>
      <c r="AO314" s="4509" t="s">
        <v>9187</v>
      </c>
      <c r="AP314" s="4509"/>
      <c r="AQ314" s="4509"/>
      <c r="AR314" s="4509"/>
      <c r="AS314" s="4509"/>
      <c r="AT314" s="4509"/>
      <c r="AU314" s="4509"/>
      <c r="AV314" s="4509"/>
      <c r="AW314" s="4509"/>
      <c r="AX314" s="4509"/>
    </row>
    <row r="315" spans="15:50" ht="21.9" customHeight="1">
      <c r="O315" s="12"/>
      <c r="AN315" s="4539" t="s">
        <v>9188</v>
      </c>
      <c r="AO315" s="4501" t="s">
        <v>9189</v>
      </c>
      <c r="AP315" s="4509"/>
      <c r="AQ315" s="4509"/>
      <c r="AR315" s="4509"/>
      <c r="AS315" s="4509"/>
      <c r="AT315" s="4509"/>
      <c r="AU315" s="4509"/>
      <c r="AV315" s="4509"/>
      <c r="AW315" s="4509"/>
      <c r="AX315" s="4509"/>
    </row>
    <row r="316" spans="15:50" ht="21.9" customHeight="1">
      <c r="O316" s="12"/>
      <c r="AN316" s="4539"/>
      <c r="AO316" s="4509"/>
      <c r="AP316" s="4509"/>
      <c r="AQ316" s="4509"/>
      <c r="AR316" s="4509"/>
      <c r="AS316" s="4509"/>
      <c r="AT316" s="4509"/>
      <c r="AU316" s="4509"/>
      <c r="AV316" s="4509"/>
      <c r="AW316" s="4509"/>
      <c r="AX316" s="4509"/>
    </row>
    <row r="317" spans="15:50" ht="21.9" customHeight="1">
      <c r="O317" s="12"/>
      <c r="AN317" s="4539"/>
      <c r="AO317" s="4509"/>
      <c r="AP317" s="4509"/>
      <c r="AQ317" s="4509"/>
      <c r="AR317" s="4509"/>
      <c r="AS317" s="4509"/>
      <c r="AT317" s="4509"/>
      <c r="AU317" s="4509"/>
      <c r="AV317" s="4509"/>
      <c r="AW317" s="4509"/>
      <c r="AX317" s="4509"/>
    </row>
    <row r="318" spans="15:50" ht="21.9" customHeight="1">
      <c r="O318" s="12"/>
      <c r="AN318" s="4539"/>
      <c r="AO318" s="4509"/>
      <c r="AP318" s="4509"/>
      <c r="AQ318" s="4509"/>
      <c r="AR318" s="4509"/>
      <c r="AS318" s="4509"/>
      <c r="AT318" s="4509"/>
      <c r="AU318" s="4509"/>
      <c r="AV318" s="4509"/>
      <c r="AW318" s="4509"/>
      <c r="AX318" s="4509"/>
    </row>
    <row r="319" spans="15:50" ht="21.9" customHeight="1">
      <c r="O319" s="12"/>
      <c r="AN319" s="4539"/>
      <c r="AO319" s="4509"/>
      <c r="AP319" s="4509"/>
      <c r="AQ319" s="4509"/>
      <c r="AR319" s="4509"/>
      <c r="AS319" s="4509"/>
      <c r="AT319" s="4509"/>
      <c r="AU319" s="4509"/>
      <c r="AV319" s="4509"/>
      <c r="AW319" s="4509"/>
      <c r="AX319" s="4509"/>
    </row>
    <row r="320" spans="15:50" ht="21.9" customHeight="1">
      <c r="O320" s="12"/>
      <c r="AN320" s="4539" t="s">
        <v>9190</v>
      </c>
      <c r="AO320" s="4501" t="s">
        <v>9191</v>
      </c>
      <c r="AP320" s="4501"/>
      <c r="AQ320" s="4501"/>
      <c r="AR320" s="4501"/>
      <c r="AS320" s="4501"/>
      <c r="AT320" s="4501"/>
      <c r="AU320" s="4501"/>
      <c r="AV320" s="4501"/>
      <c r="AW320" s="4501"/>
      <c r="AX320" s="4501"/>
    </row>
    <row r="321" spans="15:50" ht="21.9" customHeight="1">
      <c r="O321" s="12"/>
      <c r="AN321" s="4539"/>
      <c r="AO321" s="4501"/>
      <c r="AP321" s="4501"/>
      <c r="AQ321" s="4501"/>
      <c r="AR321" s="4501"/>
      <c r="AS321" s="4501"/>
      <c r="AT321" s="4501"/>
      <c r="AU321" s="4501"/>
      <c r="AV321" s="4501"/>
      <c r="AW321" s="4501"/>
      <c r="AX321" s="4501"/>
    </row>
    <row r="322" spans="15:50" ht="21.9" customHeight="1">
      <c r="O322" s="12"/>
      <c r="AN322" s="4539"/>
      <c r="AO322" s="4501"/>
      <c r="AP322" s="4501"/>
      <c r="AQ322" s="4501"/>
      <c r="AR322" s="4501"/>
      <c r="AS322" s="4501"/>
      <c r="AT322" s="4501"/>
      <c r="AU322" s="4501"/>
      <c r="AV322" s="4501"/>
      <c r="AW322" s="4501"/>
      <c r="AX322" s="4501"/>
    </row>
    <row r="323" spans="15:50" ht="21.9" customHeight="1">
      <c r="O323" s="12"/>
      <c r="AN323" s="4539"/>
      <c r="AO323" s="4501"/>
      <c r="AP323" s="4501"/>
      <c r="AQ323" s="4501"/>
      <c r="AR323" s="4501"/>
      <c r="AS323" s="4501"/>
      <c r="AT323" s="4501"/>
      <c r="AU323" s="4501"/>
      <c r="AV323" s="4501"/>
      <c r="AW323" s="4501"/>
      <c r="AX323" s="4501"/>
    </row>
    <row r="324" spans="15:50" ht="21.9" customHeight="1">
      <c r="O324" s="12"/>
      <c r="AN324" s="4539"/>
      <c r="AO324" s="4501"/>
      <c r="AP324" s="4501"/>
      <c r="AQ324" s="4501"/>
      <c r="AR324" s="4501"/>
      <c r="AS324" s="4501"/>
      <c r="AT324" s="4501"/>
      <c r="AU324" s="4501"/>
      <c r="AV324" s="4501"/>
      <c r="AW324" s="4501"/>
      <c r="AX324" s="4501"/>
    </row>
    <row r="325" spans="15:50" ht="21.9" customHeight="1">
      <c r="O325" s="12"/>
      <c r="AN325" s="4539"/>
      <c r="AO325" s="4501"/>
      <c r="AP325" s="4501"/>
      <c r="AQ325" s="4501"/>
      <c r="AR325" s="4501"/>
      <c r="AS325" s="4501"/>
      <c r="AT325" s="4501"/>
      <c r="AU325" s="4501"/>
      <c r="AV325" s="4501"/>
      <c r="AW325" s="4501"/>
      <c r="AX325" s="4501"/>
    </row>
    <row r="326" spans="15:50" ht="21.9" customHeight="1">
      <c r="O326" s="12"/>
      <c r="AN326" s="4551" t="s">
        <v>9192</v>
      </c>
      <c r="AO326" s="4551"/>
      <c r="AP326" s="4551"/>
      <c r="AQ326" s="4551"/>
      <c r="AR326" s="4551"/>
      <c r="AS326" s="4551"/>
      <c r="AT326" s="4551"/>
      <c r="AU326" s="4551"/>
      <c r="AV326" s="4551"/>
      <c r="AW326" s="4551"/>
      <c r="AX326" s="4551"/>
    </row>
    <row r="327" spans="15:50" ht="21.9" customHeight="1">
      <c r="O327" s="12"/>
      <c r="AN327" s="25" t="s">
        <v>8929</v>
      </c>
      <c r="AO327" s="4509" t="s">
        <v>9193</v>
      </c>
      <c r="AP327" s="4509"/>
      <c r="AQ327" s="4509"/>
      <c r="AR327" s="4509"/>
      <c r="AS327" s="4509"/>
      <c r="AT327" s="4509"/>
      <c r="AU327" s="4509"/>
      <c r="AV327" s="4509"/>
      <c r="AW327" s="4509"/>
      <c r="AX327" s="4509"/>
    </row>
    <row r="328" spans="15:50" ht="21.9" customHeight="1">
      <c r="O328" s="12"/>
      <c r="AN328" s="4539" t="s">
        <v>9194</v>
      </c>
      <c r="AO328" s="4509" t="s">
        <v>9195</v>
      </c>
      <c r="AP328" s="4509"/>
      <c r="AQ328" s="4509"/>
      <c r="AR328" s="4509"/>
      <c r="AS328" s="4509"/>
      <c r="AT328" s="4509"/>
      <c r="AU328" s="4509"/>
      <c r="AV328" s="4509"/>
      <c r="AW328" s="4509"/>
      <c r="AX328" s="4509"/>
    </row>
    <row r="329" spans="15:50" ht="21.9" customHeight="1">
      <c r="O329" s="12"/>
      <c r="AN329" s="4539"/>
      <c r="AO329" s="4509" t="s">
        <v>9196</v>
      </c>
      <c r="AP329" s="4509"/>
      <c r="AQ329" s="4509"/>
      <c r="AR329" s="4509"/>
      <c r="AS329" s="4509"/>
      <c r="AT329" s="4509"/>
      <c r="AU329" s="4509"/>
      <c r="AV329" s="4509"/>
      <c r="AW329" s="4509"/>
      <c r="AX329" s="4509"/>
    </row>
    <row r="330" spans="15:50" ht="21.9" customHeight="1">
      <c r="O330" s="12"/>
      <c r="AN330" s="4539"/>
      <c r="AO330" s="4509" t="s">
        <v>9197</v>
      </c>
      <c r="AP330" s="4509"/>
      <c r="AQ330" s="4509"/>
      <c r="AR330" s="4509"/>
      <c r="AS330" s="4509"/>
      <c r="AT330" s="4509"/>
      <c r="AU330" s="4509"/>
      <c r="AV330" s="4509"/>
      <c r="AW330" s="4509"/>
      <c r="AX330" s="4509"/>
    </row>
    <row r="331" spans="15:50" ht="21.9" customHeight="1">
      <c r="O331" s="12"/>
      <c r="AN331" s="4539"/>
      <c r="AO331" s="4501" t="s">
        <v>9198</v>
      </c>
      <c r="AP331" s="4501"/>
      <c r="AQ331" s="4501"/>
      <c r="AR331" s="4501"/>
      <c r="AS331" s="4501"/>
      <c r="AT331" s="4501"/>
      <c r="AU331" s="4501"/>
      <c r="AV331" s="4501"/>
      <c r="AW331" s="4501"/>
      <c r="AX331" s="4501"/>
    </row>
    <row r="332" spans="15:50" ht="21.9" customHeight="1">
      <c r="O332" s="12"/>
      <c r="AN332" s="4539"/>
      <c r="AO332" s="4501"/>
      <c r="AP332" s="4501"/>
      <c r="AQ332" s="4501"/>
      <c r="AR332" s="4501"/>
      <c r="AS332" s="4501"/>
      <c r="AT332" s="4501"/>
      <c r="AU332" s="4501"/>
      <c r="AV332" s="4501"/>
      <c r="AW332" s="4501"/>
      <c r="AX332" s="4501"/>
    </row>
    <row r="333" spans="15:50" ht="21.9" customHeight="1">
      <c r="O333" s="12"/>
      <c r="AN333" s="4539"/>
      <c r="AO333" s="4501"/>
      <c r="AP333" s="4501"/>
      <c r="AQ333" s="4501"/>
      <c r="AR333" s="4501"/>
      <c r="AS333" s="4501"/>
      <c r="AT333" s="4501"/>
      <c r="AU333" s="4501"/>
      <c r="AV333" s="4501"/>
      <c r="AW333" s="4501"/>
      <c r="AX333" s="4501"/>
    </row>
    <row r="334" spans="15:50" ht="21.9" customHeight="1">
      <c r="O334" s="12"/>
      <c r="AN334" s="4539"/>
      <c r="AO334" s="4509" t="s">
        <v>9199</v>
      </c>
      <c r="AP334" s="4509"/>
      <c r="AQ334" s="4509"/>
      <c r="AR334" s="4509"/>
      <c r="AS334" s="4509"/>
      <c r="AT334" s="4509"/>
      <c r="AU334" s="4509"/>
      <c r="AV334" s="4509"/>
      <c r="AW334" s="4509"/>
      <c r="AX334" s="4509"/>
    </row>
    <row r="335" spans="15:50" ht="21.9" customHeight="1">
      <c r="O335" s="12"/>
      <c r="AN335" s="4539"/>
      <c r="AO335" s="4509" t="s">
        <v>9200</v>
      </c>
      <c r="AP335" s="4509"/>
      <c r="AQ335" s="4509"/>
      <c r="AR335" s="4509"/>
      <c r="AS335" s="4509"/>
      <c r="AT335" s="4509"/>
      <c r="AU335" s="4509"/>
      <c r="AV335" s="4509"/>
      <c r="AW335" s="4509"/>
      <c r="AX335" s="4509"/>
    </row>
    <row r="336" spans="15:50" ht="21.9" customHeight="1">
      <c r="O336" s="12"/>
      <c r="AN336" s="4539"/>
      <c r="AO336" s="4509" t="s">
        <v>9201</v>
      </c>
      <c r="AP336" s="4509"/>
      <c r="AQ336" s="4509"/>
      <c r="AR336" s="4509"/>
      <c r="AS336" s="4509"/>
      <c r="AT336" s="4509"/>
      <c r="AU336" s="4509"/>
      <c r="AV336" s="4509"/>
      <c r="AW336" s="4509"/>
      <c r="AX336" s="4509"/>
    </row>
    <row r="337" spans="15:50" ht="21.9" customHeight="1">
      <c r="O337" s="12"/>
      <c r="AN337" s="4539"/>
      <c r="AO337" s="4501" t="s">
        <v>9202</v>
      </c>
      <c r="AP337" s="4509"/>
      <c r="AQ337" s="4509"/>
      <c r="AR337" s="4509"/>
      <c r="AS337" s="4509"/>
      <c r="AT337" s="4509"/>
      <c r="AU337" s="4509"/>
      <c r="AV337" s="4509"/>
      <c r="AW337" s="4509"/>
      <c r="AX337" s="4509"/>
    </row>
    <row r="338" spans="15:50" ht="21.9" customHeight="1">
      <c r="O338" s="12"/>
      <c r="AN338" s="4539"/>
      <c r="AO338" s="4509"/>
      <c r="AP338" s="4509"/>
      <c r="AQ338" s="4509"/>
      <c r="AR338" s="4509"/>
      <c r="AS338" s="4509"/>
      <c r="AT338" s="4509"/>
      <c r="AU338" s="4509"/>
      <c r="AV338" s="4509"/>
      <c r="AW338" s="4509"/>
      <c r="AX338" s="4509"/>
    </row>
    <row r="339" spans="15:50" ht="21.9" customHeight="1">
      <c r="O339" s="12"/>
      <c r="AN339" s="4539"/>
      <c r="AO339" s="4509" t="s">
        <v>9203</v>
      </c>
      <c r="AP339" s="4509"/>
      <c r="AQ339" s="4509"/>
      <c r="AR339" s="4509"/>
      <c r="AS339" s="4509"/>
      <c r="AT339" s="4509"/>
      <c r="AU339" s="4509"/>
      <c r="AV339" s="4509"/>
      <c r="AW339" s="4509"/>
      <c r="AX339" s="4509"/>
    </row>
    <row r="340" spans="15:50" ht="21.9" customHeight="1">
      <c r="O340" s="12"/>
      <c r="AN340" s="4539"/>
      <c r="AO340" s="4501" t="s">
        <v>9204</v>
      </c>
      <c r="AP340" s="4509"/>
      <c r="AQ340" s="4509"/>
      <c r="AR340" s="4509"/>
      <c r="AS340" s="4509"/>
      <c r="AT340" s="4509"/>
      <c r="AU340" s="4509"/>
      <c r="AV340" s="4509"/>
      <c r="AW340" s="4509"/>
      <c r="AX340" s="4509"/>
    </row>
    <row r="341" spans="15:50" ht="21.9" customHeight="1">
      <c r="O341" s="12"/>
      <c r="AN341" s="4539"/>
      <c r="AO341" s="4509"/>
      <c r="AP341" s="4509"/>
      <c r="AQ341" s="4509"/>
      <c r="AR341" s="4509"/>
      <c r="AS341" s="4509"/>
      <c r="AT341" s="4509"/>
      <c r="AU341" s="4509"/>
      <c r="AV341" s="4509"/>
      <c r="AW341" s="4509"/>
      <c r="AX341" s="4509"/>
    </row>
    <row r="342" spans="15:50" ht="21.9" customHeight="1">
      <c r="O342" s="12"/>
      <c r="AN342" s="4539"/>
      <c r="AO342" s="4509" t="s">
        <v>9205</v>
      </c>
      <c r="AP342" s="4509"/>
      <c r="AQ342" s="4509"/>
      <c r="AR342" s="4509"/>
      <c r="AS342" s="4509"/>
      <c r="AT342" s="4509"/>
      <c r="AU342" s="4509"/>
      <c r="AV342" s="4509"/>
      <c r="AW342" s="4509"/>
      <c r="AX342" s="4509"/>
    </row>
    <row r="343" spans="15:50" ht="21.9" customHeight="1">
      <c r="O343" s="12"/>
      <c r="AN343" s="4539"/>
      <c r="AO343" s="4509" t="s">
        <v>9206</v>
      </c>
      <c r="AP343" s="4509"/>
      <c r="AQ343" s="4509"/>
      <c r="AR343" s="4509"/>
      <c r="AS343" s="4509"/>
      <c r="AT343" s="4509"/>
      <c r="AU343" s="4509"/>
      <c r="AV343" s="4509"/>
      <c r="AW343" s="4509"/>
      <c r="AX343" s="4509"/>
    </row>
    <row r="344" spans="15:50" ht="21.9" customHeight="1">
      <c r="O344" s="12"/>
      <c r="AN344" s="4539"/>
      <c r="AO344" s="4501" t="s">
        <v>9207</v>
      </c>
      <c r="AP344" s="4509"/>
      <c r="AQ344" s="4509"/>
      <c r="AR344" s="4509"/>
      <c r="AS344" s="4509"/>
      <c r="AT344" s="4509"/>
      <c r="AU344" s="4509"/>
      <c r="AV344" s="4509"/>
      <c r="AW344" s="4509"/>
      <c r="AX344" s="4509"/>
    </row>
    <row r="345" spans="15:50" ht="21.9" customHeight="1">
      <c r="O345" s="12"/>
      <c r="AN345" s="4539"/>
      <c r="AO345" s="4509"/>
      <c r="AP345" s="4509"/>
      <c r="AQ345" s="4509"/>
      <c r="AR345" s="4509"/>
      <c r="AS345" s="4509"/>
      <c r="AT345" s="4509"/>
      <c r="AU345" s="4509"/>
      <c r="AV345" s="4509"/>
      <c r="AW345" s="4509"/>
      <c r="AX345" s="4509"/>
    </row>
    <row r="346" spans="15:50" ht="21.9" customHeight="1">
      <c r="O346" s="12"/>
      <c r="AN346" s="4539"/>
      <c r="AO346" s="4509" t="s">
        <v>9208</v>
      </c>
      <c r="AP346" s="4509"/>
      <c r="AQ346" s="4509"/>
      <c r="AR346" s="4509"/>
      <c r="AS346" s="4509"/>
      <c r="AT346" s="4509"/>
      <c r="AU346" s="4509"/>
      <c r="AV346" s="4509"/>
      <c r="AW346" s="4509"/>
      <c r="AX346" s="4509"/>
    </row>
    <row r="347" spans="15:50" ht="21.9" customHeight="1">
      <c r="O347" s="12"/>
      <c r="AN347" s="4541" t="s">
        <v>9142</v>
      </c>
      <c r="AO347" s="4501" t="s">
        <v>9209</v>
      </c>
      <c r="AP347" s="4509"/>
      <c r="AQ347" s="4509"/>
      <c r="AR347" s="4509"/>
      <c r="AS347" s="4509"/>
      <c r="AT347" s="4509"/>
      <c r="AU347" s="4509"/>
      <c r="AV347" s="4509"/>
      <c r="AW347" s="4509"/>
      <c r="AX347" s="4509"/>
    </row>
    <row r="348" spans="15:50" ht="21.9" customHeight="1">
      <c r="O348" s="12"/>
      <c r="AN348" s="4541"/>
      <c r="AO348" s="4509"/>
      <c r="AP348" s="4509"/>
      <c r="AQ348" s="4509"/>
      <c r="AR348" s="4509"/>
      <c r="AS348" s="4509"/>
      <c r="AT348" s="4509"/>
      <c r="AU348" s="4509"/>
      <c r="AV348" s="4509"/>
      <c r="AW348" s="4509"/>
      <c r="AX348" s="4509"/>
    </row>
    <row r="349" spans="15:50" ht="21.9" customHeight="1">
      <c r="O349" s="12"/>
      <c r="AN349" s="4540" t="s">
        <v>9210</v>
      </c>
      <c r="AO349" s="4501" t="s">
        <v>9211</v>
      </c>
      <c r="AP349" s="4509"/>
      <c r="AQ349" s="4509"/>
      <c r="AR349" s="4509"/>
      <c r="AS349" s="4509"/>
      <c r="AT349" s="4509"/>
      <c r="AU349" s="4509"/>
      <c r="AV349" s="4509"/>
      <c r="AW349" s="4509"/>
      <c r="AX349" s="4509"/>
    </row>
    <row r="350" spans="15:50" ht="21.9" customHeight="1">
      <c r="O350" s="12"/>
      <c r="AN350" s="4540"/>
      <c r="AO350" s="4509"/>
      <c r="AP350" s="4509"/>
      <c r="AQ350" s="4509"/>
      <c r="AR350" s="4509"/>
      <c r="AS350" s="4509"/>
      <c r="AT350" s="4509"/>
      <c r="AU350" s="4509"/>
      <c r="AV350" s="4509"/>
      <c r="AW350" s="4509"/>
      <c r="AX350" s="4509"/>
    </row>
    <row r="351" spans="15:50" ht="21.9" customHeight="1">
      <c r="O351" s="12"/>
      <c r="AN351" s="4551" t="s">
        <v>9212</v>
      </c>
      <c r="AO351" s="4551"/>
      <c r="AP351" s="4551"/>
      <c r="AQ351" s="4551"/>
      <c r="AR351" s="4551"/>
      <c r="AS351" s="4551"/>
      <c r="AT351" s="4551"/>
      <c r="AU351" s="4551"/>
      <c r="AV351" s="4551"/>
      <c r="AW351" s="4551"/>
      <c r="AX351" s="4551"/>
    </row>
    <row r="352" spans="15:50" ht="21.9" customHeight="1">
      <c r="O352" s="12"/>
      <c r="AN352" s="4539" t="s">
        <v>9194</v>
      </c>
      <c r="AO352" s="4501" t="s">
        <v>9213</v>
      </c>
      <c r="AP352" s="4509"/>
      <c r="AQ352" s="4509"/>
      <c r="AR352" s="4509"/>
      <c r="AS352" s="4509"/>
      <c r="AT352" s="4509"/>
      <c r="AU352" s="4509"/>
      <c r="AV352" s="4509"/>
      <c r="AW352" s="4509"/>
      <c r="AX352" s="4509"/>
    </row>
    <row r="353" spans="15:50" ht="21.9" customHeight="1">
      <c r="O353" s="12"/>
      <c r="AN353" s="4539"/>
      <c r="AO353" s="4509"/>
      <c r="AP353" s="4509"/>
      <c r="AQ353" s="4509"/>
      <c r="AR353" s="4509"/>
      <c r="AS353" s="4509"/>
      <c r="AT353" s="4509"/>
      <c r="AU353" s="4509"/>
      <c r="AV353" s="4509"/>
      <c r="AW353" s="4509"/>
      <c r="AX353" s="4509"/>
    </row>
    <row r="354" spans="15:50" ht="21.9" customHeight="1">
      <c r="O354" s="12"/>
      <c r="AN354" s="4539"/>
      <c r="AO354" s="4509" t="s">
        <v>9214</v>
      </c>
      <c r="AP354" s="4509"/>
      <c r="AQ354" s="4509"/>
      <c r="AR354" s="4509"/>
      <c r="AS354" s="4509"/>
      <c r="AT354" s="4509"/>
      <c r="AU354" s="4509"/>
      <c r="AV354" s="4509"/>
      <c r="AW354" s="4509"/>
      <c r="AX354" s="4509"/>
    </row>
    <row r="355" spans="15:50" ht="21.9" customHeight="1">
      <c r="O355" s="12"/>
      <c r="AN355" s="4539"/>
      <c r="AO355" s="4509" t="s">
        <v>9215</v>
      </c>
      <c r="AP355" s="4509"/>
      <c r="AQ355" s="4509"/>
      <c r="AR355" s="4509"/>
      <c r="AS355" s="4509"/>
      <c r="AT355" s="4509"/>
      <c r="AU355" s="4509"/>
      <c r="AV355" s="4509"/>
      <c r="AW355" s="4509"/>
      <c r="AX355" s="4509"/>
    </row>
    <row r="356" spans="15:50" ht="21.9" customHeight="1">
      <c r="O356" s="12"/>
      <c r="AN356" s="4539"/>
      <c r="AO356" s="4501" t="s">
        <v>9216</v>
      </c>
      <c r="AP356" s="4501"/>
      <c r="AQ356" s="4501"/>
      <c r="AR356" s="4501"/>
      <c r="AS356" s="4501"/>
      <c r="AT356" s="4501"/>
      <c r="AU356" s="4501"/>
      <c r="AV356" s="4501"/>
      <c r="AW356" s="4501"/>
      <c r="AX356" s="4501"/>
    </row>
    <row r="357" spans="15:50" ht="21.9" customHeight="1">
      <c r="O357" s="12"/>
      <c r="AN357" s="4539"/>
      <c r="AO357" s="4501"/>
      <c r="AP357" s="4501"/>
      <c r="AQ357" s="4501"/>
      <c r="AR357" s="4501"/>
      <c r="AS357" s="4501"/>
      <c r="AT357" s="4501"/>
      <c r="AU357" s="4501"/>
      <c r="AV357" s="4501"/>
      <c r="AW357" s="4501"/>
      <c r="AX357" s="4501"/>
    </row>
    <row r="358" spans="15:50" ht="21.9" customHeight="1">
      <c r="O358" s="12"/>
      <c r="AN358" s="4539"/>
      <c r="AO358" s="4501"/>
      <c r="AP358" s="4501"/>
      <c r="AQ358" s="4501"/>
      <c r="AR358" s="4501"/>
      <c r="AS358" s="4501"/>
      <c r="AT358" s="4501"/>
      <c r="AU358" s="4501"/>
      <c r="AV358" s="4501"/>
      <c r="AW358" s="4501"/>
      <c r="AX358" s="4501"/>
    </row>
    <row r="359" spans="15:50" ht="21.9" customHeight="1">
      <c r="O359" s="12"/>
      <c r="AN359" s="4539"/>
      <c r="AO359" s="4509" t="s">
        <v>9217</v>
      </c>
      <c r="AP359" s="4509"/>
      <c r="AQ359" s="4509"/>
      <c r="AR359" s="4509"/>
      <c r="AS359" s="4509"/>
      <c r="AT359" s="4509"/>
      <c r="AU359" s="4509"/>
      <c r="AV359" s="4509"/>
      <c r="AW359" s="4509"/>
      <c r="AX359" s="4509"/>
    </row>
    <row r="360" spans="15:50" ht="21.9" customHeight="1">
      <c r="O360" s="12"/>
      <c r="AN360" s="4539"/>
      <c r="AO360" s="4509" t="s">
        <v>9218</v>
      </c>
      <c r="AP360" s="4509"/>
      <c r="AQ360" s="4509"/>
      <c r="AR360" s="4509"/>
      <c r="AS360" s="4509"/>
      <c r="AT360" s="4509"/>
      <c r="AU360" s="4509"/>
      <c r="AV360" s="4509"/>
      <c r="AW360" s="4509"/>
      <c r="AX360" s="4509"/>
    </row>
    <row r="361" spans="15:50" ht="21.9" customHeight="1">
      <c r="O361" s="12"/>
      <c r="AN361" s="4539" t="s">
        <v>8807</v>
      </c>
      <c r="AO361" s="4509" t="s">
        <v>9219</v>
      </c>
      <c r="AP361" s="4509"/>
      <c r="AQ361" s="4509"/>
      <c r="AR361" s="4509"/>
      <c r="AS361" s="4509"/>
      <c r="AT361" s="4509"/>
      <c r="AU361" s="4509"/>
      <c r="AV361" s="4509"/>
      <c r="AW361" s="4509"/>
      <c r="AX361" s="4509"/>
    </row>
    <row r="362" spans="15:50" ht="21.9" customHeight="1">
      <c r="O362" s="12"/>
      <c r="AN362" s="4539"/>
      <c r="AO362" s="4509" t="s">
        <v>9220</v>
      </c>
      <c r="AP362" s="4509"/>
      <c r="AQ362" s="4509"/>
      <c r="AR362" s="4509"/>
      <c r="AS362" s="4509"/>
      <c r="AT362" s="4509"/>
      <c r="AU362" s="4509"/>
      <c r="AV362" s="4509"/>
      <c r="AW362" s="4509"/>
      <c r="AX362" s="4509"/>
    </row>
    <row r="363" spans="15:50" ht="21.9" customHeight="1">
      <c r="O363" s="12"/>
      <c r="AN363" s="4539"/>
      <c r="AO363" s="4509" t="s">
        <v>9221</v>
      </c>
      <c r="AP363" s="4509"/>
      <c r="AQ363" s="4509"/>
      <c r="AR363" s="4509"/>
      <c r="AS363" s="4509"/>
      <c r="AT363" s="4509"/>
      <c r="AU363" s="4509"/>
      <c r="AV363" s="4509"/>
      <c r="AW363" s="4509"/>
      <c r="AX363" s="4509"/>
    </row>
    <row r="364" spans="15:50" ht="21.9" customHeight="1">
      <c r="O364" s="12"/>
      <c r="AN364" s="14" t="s">
        <v>9150</v>
      </c>
      <c r="AO364" s="4509" t="s">
        <v>9222</v>
      </c>
      <c r="AP364" s="4509"/>
      <c r="AQ364" s="4509"/>
      <c r="AR364" s="4509"/>
      <c r="AS364" s="4509"/>
      <c r="AT364" s="4509"/>
      <c r="AU364" s="4509"/>
      <c r="AV364" s="4509"/>
      <c r="AW364" s="4509"/>
      <c r="AX364" s="4509"/>
    </row>
    <row r="365" spans="15:50" ht="21.9" customHeight="1">
      <c r="O365" s="12"/>
      <c r="AN365" s="4539" t="s">
        <v>9223</v>
      </c>
      <c r="AO365" s="4509" t="s">
        <v>9224</v>
      </c>
      <c r="AP365" s="4509"/>
      <c r="AQ365" s="4509"/>
      <c r="AR365" s="4509"/>
      <c r="AS365" s="4509"/>
      <c r="AT365" s="4509"/>
      <c r="AU365" s="4509"/>
      <c r="AV365" s="4509"/>
      <c r="AW365" s="4509"/>
      <c r="AX365" s="4509"/>
    </row>
    <row r="366" spans="15:50" ht="21.9" customHeight="1">
      <c r="O366" s="12"/>
      <c r="AN366" s="4539"/>
      <c r="AO366" s="4501" t="s">
        <v>9225</v>
      </c>
      <c r="AP366" s="4509"/>
      <c r="AQ366" s="4509"/>
      <c r="AR366" s="4509"/>
      <c r="AS366" s="4509"/>
      <c r="AT366" s="4509"/>
      <c r="AU366" s="4509"/>
      <c r="AV366" s="4509"/>
      <c r="AW366" s="4509"/>
      <c r="AX366" s="4509"/>
    </row>
    <row r="367" spans="15:50" ht="21.9" customHeight="1">
      <c r="O367" s="12"/>
      <c r="AN367" s="4539"/>
      <c r="AO367" s="4509"/>
      <c r="AP367" s="4509"/>
      <c r="AQ367" s="4509"/>
      <c r="AR367" s="4509"/>
      <c r="AS367" s="4509"/>
      <c r="AT367" s="4509"/>
      <c r="AU367" s="4509"/>
      <c r="AV367" s="4509"/>
      <c r="AW367" s="4509"/>
      <c r="AX367" s="4509"/>
    </row>
    <row r="368" spans="15:50" ht="21.9" customHeight="1">
      <c r="O368" s="12"/>
      <c r="AN368" s="4539"/>
      <c r="AO368" s="4509"/>
      <c r="AP368" s="4509"/>
      <c r="AQ368" s="4509"/>
      <c r="AR368" s="4509"/>
      <c r="AS368" s="4509"/>
      <c r="AT368" s="4509"/>
      <c r="AU368" s="4509"/>
      <c r="AV368" s="4509"/>
      <c r="AW368" s="4509"/>
      <c r="AX368" s="4509"/>
    </row>
    <row r="369" spans="15:50" ht="21.9" customHeight="1">
      <c r="O369" s="12"/>
      <c r="AN369" s="4539"/>
      <c r="AO369" s="4509"/>
      <c r="AP369" s="4509"/>
      <c r="AQ369" s="4509"/>
      <c r="AR369" s="4509"/>
      <c r="AS369" s="4509"/>
      <c r="AT369" s="4509"/>
      <c r="AU369" s="4509"/>
      <c r="AV369" s="4509"/>
      <c r="AW369" s="4509"/>
      <c r="AX369" s="4509"/>
    </row>
    <row r="370" spans="15:50" ht="21.9" customHeight="1">
      <c r="O370" s="12"/>
      <c r="AN370" s="4539"/>
      <c r="AO370" s="4550" t="s">
        <v>9226</v>
      </c>
      <c r="AP370" s="4550"/>
      <c r="AQ370" s="4550"/>
      <c r="AR370" s="4550"/>
      <c r="AS370" s="4550"/>
      <c r="AT370" s="4550"/>
      <c r="AU370" s="4550"/>
      <c r="AV370" s="4550"/>
      <c r="AW370" s="4550"/>
      <c r="AX370" s="4550"/>
    </row>
    <row r="371" spans="15:50" ht="21.9" customHeight="1">
      <c r="O371" s="12"/>
      <c r="AN371" s="4551" t="s">
        <v>9227</v>
      </c>
      <c r="AO371" s="4551"/>
      <c r="AP371" s="4551"/>
      <c r="AQ371" s="4551"/>
      <c r="AR371" s="4551"/>
      <c r="AS371" s="4551"/>
      <c r="AT371" s="4551"/>
      <c r="AU371" s="4551"/>
      <c r="AV371" s="4551"/>
      <c r="AW371" s="4551"/>
      <c r="AX371" s="4551"/>
    </row>
    <row r="372" spans="15:50" ht="21.9" customHeight="1">
      <c r="O372" s="12"/>
      <c r="AN372" s="4539" t="s">
        <v>9194</v>
      </c>
      <c r="AO372" s="4508" t="s">
        <v>9228</v>
      </c>
      <c r="AP372" s="4523"/>
      <c r="AQ372" s="4523"/>
      <c r="AR372" s="4523"/>
      <c r="AS372" s="4523"/>
      <c r="AT372" s="4523"/>
      <c r="AU372" s="4523"/>
      <c r="AV372" s="4523"/>
      <c r="AW372" s="4523"/>
      <c r="AX372" s="4523"/>
    </row>
    <row r="373" spans="15:50" ht="21.9" customHeight="1">
      <c r="O373" s="12"/>
      <c r="AN373" s="4539"/>
      <c r="AO373" s="4523"/>
      <c r="AP373" s="4523"/>
      <c r="AQ373" s="4523"/>
      <c r="AR373" s="4523"/>
      <c r="AS373" s="4523"/>
      <c r="AT373" s="4523"/>
      <c r="AU373" s="4523"/>
      <c r="AV373" s="4523"/>
      <c r="AW373" s="4523"/>
      <c r="AX373" s="4523"/>
    </row>
    <row r="374" spans="15:50" ht="21.9" customHeight="1">
      <c r="O374" s="12"/>
      <c r="AN374" s="4539"/>
      <c r="AO374" s="4510" t="s">
        <v>9229</v>
      </c>
      <c r="AP374" s="4524"/>
      <c r="AQ374" s="4524"/>
      <c r="AR374" s="4524"/>
      <c r="AS374" s="4524"/>
      <c r="AT374" s="4524"/>
      <c r="AU374" s="4524"/>
      <c r="AV374" s="4524"/>
      <c r="AW374" s="4524"/>
      <c r="AX374" s="4524"/>
    </row>
    <row r="375" spans="15:50" ht="21.9" customHeight="1">
      <c r="O375" s="12"/>
      <c r="AN375" s="4539"/>
      <c r="AO375" s="4524"/>
      <c r="AP375" s="4524"/>
      <c r="AQ375" s="4524"/>
      <c r="AR375" s="4524"/>
      <c r="AS375" s="4524"/>
      <c r="AT375" s="4524"/>
      <c r="AU375" s="4524"/>
      <c r="AV375" s="4524"/>
      <c r="AW375" s="4524"/>
      <c r="AX375" s="4524"/>
    </row>
    <row r="376" spans="15:50" ht="21.9" customHeight="1">
      <c r="O376" s="12"/>
      <c r="AN376" s="4539"/>
      <c r="AO376" s="4524"/>
      <c r="AP376" s="4524"/>
      <c r="AQ376" s="4524"/>
      <c r="AR376" s="4524"/>
      <c r="AS376" s="4524"/>
      <c r="AT376" s="4524"/>
      <c r="AU376" s="4524"/>
      <c r="AV376" s="4524"/>
      <c r="AW376" s="4524"/>
      <c r="AX376" s="4524"/>
    </row>
    <row r="377" spans="15:50" ht="21.9" customHeight="1">
      <c r="O377" s="12"/>
      <c r="AN377" s="4539"/>
      <c r="AO377" s="4501" t="s">
        <v>9230</v>
      </c>
      <c r="AP377" s="4509"/>
      <c r="AQ377" s="4509"/>
      <c r="AR377" s="4509"/>
      <c r="AS377" s="4509"/>
      <c r="AT377" s="4509"/>
      <c r="AU377" s="4509"/>
      <c r="AV377" s="4509"/>
      <c r="AW377" s="4509"/>
      <c r="AX377" s="4509"/>
    </row>
    <row r="378" spans="15:50" ht="21.9" customHeight="1">
      <c r="O378" s="12"/>
      <c r="AN378" s="4539"/>
      <c r="AO378" s="4509"/>
      <c r="AP378" s="4509"/>
      <c r="AQ378" s="4509"/>
      <c r="AR378" s="4509"/>
      <c r="AS378" s="4509"/>
      <c r="AT378" s="4509"/>
      <c r="AU378" s="4509"/>
      <c r="AV378" s="4509"/>
      <c r="AW378" s="4509"/>
      <c r="AX378" s="4509"/>
    </row>
    <row r="379" spans="15:50" ht="21.9" customHeight="1">
      <c r="O379" s="12"/>
      <c r="AN379" s="4539"/>
      <c r="AO379" s="4509" t="s">
        <v>9231</v>
      </c>
      <c r="AP379" s="4509"/>
      <c r="AQ379" s="4509"/>
      <c r="AR379" s="4509"/>
      <c r="AS379" s="4509"/>
      <c r="AT379" s="4509"/>
      <c r="AU379" s="4509"/>
      <c r="AV379" s="4509"/>
      <c r="AW379" s="4509"/>
      <c r="AX379" s="4509"/>
    </row>
    <row r="380" spans="15:50" ht="21.9" customHeight="1">
      <c r="O380" s="12"/>
      <c r="AN380" s="4539"/>
      <c r="AO380" s="4510" t="s">
        <v>9232</v>
      </c>
      <c r="AP380" s="4510"/>
      <c r="AQ380" s="4510"/>
      <c r="AR380" s="4510"/>
      <c r="AS380" s="4510"/>
      <c r="AT380" s="4510"/>
      <c r="AU380" s="4510"/>
      <c r="AV380" s="4510"/>
      <c r="AW380" s="4510"/>
      <c r="AX380" s="4510"/>
    </row>
    <row r="381" spans="15:50" ht="21.9" customHeight="1">
      <c r="O381" s="12"/>
      <c r="AN381" s="4539"/>
      <c r="AO381" s="4510"/>
      <c r="AP381" s="4510"/>
      <c r="AQ381" s="4510"/>
      <c r="AR381" s="4510"/>
      <c r="AS381" s="4510"/>
      <c r="AT381" s="4510"/>
      <c r="AU381" s="4510"/>
      <c r="AV381" s="4510"/>
      <c r="AW381" s="4510"/>
      <c r="AX381" s="4510"/>
    </row>
    <row r="382" spans="15:50" ht="21.9" customHeight="1">
      <c r="O382" s="12"/>
      <c r="AN382" s="4539"/>
      <c r="AO382" s="4510"/>
      <c r="AP382" s="4510"/>
      <c r="AQ382" s="4510"/>
      <c r="AR382" s="4510"/>
      <c r="AS382" s="4510"/>
      <c r="AT382" s="4510"/>
      <c r="AU382" s="4510"/>
      <c r="AV382" s="4510"/>
      <c r="AW382" s="4510"/>
      <c r="AX382" s="4510"/>
    </row>
    <row r="383" spans="15:50" ht="21.9" customHeight="1">
      <c r="O383" s="12"/>
      <c r="AN383" s="4539"/>
      <c r="AO383" s="4510" t="s">
        <v>9233</v>
      </c>
      <c r="AP383" s="4510"/>
      <c r="AQ383" s="4510"/>
      <c r="AR383" s="4510"/>
      <c r="AS383" s="4510"/>
      <c r="AT383" s="4510"/>
      <c r="AU383" s="4510"/>
      <c r="AV383" s="4510"/>
      <c r="AW383" s="4510"/>
      <c r="AX383" s="4510"/>
    </row>
    <row r="384" spans="15:50" ht="21.9" customHeight="1">
      <c r="O384" s="12"/>
      <c r="AN384" s="4539"/>
      <c r="AO384" s="4510"/>
      <c r="AP384" s="4510"/>
      <c r="AQ384" s="4510"/>
      <c r="AR384" s="4510"/>
      <c r="AS384" s="4510"/>
      <c r="AT384" s="4510"/>
      <c r="AU384" s="4510"/>
      <c r="AV384" s="4510"/>
      <c r="AW384" s="4510"/>
      <c r="AX384" s="4510"/>
    </row>
    <row r="385" spans="15:50" ht="21.9" customHeight="1">
      <c r="O385" s="12"/>
      <c r="AN385" s="4539"/>
      <c r="AO385" s="4510"/>
      <c r="AP385" s="4510"/>
      <c r="AQ385" s="4510"/>
      <c r="AR385" s="4510"/>
      <c r="AS385" s="4510"/>
      <c r="AT385" s="4510"/>
      <c r="AU385" s="4510"/>
      <c r="AV385" s="4510"/>
      <c r="AW385" s="4510"/>
      <c r="AX385" s="4510"/>
    </row>
    <row r="386" spans="15:50" ht="21.9" customHeight="1">
      <c r="O386" s="12"/>
      <c r="AN386" s="4540" t="s">
        <v>9142</v>
      </c>
      <c r="AO386" s="4501" t="s">
        <v>9234</v>
      </c>
      <c r="AP386" s="4509"/>
      <c r="AQ386" s="4509"/>
      <c r="AR386" s="4509"/>
      <c r="AS386" s="4509"/>
      <c r="AT386" s="4509"/>
      <c r="AU386" s="4509"/>
      <c r="AV386" s="4509"/>
      <c r="AW386" s="4509"/>
      <c r="AX386" s="4509"/>
    </row>
    <row r="387" spans="15:50" ht="21.9" customHeight="1">
      <c r="O387" s="12"/>
      <c r="AN387" s="4540"/>
      <c r="AO387" s="4509"/>
      <c r="AP387" s="4509"/>
      <c r="AQ387" s="4509"/>
      <c r="AR387" s="4509"/>
      <c r="AS387" s="4509"/>
      <c r="AT387" s="4509"/>
      <c r="AU387" s="4509"/>
      <c r="AV387" s="4509"/>
      <c r="AW387" s="4509"/>
      <c r="AX387" s="4509"/>
    </row>
    <row r="388" spans="15:50" ht="21.9" customHeight="1">
      <c r="O388" s="12"/>
      <c r="AN388" s="21" t="s">
        <v>8807</v>
      </c>
      <c r="AO388" s="4509" t="s">
        <v>9235</v>
      </c>
      <c r="AP388" s="4509"/>
      <c r="AQ388" s="4509"/>
      <c r="AR388" s="4509"/>
      <c r="AS388" s="4509"/>
      <c r="AT388" s="4509"/>
      <c r="AU388" s="4509"/>
      <c r="AV388" s="4509"/>
      <c r="AW388" s="4509"/>
      <c r="AX388" s="4509"/>
    </row>
    <row r="389" spans="15:50" ht="21.9" customHeight="1">
      <c r="O389" s="12"/>
      <c r="AN389" s="4539" t="s">
        <v>9236</v>
      </c>
      <c r="AO389" s="4509" t="s">
        <v>9237</v>
      </c>
      <c r="AP389" s="4509"/>
      <c r="AQ389" s="4509"/>
      <c r="AR389" s="4509"/>
      <c r="AS389" s="4509"/>
      <c r="AT389" s="4509"/>
      <c r="AU389" s="4509"/>
      <c r="AV389" s="4509"/>
      <c r="AW389" s="4509"/>
      <c r="AX389" s="4509"/>
    </row>
    <row r="390" spans="15:50" ht="21.9" customHeight="1">
      <c r="O390" s="12"/>
      <c r="AN390" s="4539"/>
      <c r="AO390" s="4509" t="s">
        <v>9238</v>
      </c>
      <c r="AP390" s="4509"/>
      <c r="AQ390" s="4509"/>
      <c r="AR390" s="4509"/>
      <c r="AS390" s="4509"/>
      <c r="AT390" s="4509"/>
      <c r="AU390" s="4509"/>
      <c r="AV390" s="4509"/>
      <c r="AW390" s="4509"/>
      <c r="AX390" s="4509"/>
    </row>
    <row r="391" spans="15:50" ht="21.9" customHeight="1">
      <c r="O391" s="12"/>
    </row>
    <row r="392" spans="15:50" ht="21.9" customHeight="1">
      <c r="O392" s="12"/>
    </row>
    <row r="393" spans="15:50" ht="21.9" customHeight="1">
      <c r="O393" s="12"/>
    </row>
    <row r="394" spans="15:50" ht="21.9" customHeight="1">
      <c r="O394" s="12"/>
    </row>
    <row r="395" spans="15:50" ht="21.9" customHeight="1">
      <c r="O395" s="12"/>
    </row>
    <row r="396" spans="15:50" ht="21.9" customHeight="1">
      <c r="O396" s="12"/>
    </row>
    <row r="397" spans="15:50" ht="21.9" customHeight="1">
      <c r="O397" s="12"/>
    </row>
    <row r="398" spans="15:50" ht="21.9" customHeight="1">
      <c r="O398" s="12"/>
    </row>
    <row r="399" spans="15:50" ht="21.9" customHeight="1">
      <c r="O399" s="12"/>
    </row>
    <row r="400" spans="15:50" ht="21.9" customHeight="1">
      <c r="O400" s="12"/>
    </row>
    <row r="401" spans="15:15" ht="21.9" customHeight="1">
      <c r="O401" s="12"/>
    </row>
    <row r="402" spans="15:15" ht="21.9" customHeight="1">
      <c r="O402" s="12"/>
    </row>
    <row r="403" spans="15:15" ht="21.9" customHeight="1">
      <c r="O403" s="12"/>
    </row>
    <row r="404" spans="15:15" ht="21.9" customHeight="1">
      <c r="O404" s="12"/>
    </row>
    <row r="405" spans="15:15" ht="21.9" customHeight="1">
      <c r="O405" s="12"/>
    </row>
    <row r="406" spans="15:15" ht="21.9" customHeight="1">
      <c r="O406" s="12"/>
    </row>
    <row r="407" spans="15:15" ht="21.9" customHeight="1">
      <c r="O407" s="12"/>
    </row>
    <row r="408" spans="15:15" ht="21.9" customHeight="1">
      <c r="O408" s="12"/>
    </row>
    <row r="409" spans="15:15" ht="21.9" customHeight="1">
      <c r="O409" s="12"/>
    </row>
    <row r="410" spans="15:15" ht="21.9" customHeight="1">
      <c r="O410" s="12"/>
    </row>
    <row r="411" spans="15:15" ht="21.9" customHeight="1">
      <c r="O411" s="12"/>
    </row>
    <row r="412" spans="15:15" ht="21.9" customHeight="1">
      <c r="O412" s="12"/>
    </row>
    <row r="413" spans="15:15" ht="21.9" customHeight="1">
      <c r="O413" s="12"/>
    </row>
    <row r="414" spans="15:15" ht="21.9" customHeight="1">
      <c r="O414" s="12"/>
    </row>
    <row r="415" spans="15:15" ht="21.9" customHeight="1">
      <c r="O415" s="12"/>
    </row>
    <row r="416" spans="15:15" ht="21.9" customHeight="1">
      <c r="O416" s="12"/>
    </row>
    <row r="417" spans="15:15" ht="21.9" customHeight="1">
      <c r="O417" s="12"/>
    </row>
    <row r="418" spans="15:15" ht="21.9" customHeight="1">
      <c r="O418" s="12"/>
    </row>
    <row r="419" spans="15:15" ht="21.9" customHeight="1">
      <c r="O419" s="12"/>
    </row>
    <row r="420" spans="15:15" ht="21.9" customHeight="1">
      <c r="O420" s="12"/>
    </row>
    <row r="421" spans="15:15" ht="21.9" customHeight="1">
      <c r="O421" s="12"/>
    </row>
    <row r="422" spans="15:15" ht="21.9" customHeight="1">
      <c r="O422" s="12"/>
    </row>
    <row r="423" spans="15:15" ht="21.9" customHeight="1">
      <c r="O423" s="12"/>
    </row>
    <row r="424" spans="15:15" ht="21.9" customHeight="1">
      <c r="O424" s="12"/>
    </row>
    <row r="425" spans="15:15" ht="21.9" customHeight="1">
      <c r="O425" s="12"/>
    </row>
    <row r="426" spans="15:15" ht="21.9" customHeight="1">
      <c r="O426" s="12"/>
    </row>
    <row r="427" spans="15:15" ht="21.9" customHeight="1">
      <c r="O427" s="12"/>
    </row>
    <row r="428" spans="15:15" ht="21.9" customHeight="1">
      <c r="O428" s="12"/>
    </row>
    <row r="429" spans="15:15" ht="21.9" customHeight="1">
      <c r="O429" s="12"/>
    </row>
    <row r="430" spans="15:15" ht="21.9" customHeight="1">
      <c r="O430" s="12"/>
    </row>
    <row r="431" spans="15:15" ht="21.9" customHeight="1">
      <c r="O431" s="12"/>
    </row>
    <row r="432" spans="15:15" ht="21.9" customHeight="1">
      <c r="O432" s="12"/>
    </row>
    <row r="433" spans="15:15" ht="21.9" customHeight="1">
      <c r="O433" s="12"/>
    </row>
    <row r="434" spans="15:15" ht="21.9" customHeight="1">
      <c r="O434" s="12"/>
    </row>
    <row r="435" spans="15:15" ht="21.9" customHeight="1">
      <c r="O435" s="12"/>
    </row>
    <row r="436" spans="15:15" ht="21.9" customHeight="1">
      <c r="O436" s="12"/>
    </row>
    <row r="437" spans="15:15" ht="21.9" customHeight="1">
      <c r="O437" s="12"/>
    </row>
    <row r="438" spans="15:15" ht="21.9" customHeight="1">
      <c r="O438" s="12"/>
    </row>
    <row r="439" spans="15:15" ht="21.9" customHeight="1">
      <c r="O439" s="12"/>
    </row>
    <row r="440" spans="15:15" ht="21.9" customHeight="1">
      <c r="O440" s="12"/>
    </row>
    <row r="441" spans="15:15" ht="21.9" customHeight="1">
      <c r="O441" s="12"/>
    </row>
    <row r="442" spans="15:15" ht="21.9" customHeight="1">
      <c r="O442" s="12"/>
    </row>
    <row r="443" spans="15:15" ht="21.9" customHeight="1">
      <c r="O443" s="12"/>
    </row>
    <row r="444" spans="15:15" ht="21.9" customHeight="1">
      <c r="O444" s="12"/>
    </row>
    <row r="445" spans="15:15" ht="21.9" customHeight="1">
      <c r="O445" s="12"/>
    </row>
    <row r="446" spans="15:15" ht="21.9" customHeight="1">
      <c r="O446" s="12"/>
    </row>
    <row r="447" spans="15:15" ht="21.9" customHeight="1">
      <c r="O447" s="12"/>
    </row>
    <row r="448" spans="15:15" ht="21.9" customHeight="1">
      <c r="O448" s="12"/>
    </row>
    <row r="449" spans="15:15" ht="21.9" customHeight="1">
      <c r="O449" s="12"/>
    </row>
    <row r="450" spans="15:15" ht="21.9" customHeight="1">
      <c r="O450" s="12"/>
    </row>
    <row r="451" spans="15:15" ht="21.9" customHeight="1">
      <c r="O451" s="12"/>
    </row>
    <row r="452" spans="15:15" ht="21.9" customHeight="1">
      <c r="O452" s="12"/>
    </row>
    <row r="453" spans="15:15" ht="21.9" customHeight="1">
      <c r="O453" s="12"/>
    </row>
    <row r="454" spans="15:15" ht="21.9" customHeight="1">
      <c r="O454" s="12"/>
    </row>
    <row r="455" spans="15:15" ht="21.9" customHeight="1">
      <c r="O455" s="12"/>
    </row>
    <row r="456" spans="15:15" ht="21.9" customHeight="1">
      <c r="O456" s="12"/>
    </row>
    <row r="457" spans="15:15" ht="21.9" customHeight="1">
      <c r="O457" s="12"/>
    </row>
    <row r="458" spans="15:15" ht="21.9" customHeight="1">
      <c r="O458" s="12"/>
    </row>
    <row r="459" spans="15:15" ht="16.5">
      <c r="O459" s="12"/>
    </row>
    <row r="460" spans="15:15" ht="16.5">
      <c r="O460" s="12"/>
    </row>
    <row r="461" spans="15:15" ht="16.5">
      <c r="O461" s="12"/>
    </row>
    <row r="462" spans="15:15" ht="16.5">
      <c r="O462" s="12"/>
    </row>
    <row r="463" spans="15:15" ht="16.5">
      <c r="O463" s="12"/>
    </row>
    <row r="464" spans="15:15" ht="16.5">
      <c r="O464" s="12"/>
    </row>
    <row r="465" spans="15:15" ht="16.5">
      <c r="O465" s="12"/>
    </row>
    <row r="466" spans="15:15" ht="16.5">
      <c r="O466" s="12"/>
    </row>
    <row r="467" spans="15:15" ht="16.5">
      <c r="O467" s="12"/>
    </row>
    <row r="468" spans="15:15" ht="16.5">
      <c r="O468" s="12"/>
    </row>
    <row r="469" spans="15:15" ht="16.5">
      <c r="O469" s="12"/>
    </row>
    <row r="470" spans="15:15" ht="16.5">
      <c r="O470" s="12"/>
    </row>
    <row r="471" spans="15:15" ht="16.5">
      <c r="O471" s="12"/>
    </row>
    <row r="472" spans="15:15" ht="16.5">
      <c r="O472" s="12"/>
    </row>
    <row r="473" spans="15:15" ht="16.5">
      <c r="O473" s="12"/>
    </row>
    <row r="474" spans="15:15" ht="16.5">
      <c r="O474" s="12"/>
    </row>
    <row r="475" spans="15:15" ht="16.5">
      <c r="O475" s="12"/>
    </row>
    <row r="476" spans="15:15" ht="16.5">
      <c r="O476" s="12"/>
    </row>
    <row r="477" spans="15:15" ht="16.5">
      <c r="O477" s="12"/>
    </row>
    <row r="478" spans="15:15" ht="16.5">
      <c r="O478" s="12"/>
    </row>
    <row r="479" spans="15:15" ht="16.5">
      <c r="O479" s="12"/>
    </row>
    <row r="480" spans="15:15" ht="16.5">
      <c r="O480" s="12"/>
    </row>
    <row r="481" spans="15:15" ht="16.5">
      <c r="O481" s="12"/>
    </row>
    <row r="482" spans="15:15" ht="16.5">
      <c r="O482" s="12"/>
    </row>
    <row r="483" spans="15:15" ht="16.5">
      <c r="O483" s="12"/>
    </row>
    <row r="484" spans="15:15" ht="16.5">
      <c r="O484" s="12"/>
    </row>
    <row r="485" spans="15:15" ht="16.5">
      <c r="O485" s="12"/>
    </row>
    <row r="486" spans="15:15" ht="16.5">
      <c r="O486" s="12"/>
    </row>
    <row r="487" spans="15:15" ht="16.5">
      <c r="O487" s="12"/>
    </row>
    <row r="488" spans="15:15" ht="16.5">
      <c r="O488" s="12"/>
    </row>
    <row r="489" spans="15:15" ht="16.5">
      <c r="O489" s="12"/>
    </row>
    <row r="490" spans="15:15" ht="16.5">
      <c r="O490" s="12"/>
    </row>
    <row r="491" spans="15:15" ht="16.5">
      <c r="O491" s="12"/>
    </row>
    <row r="492" spans="15:15" ht="16.5">
      <c r="O492" s="12"/>
    </row>
    <row r="493" spans="15:15" ht="16.5">
      <c r="O493" s="12"/>
    </row>
    <row r="494" spans="15:15" ht="16.5">
      <c r="O494" s="12"/>
    </row>
    <row r="495" spans="15:15" ht="16.5">
      <c r="O495" s="12"/>
    </row>
    <row r="496" spans="15:15" ht="16.5">
      <c r="O496" s="12"/>
    </row>
    <row r="497" spans="15:15" ht="16.5">
      <c r="O497" s="12"/>
    </row>
    <row r="498" spans="15:15" ht="16.5">
      <c r="O498" s="12"/>
    </row>
    <row r="499" spans="15:15" ht="16.5">
      <c r="O499" s="12"/>
    </row>
    <row r="500" spans="15:15" ht="16.5">
      <c r="O500" s="26"/>
    </row>
    <row r="501" spans="15:15" ht="16.5">
      <c r="O501" s="26"/>
    </row>
    <row r="502" spans="15:15" ht="16.5">
      <c r="O502" s="26"/>
    </row>
    <row r="503" spans="15:15" ht="16.5">
      <c r="O503" s="26"/>
    </row>
    <row r="504" spans="15:15" ht="16.5">
      <c r="O504" s="26"/>
    </row>
    <row r="505" spans="15:15" ht="16.5">
      <c r="O505" s="26"/>
    </row>
    <row r="506" spans="15:15" ht="16.5">
      <c r="O506" s="26"/>
    </row>
    <row r="507" spans="15:15" ht="16.5">
      <c r="O507" s="26"/>
    </row>
    <row r="508" spans="15:15" ht="16.5">
      <c r="O508" s="26"/>
    </row>
    <row r="509" spans="15:15" ht="16.5">
      <c r="O509" s="26"/>
    </row>
    <row r="510" spans="15:15" ht="16.5">
      <c r="O510" s="26"/>
    </row>
    <row r="511" spans="15:15" ht="16.5">
      <c r="O511" s="26"/>
    </row>
    <row r="512" spans="15:15" ht="16.5">
      <c r="O512" s="26"/>
    </row>
    <row r="513" spans="15:15" ht="16.5">
      <c r="O513" s="26"/>
    </row>
    <row r="514" spans="15:15" ht="16.5">
      <c r="O514" s="26"/>
    </row>
    <row r="515" spans="15:15" ht="16.5">
      <c r="O515" s="26"/>
    </row>
    <row r="516" spans="15:15" ht="16.5">
      <c r="O516" s="26"/>
    </row>
    <row r="517" spans="15:15" ht="16.5">
      <c r="O517" s="26"/>
    </row>
    <row r="518" spans="15:15" ht="16.5">
      <c r="O518" s="26"/>
    </row>
    <row r="519" spans="15:15" ht="16.5">
      <c r="O519" s="26"/>
    </row>
    <row r="520" spans="15:15" ht="16.5">
      <c r="O520" s="26"/>
    </row>
    <row r="521" spans="15:15" ht="16.5"/>
    <row r="522" spans="15:15" ht="16.5"/>
    <row r="523" spans="15:15" ht="16.5"/>
    <row r="524" spans="15:15" ht="16.5"/>
    <row r="525" spans="15:15" ht="16.5"/>
    <row r="526" spans="15:15" ht="16.5"/>
    <row r="527" spans="15:15" ht="16.5"/>
    <row r="528" spans="15:15" ht="16.5"/>
    <row r="529" ht="16.5"/>
    <row r="530" ht="16.5"/>
    <row r="531" ht="16.5"/>
    <row r="532" ht="16.5"/>
    <row r="533" ht="16.5"/>
    <row r="534" ht="16.5"/>
    <row r="535" ht="16.5"/>
    <row r="536" ht="16.5"/>
    <row r="537" ht="16.5"/>
    <row r="538" ht="16.5"/>
    <row r="539" ht="16.5"/>
    <row r="540" ht="16.5"/>
    <row r="541" ht="16.5"/>
    <row r="542" ht="16.5"/>
    <row r="543" ht="16.5"/>
    <row r="544" ht="16.5"/>
    <row r="545" ht="16.5"/>
    <row r="546" ht="16.5"/>
    <row r="547" ht="16.5"/>
    <row r="548" ht="16.5"/>
    <row r="549" ht="16.5"/>
    <row r="550" ht="16.5"/>
    <row r="551" ht="16.5"/>
  </sheetData>
  <mergeCells count="619">
    <mergeCell ref="Q12:AA12"/>
    <mergeCell ref="AB12:AL12"/>
    <mergeCell ref="AO14:AX14"/>
    <mergeCell ref="AO15:AX15"/>
    <mergeCell ref="AN4:AN10"/>
    <mergeCell ref="AN11:AN13"/>
    <mergeCell ref="D24:N24"/>
    <mergeCell ref="AO24:AX24"/>
    <mergeCell ref="AN25:AX25"/>
    <mergeCell ref="D28:N28"/>
    <mergeCell ref="Q30:AA30"/>
    <mergeCell ref="AB30:AL30"/>
    <mergeCell ref="AN18:AN22"/>
    <mergeCell ref="D16:N16"/>
    <mergeCell ref="AO16:AX16"/>
    <mergeCell ref="AN17:AX17"/>
    <mergeCell ref="AO18:AX18"/>
    <mergeCell ref="AO19:AX19"/>
    <mergeCell ref="AO20:AX20"/>
    <mergeCell ref="Q21:AA21"/>
    <mergeCell ref="AB21:AL21"/>
    <mergeCell ref="AO21:AX21"/>
    <mergeCell ref="D35:N35"/>
    <mergeCell ref="D36:F36"/>
    <mergeCell ref="G36:N36"/>
    <mergeCell ref="D37:F37"/>
    <mergeCell ref="G37:N37"/>
    <mergeCell ref="AO37:AX37"/>
    <mergeCell ref="BA37:BJ37"/>
    <mergeCell ref="D38:F38"/>
    <mergeCell ref="G38:N38"/>
    <mergeCell ref="AO38:AX38"/>
    <mergeCell ref="AN26:AN37"/>
    <mergeCell ref="D25:N26"/>
    <mergeCell ref="D29:N30"/>
    <mergeCell ref="D31:N32"/>
    <mergeCell ref="AC22:AL25"/>
    <mergeCell ref="BA24:BJ26"/>
    <mergeCell ref="AC26:AL29"/>
    <mergeCell ref="BA27:BJ36"/>
    <mergeCell ref="BA38:BJ41"/>
    <mergeCell ref="D33:N34"/>
    <mergeCell ref="AO22:AX22"/>
    <mergeCell ref="BA22:BJ22"/>
    <mergeCell ref="AO23:AX23"/>
    <mergeCell ref="BA23:BJ23"/>
    <mergeCell ref="D39:F39"/>
    <mergeCell ref="G39:N39"/>
    <mergeCell ref="Q39:AA39"/>
    <mergeCell ref="AB39:AL39"/>
    <mergeCell ref="AO39:AX39"/>
    <mergeCell ref="D40:F40"/>
    <mergeCell ref="G40:N40"/>
    <mergeCell ref="AO40:AX40"/>
    <mergeCell ref="D41:F41"/>
    <mergeCell ref="G41:N41"/>
    <mergeCell ref="AO41:AX41"/>
    <mergeCell ref="AN39:AN41"/>
    <mergeCell ref="D42:F42"/>
    <mergeCell ref="G42:N42"/>
    <mergeCell ref="AO42:AX42"/>
    <mergeCell ref="D43:F43"/>
    <mergeCell ref="G43:N43"/>
    <mergeCell ref="AN43:AX43"/>
    <mergeCell ref="D44:F44"/>
    <mergeCell ref="G44:N44"/>
    <mergeCell ref="AO44:AX44"/>
    <mergeCell ref="D45:F45"/>
    <mergeCell ref="G45:N45"/>
    <mergeCell ref="AO45:AX45"/>
    <mergeCell ref="D46:F46"/>
    <mergeCell ref="G46:N46"/>
    <mergeCell ref="D47:F47"/>
    <mergeCell ref="G47:N47"/>
    <mergeCell ref="D48:F48"/>
    <mergeCell ref="G48:N48"/>
    <mergeCell ref="Q48:AA48"/>
    <mergeCell ref="D49:F49"/>
    <mergeCell ref="G49:N49"/>
    <mergeCell ref="D50:F50"/>
    <mergeCell ref="G50:N50"/>
    <mergeCell ref="BA50:BJ50"/>
    <mergeCell ref="D51:F51"/>
    <mergeCell ref="G51:N51"/>
    <mergeCell ref="D52:F52"/>
    <mergeCell ref="G52:N52"/>
    <mergeCell ref="AO52:AX52"/>
    <mergeCell ref="AO58:AX58"/>
    <mergeCell ref="D59:F59"/>
    <mergeCell ref="G59:N59"/>
    <mergeCell ref="AO59:AX59"/>
    <mergeCell ref="D53:F53"/>
    <mergeCell ref="G53:N53"/>
    <mergeCell ref="D54:F54"/>
    <mergeCell ref="G54:N54"/>
    <mergeCell ref="D55:F55"/>
    <mergeCell ref="G55:N55"/>
    <mergeCell ref="AB55:AL55"/>
    <mergeCell ref="D56:F56"/>
    <mergeCell ref="G56:N56"/>
    <mergeCell ref="D60:F60"/>
    <mergeCell ref="G60:N60"/>
    <mergeCell ref="AB60:AL60"/>
    <mergeCell ref="D61:F61"/>
    <mergeCell ref="G61:N61"/>
    <mergeCell ref="BA61:BJ61"/>
    <mergeCell ref="D62:F62"/>
    <mergeCell ref="G62:N62"/>
    <mergeCell ref="D63:F63"/>
    <mergeCell ref="G63:N63"/>
    <mergeCell ref="AN44:AN62"/>
    <mergeCell ref="AN63:AN65"/>
    <mergeCell ref="BA42:BJ44"/>
    <mergeCell ref="BA45:BJ49"/>
    <mergeCell ref="BA51:BJ60"/>
    <mergeCell ref="AC56:AL59"/>
    <mergeCell ref="AC61:AL64"/>
    <mergeCell ref="BA62:BJ63"/>
    <mergeCell ref="BA64:BJ66"/>
    <mergeCell ref="D57:F57"/>
    <mergeCell ref="G57:N57"/>
    <mergeCell ref="Q57:AA57"/>
    <mergeCell ref="D58:F58"/>
    <mergeCell ref="G58:N58"/>
    <mergeCell ref="Q66:AA66"/>
    <mergeCell ref="AO66:AX66"/>
    <mergeCell ref="AN67:AX67"/>
    <mergeCell ref="AO68:AX68"/>
    <mergeCell ref="AB69:AL69"/>
    <mergeCell ref="AO69:AX69"/>
    <mergeCell ref="AO70:AX70"/>
    <mergeCell ref="AO71:AX71"/>
    <mergeCell ref="AN74:AX74"/>
    <mergeCell ref="AN68:AN70"/>
    <mergeCell ref="AN72:AN73"/>
    <mergeCell ref="AC65:AL68"/>
    <mergeCell ref="AO88:AX88"/>
    <mergeCell ref="AO89:AX89"/>
    <mergeCell ref="AO90:AX90"/>
    <mergeCell ref="AO91:AX91"/>
    <mergeCell ref="AO92:AX92"/>
    <mergeCell ref="AO93:AX93"/>
    <mergeCell ref="AO94:AX94"/>
    <mergeCell ref="AO95:AX95"/>
    <mergeCell ref="AB96:AL96"/>
    <mergeCell ref="AO96:AX96"/>
    <mergeCell ref="AN75:AN92"/>
    <mergeCell ref="AN93:AN95"/>
    <mergeCell ref="AB78:AL78"/>
    <mergeCell ref="AO82:AX82"/>
    <mergeCell ref="AO83:AX83"/>
    <mergeCell ref="AO84:AX84"/>
    <mergeCell ref="AO85:AX85"/>
    <mergeCell ref="AO86:AX86"/>
    <mergeCell ref="AB87:AL87"/>
    <mergeCell ref="AO87:AX87"/>
    <mergeCell ref="AO101:AX101"/>
    <mergeCell ref="AB104:AL104"/>
    <mergeCell ref="AO104:AX104"/>
    <mergeCell ref="AO105:AX105"/>
    <mergeCell ref="AB97:AB99"/>
    <mergeCell ref="AB101:AB103"/>
    <mergeCell ref="AN96:AN97"/>
    <mergeCell ref="AN98:AN100"/>
    <mergeCell ref="AN101:AN104"/>
    <mergeCell ref="AO121:AX121"/>
    <mergeCell ref="AO125:AX125"/>
    <mergeCell ref="AO126:AX126"/>
    <mergeCell ref="AO127:AX127"/>
    <mergeCell ref="AO128:AX128"/>
    <mergeCell ref="AB112:AB114"/>
    <mergeCell ref="AB115:AB116"/>
    <mergeCell ref="AB117:AB118"/>
    <mergeCell ref="AB120:AB122"/>
    <mergeCell ref="AB123:AB125"/>
    <mergeCell ref="AB126:AB127"/>
    <mergeCell ref="AB128:AB129"/>
    <mergeCell ref="AN109:AN112"/>
    <mergeCell ref="AN114:AN115"/>
    <mergeCell ref="AN117:AN124"/>
    <mergeCell ref="AN125:AN128"/>
    <mergeCell ref="AO109:AX109"/>
    <mergeCell ref="AO110:AX110"/>
    <mergeCell ref="AO111:AX111"/>
    <mergeCell ref="AO112:AX112"/>
    <mergeCell ref="AN113:AX113"/>
    <mergeCell ref="AB109:AB111"/>
    <mergeCell ref="AB130:AL130"/>
    <mergeCell ref="AO136:AX136"/>
    <mergeCell ref="AO137:AX137"/>
    <mergeCell ref="AB148:AL148"/>
    <mergeCell ref="AO153:AX153"/>
    <mergeCell ref="AO154:AX154"/>
    <mergeCell ref="AO155:AX155"/>
    <mergeCell ref="AO156:AX156"/>
    <mergeCell ref="AN157:AX157"/>
    <mergeCell ref="AB131:AB145"/>
    <mergeCell ref="AB146:AB147"/>
    <mergeCell ref="AB149:AB152"/>
    <mergeCell ref="AB153:AB156"/>
    <mergeCell ref="AN129:AN137"/>
    <mergeCell ref="AN138:AN154"/>
    <mergeCell ref="AN155:AN156"/>
    <mergeCell ref="AC146:AL147"/>
    <mergeCell ref="AC151:AL152"/>
    <mergeCell ref="AC153:AL154"/>
    <mergeCell ref="AC155:AL156"/>
    <mergeCell ref="AO158:AX158"/>
    <mergeCell ref="AO159:AX159"/>
    <mergeCell ref="AN160:AX160"/>
    <mergeCell ref="AO161:AX161"/>
    <mergeCell ref="AN162:AX162"/>
    <mergeCell ref="AB166:AL166"/>
    <mergeCell ref="AO172:AX172"/>
    <mergeCell ref="AO173:AX173"/>
    <mergeCell ref="AO174:AX174"/>
    <mergeCell ref="AB157:AB159"/>
    <mergeCell ref="AB160:AB161"/>
    <mergeCell ref="AB162:AB163"/>
    <mergeCell ref="AB164:AB165"/>
    <mergeCell ref="AB167:AB168"/>
    <mergeCell ref="AB169:AB170"/>
    <mergeCell ref="AB171:AB172"/>
    <mergeCell ref="AB173:AB174"/>
    <mergeCell ref="AC160:AL161"/>
    <mergeCell ref="AO175:AX175"/>
    <mergeCell ref="AO179:AX179"/>
    <mergeCell ref="AB180:AL180"/>
    <mergeCell ref="AO180:AX180"/>
    <mergeCell ref="AO181:AX181"/>
    <mergeCell ref="AO182:AX182"/>
    <mergeCell ref="AO183:AX183"/>
    <mergeCell ref="AO184:AX184"/>
    <mergeCell ref="AN185:AX185"/>
    <mergeCell ref="AB175:AB176"/>
    <mergeCell ref="AB177:AB179"/>
    <mergeCell ref="AB181:AB185"/>
    <mergeCell ref="AN163:AN178"/>
    <mergeCell ref="AN180:AN184"/>
    <mergeCell ref="AC162:AL163"/>
    <mergeCell ref="AC164:AL165"/>
    <mergeCell ref="AO166:AX167"/>
    <mergeCell ref="AO168:AX169"/>
    <mergeCell ref="AO170:AX171"/>
    <mergeCell ref="AO176:AX178"/>
    <mergeCell ref="AC167:AL168"/>
    <mergeCell ref="AC169:AL170"/>
    <mergeCell ref="AC171:AL172"/>
    <mergeCell ref="AC173:AL174"/>
    <mergeCell ref="AO186:AX186"/>
    <mergeCell ref="AO189:AX189"/>
    <mergeCell ref="AO190:AX190"/>
    <mergeCell ref="AO191:AX191"/>
    <mergeCell ref="AO192:AX192"/>
    <mergeCell ref="AO193:AX193"/>
    <mergeCell ref="AO194:AX194"/>
    <mergeCell ref="AB195:AL195"/>
    <mergeCell ref="AO195:AX195"/>
    <mergeCell ref="AB186:AB189"/>
    <mergeCell ref="AB190:AB194"/>
    <mergeCell ref="AN186:AN191"/>
    <mergeCell ref="AO187:AX188"/>
    <mergeCell ref="AO196:AX196"/>
    <mergeCell ref="AN197:AX197"/>
    <mergeCell ref="AO198:AX198"/>
    <mergeCell ref="AO199:AX199"/>
    <mergeCell ref="AO200:AX200"/>
    <mergeCell ref="AO203:AX203"/>
    <mergeCell ref="AO204:AX204"/>
    <mergeCell ref="AO208:AX208"/>
    <mergeCell ref="AB209:AL209"/>
    <mergeCell ref="AB196:AB201"/>
    <mergeCell ref="AB202:AB205"/>
    <mergeCell ref="AB206:AB208"/>
    <mergeCell ref="AN195:AN196"/>
    <mergeCell ref="AN198:AN203"/>
    <mergeCell ref="AO201:AX202"/>
    <mergeCell ref="AC200:AL201"/>
    <mergeCell ref="AC202:AL203"/>
    <mergeCell ref="AO214:AX214"/>
    <mergeCell ref="AO215:AX215"/>
    <mergeCell ref="AO216:AX216"/>
    <mergeCell ref="AO219:AX219"/>
    <mergeCell ref="AB220:AL220"/>
    <mergeCell ref="AO220:AX220"/>
    <mergeCell ref="AO224:AX224"/>
    <mergeCell ref="AN225:AX225"/>
    <mergeCell ref="AO226:AX226"/>
    <mergeCell ref="AN204:AN215"/>
    <mergeCell ref="AN216:AN218"/>
    <mergeCell ref="AN220:AN224"/>
    <mergeCell ref="AC204:AL205"/>
    <mergeCell ref="AO205:AX207"/>
    <mergeCell ref="AO209:AX213"/>
    <mergeCell ref="AO217:AX218"/>
    <mergeCell ref="AO221:AX223"/>
    <mergeCell ref="AC206:AL208"/>
    <mergeCell ref="AC210:AL212"/>
    <mergeCell ref="AC213:AL214"/>
    <mergeCell ref="AC215:AL219"/>
    <mergeCell ref="AC221:AL222"/>
    <mergeCell ref="AC223:AL225"/>
    <mergeCell ref="AC228:AL228"/>
    <mergeCell ref="AO229:AX229"/>
    <mergeCell ref="AB234:AL234"/>
    <mergeCell ref="AO236:AX236"/>
    <mergeCell ref="AB238:AL238"/>
    <mergeCell ref="AC239:AL239"/>
    <mergeCell ref="AO242:AX242"/>
    <mergeCell ref="AO246:AX246"/>
    <mergeCell ref="AO254:AX254"/>
    <mergeCell ref="AB252:AB253"/>
    <mergeCell ref="AB254:AB258"/>
    <mergeCell ref="AN226:AN235"/>
    <mergeCell ref="AN236:AN241"/>
    <mergeCell ref="AN242:AN253"/>
    <mergeCell ref="AO227:AX228"/>
    <mergeCell ref="AO230:AX235"/>
    <mergeCell ref="AC235:AL237"/>
    <mergeCell ref="AO237:AX241"/>
    <mergeCell ref="AO243:AX245"/>
    <mergeCell ref="AO247:AX248"/>
    <mergeCell ref="AO249:AX253"/>
    <mergeCell ref="AC226:AL227"/>
    <mergeCell ref="AC229:AL233"/>
    <mergeCell ref="AC240:AL241"/>
    <mergeCell ref="AO255:AX255"/>
    <mergeCell ref="AN256:AX256"/>
    <mergeCell ref="AO257:AX257"/>
    <mergeCell ref="AO258:AX258"/>
    <mergeCell ref="AO259:AX259"/>
    <mergeCell ref="AO260:AX260"/>
    <mergeCell ref="AN263:AX263"/>
    <mergeCell ref="AO264:AX264"/>
    <mergeCell ref="AO267:AX267"/>
    <mergeCell ref="AN254:AN255"/>
    <mergeCell ref="AN257:AN259"/>
    <mergeCell ref="AN261:AN262"/>
    <mergeCell ref="AN264:AN273"/>
    <mergeCell ref="AO261:AX262"/>
    <mergeCell ref="AO265:AX266"/>
    <mergeCell ref="AO268:AX269"/>
    <mergeCell ref="AO270:AX273"/>
    <mergeCell ref="AO274:AX274"/>
    <mergeCell ref="AO275:AX275"/>
    <mergeCell ref="AO276:AX276"/>
    <mergeCell ref="AN277:AX277"/>
    <mergeCell ref="AO278:AX278"/>
    <mergeCell ref="AO279:AX279"/>
    <mergeCell ref="AO280:AX280"/>
    <mergeCell ref="AO281:AX281"/>
    <mergeCell ref="AO282:AX282"/>
    <mergeCell ref="AN279:AN282"/>
    <mergeCell ref="AO339:AX339"/>
    <mergeCell ref="AO342:AX342"/>
    <mergeCell ref="AO343:AX343"/>
    <mergeCell ref="AO346:AX346"/>
    <mergeCell ref="AO340:AX341"/>
    <mergeCell ref="AO344:AX345"/>
    <mergeCell ref="AO305:AX305"/>
    <mergeCell ref="AO308:AX308"/>
    <mergeCell ref="AO311:AX311"/>
    <mergeCell ref="AO312:AX312"/>
    <mergeCell ref="AO313:AX313"/>
    <mergeCell ref="AO314:AX314"/>
    <mergeCell ref="AN326:AX326"/>
    <mergeCell ref="AO327:AX327"/>
    <mergeCell ref="AO328:AX328"/>
    <mergeCell ref="AO388:AX388"/>
    <mergeCell ref="AO389:AX389"/>
    <mergeCell ref="AO390:AX390"/>
    <mergeCell ref="Q4:Q7"/>
    <mergeCell ref="Q8:Q11"/>
    <mergeCell ref="Q13:Q16"/>
    <mergeCell ref="Q17:Q20"/>
    <mergeCell ref="Q22:Q25"/>
    <mergeCell ref="Q26:Q29"/>
    <mergeCell ref="Q31:Q34"/>
    <mergeCell ref="Q35:Q38"/>
    <mergeCell ref="Q40:Q43"/>
    <mergeCell ref="Q44:Q47"/>
    <mergeCell ref="Q49:Q52"/>
    <mergeCell ref="Q53:Q56"/>
    <mergeCell ref="Q58:Q61"/>
    <mergeCell ref="Q62:Q65"/>
    <mergeCell ref="Q67:Q70"/>
    <mergeCell ref="Q71:Q74"/>
    <mergeCell ref="Q76:Q79"/>
    <mergeCell ref="AN351:AX351"/>
    <mergeCell ref="AO354:AX354"/>
    <mergeCell ref="AO355:AX355"/>
    <mergeCell ref="AO359:AX359"/>
    <mergeCell ref="Q89:Q92"/>
    <mergeCell ref="AB4:AB7"/>
    <mergeCell ref="AB8:AB11"/>
    <mergeCell ref="AB13:AB16"/>
    <mergeCell ref="AB17:AB20"/>
    <mergeCell ref="AB22:AB25"/>
    <mergeCell ref="AB26:AB29"/>
    <mergeCell ref="AB31:AB34"/>
    <mergeCell ref="AB35:AB38"/>
    <mergeCell ref="AB40:AB42"/>
    <mergeCell ref="AB43:AB54"/>
    <mergeCell ref="AB56:AB59"/>
    <mergeCell ref="AB61:AB64"/>
    <mergeCell ref="AB65:AB68"/>
    <mergeCell ref="AB70:AB73"/>
    <mergeCell ref="AB74:AB77"/>
    <mergeCell ref="AB79:AB83"/>
    <mergeCell ref="AB84:AB86"/>
    <mergeCell ref="AB88:AB90"/>
    <mergeCell ref="AB91:AB95"/>
    <mergeCell ref="Q75:AA75"/>
    <mergeCell ref="Q84:AA84"/>
    <mergeCell ref="Q80:Q83"/>
    <mergeCell ref="Q85:Q88"/>
    <mergeCell ref="AB210:AB212"/>
    <mergeCell ref="AB213:AB214"/>
    <mergeCell ref="AB215:AB219"/>
    <mergeCell ref="AB221:AB228"/>
    <mergeCell ref="AB229:AB233"/>
    <mergeCell ref="AB235:AB237"/>
    <mergeCell ref="AB239:AB246"/>
    <mergeCell ref="AB247:AB249"/>
    <mergeCell ref="AB250:AB251"/>
    <mergeCell ref="AN283:AN289"/>
    <mergeCell ref="AN292:AN307"/>
    <mergeCell ref="AN308:AN311"/>
    <mergeCell ref="AN312:AN313"/>
    <mergeCell ref="AN315:AN319"/>
    <mergeCell ref="AN320:AN325"/>
    <mergeCell ref="AN328:AN346"/>
    <mergeCell ref="AN347:AN348"/>
    <mergeCell ref="AN349:AN350"/>
    <mergeCell ref="AN291:AX291"/>
    <mergeCell ref="AO292:AX292"/>
    <mergeCell ref="AO297:AX297"/>
    <mergeCell ref="AO298:AX298"/>
    <mergeCell ref="AO299:AX299"/>
    <mergeCell ref="AO300:AX300"/>
    <mergeCell ref="AO303:AX303"/>
    <mergeCell ref="AO304:AX304"/>
    <mergeCell ref="AN365:AN370"/>
    <mergeCell ref="AN372:AN385"/>
    <mergeCell ref="AN386:AN387"/>
    <mergeCell ref="AN389:AN390"/>
    <mergeCell ref="AZ4:AZ15"/>
    <mergeCell ref="AZ17:AZ36"/>
    <mergeCell ref="AZ37:AZ41"/>
    <mergeCell ref="AZ42:AZ49"/>
    <mergeCell ref="AZ50:AZ60"/>
    <mergeCell ref="AZ61:AZ83"/>
    <mergeCell ref="AO26:AX28"/>
    <mergeCell ref="AO29:AX30"/>
    <mergeCell ref="AO31:AX36"/>
    <mergeCell ref="AO46:AX48"/>
    <mergeCell ref="AO49:AX51"/>
    <mergeCell ref="AO53:AX57"/>
    <mergeCell ref="AO60:AX62"/>
    <mergeCell ref="AO63:AX65"/>
    <mergeCell ref="AO122:AX124"/>
    <mergeCell ref="AO129:AX132"/>
    <mergeCell ref="AO133:AX135"/>
    <mergeCell ref="AO138:AX147"/>
    <mergeCell ref="AO148:AX152"/>
    <mergeCell ref="AO163:AX165"/>
    <mergeCell ref="D1:N2"/>
    <mergeCell ref="P1:Z2"/>
    <mergeCell ref="AB1:AL2"/>
    <mergeCell ref="AN1:AX2"/>
    <mergeCell ref="D3:E4"/>
    <mergeCell ref="F3:N4"/>
    <mergeCell ref="D5:E6"/>
    <mergeCell ref="F5:N6"/>
    <mergeCell ref="D7:E8"/>
    <mergeCell ref="F7:N8"/>
    <mergeCell ref="R4:AA7"/>
    <mergeCell ref="R8:AA11"/>
    <mergeCell ref="Q3:AA3"/>
    <mergeCell ref="AB3:AL3"/>
    <mergeCell ref="AN3:AX3"/>
    <mergeCell ref="AO4:AX4"/>
    <mergeCell ref="D9:E10"/>
    <mergeCell ref="F9:N10"/>
    <mergeCell ref="D11:E12"/>
    <mergeCell ref="F11:N12"/>
    <mergeCell ref="D13:E14"/>
    <mergeCell ref="F13:N14"/>
    <mergeCell ref="D17:N18"/>
    <mergeCell ref="D19:N20"/>
    <mergeCell ref="D21:N22"/>
    <mergeCell ref="AZ1:BJ2"/>
    <mergeCell ref="AC4:AL7"/>
    <mergeCell ref="BA4:BJ15"/>
    <mergeCell ref="AO5:AX6"/>
    <mergeCell ref="AO7:AX10"/>
    <mergeCell ref="AC8:AL11"/>
    <mergeCell ref="AO11:AX13"/>
    <mergeCell ref="AC13:AL16"/>
    <mergeCell ref="AC17:AL20"/>
    <mergeCell ref="BA17:BJ21"/>
    <mergeCell ref="AZ16:BJ16"/>
    <mergeCell ref="AZ3:BJ3"/>
    <mergeCell ref="BA67:BJ78"/>
    <mergeCell ref="AO72:AX73"/>
    <mergeCell ref="AO75:AX79"/>
    <mergeCell ref="BA79:BJ83"/>
    <mergeCell ref="AO80:AX81"/>
    <mergeCell ref="AC88:AL90"/>
    <mergeCell ref="AO102:AX103"/>
    <mergeCell ref="AC117:AL118"/>
    <mergeCell ref="AO117:AX120"/>
    <mergeCell ref="AO114:AX114"/>
    <mergeCell ref="AO115:AX115"/>
    <mergeCell ref="AO116:AX116"/>
    <mergeCell ref="AB119:AL119"/>
    <mergeCell ref="AO106:AX106"/>
    <mergeCell ref="AO107:AX107"/>
    <mergeCell ref="AB108:AL108"/>
    <mergeCell ref="AO108:AX108"/>
    <mergeCell ref="AB105:AB107"/>
    <mergeCell ref="AN105:AN108"/>
    <mergeCell ref="AO97:AX97"/>
    <mergeCell ref="AO98:AX98"/>
    <mergeCell ref="AO99:AX99"/>
    <mergeCell ref="AB100:AL100"/>
    <mergeCell ref="AO100:AX100"/>
    <mergeCell ref="AO283:AX289"/>
    <mergeCell ref="AO293:AX296"/>
    <mergeCell ref="AO301:AX302"/>
    <mergeCell ref="AO306:AX307"/>
    <mergeCell ref="AO309:AX310"/>
    <mergeCell ref="AO315:AX319"/>
    <mergeCell ref="AO320:AX325"/>
    <mergeCell ref="AO331:AX333"/>
    <mergeCell ref="AO337:AX338"/>
    <mergeCell ref="AO329:AX329"/>
    <mergeCell ref="AO330:AX330"/>
    <mergeCell ref="AO334:AX334"/>
    <mergeCell ref="AO335:AX335"/>
    <mergeCell ref="AO336:AX336"/>
    <mergeCell ref="AO290:AX290"/>
    <mergeCell ref="AO347:AX348"/>
    <mergeCell ref="AO349:AX350"/>
    <mergeCell ref="AO352:AX353"/>
    <mergeCell ref="AO356:AX358"/>
    <mergeCell ref="AO366:AX369"/>
    <mergeCell ref="AO372:AX373"/>
    <mergeCell ref="AO374:AX376"/>
    <mergeCell ref="AO377:AX378"/>
    <mergeCell ref="AO380:AX382"/>
    <mergeCell ref="AO365:AX365"/>
    <mergeCell ref="AO370:AX370"/>
    <mergeCell ref="AN371:AX371"/>
    <mergeCell ref="AO379:AX379"/>
    <mergeCell ref="AO360:AX360"/>
    <mergeCell ref="AO361:AX361"/>
    <mergeCell ref="AO362:AX362"/>
    <mergeCell ref="AO363:AX363"/>
    <mergeCell ref="AO364:AX364"/>
    <mergeCell ref="AN352:AN360"/>
    <mergeCell ref="AN361:AN363"/>
    <mergeCell ref="AO383:AX385"/>
    <mergeCell ref="AO386:AX387"/>
    <mergeCell ref="AC31:AL34"/>
    <mergeCell ref="AC35:AL38"/>
    <mergeCell ref="AC40:AL42"/>
    <mergeCell ref="AC43:AL54"/>
    <mergeCell ref="AC70:AL73"/>
    <mergeCell ref="AC74:AL77"/>
    <mergeCell ref="AC79:AL83"/>
    <mergeCell ref="AC84:AL86"/>
    <mergeCell ref="AC91:AL95"/>
    <mergeCell ref="AC97:AL99"/>
    <mergeCell ref="AC101:AL103"/>
    <mergeCell ref="AC105:AL107"/>
    <mergeCell ref="AC109:AL111"/>
    <mergeCell ref="AC112:AL114"/>
    <mergeCell ref="AC115:AL116"/>
    <mergeCell ref="AC120:AL122"/>
    <mergeCell ref="AC123:AL125"/>
    <mergeCell ref="AC126:AL127"/>
    <mergeCell ref="AC128:AL129"/>
    <mergeCell ref="AC131:AL145"/>
    <mergeCell ref="AC149:AL150"/>
    <mergeCell ref="AC157:AL159"/>
    <mergeCell ref="AC175:AL176"/>
    <mergeCell ref="AC177:AL179"/>
    <mergeCell ref="AC181:AL182"/>
    <mergeCell ref="AC183:AL185"/>
    <mergeCell ref="AC186:AL187"/>
    <mergeCell ref="AC188:AL189"/>
    <mergeCell ref="AC190:AL194"/>
    <mergeCell ref="AC196:AL197"/>
    <mergeCell ref="AC198:AL199"/>
    <mergeCell ref="AC242:AL243"/>
    <mergeCell ref="AC244:AL246"/>
    <mergeCell ref="AC247:AL249"/>
    <mergeCell ref="AC250:AL251"/>
    <mergeCell ref="AC252:AL253"/>
    <mergeCell ref="AC254:AL258"/>
    <mergeCell ref="R13:AA16"/>
    <mergeCell ref="R17:AA20"/>
    <mergeCell ref="R22:AA25"/>
    <mergeCell ref="R26:AA29"/>
    <mergeCell ref="R31:AA34"/>
    <mergeCell ref="R35:AA38"/>
    <mergeCell ref="R40:AA43"/>
    <mergeCell ref="R44:AA47"/>
    <mergeCell ref="R49:AA52"/>
    <mergeCell ref="R53:AA56"/>
    <mergeCell ref="R58:AA61"/>
    <mergeCell ref="R62:AA65"/>
    <mergeCell ref="R67:AA70"/>
    <mergeCell ref="R71:AA74"/>
    <mergeCell ref="R76:AA79"/>
    <mergeCell ref="R80:AA83"/>
    <mergeCell ref="R85:AA88"/>
    <mergeCell ref="R89:AA92"/>
  </mergeCells>
  <phoneticPr fontId="282" type="noConversion"/>
  <hyperlinks>
    <hyperlink ref="F11" r:id="rId1" tooltip="https://skring.lanzouq.com/i1SvX22h7ypi" xr:uid="{00000000-0004-0000-0D00-000000000000}"/>
    <hyperlink ref="F5" r:id="rId2" tooltip="https://skring.lanzouq.com/iOnEb22h7ysb" xr:uid="{00000000-0004-0000-0D00-000001000000}"/>
    <hyperlink ref="F7" r:id="rId3" tooltip="https://skring.lanzouq.com/iamGb22h7yle" xr:uid="{00000000-0004-0000-0D00-000002000000}"/>
    <hyperlink ref="F9" r:id="rId4" tooltip="https://skring.lanzouq.com/iW8ws22h7yoh" xr:uid="{00000000-0004-0000-0D00-000003000000}"/>
    <hyperlink ref="F3" r:id="rId5" tooltip="https://skring.lanzouq.com/i3ha022h7yeh" xr:uid="{00000000-0004-0000-0D00-000004000000}"/>
    <hyperlink ref="F13" r:id="rId6" tooltip="https://skring.lanzouq.com/b00rn1x7ra" xr:uid="{00000000-0004-0000-0D00-000005000000}"/>
  </hyperlinks>
  <pageMargins left="0.75" right="0.75" top="1" bottom="1" header="0.51180555555555596" footer="0.51180555555555596"/>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32"/>
  <sheetViews>
    <sheetView topLeftCell="G1" zoomScale="130" zoomScaleNormal="130" workbookViewId="0">
      <selection activeCell="A15" sqref="A15"/>
    </sheetView>
  </sheetViews>
  <sheetFormatPr defaultColWidth="8.81640625" defaultRowHeight="14"/>
  <sheetData>
    <row r="1" spans="1:25">
      <c r="A1" s="1"/>
      <c r="B1" s="2"/>
      <c r="C1" s="4574" t="s">
        <v>9239</v>
      </c>
      <c r="D1" s="4574"/>
      <c r="E1" s="4574"/>
      <c r="F1" s="4574"/>
      <c r="G1" s="4574"/>
      <c r="H1" s="4574"/>
      <c r="I1" s="4574"/>
      <c r="J1" s="2"/>
      <c r="K1" s="2"/>
      <c r="L1" s="3"/>
      <c r="M1" s="1"/>
      <c r="N1" s="2"/>
      <c r="O1" s="2"/>
      <c r="P1" s="4577" t="s">
        <v>9240</v>
      </c>
      <c r="Q1" s="4577"/>
      <c r="R1" s="4577"/>
      <c r="S1" s="4577"/>
      <c r="T1" s="4577"/>
      <c r="U1" s="4577"/>
      <c r="V1" s="4577"/>
      <c r="W1" s="2"/>
      <c r="X1" s="2"/>
      <c r="Y1" s="3"/>
    </row>
    <row r="2" spans="1:25">
      <c r="A2" s="4"/>
      <c r="C2" s="4574"/>
      <c r="D2" s="4574"/>
      <c r="E2" s="4574"/>
      <c r="F2" s="4574"/>
      <c r="G2" s="4574"/>
      <c r="H2" s="4574"/>
      <c r="I2" s="4574"/>
      <c r="L2" s="5"/>
      <c r="M2" s="4"/>
      <c r="P2" s="4574"/>
      <c r="Q2" s="4574"/>
      <c r="R2" s="4574"/>
      <c r="S2" s="4574"/>
      <c r="T2" s="4574"/>
      <c r="U2" s="4574"/>
      <c r="V2" s="4574"/>
      <c r="Y2" s="5"/>
    </row>
    <row r="3" spans="1:25">
      <c r="A3" s="4"/>
      <c r="C3" s="4578" t="s">
        <v>9241</v>
      </c>
      <c r="D3" s="4578"/>
      <c r="E3" s="4578"/>
      <c r="F3" s="4578"/>
      <c r="G3" s="4578"/>
      <c r="H3" s="4578"/>
      <c r="I3" s="4578"/>
      <c r="L3" s="5"/>
      <c r="M3" s="4"/>
      <c r="P3" s="4578" t="s">
        <v>9241</v>
      </c>
      <c r="Q3" s="4578"/>
      <c r="R3" s="4578"/>
      <c r="S3" s="4578"/>
      <c r="T3" s="4578"/>
      <c r="U3" s="4578"/>
      <c r="V3" s="4578"/>
      <c r="Y3" s="5"/>
    </row>
    <row r="4" spans="1:25">
      <c r="A4" s="4"/>
      <c r="C4" s="4578"/>
      <c r="D4" s="4578"/>
      <c r="E4" s="4578"/>
      <c r="F4" s="4578"/>
      <c r="G4" s="4578"/>
      <c r="H4" s="4578"/>
      <c r="I4" s="4578"/>
      <c r="L4" s="5"/>
      <c r="M4" s="4"/>
      <c r="P4" s="4578"/>
      <c r="Q4" s="4578"/>
      <c r="R4" s="4578"/>
      <c r="S4" s="4578"/>
      <c r="T4" s="4578"/>
      <c r="U4" s="4578"/>
      <c r="V4" s="4578"/>
      <c r="Y4" s="5"/>
    </row>
    <row r="5" spans="1:25">
      <c r="A5" s="4"/>
      <c r="C5" s="4575" t="s">
        <v>9242</v>
      </c>
      <c r="D5" s="4575"/>
      <c r="E5" s="4575"/>
      <c r="F5" s="4575"/>
      <c r="G5" s="4575"/>
      <c r="H5" s="4575"/>
      <c r="I5" s="4575"/>
      <c r="L5" s="5"/>
      <c r="M5" s="4"/>
      <c r="P5" s="4579" t="s">
        <v>9243</v>
      </c>
      <c r="Q5" s="4579"/>
      <c r="R5" s="4579"/>
      <c r="S5" s="4579"/>
      <c r="T5" s="4579"/>
      <c r="U5" s="4579"/>
      <c r="V5" s="4579"/>
      <c r="Y5" s="5"/>
    </row>
    <row r="6" spans="1:25">
      <c r="A6" s="4"/>
      <c r="C6" s="4575"/>
      <c r="D6" s="4575"/>
      <c r="E6" s="4575"/>
      <c r="F6" s="4575"/>
      <c r="G6" s="4575"/>
      <c r="H6" s="4575"/>
      <c r="I6" s="4575"/>
      <c r="L6" s="5"/>
      <c r="M6" s="4"/>
      <c r="P6" s="4579"/>
      <c r="Q6" s="4579"/>
      <c r="R6" s="4579"/>
      <c r="S6" s="4579"/>
      <c r="T6" s="4579"/>
      <c r="U6" s="4579"/>
      <c r="V6" s="4579"/>
      <c r="Y6" s="5"/>
    </row>
    <row r="7" spans="1:25">
      <c r="A7" s="4"/>
      <c r="L7" s="5"/>
      <c r="M7" s="4"/>
      <c r="Y7" s="5"/>
    </row>
    <row r="8" spans="1:25">
      <c r="A8" s="4"/>
      <c r="L8" s="5"/>
      <c r="M8" s="4"/>
      <c r="Y8" s="5"/>
    </row>
    <row r="9" spans="1:25">
      <c r="A9" s="4"/>
      <c r="L9" s="5"/>
      <c r="M9" s="4"/>
      <c r="Y9" s="5"/>
    </row>
    <row r="10" spans="1:25">
      <c r="A10" s="4"/>
      <c r="L10" s="5"/>
      <c r="M10" s="4"/>
      <c r="Y10" s="5"/>
    </row>
    <row r="11" spans="1:25">
      <c r="A11" s="4"/>
      <c r="L11" s="5"/>
      <c r="M11" s="4"/>
      <c r="Y11" s="5"/>
    </row>
    <row r="12" spans="1:25">
      <c r="A12" s="4"/>
      <c r="L12" s="5"/>
      <c r="M12" s="4"/>
      <c r="Y12" s="5"/>
    </row>
    <row r="13" spans="1:25">
      <c r="A13" s="4"/>
      <c r="L13" s="5"/>
      <c r="M13" s="4"/>
      <c r="Y13" s="5"/>
    </row>
    <row r="14" spans="1:25">
      <c r="A14" s="4"/>
      <c r="L14" s="5"/>
      <c r="M14" s="4"/>
      <c r="Y14" s="5"/>
    </row>
    <row r="15" spans="1:25">
      <c r="A15" s="4"/>
      <c r="L15" s="5"/>
      <c r="M15" s="4"/>
      <c r="Y15" s="5"/>
    </row>
    <row r="16" spans="1:25">
      <c r="A16" s="4"/>
      <c r="L16" s="5"/>
      <c r="M16" s="4"/>
      <c r="Y16" s="5"/>
    </row>
    <row r="17" spans="1:25">
      <c r="A17" s="4"/>
      <c r="L17" s="5"/>
      <c r="M17" s="4"/>
      <c r="Y17" s="5"/>
    </row>
    <row r="18" spans="1:25">
      <c r="A18" s="4"/>
      <c r="L18" s="5"/>
      <c r="M18" s="4"/>
      <c r="Y18" s="5"/>
    </row>
    <row r="19" spans="1:25">
      <c r="A19" s="4"/>
      <c r="L19" s="5"/>
      <c r="M19" s="4"/>
      <c r="Y19" s="5"/>
    </row>
    <row r="20" spans="1:25">
      <c r="A20" s="4"/>
      <c r="L20" s="5"/>
      <c r="M20" s="4"/>
      <c r="Y20" s="5"/>
    </row>
    <row r="21" spans="1:25">
      <c r="A21" s="4"/>
      <c r="L21" s="5"/>
      <c r="M21" s="4"/>
      <c r="Y21" s="5"/>
    </row>
    <row r="22" spans="1:25">
      <c r="A22" s="4"/>
      <c r="L22" s="5"/>
      <c r="M22" s="4"/>
      <c r="Y22" s="5"/>
    </row>
    <row r="23" spans="1:25">
      <c r="A23" s="4"/>
      <c r="L23" s="5"/>
      <c r="M23" s="4"/>
      <c r="Y23" s="5"/>
    </row>
    <row r="24" spans="1:25">
      <c r="A24" s="4"/>
      <c r="L24" s="5"/>
      <c r="M24" s="4"/>
      <c r="Y24" s="5"/>
    </row>
    <row r="25" spans="1:25">
      <c r="A25" s="4"/>
      <c r="L25" s="5"/>
      <c r="M25" s="4"/>
      <c r="Y25" s="5"/>
    </row>
    <row r="26" spans="1:25">
      <c r="A26" s="4"/>
      <c r="L26" s="5"/>
      <c r="M26" s="4"/>
      <c r="Y26" s="5"/>
    </row>
    <row r="27" spans="1:25">
      <c r="A27" s="4"/>
      <c r="L27" s="5"/>
      <c r="M27" s="4"/>
      <c r="Y27" s="5"/>
    </row>
    <row r="28" spans="1:25">
      <c r="A28" s="4"/>
      <c r="L28" s="5"/>
      <c r="M28" s="4"/>
      <c r="Y28" s="5"/>
    </row>
    <row r="29" spans="1:25">
      <c r="A29" s="4"/>
      <c r="L29" s="5"/>
      <c r="M29" s="4"/>
      <c r="Y29" s="5"/>
    </row>
    <row r="30" spans="1:25">
      <c r="A30" s="4"/>
      <c r="L30" s="5"/>
      <c r="M30" s="4"/>
      <c r="Y30" s="5"/>
    </row>
    <row r="31" spans="1:25">
      <c r="A31" s="4"/>
      <c r="C31" s="2894" t="s">
        <v>9244</v>
      </c>
      <c r="D31" s="2851"/>
      <c r="E31" s="2851"/>
      <c r="F31" s="2851"/>
      <c r="G31" s="2851"/>
      <c r="H31" s="2851"/>
      <c r="I31" s="2851"/>
      <c r="J31" s="2851"/>
      <c r="L31" s="5"/>
      <c r="M31" s="4"/>
      <c r="Y31" s="5"/>
    </row>
    <row r="32" spans="1:25">
      <c r="A32" s="7"/>
      <c r="B32" s="8"/>
      <c r="C32" s="4576"/>
      <c r="D32" s="4576"/>
      <c r="E32" s="4576"/>
      <c r="F32" s="4576"/>
      <c r="G32" s="4576"/>
      <c r="H32" s="4576"/>
      <c r="I32" s="4576"/>
      <c r="J32" s="4576"/>
      <c r="K32" s="8"/>
      <c r="L32" s="9"/>
      <c r="M32" s="7"/>
      <c r="N32" s="8"/>
      <c r="O32" s="8"/>
      <c r="P32" s="8"/>
      <c r="Q32" s="8"/>
      <c r="R32" s="8"/>
      <c r="S32" s="8"/>
      <c r="T32" s="8"/>
      <c r="U32" s="8"/>
      <c r="V32" s="8"/>
      <c r="W32" s="8"/>
      <c r="X32" s="8"/>
      <c r="Y32" s="9"/>
    </row>
  </sheetData>
  <mergeCells count="7">
    <mergeCell ref="C1:I2"/>
    <mergeCell ref="C5:I6"/>
    <mergeCell ref="C31:J32"/>
    <mergeCell ref="P1:V2"/>
    <mergeCell ref="P3:V4"/>
    <mergeCell ref="P5:V6"/>
    <mergeCell ref="C3:I4"/>
  </mergeCells>
  <phoneticPr fontId="282" type="noConversion"/>
  <pageMargins left="0.75" right="0.75" top="1" bottom="1" header="0.5" footer="0.5"/>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 master="" otherUserPermission="visible">
    <arrUserId title="技能表以上" rangeCreator="" othersAccessPermission="edit"/>
    <arrUserId title="技能表往下" rangeCreator="" othersAccessPermission="edit"/>
    <arrUserId title="技能表以上_2" rangeCreator="" othersAccessPermission="edit"/>
    <arrUserId title="技能表往下_1" rangeCreator="" othersAccessPermission="edit"/>
    <arrUserId title="技能表往下_2" rangeCreator="" othersAccessPermission="edit"/>
    <arrUserId title="技能表以上_1_1" rangeCreator="" othersAccessPermission="edit"/>
    <arrUserId title="技能表以上_4" rangeCreator="" othersAccessPermission="edit"/>
    <arrUserId title="技能表以上_6" rangeCreator="" othersAccessPermission="edit"/>
    <arrUserId title="技能表以上_7" rangeCreator="" othersAccessPermission="edit"/>
    <arrUserId title="技能表以上_1_1_2" rangeCreator="" othersAccessPermission="edit"/>
    <arrUserId title="技能表以上_9" rangeCreator="" othersAccessPermission="edit"/>
    <arrUserId title="技能表以上_3_5" rangeCreator="" othersAccessPermission="edit"/>
    <arrUserId title="技能表以上_10" rangeCreator="" othersAccessPermission="edit"/>
    <arrUserId title="技能表以上_1_2" rangeCreator="" othersAccessPermission="edit"/>
    <arrUserId title="技能表以上_1_1_3" rangeCreator="" othersAccessPermission="edit"/>
    <arrUserId title="技能表以上_3_1" rangeCreator="" othersAccessPermission="edit"/>
    <arrUserId title="技能表以上_4_6" rangeCreator="" othersAccessPermission="edit"/>
  </rangeList>
  <rangeList sheetStid="7" master="" otherUserPermission="visible">
    <arrUserId title="技能表以上" rangeCreator="" othersAccessPermission="edit"/>
    <arrUserId title="技能表以上_1_1" rangeCreator="" othersAccessPermission="edit"/>
    <arrUserId title="技能表以上_10" rangeCreator="" othersAccessPermission="edit"/>
    <arrUserId title="技能表以上_1_2" rangeCreator="" othersAccessPermission="edit"/>
    <arrUserId title="技能表以上_1_1_3" rangeCreator="" othersAccessPermission="edit"/>
  </rangeList>
  <rangeList sheetStid="15" master="" otherUserPermission="visible">
    <arrUserId title="技能表往下" rangeCreator="" othersAccessPermission="edit"/>
  </rangeList>
  <rangeList sheetStid="3" master="" otherUserPermission="visible">
    <arrUserId title="技能表以上" rangeCreator="" othersAccessPermission="edit"/>
    <arrUserId title="技能表以上_1" rangeCreator="" othersAccessPermission="edit"/>
  </rangeList>
  <rangeList sheetStid="4" master="" otherUserPermission="visible"/>
  <rangeList sheetStid="5" master="" otherUserPermission="visible"/>
  <rangeList sheetStid="6" master="" otherUserPermission="visible"/>
  <rangeList sheetStid="8" master="" otherUserPermission="visible">
    <arrUserId title="技能表以上_1" rangeCreator="" othersAccessPermission="edit"/>
  </rangeList>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命名范围</vt:lpstr>
      </vt:variant>
      <vt:variant>
        <vt:i4>230</vt:i4>
      </vt:variant>
    </vt:vector>
  </HeadingPairs>
  <TitlesOfParts>
    <vt:vector size="245" baseType="lpstr">
      <vt:lpstr>人物卡</vt:lpstr>
      <vt:lpstr>附表</vt:lpstr>
      <vt:lpstr>成长经历</vt:lpstr>
      <vt:lpstr>简化卡 骰娘导入</vt:lpstr>
      <vt:lpstr>职业列表</vt:lpstr>
      <vt:lpstr>成长表（测试）</vt:lpstr>
      <vt:lpstr>本职技能</vt:lpstr>
      <vt:lpstr>技能注释</vt:lpstr>
      <vt:lpstr>属性注释</vt:lpstr>
      <vt:lpstr>资产及物价参考</vt:lpstr>
      <vt:lpstr>武器列表 战斗</vt:lpstr>
      <vt:lpstr>防具表 载具表</vt:lpstr>
      <vt:lpstr>疯狂表</vt:lpstr>
      <vt:lpstr>更新说明</vt:lpstr>
      <vt:lpstr>成长表展开教学</vt:lpstr>
      <vt:lpstr>APP</vt:lpstr>
      <vt:lpstr>APPA</vt:lpstr>
      <vt:lpstr>arti</vt:lpstr>
      <vt:lpstr>arting</vt:lpstr>
      <vt:lpstr>blast</vt:lpstr>
      <vt:lpstr>Blasting</vt:lpstr>
      <vt:lpstr>BMI</vt:lpstr>
      <vt:lpstr>CON</vt:lpstr>
      <vt:lpstr>CONA</vt:lpstr>
      <vt:lpstr>dbf</vt:lpstr>
      <vt:lpstr>dbfg</vt:lpstr>
      <vt:lpstr>dbfi</vt:lpstr>
      <vt:lpstr>dbfig</vt:lpstr>
      <vt:lpstr>dbo</vt:lpstr>
      <vt:lpstr>dbog</vt:lpstr>
      <vt:lpstr>dbt</vt:lpstr>
      <vt:lpstr>dbtg</vt:lpstr>
      <vt:lpstr>dbth</vt:lpstr>
      <vt:lpstr>dbthg</vt:lpstr>
      <vt:lpstr>DEX</vt:lpstr>
      <vt:lpstr>DEXA</vt:lpstr>
      <vt:lpstr>EDU</vt:lpstr>
      <vt:lpstr>EDUA</vt:lpstr>
      <vt:lpstr>elmaing</vt:lpstr>
      <vt:lpstr>fight</vt:lpstr>
      <vt:lpstr>fighting</vt:lpstr>
      <vt:lpstr>hp</vt:lpstr>
      <vt:lpstr>INT</vt:lpstr>
      <vt:lpstr>INTA</vt:lpstr>
      <vt:lpstr>Luck</vt:lpstr>
      <vt:lpstr>LuckA</vt:lpstr>
      <vt:lpstr>mema</vt:lpstr>
      <vt:lpstr>memaing</vt:lpstr>
      <vt:lpstr>MP</vt:lpstr>
      <vt:lpstr>pistol</vt:lpstr>
      <vt:lpstr>pistoling</vt:lpstr>
      <vt:lpstr>POW</vt:lpstr>
      <vt:lpstr>POWA</vt:lpstr>
      <vt:lpstr>SAN</vt:lpstr>
      <vt:lpstr>shf</vt:lpstr>
      <vt:lpstr>shfg</vt:lpstr>
      <vt:lpstr>shfi</vt:lpstr>
      <vt:lpstr>shfig</vt:lpstr>
      <vt:lpstr>sho</vt:lpstr>
      <vt:lpstr>shog</vt:lpstr>
      <vt:lpstr>sht</vt:lpstr>
      <vt:lpstr>shtg</vt:lpstr>
      <vt:lpstr>shth</vt:lpstr>
      <vt:lpstr>shthg</vt:lpstr>
      <vt:lpstr>SIZ</vt:lpstr>
      <vt:lpstr>SIZA</vt:lpstr>
      <vt:lpstr>STR</vt:lpstr>
      <vt:lpstr>STRA</vt:lpstr>
      <vt:lpstr>throw</vt:lpstr>
      <vt:lpstr>throwing</vt:lpstr>
      <vt:lpstr>阿尔巴尼亚</vt:lpstr>
      <vt:lpstr>阿尔及利亚</vt:lpstr>
      <vt:lpstr>阿富汗</vt:lpstr>
      <vt:lpstr>阿根廷</vt:lpstr>
      <vt:lpstr>阿拉伯联合酋长国</vt:lpstr>
      <vt:lpstr>阿曼</vt:lpstr>
      <vt:lpstr>阿塞拜疆</vt:lpstr>
      <vt:lpstr>埃及</vt:lpstr>
      <vt:lpstr>埃塞俄比亚</vt:lpstr>
      <vt:lpstr>爱尔兰</vt:lpstr>
      <vt:lpstr>爱沙尼亚</vt:lpstr>
      <vt:lpstr>安道尔</vt:lpstr>
      <vt:lpstr>安哥拉</vt:lpstr>
      <vt:lpstr>奥地利</vt:lpstr>
      <vt:lpstr>巴基斯坦</vt:lpstr>
      <vt:lpstr>巴拉圭</vt:lpstr>
      <vt:lpstr>巴勒斯坦</vt:lpstr>
      <vt:lpstr>巴林</vt:lpstr>
      <vt:lpstr>巴拿马</vt:lpstr>
      <vt:lpstr>巴西</vt:lpstr>
      <vt:lpstr>白俄罗斯</vt:lpstr>
      <vt:lpstr>百慕大群岛</vt:lpstr>
      <vt:lpstr>保加利亚</vt:lpstr>
      <vt:lpstr>贝宁</vt:lpstr>
      <vt:lpstr>比利时</vt:lpstr>
      <vt:lpstr>冰岛</vt:lpstr>
      <vt:lpstr>波兰</vt:lpstr>
      <vt:lpstr>波斯尼亚和黑塞哥维那</vt:lpstr>
      <vt:lpstr>玻利维亚</vt:lpstr>
      <vt:lpstr>伯利兹</vt:lpstr>
      <vt:lpstr>博茨瓦纳</vt:lpstr>
      <vt:lpstr>不丹</vt:lpstr>
      <vt:lpstr>布基纳法索</vt:lpstr>
      <vt:lpstr>布隆迪</vt:lpstr>
      <vt:lpstr>朝鲜</vt:lpstr>
      <vt:lpstr>赤道几内亚</vt:lpstr>
      <vt:lpstr>丹麦</vt:lpstr>
      <vt:lpstr>德国</vt:lpstr>
      <vt:lpstr>东帝汶</vt:lpstr>
      <vt:lpstr>多哥</vt:lpstr>
      <vt:lpstr>俄罗斯</vt:lpstr>
      <vt:lpstr>厄瓜多尔</vt:lpstr>
      <vt:lpstr>厄立特里亚</vt:lpstr>
      <vt:lpstr>法国</vt:lpstr>
      <vt:lpstr>法罗群岛</vt:lpstr>
      <vt:lpstr>法属圭亚那</vt:lpstr>
      <vt:lpstr>梵蒂冈</vt:lpstr>
      <vt:lpstr>菲律宾</vt:lpstr>
      <vt:lpstr>芬兰</vt:lpstr>
      <vt:lpstr>佛得角</vt:lpstr>
      <vt:lpstr>福克兰群岛</vt:lpstr>
      <vt:lpstr>冈比亚</vt:lpstr>
      <vt:lpstr>刚果_布</vt:lpstr>
      <vt:lpstr>刚果_金</vt:lpstr>
      <vt:lpstr>哥伦比亚</vt:lpstr>
      <vt:lpstr>哥斯达黎加</vt:lpstr>
      <vt:lpstr>格陵兰</vt:lpstr>
      <vt:lpstr>格鲁吉亚</vt:lpstr>
      <vt:lpstr>圭亚那</vt:lpstr>
      <vt:lpstr>国家</vt:lpstr>
      <vt:lpstr>哈萨克斯坦</vt:lpstr>
      <vt:lpstr>韩国</vt:lpstr>
      <vt:lpstr>荷兰</vt:lpstr>
      <vt:lpstr>黑山</vt:lpstr>
      <vt:lpstr>洪都拉斯</vt:lpstr>
      <vt:lpstr>吉布提</vt:lpstr>
      <vt:lpstr>吉尔吉斯斯坦</vt:lpstr>
      <vt:lpstr>几内亚</vt:lpstr>
      <vt:lpstr>几内亚比绍</vt:lpstr>
      <vt:lpstr>加拿大</vt:lpstr>
      <vt:lpstr>加纳</vt:lpstr>
      <vt:lpstr>加蓬</vt:lpstr>
      <vt:lpstr>柬埔寨</vt:lpstr>
      <vt:lpstr>捷克</vt:lpstr>
      <vt:lpstr>津巴布韦</vt:lpstr>
      <vt:lpstr>喀麦隆</vt:lpstr>
      <vt:lpstr>卡塔尔</vt:lpstr>
      <vt:lpstr>科摩罗</vt:lpstr>
      <vt:lpstr>科特迪瓦</vt:lpstr>
      <vt:lpstr>科威特</vt:lpstr>
      <vt:lpstr>克罗地亚</vt:lpstr>
      <vt:lpstr>肯尼亚</vt:lpstr>
      <vt:lpstr>拉脱维亚</vt:lpstr>
      <vt:lpstr>莱索托</vt:lpstr>
      <vt:lpstr>老挝</vt:lpstr>
      <vt:lpstr>黎巴嫩</vt:lpstr>
      <vt:lpstr>立陶宛</vt:lpstr>
      <vt:lpstr>利比里亚</vt:lpstr>
      <vt:lpstr>利比亚</vt:lpstr>
      <vt:lpstr>列支敦士登</vt:lpstr>
      <vt:lpstr>卢森堡</vt:lpstr>
      <vt:lpstr>卢旺达</vt:lpstr>
      <vt:lpstr>罗马尼亚</vt:lpstr>
      <vt:lpstr>马达加斯加</vt:lpstr>
      <vt:lpstr>马尔代夫</vt:lpstr>
      <vt:lpstr>马耳他</vt:lpstr>
      <vt:lpstr>马拉维</vt:lpstr>
      <vt:lpstr>马来西亚</vt:lpstr>
      <vt:lpstr>马里</vt:lpstr>
      <vt:lpstr>马其顿</vt:lpstr>
      <vt:lpstr>毛里求斯</vt:lpstr>
      <vt:lpstr>毛里塔尼亚</vt:lpstr>
      <vt:lpstr>美国</vt:lpstr>
      <vt:lpstr>蒙古</vt:lpstr>
      <vt:lpstr>孟加拉国</vt:lpstr>
      <vt:lpstr>秘鲁</vt:lpstr>
      <vt:lpstr>缅甸</vt:lpstr>
      <vt:lpstr>摩尔多瓦</vt:lpstr>
      <vt:lpstr>摩洛哥</vt:lpstr>
      <vt:lpstr>摩纳哥</vt:lpstr>
      <vt:lpstr>莫桑比克</vt:lpstr>
      <vt:lpstr>墨西哥</vt:lpstr>
      <vt:lpstr>纳米比亚</vt:lpstr>
      <vt:lpstr>南非共和国</vt:lpstr>
      <vt:lpstr>南乔治亚岛和南桑威奇群岛</vt:lpstr>
      <vt:lpstr>南苏丹</vt:lpstr>
      <vt:lpstr>尼加拉瓜</vt:lpstr>
      <vt:lpstr>尼泊尔</vt:lpstr>
      <vt:lpstr>尼日尔</vt:lpstr>
      <vt:lpstr>尼日利亚</vt:lpstr>
      <vt:lpstr>挪威</vt:lpstr>
      <vt:lpstr>葡萄牙</vt:lpstr>
      <vt:lpstr>日本</vt:lpstr>
      <vt:lpstr>瑞典</vt:lpstr>
      <vt:lpstr>瑞士</vt:lpstr>
      <vt:lpstr>萨尔瓦多</vt:lpstr>
      <vt:lpstr>塞尔维亚</vt:lpstr>
      <vt:lpstr>塞拉利昂</vt:lpstr>
      <vt:lpstr>塞内加尔</vt:lpstr>
      <vt:lpstr>塞舌尔</vt:lpstr>
      <vt:lpstr>沙特阿拉伯</vt:lpstr>
      <vt:lpstr>圣多美和普林西比</vt:lpstr>
      <vt:lpstr>圣马力诺</vt:lpstr>
      <vt:lpstr>圣皮埃尔和密克隆群岛</vt:lpstr>
      <vt:lpstr>斯里兰卡</vt:lpstr>
      <vt:lpstr>斯洛伐克</vt:lpstr>
      <vt:lpstr>斯洛文尼亚</vt:lpstr>
      <vt:lpstr>斯威士兰</vt:lpstr>
      <vt:lpstr>苏丹</vt:lpstr>
      <vt:lpstr>苏里南</vt:lpstr>
      <vt:lpstr>索马里</vt:lpstr>
      <vt:lpstr>塔吉克斯坦</vt:lpstr>
      <vt:lpstr>泰国</vt:lpstr>
      <vt:lpstr>坦桑尼亚</vt:lpstr>
      <vt:lpstr>突尼斯</vt:lpstr>
      <vt:lpstr>土耳其</vt:lpstr>
      <vt:lpstr>土库曼斯坦</vt:lpstr>
      <vt:lpstr>危地马拉</vt:lpstr>
      <vt:lpstr>委内瑞拉</vt:lpstr>
      <vt:lpstr>文莱</vt:lpstr>
      <vt:lpstr>乌干达</vt:lpstr>
      <vt:lpstr>乌克兰</vt:lpstr>
      <vt:lpstr>乌拉圭</vt:lpstr>
      <vt:lpstr>乌兹别克斯坦</vt:lpstr>
      <vt:lpstr>西班牙</vt:lpstr>
      <vt:lpstr>希腊</vt:lpstr>
      <vt:lpstr>新加坡</vt:lpstr>
      <vt:lpstr>匈牙利</vt:lpstr>
      <vt:lpstr>叙利亚</vt:lpstr>
      <vt:lpstr>亚美尼亚</vt:lpstr>
      <vt:lpstr>也门</vt:lpstr>
      <vt:lpstr>伊拉克</vt:lpstr>
      <vt:lpstr>伊朗</vt:lpstr>
      <vt:lpstr>以色列</vt:lpstr>
      <vt:lpstr>意大利</vt:lpstr>
      <vt:lpstr>印度</vt:lpstr>
      <vt:lpstr>印度尼西亚</vt:lpstr>
      <vt:lpstr>英国</vt:lpstr>
      <vt:lpstr>约旦</vt:lpstr>
      <vt:lpstr>越南</vt:lpstr>
      <vt:lpstr>赞比亚</vt:lpstr>
      <vt:lpstr>乍得</vt:lpstr>
      <vt:lpstr>智利</vt:lpstr>
      <vt:lpstr>中非共和国</vt:lpstr>
      <vt:lpstr>中国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25711</dc:creator>
  <cp:lastModifiedBy>ruixi Yang</cp:lastModifiedBy>
  <dcterms:created xsi:type="dcterms:W3CDTF">2024-03-13T09:40:00Z</dcterms:created>
  <dcterms:modified xsi:type="dcterms:W3CDTF">2026-03-22T04:39:15Z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0AB7943271CF412B8633AA771140DDA1_11</vt:lpwstr>
  </property>
  <property fmtid="{D5CDD505-2E9C-101B-9397-08002B2CF9AE}" pid="3" name="KSOProductBuildVer">
    <vt:lpwstr>2052-12.1.0.24657</vt:lpwstr>
  </property>
  <property fmtid="{D5CDD505-2E9C-101B-9397-08002B2CF9AE}" pid="4" name="KSOReadingLayout">
    <vt:bool>false</vt:bool>
  </property>
  <property fmtid="{D5CDD505-2E9C-101B-9397-08002B2CF9AE}" pid="5" name="CalculationRule">
    <vt:i4>0</vt:i4>
  </property>
</Properties>
</file>