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nSprout/Desktop/"/>
    </mc:Choice>
  </mc:AlternateContent>
  <xr:revisionPtr revIDLastSave="0" documentId="13_ncr:1_{32DACC9F-D3CD-DD47-935B-1CC95BE2BCFB}" xr6:coauthVersionLast="43" xr6:coauthVersionMax="45" xr10:uidLastSave="{00000000-0000-0000-0000-000000000000}"/>
  <bookViews>
    <workbookView xWindow="620" yWindow="720" windowWidth="26520" windowHeight="16560" firstSheet="1" activeTab="14" xr2:uid="{664E94DE-ED58-1841-BC56-705B86285416}"/>
  </bookViews>
  <sheets>
    <sheet name="selected 10 bonds" sheetId="5" r:id="rId1"/>
    <sheet name="all bonds" sheetId="4" r:id="rId2"/>
    <sheet name="1.2" sheetId="6" r:id="rId3"/>
    <sheet name="1.3" sheetId="7" r:id="rId4"/>
    <sheet name="1.6" sheetId="8" r:id="rId5"/>
    <sheet name="1.7" sheetId="9" r:id="rId6"/>
    <sheet name="1.8" sheetId="10" r:id="rId7"/>
    <sheet name="1.9" sheetId="11" r:id="rId8"/>
    <sheet name="1.10" sheetId="12" r:id="rId9"/>
    <sheet name="1.13" sheetId="13" r:id="rId10"/>
    <sheet name="1.14" sheetId="14" r:id="rId11"/>
    <sheet name="1.15" sheetId="15" r:id="rId12"/>
    <sheet name="Sheet3" sheetId="18" r:id="rId13"/>
    <sheet name="Sheet4" sheetId="19" r:id="rId14"/>
    <sheet name="Chats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8" l="1"/>
  <c r="E10" i="18"/>
  <c r="B3" i="19"/>
  <c r="N11" i="15"/>
  <c r="N10" i="15"/>
  <c r="N9" i="15"/>
  <c r="N8" i="15"/>
  <c r="N7" i="15"/>
  <c r="N6" i="15"/>
  <c r="N5" i="15"/>
  <c r="N4" i="15"/>
  <c r="N3" i="15"/>
  <c r="N2" i="15"/>
  <c r="N11" i="14"/>
  <c r="N10" i="14"/>
  <c r="N9" i="14"/>
  <c r="N8" i="14"/>
  <c r="N7" i="14"/>
  <c r="N6" i="14"/>
  <c r="N5" i="14"/>
  <c r="N4" i="14"/>
  <c r="N3" i="14"/>
  <c r="N2" i="14"/>
  <c r="N11" i="13"/>
  <c r="N10" i="13"/>
  <c r="N9" i="13"/>
  <c r="N8" i="13"/>
  <c r="N7" i="13"/>
  <c r="N6" i="13"/>
  <c r="N5" i="13"/>
  <c r="N4" i="13"/>
  <c r="N3" i="13"/>
  <c r="N2" i="13"/>
  <c r="N6" i="12"/>
  <c r="N9" i="12" s="1"/>
  <c r="N7" i="12"/>
  <c r="N5" i="12"/>
  <c r="N4" i="12"/>
  <c r="N3" i="12"/>
  <c r="N2" i="12"/>
  <c r="N11" i="11"/>
  <c r="N10" i="11"/>
  <c r="N9" i="11"/>
  <c r="N8" i="11"/>
  <c r="N7" i="11"/>
  <c r="N6" i="11"/>
  <c r="N5" i="11"/>
  <c r="N4" i="11"/>
  <c r="N3" i="11"/>
  <c r="N2" i="11"/>
  <c r="N11" i="10"/>
  <c r="N10" i="10"/>
  <c r="N9" i="10"/>
  <c r="N8" i="10"/>
  <c r="N7" i="10"/>
  <c r="N6" i="10"/>
  <c r="N4" i="10"/>
  <c r="N3" i="10"/>
  <c r="N2" i="10"/>
  <c r="N11" i="9"/>
  <c r="N10" i="9"/>
  <c r="N9" i="9"/>
  <c r="N8" i="9"/>
  <c r="N7" i="9"/>
  <c r="N6" i="9"/>
  <c r="N5" i="9"/>
  <c r="N4" i="9"/>
  <c r="N3" i="9"/>
  <c r="N2" i="9"/>
  <c r="N3" i="8"/>
  <c r="N4" i="8"/>
  <c r="N5" i="8" s="1"/>
  <c r="N2" i="8"/>
  <c r="O3" i="7"/>
  <c r="O3" i="15"/>
  <c r="O4" i="15"/>
  <c r="O5" i="15"/>
  <c r="O6" i="15"/>
  <c r="O7" i="15"/>
  <c r="O8" i="15"/>
  <c r="O9" i="15"/>
  <c r="O10" i="15"/>
  <c r="O11" i="15"/>
  <c r="O2" i="15"/>
  <c r="O3" i="14"/>
  <c r="O4" i="14"/>
  <c r="O5" i="14"/>
  <c r="O6" i="14"/>
  <c r="O7" i="14"/>
  <c r="O8" i="14"/>
  <c r="O9" i="14"/>
  <c r="O10" i="14"/>
  <c r="O11" i="14"/>
  <c r="O2" i="14"/>
  <c r="O3" i="13"/>
  <c r="O4" i="13"/>
  <c r="O5" i="13"/>
  <c r="O6" i="13"/>
  <c r="O7" i="13"/>
  <c r="O8" i="13"/>
  <c r="O9" i="13"/>
  <c r="O10" i="13"/>
  <c r="O11" i="13"/>
  <c r="O2" i="13"/>
  <c r="O3" i="12"/>
  <c r="O4" i="12"/>
  <c r="O5" i="12"/>
  <c r="O6" i="12"/>
  <c r="O7" i="12"/>
  <c r="O8" i="12"/>
  <c r="O9" i="12"/>
  <c r="O10" i="12"/>
  <c r="O11" i="12"/>
  <c r="O2" i="12"/>
  <c r="O3" i="11"/>
  <c r="O4" i="11"/>
  <c r="O5" i="11"/>
  <c r="O6" i="11"/>
  <c r="O7" i="11"/>
  <c r="O8" i="11"/>
  <c r="O9" i="11"/>
  <c r="O10" i="11"/>
  <c r="O11" i="11"/>
  <c r="O2" i="11"/>
  <c r="O3" i="10"/>
  <c r="O4" i="10"/>
  <c r="O5" i="10"/>
  <c r="O6" i="10"/>
  <c r="O7" i="10"/>
  <c r="O8" i="10"/>
  <c r="O9" i="10"/>
  <c r="O10" i="10"/>
  <c r="O11" i="10"/>
  <c r="O2" i="10"/>
  <c r="O3" i="9"/>
  <c r="O4" i="9"/>
  <c r="O5" i="9"/>
  <c r="O6" i="9"/>
  <c r="O7" i="9"/>
  <c r="O8" i="9"/>
  <c r="O9" i="9"/>
  <c r="O10" i="9"/>
  <c r="O11" i="9"/>
  <c r="O2" i="9"/>
  <c r="H2" i="8"/>
  <c r="H3" i="8"/>
  <c r="H4" i="8"/>
  <c r="H5" i="8"/>
  <c r="H6" i="8"/>
  <c r="H7" i="8"/>
  <c r="H8" i="8"/>
  <c r="H9" i="8"/>
  <c r="H10" i="8"/>
  <c r="H11" i="8"/>
  <c r="O4" i="7"/>
  <c r="O5" i="7" s="1"/>
  <c r="O2" i="7"/>
  <c r="P22" i="6"/>
  <c r="P21" i="6"/>
  <c r="P20" i="6"/>
  <c r="P19" i="6"/>
  <c r="P18" i="6"/>
  <c r="P17" i="6"/>
  <c r="P16" i="6"/>
  <c r="P15" i="6"/>
  <c r="P14" i="6"/>
  <c r="P13" i="6"/>
  <c r="N10" i="12" l="1"/>
  <c r="N11" i="12" s="1"/>
  <c r="N8" i="12"/>
  <c r="N5" i="10"/>
  <c r="N7" i="8"/>
  <c r="N6" i="8"/>
  <c r="O7" i="7"/>
  <c r="O6" i="7"/>
  <c r="P2" i="6"/>
  <c r="P3" i="6"/>
  <c r="A1" i="19"/>
  <c r="B1" i="19"/>
  <c r="C1" i="19"/>
  <c r="D1" i="19"/>
  <c r="J1" i="19"/>
  <c r="I1" i="19"/>
  <c r="H1" i="19"/>
  <c r="G1" i="19"/>
  <c r="F1" i="19"/>
  <c r="E1" i="19"/>
  <c r="N8" i="8" l="1"/>
  <c r="N9" i="8"/>
  <c r="O8" i="7"/>
  <c r="O9" i="7"/>
  <c r="F30" i="18"/>
  <c r="F29" i="18"/>
  <c r="F28" i="18"/>
  <c r="F27" i="18"/>
  <c r="F26" i="18"/>
  <c r="F22" i="18"/>
  <c r="E30" i="18"/>
  <c r="E29" i="18"/>
  <c r="E28" i="18"/>
  <c r="E27" i="18"/>
  <c r="E26" i="18"/>
  <c r="E25" i="18"/>
  <c r="E22" i="18"/>
  <c r="D30" i="18"/>
  <c r="D29" i="18"/>
  <c r="D28" i="18"/>
  <c r="D27" i="18"/>
  <c r="D26" i="18"/>
  <c r="D25" i="18"/>
  <c r="D22" i="18"/>
  <c r="C30" i="18"/>
  <c r="C29" i="18"/>
  <c r="C28" i="18"/>
  <c r="C27" i="18"/>
  <c r="C26" i="18"/>
  <c r="C25" i="18"/>
  <c r="C22" i="18"/>
  <c r="B30" i="18"/>
  <c r="B29" i="18"/>
  <c r="B28" i="18"/>
  <c r="B27" i="18"/>
  <c r="B26" i="18"/>
  <c r="B25" i="18"/>
  <c r="B22" i="18"/>
  <c r="E19" i="18"/>
  <c r="F25" i="18" s="1"/>
  <c r="F19" i="18"/>
  <c r="G19" i="18"/>
  <c r="H19" i="18"/>
  <c r="I19" i="18"/>
  <c r="J19" i="18"/>
  <c r="E18" i="18"/>
  <c r="F18" i="18"/>
  <c r="G18" i="18"/>
  <c r="H18" i="18"/>
  <c r="I18" i="18"/>
  <c r="J18" i="18"/>
  <c r="E17" i="18"/>
  <c r="F17" i="18"/>
  <c r="G17" i="18"/>
  <c r="H17" i="18"/>
  <c r="I17" i="18"/>
  <c r="J17" i="18"/>
  <c r="B19" i="18"/>
  <c r="B18" i="18"/>
  <c r="B17" i="18"/>
  <c r="B16" i="18"/>
  <c r="E16" i="18"/>
  <c r="F16" i="18"/>
  <c r="G16" i="18"/>
  <c r="H16" i="18"/>
  <c r="I16" i="18"/>
  <c r="J16" i="18"/>
  <c r="E15" i="18"/>
  <c r="F15" i="18"/>
  <c r="G15" i="18"/>
  <c r="H15" i="18"/>
  <c r="I15" i="18"/>
  <c r="J15" i="18"/>
  <c r="B15" i="18"/>
  <c r="C1" i="18"/>
  <c r="D1" i="18"/>
  <c r="E1" i="18"/>
  <c r="F1" i="18"/>
  <c r="G1" i="18"/>
  <c r="H1" i="18"/>
  <c r="I1" i="18"/>
  <c r="J1" i="18"/>
  <c r="K1" i="18"/>
  <c r="B1" i="18"/>
  <c r="K2" i="18"/>
  <c r="K3" i="18"/>
  <c r="K4" i="18"/>
  <c r="K5" i="18"/>
  <c r="K6" i="18"/>
  <c r="K7" i="18"/>
  <c r="K8" i="18"/>
  <c r="K9" i="18"/>
  <c r="K10" i="18"/>
  <c r="K11" i="18"/>
  <c r="J2" i="18"/>
  <c r="J3" i="18"/>
  <c r="J4" i="18"/>
  <c r="J5" i="18"/>
  <c r="J6" i="18"/>
  <c r="J7" i="18"/>
  <c r="J8" i="18"/>
  <c r="J9" i="18"/>
  <c r="J10" i="18"/>
  <c r="J11" i="18"/>
  <c r="I2" i="18"/>
  <c r="I3" i="18"/>
  <c r="I4" i="18"/>
  <c r="I5" i="18"/>
  <c r="I6" i="18"/>
  <c r="I7" i="18"/>
  <c r="I8" i="18"/>
  <c r="I9" i="18"/>
  <c r="I10" i="18"/>
  <c r="I11" i="18"/>
  <c r="H2" i="18"/>
  <c r="H3" i="18"/>
  <c r="H4" i="18"/>
  <c r="H5" i="18"/>
  <c r="H6" i="18"/>
  <c r="H7" i="18"/>
  <c r="H8" i="18"/>
  <c r="H9" i="18"/>
  <c r="H10" i="18"/>
  <c r="H11" i="18"/>
  <c r="G2" i="18"/>
  <c r="G3" i="18"/>
  <c r="G4" i="18"/>
  <c r="G5" i="18"/>
  <c r="G6" i="18"/>
  <c r="G7" i="18"/>
  <c r="G8" i="18"/>
  <c r="G9" i="18"/>
  <c r="G10" i="18"/>
  <c r="G11" i="18"/>
  <c r="F2" i="18"/>
  <c r="F3" i="18"/>
  <c r="F4" i="18"/>
  <c r="F5" i="18"/>
  <c r="F6" i="18"/>
  <c r="F7" i="18"/>
  <c r="F8" i="18"/>
  <c r="F9" i="18"/>
  <c r="F10" i="18"/>
  <c r="F11" i="18"/>
  <c r="E2" i="18"/>
  <c r="E3" i="18"/>
  <c r="E4" i="18"/>
  <c r="E5" i="18"/>
  <c r="E6" i="18"/>
  <c r="E7" i="18"/>
  <c r="E8" i="18"/>
  <c r="E9" i="18"/>
  <c r="C2" i="18"/>
  <c r="C3" i="18"/>
  <c r="C4" i="18"/>
  <c r="C5" i="18"/>
  <c r="C6" i="18"/>
  <c r="C7" i="18"/>
  <c r="C8" i="18"/>
  <c r="C9" i="18"/>
  <c r="C10" i="18"/>
  <c r="C11" i="18"/>
  <c r="B2" i="18"/>
  <c r="B3" i="18"/>
  <c r="B4" i="18"/>
  <c r="B5" i="18"/>
  <c r="B6" i="18"/>
  <c r="B7" i="18"/>
  <c r="B8" i="18"/>
  <c r="B9" i="18"/>
  <c r="B10" i="18"/>
  <c r="B11" i="18"/>
  <c r="P2" i="7"/>
  <c r="B2" i="19" s="1"/>
  <c r="A8" i="19" s="1"/>
  <c r="M3" i="15"/>
  <c r="M4" i="15"/>
  <c r="M5" i="15"/>
  <c r="M6" i="15"/>
  <c r="M7" i="15"/>
  <c r="M8" i="15"/>
  <c r="M9" i="15"/>
  <c r="M10" i="15"/>
  <c r="M11" i="15"/>
  <c r="M2" i="15"/>
  <c r="M3" i="14"/>
  <c r="M4" i="14"/>
  <c r="M5" i="14"/>
  <c r="M6" i="14"/>
  <c r="M7" i="14"/>
  <c r="M8" i="14"/>
  <c r="M9" i="14"/>
  <c r="M10" i="14"/>
  <c r="M11" i="14"/>
  <c r="M2" i="14"/>
  <c r="M3" i="13"/>
  <c r="M4" i="13"/>
  <c r="M5" i="13"/>
  <c r="M6" i="13"/>
  <c r="M7" i="13"/>
  <c r="M8" i="13"/>
  <c r="M9" i="13"/>
  <c r="M10" i="13"/>
  <c r="M11" i="13"/>
  <c r="M2" i="13"/>
  <c r="M3" i="12"/>
  <c r="M4" i="12"/>
  <c r="M5" i="12"/>
  <c r="M6" i="12"/>
  <c r="M7" i="12"/>
  <c r="M8" i="12"/>
  <c r="M9" i="12"/>
  <c r="M10" i="12"/>
  <c r="M11" i="12"/>
  <c r="M2" i="12"/>
  <c r="M3" i="11"/>
  <c r="M4" i="11"/>
  <c r="M5" i="11"/>
  <c r="M6" i="11"/>
  <c r="M7" i="11"/>
  <c r="M8" i="11"/>
  <c r="M9" i="11"/>
  <c r="M10" i="11"/>
  <c r="M11" i="11"/>
  <c r="M2" i="11"/>
  <c r="M3" i="10"/>
  <c r="M4" i="10"/>
  <c r="M5" i="10"/>
  <c r="M6" i="10"/>
  <c r="M7" i="10"/>
  <c r="M8" i="10"/>
  <c r="M9" i="10"/>
  <c r="M10" i="10"/>
  <c r="M11" i="10"/>
  <c r="M2" i="10"/>
  <c r="M3" i="9"/>
  <c r="M4" i="9"/>
  <c r="M5" i="9"/>
  <c r="M6" i="9"/>
  <c r="M7" i="9"/>
  <c r="M8" i="9"/>
  <c r="M9" i="9"/>
  <c r="M10" i="9"/>
  <c r="M11" i="9"/>
  <c r="M2" i="9"/>
  <c r="P5" i="9"/>
  <c r="D5" i="19" s="1"/>
  <c r="D10" i="19" s="1"/>
  <c r="N3" i="7"/>
  <c r="N4" i="7"/>
  <c r="N5" i="7"/>
  <c r="N6" i="7"/>
  <c r="N7" i="7"/>
  <c r="N8" i="7"/>
  <c r="N9" i="7"/>
  <c r="N10" i="7"/>
  <c r="N11" i="7"/>
  <c r="N2" i="7"/>
  <c r="N3" i="6"/>
  <c r="N4" i="6"/>
  <c r="N5" i="6"/>
  <c r="N6" i="6"/>
  <c r="N7" i="6"/>
  <c r="N8" i="6"/>
  <c r="N9" i="6"/>
  <c r="N10" i="6"/>
  <c r="N11" i="6"/>
  <c r="N2" i="6"/>
  <c r="P5" i="15"/>
  <c r="J5" i="19" s="1"/>
  <c r="D16" i="19" s="1"/>
  <c r="P4" i="15"/>
  <c r="J4" i="19" s="1"/>
  <c r="C16" i="19" s="1"/>
  <c r="P3" i="15"/>
  <c r="J3" i="19" s="1"/>
  <c r="B16" i="19" s="1"/>
  <c r="P2" i="15"/>
  <c r="J2" i="19" s="1"/>
  <c r="A16" i="19" s="1"/>
  <c r="P5" i="14"/>
  <c r="I5" i="19" s="1"/>
  <c r="D15" i="19" s="1"/>
  <c r="P4" i="14"/>
  <c r="I4" i="19" s="1"/>
  <c r="C15" i="19" s="1"/>
  <c r="P3" i="14"/>
  <c r="I3" i="19" s="1"/>
  <c r="B15" i="19" s="1"/>
  <c r="P2" i="14"/>
  <c r="I2" i="19" s="1"/>
  <c r="A15" i="19" s="1"/>
  <c r="P5" i="13"/>
  <c r="H5" i="19" s="1"/>
  <c r="D14" i="19" s="1"/>
  <c r="P4" i="13"/>
  <c r="H4" i="19" s="1"/>
  <c r="C14" i="19" s="1"/>
  <c r="P3" i="13"/>
  <c r="H3" i="19" s="1"/>
  <c r="B14" i="19" s="1"/>
  <c r="P2" i="13"/>
  <c r="H2" i="19" s="1"/>
  <c r="A14" i="19" s="1"/>
  <c r="P5" i="12"/>
  <c r="G5" i="19" s="1"/>
  <c r="D13" i="19" s="1"/>
  <c r="P4" i="12"/>
  <c r="G4" i="19" s="1"/>
  <c r="C13" i="19" s="1"/>
  <c r="P3" i="12"/>
  <c r="G3" i="19" s="1"/>
  <c r="B13" i="19" s="1"/>
  <c r="P2" i="12"/>
  <c r="G2" i="19" s="1"/>
  <c r="A13" i="19" s="1"/>
  <c r="P5" i="11"/>
  <c r="F5" i="19" s="1"/>
  <c r="D12" i="19" s="1"/>
  <c r="P4" i="11"/>
  <c r="F4" i="19" s="1"/>
  <c r="C12" i="19" s="1"/>
  <c r="P3" i="11"/>
  <c r="F3" i="19" s="1"/>
  <c r="B12" i="19" s="1"/>
  <c r="P2" i="11"/>
  <c r="F2" i="19" s="1"/>
  <c r="A12" i="19" s="1"/>
  <c r="P5" i="10"/>
  <c r="E5" i="19" s="1"/>
  <c r="D11" i="19" s="1"/>
  <c r="P4" i="10"/>
  <c r="E4" i="19" s="1"/>
  <c r="C11" i="19" s="1"/>
  <c r="P3" i="10"/>
  <c r="E3" i="19" s="1"/>
  <c r="B11" i="19" s="1"/>
  <c r="P2" i="10"/>
  <c r="E2" i="19" s="1"/>
  <c r="A11" i="19" s="1"/>
  <c r="P4" i="9"/>
  <c r="D4" i="19" s="1"/>
  <c r="C10" i="19" s="1"/>
  <c r="P3" i="9"/>
  <c r="D3" i="19" s="1"/>
  <c r="B10" i="19" s="1"/>
  <c r="P2" i="9"/>
  <c r="D2" i="19" s="1"/>
  <c r="A10" i="19" s="1"/>
  <c r="P3" i="8"/>
  <c r="C3" i="19" s="1"/>
  <c r="B9" i="19" s="1"/>
  <c r="P2" i="8"/>
  <c r="C2" i="19" s="1"/>
  <c r="A9" i="19" s="1"/>
  <c r="P3" i="7"/>
  <c r="B8" i="19" s="1"/>
  <c r="G10" i="6"/>
  <c r="H10" i="6" s="1"/>
  <c r="I10" i="6" s="1"/>
  <c r="L3" i="15"/>
  <c r="L4" i="15"/>
  <c r="L5" i="15"/>
  <c r="L6" i="15"/>
  <c r="L7" i="15"/>
  <c r="L8" i="15"/>
  <c r="L9" i="15"/>
  <c r="L10" i="15"/>
  <c r="L11" i="15"/>
  <c r="L2" i="15"/>
  <c r="K3" i="15"/>
  <c r="K4" i="15"/>
  <c r="K5" i="15"/>
  <c r="K6" i="15"/>
  <c r="K7" i="15"/>
  <c r="K8" i="15"/>
  <c r="K9" i="15"/>
  <c r="K10" i="15"/>
  <c r="K11" i="15"/>
  <c r="K2" i="15"/>
  <c r="J3" i="15"/>
  <c r="J4" i="15"/>
  <c r="J5" i="15"/>
  <c r="J6" i="15"/>
  <c r="J7" i="15"/>
  <c r="J8" i="15"/>
  <c r="J9" i="15"/>
  <c r="J10" i="15"/>
  <c r="J11" i="15"/>
  <c r="J2" i="15"/>
  <c r="I3" i="15"/>
  <c r="I4" i="15"/>
  <c r="I5" i="15"/>
  <c r="I6" i="15"/>
  <c r="I7" i="15"/>
  <c r="I8" i="15"/>
  <c r="I9" i="15"/>
  <c r="I10" i="15"/>
  <c r="I11" i="15"/>
  <c r="I2" i="15"/>
  <c r="H3" i="15"/>
  <c r="H4" i="15"/>
  <c r="H5" i="15"/>
  <c r="H6" i="15"/>
  <c r="H7" i="15"/>
  <c r="H8" i="15"/>
  <c r="H9" i="15"/>
  <c r="H10" i="15"/>
  <c r="H11" i="15"/>
  <c r="H2" i="15"/>
  <c r="G3" i="15"/>
  <c r="G4" i="15"/>
  <c r="G5" i="15"/>
  <c r="G6" i="15"/>
  <c r="G7" i="15"/>
  <c r="G8" i="15"/>
  <c r="G9" i="15"/>
  <c r="G10" i="15"/>
  <c r="G11" i="15"/>
  <c r="G2" i="15"/>
  <c r="L3" i="14"/>
  <c r="L4" i="14"/>
  <c r="L5" i="14"/>
  <c r="L6" i="14"/>
  <c r="L7" i="14"/>
  <c r="L8" i="14"/>
  <c r="L9" i="14"/>
  <c r="L10" i="14"/>
  <c r="L11" i="14"/>
  <c r="L2" i="14"/>
  <c r="K3" i="14"/>
  <c r="K4" i="14"/>
  <c r="K5" i="14"/>
  <c r="K6" i="14"/>
  <c r="K7" i="14"/>
  <c r="K8" i="14"/>
  <c r="K9" i="14"/>
  <c r="K10" i="14"/>
  <c r="K11" i="14"/>
  <c r="K2" i="14"/>
  <c r="J3" i="14"/>
  <c r="J4" i="14"/>
  <c r="J5" i="14"/>
  <c r="J6" i="14"/>
  <c r="J7" i="14"/>
  <c r="J8" i="14"/>
  <c r="J9" i="14"/>
  <c r="J10" i="14"/>
  <c r="J11" i="14"/>
  <c r="J2" i="14"/>
  <c r="I3" i="14"/>
  <c r="I4" i="14"/>
  <c r="I5" i="14"/>
  <c r="I6" i="14"/>
  <c r="I7" i="14"/>
  <c r="I8" i="14"/>
  <c r="I9" i="14"/>
  <c r="I10" i="14"/>
  <c r="I11" i="14"/>
  <c r="I2" i="14"/>
  <c r="H3" i="14"/>
  <c r="H4" i="14"/>
  <c r="H5" i="14"/>
  <c r="H6" i="14"/>
  <c r="H7" i="14"/>
  <c r="H8" i="14"/>
  <c r="H9" i="14"/>
  <c r="H10" i="14"/>
  <c r="H11" i="14"/>
  <c r="H2" i="14"/>
  <c r="G3" i="14"/>
  <c r="G4" i="14"/>
  <c r="G5" i="14"/>
  <c r="G6" i="14"/>
  <c r="G7" i="14"/>
  <c r="G8" i="14"/>
  <c r="G9" i="14"/>
  <c r="G10" i="14"/>
  <c r="G11" i="14"/>
  <c r="G2" i="14"/>
  <c r="L3" i="13"/>
  <c r="L4" i="13"/>
  <c r="L5" i="13"/>
  <c r="L6" i="13"/>
  <c r="L7" i="13"/>
  <c r="L8" i="13"/>
  <c r="L9" i="13"/>
  <c r="L10" i="13"/>
  <c r="L11" i="13"/>
  <c r="L2" i="13"/>
  <c r="K3" i="13"/>
  <c r="K4" i="13"/>
  <c r="K5" i="13"/>
  <c r="K6" i="13"/>
  <c r="K7" i="13"/>
  <c r="K8" i="13"/>
  <c r="K9" i="13"/>
  <c r="K10" i="13"/>
  <c r="K11" i="13"/>
  <c r="K2" i="13"/>
  <c r="J3" i="13"/>
  <c r="J4" i="13"/>
  <c r="J5" i="13"/>
  <c r="J6" i="13"/>
  <c r="J7" i="13"/>
  <c r="J8" i="13"/>
  <c r="J9" i="13"/>
  <c r="J10" i="13"/>
  <c r="J11" i="13"/>
  <c r="J2" i="13"/>
  <c r="I3" i="13"/>
  <c r="I4" i="13"/>
  <c r="I5" i="13"/>
  <c r="I6" i="13"/>
  <c r="I7" i="13"/>
  <c r="I8" i="13"/>
  <c r="I9" i="13"/>
  <c r="I10" i="13"/>
  <c r="I11" i="13"/>
  <c r="I2" i="13"/>
  <c r="H3" i="13"/>
  <c r="H4" i="13"/>
  <c r="H5" i="13"/>
  <c r="H6" i="13"/>
  <c r="H7" i="13"/>
  <c r="H8" i="13"/>
  <c r="H9" i="13"/>
  <c r="H10" i="13"/>
  <c r="H11" i="13"/>
  <c r="G3" i="13"/>
  <c r="G4" i="13"/>
  <c r="G5" i="13"/>
  <c r="G6" i="13"/>
  <c r="G7" i="13"/>
  <c r="G8" i="13"/>
  <c r="G9" i="13"/>
  <c r="G10" i="13"/>
  <c r="G11" i="13"/>
  <c r="H2" i="13"/>
  <c r="G2" i="13"/>
  <c r="L3" i="12"/>
  <c r="L4" i="12"/>
  <c r="L5" i="12"/>
  <c r="L6" i="12"/>
  <c r="L7" i="12"/>
  <c r="L8" i="12"/>
  <c r="L9" i="12"/>
  <c r="L10" i="12"/>
  <c r="L11" i="12"/>
  <c r="K3" i="12"/>
  <c r="K4" i="12"/>
  <c r="K5" i="12"/>
  <c r="K6" i="12"/>
  <c r="K7" i="12"/>
  <c r="K8" i="12"/>
  <c r="K9" i="12"/>
  <c r="K10" i="12"/>
  <c r="K11" i="12"/>
  <c r="J3" i="12"/>
  <c r="J4" i="12"/>
  <c r="J5" i="12"/>
  <c r="J6" i="12"/>
  <c r="J7" i="12"/>
  <c r="J8" i="12"/>
  <c r="J9" i="12"/>
  <c r="J10" i="12"/>
  <c r="J11" i="12"/>
  <c r="I3" i="12"/>
  <c r="I4" i="12"/>
  <c r="I5" i="12"/>
  <c r="I6" i="12"/>
  <c r="I7" i="12"/>
  <c r="I8" i="12"/>
  <c r="I9" i="12"/>
  <c r="I10" i="12"/>
  <c r="I11" i="12"/>
  <c r="H3" i="12"/>
  <c r="H4" i="12"/>
  <c r="H5" i="12"/>
  <c r="H6" i="12"/>
  <c r="H7" i="12"/>
  <c r="H8" i="12"/>
  <c r="H9" i="12"/>
  <c r="H10" i="12"/>
  <c r="H11" i="12"/>
  <c r="G3" i="12"/>
  <c r="G4" i="12"/>
  <c r="G5" i="12"/>
  <c r="G6" i="12"/>
  <c r="G7" i="12"/>
  <c r="G8" i="12"/>
  <c r="G9" i="12"/>
  <c r="G10" i="12"/>
  <c r="G11" i="12"/>
  <c r="L2" i="12"/>
  <c r="K2" i="12"/>
  <c r="J2" i="12"/>
  <c r="I2" i="12"/>
  <c r="H2" i="12"/>
  <c r="G2" i="12"/>
  <c r="L3" i="11"/>
  <c r="L4" i="11"/>
  <c r="L5" i="11"/>
  <c r="L6" i="11"/>
  <c r="L7" i="11"/>
  <c r="L8" i="11"/>
  <c r="L9" i="11"/>
  <c r="L10" i="11"/>
  <c r="L11" i="11"/>
  <c r="L2" i="11"/>
  <c r="K3" i="11"/>
  <c r="K4" i="11"/>
  <c r="K5" i="11"/>
  <c r="K6" i="11"/>
  <c r="K7" i="11"/>
  <c r="K8" i="11"/>
  <c r="K9" i="11"/>
  <c r="K10" i="11"/>
  <c r="K11" i="11"/>
  <c r="K2" i="11"/>
  <c r="J3" i="11"/>
  <c r="J4" i="11"/>
  <c r="J5" i="11"/>
  <c r="J6" i="11"/>
  <c r="J7" i="11"/>
  <c r="J8" i="11"/>
  <c r="J9" i="11"/>
  <c r="J10" i="11"/>
  <c r="J11" i="11"/>
  <c r="J2" i="11"/>
  <c r="I3" i="11"/>
  <c r="I4" i="11"/>
  <c r="I5" i="11"/>
  <c r="I6" i="11"/>
  <c r="I7" i="11"/>
  <c r="I8" i="11"/>
  <c r="I9" i="11"/>
  <c r="I10" i="11"/>
  <c r="I11" i="11"/>
  <c r="I2" i="11"/>
  <c r="H3" i="11"/>
  <c r="H4" i="11"/>
  <c r="H5" i="11"/>
  <c r="H6" i="11"/>
  <c r="H7" i="11"/>
  <c r="H8" i="11"/>
  <c r="H9" i="11"/>
  <c r="H10" i="11"/>
  <c r="H11" i="11"/>
  <c r="H2" i="11"/>
  <c r="G3" i="11"/>
  <c r="G4" i="11"/>
  <c r="G5" i="11"/>
  <c r="G6" i="11"/>
  <c r="G7" i="11"/>
  <c r="G8" i="11"/>
  <c r="G9" i="11"/>
  <c r="G10" i="11"/>
  <c r="G11" i="11"/>
  <c r="G2" i="11"/>
  <c r="L3" i="10"/>
  <c r="L4" i="10"/>
  <c r="L5" i="10"/>
  <c r="L6" i="10"/>
  <c r="L7" i="10"/>
  <c r="L8" i="10"/>
  <c r="L9" i="10"/>
  <c r="L10" i="10"/>
  <c r="L11" i="10"/>
  <c r="L2" i="10"/>
  <c r="K3" i="10"/>
  <c r="K4" i="10"/>
  <c r="K5" i="10"/>
  <c r="K6" i="10"/>
  <c r="K7" i="10"/>
  <c r="K8" i="10"/>
  <c r="K9" i="10"/>
  <c r="K10" i="10"/>
  <c r="K11" i="10"/>
  <c r="K2" i="10"/>
  <c r="J3" i="10"/>
  <c r="J4" i="10"/>
  <c r="J5" i="10"/>
  <c r="J6" i="10"/>
  <c r="J7" i="10"/>
  <c r="J8" i="10"/>
  <c r="J9" i="10"/>
  <c r="J10" i="10"/>
  <c r="J11" i="10"/>
  <c r="J2" i="10"/>
  <c r="I3" i="10"/>
  <c r="I4" i="10"/>
  <c r="I5" i="10"/>
  <c r="I6" i="10"/>
  <c r="I7" i="10"/>
  <c r="I8" i="10"/>
  <c r="I9" i="10"/>
  <c r="I10" i="10"/>
  <c r="I11" i="10"/>
  <c r="I2" i="10"/>
  <c r="H3" i="10"/>
  <c r="H4" i="10"/>
  <c r="H5" i="10"/>
  <c r="H6" i="10"/>
  <c r="H7" i="10"/>
  <c r="H8" i="10"/>
  <c r="H9" i="10"/>
  <c r="H10" i="10"/>
  <c r="H11" i="10"/>
  <c r="H2" i="10"/>
  <c r="G3" i="10"/>
  <c r="G4" i="10"/>
  <c r="G5" i="10"/>
  <c r="G6" i="10"/>
  <c r="G7" i="10"/>
  <c r="G8" i="10"/>
  <c r="G9" i="10"/>
  <c r="G10" i="10"/>
  <c r="G11" i="10"/>
  <c r="G2" i="10"/>
  <c r="L3" i="9"/>
  <c r="L4" i="9"/>
  <c r="L5" i="9"/>
  <c r="L6" i="9"/>
  <c r="L7" i="9"/>
  <c r="L8" i="9"/>
  <c r="L9" i="9"/>
  <c r="L10" i="9"/>
  <c r="L11" i="9"/>
  <c r="L2" i="9"/>
  <c r="K3" i="9"/>
  <c r="K4" i="9"/>
  <c r="K5" i="9"/>
  <c r="K6" i="9"/>
  <c r="K7" i="9"/>
  <c r="K8" i="9"/>
  <c r="K9" i="9"/>
  <c r="K10" i="9"/>
  <c r="K11" i="9"/>
  <c r="K2" i="9"/>
  <c r="J3" i="9"/>
  <c r="J4" i="9"/>
  <c r="J5" i="9"/>
  <c r="J6" i="9"/>
  <c r="J7" i="9"/>
  <c r="J8" i="9"/>
  <c r="J9" i="9"/>
  <c r="J10" i="9"/>
  <c r="J11" i="9"/>
  <c r="J2" i="9"/>
  <c r="H3" i="9"/>
  <c r="H4" i="9"/>
  <c r="H5" i="9"/>
  <c r="H6" i="9"/>
  <c r="H7" i="9"/>
  <c r="H8" i="9"/>
  <c r="H9" i="9"/>
  <c r="H10" i="9"/>
  <c r="H11" i="9"/>
  <c r="H2" i="9"/>
  <c r="G3" i="9"/>
  <c r="G4" i="9"/>
  <c r="G5" i="9"/>
  <c r="G6" i="9"/>
  <c r="G7" i="9"/>
  <c r="G8" i="9"/>
  <c r="G9" i="9"/>
  <c r="G10" i="9"/>
  <c r="G11" i="9"/>
  <c r="G2" i="9"/>
  <c r="G3" i="8"/>
  <c r="G4" i="8"/>
  <c r="G5" i="8"/>
  <c r="G6" i="8"/>
  <c r="G7" i="8"/>
  <c r="G8" i="8"/>
  <c r="G9" i="8"/>
  <c r="G10" i="8"/>
  <c r="G11" i="8"/>
  <c r="G2" i="8"/>
  <c r="L3" i="7"/>
  <c r="L4" i="7"/>
  <c r="L5" i="7"/>
  <c r="L6" i="7"/>
  <c r="L7" i="7"/>
  <c r="M7" i="7" s="1"/>
  <c r="L8" i="7"/>
  <c r="M8" i="7" s="1"/>
  <c r="L9" i="7"/>
  <c r="M9" i="7" s="1"/>
  <c r="L10" i="7"/>
  <c r="M10" i="7" s="1"/>
  <c r="L11" i="7"/>
  <c r="L2" i="7"/>
  <c r="M2" i="7" s="1"/>
  <c r="K3" i="7"/>
  <c r="K4" i="7"/>
  <c r="K5" i="7"/>
  <c r="K6" i="7"/>
  <c r="K7" i="7"/>
  <c r="K8" i="7"/>
  <c r="K9" i="7"/>
  <c r="K10" i="7"/>
  <c r="K11" i="7"/>
  <c r="K2" i="7"/>
  <c r="J3" i="6"/>
  <c r="J4" i="6"/>
  <c r="J5" i="6"/>
  <c r="J6" i="6"/>
  <c r="J7" i="6"/>
  <c r="J8" i="6"/>
  <c r="J9" i="6"/>
  <c r="J10" i="6"/>
  <c r="J11" i="6"/>
  <c r="M3" i="7"/>
  <c r="M4" i="7"/>
  <c r="M11" i="7"/>
  <c r="M5" i="7"/>
  <c r="M6" i="7"/>
  <c r="I3" i="9"/>
  <c r="I4" i="9"/>
  <c r="I5" i="9"/>
  <c r="I6" i="9"/>
  <c r="I7" i="9"/>
  <c r="I8" i="9"/>
  <c r="I9" i="9"/>
  <c r="I10" i="9"/>
  <c r="I11" i="9"/>
  <c r="I2" i="9"/>
  <c r="I3" i="8"/>
  <c r="I4" i="8"/>
  <c r="I5" i="8"/>
  <c r="I6" i="8"/>
  <c r="I7" i="8"/>
  <c r="I8" i="8"/>
  <c r="I9" i="8"/>
  <c r="I10" i="8"/>
  <c r="I11" i="8"/>
  <c r="I2" i="8"/>
  <c r="J11" i="7"/>
  <c r="J10" i="7"/>
  <c r="J9" i="7"/>
  <c r="J8" i="7"/>
  <c r="J7" i="7"/>
  <c r="J6" i="7"/>
  <c r="J5" i="7"/>
  <c r="J4" i="7"/>
  <c r="J3" i="7"/>
  <c r="J2" i="7"/>
  <c r="H3" i="7"/>
  <c r="I3" i="7" s="1"/>
  <c r="H6" i="7"/>
  <c r="I6" i="7" s="1"/>
  <c r="H9" i="7"/>
  <c r="I9" i="7" s="1"/>
  <c r="H11" i="7"/>
  <c r="I11" i="7" s="1"/>
  <c r="G3" i="7"/>
  <c r="G4" i="7"/>
  <c r="H4" i="7" s="1"/>
  <c r="I4" i="7" s="1"/>
  <c r="G5" i="7"/>
  <c r="H5" i="7" s="1"/>
  <c r="I5" i="7" s="1"/>
  <c r="G6" i="7"/>
  <c r="G7" i="7"/>
  <c r="H7" i="7" s="1"/>
  <c r="I7" i="7" s="1"/>
  <c r="G8" i="7"/>
  <c r="H8" i="7" s="1"/>
  <c r="I8" i="7" s="1"/>
  <c r="G9" i="7"/>
  <c r="G10" i="7"/>
  <c r="H10" i="7" s="1"/>
  <c r="I10" i="7" s="1"/>
  <c r="G11" i="7"/>
  <c r="G2" i="7"/>
  <c r="H2" i="7" s="1"/>
  <c r="I2" i="7" s="1"/>
  <c r="G3" i="6"/>
  <c r="K3" i="6" s="1"/>
  <c r="L3" i="6" s="1"/>
  <c r="M3" i="6" s="1"/>
  <c r="G4" i="6"/>
  <c r="K4" i="6" s="1"/>
  <c r="L4" i="6" s="1"/>
  <c r="M4" i="6" s="1"/>
  <c r="G5" i="6"/>
  <c r="H5" i="6" s="1"/>
  <c r="I5" i="6" s="1"/>
  <c r="G6" i="6"/>
  <c r="H6" i="6" s="1"/>
  <c r="I6" i="6" s="1"/>
  <c r="G7" i="6"/>
  <c r="H7" i="6" s="1"/>
  <c r="I7" i="6" s="1"/>
  <c r="G8" i="6"/>
  <c r="H8" i="6" s="1"/>
  <c r="I8" i="6" s="1"/>
  <c r="G9" i="6"/>
  <c r="H9" i="6" s="1"/>
  <c r="I9" i="6" s="1"/>
  <c r="G11" i="6"/>
  <c r="K11" i="6" s="1"/>
  <c r="L11" i="6" s="1"/>
  <c r="M11" i="6" s="1"/>
  <c r="G2" i="6"/>
  <c r="K2" i="6" s="1"/>
  <c r="L2" i="6" s="1"/>
  <c r="M2" i="6" s="1"/>
  <c r="J2" i="6"/>
  <c r="N10" i="8" l="1"/>
  <c r="N11" i="8" s="1"/>
  <c r="O10" i="7"/>
  <c r="O11" i="7" s="1"/>
  <c r="J10" i="8"/>
  <c r="K10" i="8" s="1"/>
  <c r="L10" i="8" s="1"/>
  <c r="M10" i="8" s="1"/>
  <c r="D10" i="18" s="1"/>
  <c r="O10" i="8"/>
  <c r="J9" i="8"/>
  <c r="K9" i="8" s="1"/>
  <c r="L9" i="8" s="1"/>
  <c r="M9" i="8" s="1"/>
  <c r="D9" i="18" s="1"/>
  <c r="O9" i="8"/>
  <c r="J8" i="8"/>
  <c r="K8" i="8" s="1"/>
  <c r="L8" i="8" s="1"/>
  <c r="M8" i="8" s="1"/>
  <c r="D8" i="18" s="1"/>
  <c r="O8" i="8"/>
  <c r="J11" i="8"/>
  <c r="K11" i="8" s="1"/>
  <c r="L11" i="8" s="1"/>
  <c r="M11" i="8" s="1"/>
  <c r="D11" i="18" s="1"/>
  <c r="O11" i="8"/>
  <c r="J7" i="8"/>
  <c r="K7" i="8" s="1"/>
  <c r="L7" i="8" s="1"/>
  <c r="M7" i="8" s="1"/>
  <c r="D7" i="18" s="1"/>
  <c r="O7" i="8"/>
  <c r="J6" i="8"/>
  <c r="K6" i="8" s="1"/>
  <c r="L6" i="8" s="1"/>
  <c r="M6" i="8" s="1"/>
  <c r="D6" i="18" s="1"/>
  <c r="O6" i="8"/>
  <c r="J3" i="8"/>
  <c r="K3" i="8" s="1"/>
  <c r="L3" i="8" s="1"/>
  <c r="M3" i="8" s="1"/>
  <c r="D3" i="18" s="1"/>
  <c r="O3" i="8"/>
  <c r="J5" i="8"/>
  <c r="K5" i="8" s="1"/>
  <c r="L5" i="8" s="1"/>
  <c r="M5" i="8" s="1"/>
  <c r="D5" i="18" s="1"/>
  <c r="O5" i="8"/>
  <c r="J2" i="8"/>
  <c r="K2" i="8" s="1"/>
  <c r="L2" i="8" s="1"/>
  <c r="M2" i="8" s="1"/>
  <c r="D2" i="18" s="1"/>
  <c r="O2" i="8"/>
  <c r="J4" i="8"/>
  <c r="K4" i="8" s="1"/>
  <c r="L4" i="8" s="1"/>
  <c r="M4" i="8" s="1"/>
  <c r="D4" i="18" s="1"/>
  <c r="O4" i="8"/>
  <c r="P5" i="6"/>
  <c r="Q2" i="6" s="1"/>
  <c r="A2" i="19" s="1"/>
  <c r="A7" i="19" s="1"/>
  <c r="P4" i="6"/>
  <c r="K10" i="6"/>
  <c r="L10" i="6" s="1"/>
  <c r="M10" i="6" s="1"/>
  <c r="K9" i="6"/>
  <c r="L9" i="6" s="1"/>
  <c r="M9" i="6" s="1"/>
  <c r="K8" i="6"/>
  <c r="L8" i="6" s="1"/>
  <c r="M8" i="6" s="1"/>
  <c r="K7" i="6"/>
  <c r="L7" i="6" s="1"/>
  <c r="M7" i="6" s="1"/>
  <c r="H4" i="6"/>
  <c r="I4" i="6" s="1"/>
  <c r="H3" i="6"/>
  <c r="I3" i="6" s="1"/>
  <c r="K6" i="6"/>
  <c r="L6" i="6" s="1"/>
  <c r="M6" i="6" s="1"/>
  <c r="H2" i="6"/>
  <c r="K5" i="6"/>
  <c r="L5" i="6" s="1"/>
  <c r="M5" i="6" s="1"/>
  <c r="H11" i="6"/>
  <c r="I11" i="6" s="1"/>
  <c r="P5" i="8" l="1"/>
  <c r="C5" i="19" s="1"/>
  <c r="D9" i="19" s="1"/>
  <c r="P4" i="8"/>
  <c r="C4" i="19" s="1"/>
  <c r="C9" i="19" s="1"/>
  <c r="C19" i="18"/>
  <c r="F23" i="18" s="1"/>
  <c r="D19" i="18"/>
  <c r="F24" i="18" s="1"/>
  <c r="C16" i="18"/>
  <c r="C23" i="18" s="1"/>
  <c r="D16" i="18"/>
  <c r="C24" i="18" s="1"/>
  <c r="C15" i="18"/>
  <c r="B23" i="18" s="1"/>
  <c r="D15" i="18"/>
  <c r="B24" i="18" s="1"/>
  <c r="C18" i="18"/>
  <c r="E23" i="18" s="1"/>
  <c r="D18" i="18"/>
  <c r="E24" i="18" s="1"/>
  <c r="C17" i="18"/>
  <c r="D23" i="18" s="1"/>
  <c r="D17" i="18"/>
  <c r="D24" i="18" s="1"/>
  <c r="P5" i="7"/>
  <c r="B5" i="19" s="1"/>
  <c r="D8" i="19" s="1"/>
  <c r="P4" i="7"/>
  <c r="B4" i="19" s="1"/>
  <c r="C8" i="19" s="1"/>
  <c r="P6" i="6"/>
  <c r="P7" i="6"/>
  <c r="Q3" i="6" s="1"/>
  <c r="A3" i="19" s="1"/>
  <c r="B7" i="19" s="1"/>
  <c r="I2" i="6"/>
  <c r="P9" i="6" l="1"/>
  <c r="Q4" i="6" s="1"/>
  <c r="A4" i="19" s="1"/>
  <c r="C7" i="19" s="1"/>
  <c r="P8" i="6"/>
  <c r="P11" i="6" l="1"/>
  <c r="Q5" i="6" s="1"/>
  <c r="A5" i="19" s="1"/>
  <c r="D7" i="19" s="1"/>
  <c r="P10" i="6"/>
</calcChain>
</file>

<file path=xl/sharedStrings.xml><?xml version="1.0" encoding="utf-8"?>
<sst xmlns="http://schemas.openxmlformats.org/spreadsheetml/2006/main" count="450" uniqueCount="92">
  <si>
    <t>Bond</t>
    <phoneticPr fontId="1" type="noConversion"/>
  </si>
  <si>
    <t>coupon</t>
    <phoneticPr fontId="1" type="noConversion"/>
  </si>
  <si>
    <t>ISIN</t>
    <phoneticPr fontId="1" type="noConversion"/>
  </si>
  <si>
    <t>issue date</t>
    <phoneticPr fontId="1" type="noConversion"/>
  </si>
  <si>
    <t>maturity date</t>
    <phoneticPr fontId="1" type="noConversion"/>
  </si>
  <si>
    <t>CANADA 19/21</t>
    <phoneticPr fontId="1" type="noConversion"/>
  </si>
  <si>
    <t>CA135087K296</t>
    <phoneticPr fontId="1" type="noConversion"/>
  </si>
  <si>
    <t>CA135087TZ75</t>
    <phoneticPr fontId="1" type="noConversion"/>
  </si>
  <si>
    <t>CDA 2021 A 39</t>
    <phoneticPr fontId="1" type="noConversion"/>
  </si>
  <si>
    <t>CDA 2021</t>
    <phoneticPr fontId="1" type="noConversion"/>
  </si>
  <si>
    <t>CA135087ZJ69</t>
    <phoneticPr fontId="1" type="noConversion"/>
  </si>
  <si>
    <t>CA135087F254</t>
    <phoneticPr fontId="1" type="noConversion"/>
  </si>
  <si>
    <t>CDA 2020</t>
    <phoneticPr fontId="1" type="noConversion"/>
  </si>
  <si>
    <t>CDA 2020 *</t>
    <phoneticPr fontId="1" type="noConversion"/>
  </si>
  <si>
    <t>CA135087H565</t>
    <phoneticPr fontId="1" type="noConversion"/>
  </si>
  <si>
    <t>CDA 19/21</t>
    <phoneticPr fontId="1" type="noConversion"/>
  </si>
  <si>
    <t>CA135087K452</t>
    <phoneticPr fontId="1" type="noConversion"/>
  </si>
  <si>
    <t>CDA 2021 01.06</t>
    <phoneticPr fontId="1" type="noConversion"/>
  </si>
  <si>
    <t>CA135087UE28</t>
    <phoneticPr fontId="1" type="noConversion"/>
  </si>
  <si>
    <t>CDA 2022 01.06</t>
    <phoneticPr fontId="1" type="noConversion"/>
  </si>
  <si>
    <t>CA135087UM44</t>
    <phoneticPr fontId="1" type="noConversion"/>
  </si>
  <si>
    <t>CA135087YZ11</t>
    <phoneticPr fontId="1" type="noConversion"/>
  </si>
  <si>
    <t>CA135087E596</t>
    <phoneticPr fontId="1" type="noConversion"/>
  </si>
  <si>
    <t>CA135087G328</t>
    <phoneticPr fontId="1" type="noConversion"/>
  </si>
  <si>
    <t>CDA 2022</t>
    <phoneticPr fontId="1" type="noConversion"/>
  </si>
  <si>
    <t>CA135087F585</t>
    <phoneticPr fontId="1" type="noConversion"/>
  </si>
  <si>
    <t>CA135087J629</t>
    <phoneticPr fontId="1" type="noConversion"/>
  </si>
  <si>
    <t>CA135087D929</t>
    <phoneticPr fontId="1" type="noConversion"/>
  </si>
  <si>
    <t>CA135087ZU15</t>
    <phoneticPr fontId="1" type="noConversion"/>
  </si>
  <si>
    <t>CANADA 19/22</t>
    <phoneticPr fontId="1" type="noConversion"/>
  </si>
  <si>
    <t>CA135087K601</t>
    <phoneticPr fontId="1" type="noConversion"/>
  </si>
  <si>
    <t>CA135087J884</t>
    <phoneticPr fontId="1" type="noConversion"/>
  </si>
  <si>
    <t>CA135087H490</t>
  </si>
  <si>
    <t>CA135087K528</t>
  </si>
  <si>
    <t>CA135087VW17</t>
  </si>
  <si>
    <t>CA135087B451</t>
  </si>
  <si>
    <t>CA135087E679</t>
  </si>
  <si>
    <t>CA135087H235</t>
  </si>
  <si>
    <t>CA135087D507</t>
  </si>
  <si>
    <t>CA135087J967</t>
  </si>
  <si>
    <t>CA135087F825</t>
  </si>
  <si>
    <t>CA135087J546</t>
  </si>
  <si>
    <t>CA135087UT96</t>
  </si>
  <si>
    <t>CA135087WL43</t>
  </si>
  <si>
    <t>CA135087J397</t>
  </si>
  <si>
    <t>CA135087VH40</t>
  </si>
  <si>
    <t>CDA 2023</t>
    <phoneticPr fontId="1" type="noConversion"/>
  </si>
  <si>
    <t>CDA 2027</t>
    <phoneticPr fontId="1" type="noConversion"/>
  </si>
  <si>
    <t>CDA 2025 01.06</t>
    <phoneticPr fontId="1" type="noConversion"/>
  </si>
  <si>
    <t>CDA 19/24</t>
    <phoneticPr fontId="1" type="noConversion"/>
  </si>
  <si>
    <t>CDA 2026</t>
    <phoneticPr fontId="1" type="noConversion"/>
  </si>
  <si>
    <t>CDA 18/29</t>
    <phoneticPr fontId="1" type="noConversion"/>
  </si>
  <si>
    <t>CDA 2023 01.06</t>
    <phoneticPr fontId="1" type="noConversion"/>
  </si>
  <si>
    <t>CDA 2024</t>
    <phoneticPr fontId="1" type="noConversion"/>
  </si>
  <si>
    <t>CANADA 19/25</t>
    <phoneticPr fontId="1" type="noConversion"/>
  </si>
  <si>
    <t>CDA 2025</t>
    <phoneticPr fontId="1" type="noConversion"/>
  </si>
  <si>
    <t>CDA 2029 01.06</t>
    <phoneticPr fontId="1" type="noConversion"/>
  </si>
  <si>
    <t>CDA 2024 01.06</t>
    <phoneticPr fontId="1" type="noConversion"/>
  </si>
  <si>
    <t>CDA 2028</t>
    <phoneticPr fontId="1" type="noConversion"/>
  </si>
  <si>
    <t>CDA 2027 01.06</t>
    <phoneticPr fontId="1" type="noConversion"/>
  </si>
  <si>
    <t>CA135087A610</t>
    <phoneticPr fontId="1" type="noConversion"/>
  </si>
  <si>
    <t>close price</t>
    <phoneticPr fontId="1" type="noConversion"/>
  </si>
  <si>
    <t>time to maturity(D)</t>
    <phoneticPr fontId="1" type="noConversion"/>
  </si>
  <si>
    <t>time to maturity(Y)</t>
    <phoneticPr fontId="1" type="noConversion"/>
  </si>
  <si>
    <t>time to maturity (HY)</t>
    <phoneticPr fontId="1" type="noConversion"/>
  </si>
  <si>
    <t xml:space="preserve">coupon pay </t>
    <phoneticPr fontId="1" type="noConversion"/>
  </si>
  <si>
    <t>ttm days</t>
    <phoneticPr fontId="1" type="noConversion"/>
  </si>
  <si>
    <t>ttm year</t>
    <phoneticPr fontId="1" type="noConversion"/>
  </si>
  <si>
    <t>ttm hy</t>
    <phoneticPr fontId="1" type="noConversion"/>
  </si>
  <si>
    <t>ytm</t>
    <phoneticPr fontId="1" type="noConversion"/>
  </si>
  <si>
    <t>cupon pay</t>
    <phoneticPr fontId="1" type="noConversion"/>
  </si>
  <si>
    <t>coupon pay</t>
    <phoneticPr fontId="1" type="noConversion"/>
  </si>
  <si>
    <t xml:space="preserve">Accrued Interest </t>
  </si>
  <si>
    <t>dirty price</t>
    <phoneticPr fontId="1" type="noConversion"/>
  </si>
  <si>
    <t>dirty p</t>
    <phoneticPr fontId="1" type="noConversion"/>
  </si>
  <si>
    <t xml:space="preserve">fraction </t>
    <phoneticPr fontId="1" type="noConversion"/>
  </si>
  <si>
    <t>fraction</t>
    <phoneticPr fontId="1" type="noConversion"/>
  </si>
  <si>
    <t xml:space="preserve">Accrued Interest </t>
    <phoneticPr fontId="1" type="noConversion"/>
  </si>
  <si>
    <t>ttm d</t>
    <phoneticPr fontId="1" type="noConversion"/>
  </si>
  <si>
    <t>ttm day</t>
    <phoneticPr fontId="1" type="noConversion"/>
  </si>
  <si>
    <t>accured int</t>
    <phoneticPr fontId="1" type="noConversion"/>
  </si>
  <si>
    <t>ttmd hy</t>
    <phoneticPr fontId="1" type="noConversion"/>
  </si>
  <si>
    <t xml:space="preserve">ttm y </t>
    <phoneticPr fontId="1" type="noConversion"/>
  </si>
  <si>
    <t xml:space="preserve">spot rate </t>
    <phoneticPr fontId="1" type="noConversion"/>
  </si>
  <si>
    <t>spot rate</t>
    <phoneticPr fontId="1" type="noConversion"/>
  </si>
  <si>
    <t>fi,j</t>
    <phoneticPr fontId="1" type="noConversion"/>
  </si>
  <si>
    <t>1yr-1yr</t>
    <phoneticPr fontId="1" type="noConversion"/>
  </si>
  <si>
    <t>1yr-2yr</t>
    <phoneticPr fontId="1" type="noConversion"/>
  </si>
  <si>
    <t>1yr-3yr</t>
    <phoneticPr fontId="1" type="noConversion"/>
  </si>
  <si>
    <t>1yr-4yr</t>
    <phoneticPr fontId="1" type="noConversion"/>
  </si>
  <si>
    <t>ttm y</t>
    <phoneticPr fontId="1" type="noConversion"/>
  </si>
  <si>
    <t>fij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</si>
</sst>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CMR10"/>
    </font>
    <font>
      <sz val="12"/>
      <color theme="1"/>
      <name val="Cambria"/>
      <family val="1"/>
    </font>
    <font>
      <sz val="12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0" fontId="0" fillId="0" borderId="0" xfId="0" applyNumberFormat="1">
      <alignment vertical="center"/>
    </xf>
    <xf numFmtId="14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Font="1" applyAlignment="1">
      <alignment vertical="center" wrapText="1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76" fontId="3" fillId="0" borderId="0" xfId="0" applyNumberFormat="1" applyFont="1" applyAlignment="1">
      <alignment horizontal="justify" vertical="center"/>
    </xf>
    <xf numFmtId="176" fontId="4" fillId="0" borderId="0" xfId="0" applyNumberFormat="1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>
                <a:effectLst/>
              </a:rPr>
              <a:t>5-year yield curve </a:t>
            </a:r>
            <a:endParaRPr lang="en-US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2-Jan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'1.2'!$O$2:$O$11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'1.2'!$N$2:$N$11</c:f>
              <c:numCache>
                <c:formatCode>0.00%</c:formatCode>
                <c:ptCount val="10"/>
                <c:pt idx="0">
                  <c:v>2.4038161386025537E-2</c:v>
                </c:pt>
                <c:pt idx="1">
                  <c:v>1.8698523823492231E-2</c:v>
                </c:pt>
                <c:pt idx="2">
                  <c:v>1.7169923032903964E-2</c:v>
                </c:pt>
                <c:pt idx="3">
                  <c:v>1.7208426119466307E-2</c:v>
                </c:pt>
                <c:pt idx="4">
                  <c:v>1.6481163373175879E-2</c:v>
                </c:pt>
                <c:pt idx="5">
                  <c:v>1.6751089508902247E-2</c:v>
                </c:pt>
                <c:pt idx="6">
                  <c:v>1.6470496593943992E-2</c:v>
                </c:pt>
                <c:pt idx="7">
                  <c:v>1.6569206107868672E-2</c:v>
                </c:pt>
                <c:pt idx="8">
                  <c:v>1.6199068864727526E-2</c:v>
                </c:pt>
                <c:pt idx="9">
                  <c:v>1.7858781327500083E-2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3-3540-9CB9-CCDB75307A1C}"/>
            </c:ext>
          </c:extLst>
        </c:ser>
        <c:ser>
          <c:idx val="1"/>
          <c:order val="1"/>
          <c:tx>
            <c:v>3-Jan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'1.2'!$O$2:$O$11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'1.3'!$N$2:$N$11</c:f>
              <c:numCache>
                <c:formatCode>0.000%</c:formatCode>
                <c:ptCount val="10"/>
                <c:pt idx="0">
                  <c:v>2.3495499937919037E-2</c:v>
                </c:pt>
                <c:pt idx="1">
                  <c:v>1.8404787219407224E-2</c:v>
                </c:pt>
                <c:pt idx="2">
                  <c:v>1.6830870963909596E-2</c:v>
                </c:pt>
                <c:pt idx="3">
                  <c:v>1.6965376507739566E-2</c:v>
                </c:pt>
                <c:pt idx="4">
                  <c:v>1.6201642567017373E-2</c:v>
                </c:pt>
                <c:pt idx="5">
                  <c:v>1.6483610251486959E-2</c:v>
                </c:pt>
                <c:pt idx="6">
                  <c:v>1.6111967762459555E-2</c:v>
                </c:pt>
                <c:pt idx="7">
                  <c:v>1.6236769225035551E-2</c:v>
                </c:pt>
                <c:pt idx="8">
                  <c:v>1.5872956726044194E-2</c:v>
                </c:pt>
                <c:pt idx="9">
                  <c:v>1.7341578780867603E-2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3-3540-9CB9-CCDB75307A1C}"/>
            </c:ext>
          </c:extLst>
        </c:ser>
        <c:ser>
          <c:idx val="2"/>
          <c:order val="2"/>
          <c:tx>
            <c:v>6-Jan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'1.6'!$M$2:$M$11</c:f>
              <c:numCache>
                <c:formatCode>0.000%</c:formatCode>
                <c:ptCount val="10"/>
                <c:pt idx="0">
                  <c:v>2.4025419942574951E-2</c:v>
                </c:pt>
                <c:pt idx="1">
                  <c:v>1.8570517130157772E-2</c:v>
                </c:pt>
                <c:pt idx="2">
                  <c:v>1.6729700091617512E-2</c:v>
                </c:pt>
                <c:pt idx="3">
                  <c:v>1.6773432142760277E-2</c:v>
                </c:pt>
                <c:pt idx="4">
                  <c:v>1.6106208322222829E-2</c:v>
                </c:pt>
                <c:pt idx="5">
                  <c:v>1.6323778473235E-2</c:v>
                </c:pt>
                <c:pt idx="6">
                  <c:v>1.591198054489016E-2</c:v>
                </c:pt>
                <c:pt idx="7">
                  <c:v>1.6056772474149484E-2</c:v>
                </c:pt>
                <c:pt idx="8">
                  <c:v>1.5616832145950513E-2</c:v>
                </c:pt>
                <c:pt idx="9">
                  <c:v>1.6578881443654138E-2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F3-3540-9CB9-CCDB75307A1C}"/>
            </c:ext>
          </c:extLst>
        </c:ser>
        <c:ser>
          <c:idx val="4"/>
          <c:order val="3"/>
          <c:tx>
            <c:v>7-Jan</c:v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'1.7'!$M$2:$M$11</c:f>
              <c:numCache>
                <c:formatCode>0.000%</c:formatCode>
                <c:ptCount val="10"/>
                <c:pt idx="0">
                  <c:v>2.4178647118806088E-2</c:v>
                </c:pt>
                <c:pt idx="1">
                  <c:v>1.8776385960694381E-2</c:v>
                </c:pt>
                <c:pt idx="2">
                  <c:v>1.6839194083273307E-2</c:v>
                </c:pt>
                <c:pt idx="3">
                  <c:v>1.6976729151118312E-2</c:v>
                </c:pt>
                <c:pt idx="4">
                  <c:v>1.6167708082526808E-2</c:v>
                </c:pt>
                <c:pt idx="5">
                  <c:v>1.6438836975889687E-2</c:v>
                </c:pt>
                <c:pt idx="6">
                  <c:v>1.6008863120943583E-2</c:v>
                </c:pt>
                <c:pt idx="7">
                  <c:v>1.6179414675986211E-2</c:v>
                </c:pt>
                <c:pt idx="8">
                  <c:v>1.6031237624038741E-2</c:v>
                </c:pt>
                <c:pt idx="9">
                  <c:v>1.6985536176554055E-2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F3-3540-9CB9-CCDB75307A1C}"/>
            </c:ext>
          </c:extLst>
        </c:ser>
        <c:ser>
          <c:idx val="3"/>
          <c:order val="4"/>
          <c:tx>
            <c:v>8-Jan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'1.8'!$M$2:$M$11</c:f>
              <c:numCache>
                <c:formatCode>0.000%</c:formatCode>
                <c:ptCount val="10"/>
                <c:pt idx="0">
                  <c:v>2.4349178083136198E-2</c:v>
                </c:pt>
                <c:pt idx="1">
                  <c:v>1.8666990298484419E-2</c:v>
                </c:pt>
                <c:pt idx="2">
                  <c:v>1.7039762793153636E-2</c:v>
                </c:pt>
                <c:pt idx="3">
                  <c:v>1.6992282373377451E-2</c:v>
                </c:pt>
                <c:pt idx="4">
                  <c:v>1.6230193658872242E-2</c:v>
                </c:pt>
                <c:pt idx="5">
                  <c:v>1.6468367726751261E-2</c:v>
                </c:pt>
                <c:pt idx="6">
                  <c:v>1.6040086428692524E-2</c:v>
                </c:pt>
                <c:pt idx="7">
                  <c:v>1.6149779094288965E-2</c:v>
                </c:pt>
                <c:pt idx="8">
                  <c:v>1.5780644555865989E-2</c:v>
                </c:pt>
                <c:pt idx="9">
                  <c:v>1.6670975976589938E-2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F3-3540-9CB9-CCDB75307A1C}"/>
            </c:ext>
          </c:extLst>
        </c:ser>
        <c:ser>
          <c:idx val="5"/>
          <c:order val="5"/>
          <c:tx>
            <c:v>9-Jan</c:v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'1.9'!$M$2:$M$11</c:f>
              <c:numCache>
                <c:formatCode>0.000%</c:formatCode>
                <c:ptCount val="10"/>
                <c:pt idx="0">
                  <c:v>2.4526283279202397E-2</c:v>
                </c:pt>
                <c:pt idx="1">
                  <c:v>1.8714001285923581E-2</c:v>
                </c:pt>
                <c:pt idx="2">
                  <c:v>1.706241203712543E-2</c:v>
                </c:pt>
                <c:pt idx="3">
                  <c:v>1.7195348129498855E-2</c:v>
                </c:pt>
                <c:pt idx="4">
                  <c:v>1.6438065406395801E-2</c:v>
                </c:pt>
                <c:pt idx="5">
                  <c:v>1.6708544987352261E-2</c:v>
                </c:pt>
                <c:pt idx="6">
                  <c:v>1.6332900089355434E-2</c:v>
                </c:pt>
                <c:pt idx="7">
                  <c:v>1.6394353326545548E-2</c:v>
                </c:pt>
                <c:pt idx="8">
                  <c:v>1.6146148747946693E-2</c:v>
                </c:pt>
                <c:pt idx="9">
                  <c:v>1.7258678414285716E-2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F3-3540-9CB9-CCDB75307A1C}"/>
            </c:ext>
          </c:extLst>
        </c:ser>
        <c:ser>
          <c:idx val="6"/>
          <c:order val="6"/>
          <c:tx>
            <c:v>10-Jan</c:v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'1.10'!$M$2:$M$11</c:f>
              <c:numCache>
                <c:formatCode>0.000%</c:formatCode>
                <c:ptCount val="10"/>
                <c:pt idx="0">
                  <c:v>2.4710350341150406E-2</c:v>
                </c:pt>
                <c:pt idx="1">
                  <c:v>1.8761413483929349E-2</c:v>
                </c:pt>
                <c:pt idx="2">
                  <c:v>1.7443951235999306E-2</c:v>
                </c:pt>
                <c:pt idx="3">
                  <c:v>1.7211317301667868E-2</c:v>
                </c:pt>
                <c:pt idx="4">
                  <c:v>1.6404132268752473E-2</c:v>
                </c:pt>
                <c:pt idx="5">
                  <c:v>1.6696294391365493E-2</c:v>
                </c:pt>
                <c:pt idx="6">
                  <c:v>1.6462722441106435E-2</c:v>
                </c:pt>
                <c:pt idx="7">
                  <c:v>1.6425840600391161E-2</c:v>
                </c:pt>
                <c:pt idx="8">
                  <c:v>1.6290213923505374E-2</c:v>
                </c:pt>
                <c:pt idx="9">
                  <c:v>1.7169423580646975E-2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F3-3540-9CB9-CCDB75307A1C}"/>
            </c:ext>
          </c:extLst>
        </c:ser>
        <c:ser>
          <c:idx val="7"/>
          <c:order val="7"/>
          <c:tx>
            <c:v>13-Jan</c:v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'1.13'!$M$2:$M$11</c:f>
              <c:numCache>
                <c:formatCode>0.000%</c:formatCode>
                <c:ptCount val="10"/>
                <c:pt idx="0">
                  <c:v>2.530868482323238E-2</c:v>
                </c:pt>
                <c:pt idx="1">
                  <c:v>1.9066167373637956E-2</c:v>
                </c:pt>
                <c:pt idx="2">
                  <c:v>1.7334776160623698E-2</c:v>
                </c:pt>
                <c:pt idx="3">
                  <c:v>1.7574238444668072E-2</c:v>
                </c:pt>
                <c:pt idx="4">
                  <c:v>1.6642479532833772E-2</c:v>
                </c:pt>
                <c:pt idx="5">
                  <c:v>1.6913352495391065E-2</c:v>
                </c:pt>
                <c:pt idx="6">
                  <c:v>1.659096759255517E-2</c:v>
                </c:pt>
                <c:pt idx="7">
                  <c:v>1.6704281810973515E-2</c:v>
                </c:pt>
                <c:pt idx="8">
                  <c:v>1.6302747686228188E-2</c:v>
                </c:pt>
                <c:pt idx="9">
                  <c:v>1.7104932959295115E-2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F3-3540-9CB9-CCDB75307A1C}"/>
            </c:ext>
          </c:extLst>
        </c:ser>
        <c:ser>
          <c:idx val="8"/>
          <c:order val="8"/>
          <c:tx>
            <c:v>14-Jan</c:v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'1.14'!$M$2:$M$11</c:f>
              <c:numCache>
                <c:formatCode>0.000%</c:formatCode>
                <c:ptCount val="10"/>
                <c:pt idx="0">
                  <c:v>2.552514754699621E-2</c:v>
                </c:pt>
                <c:pt idx="1">
                  <c:v>1.8955178885886072E-2</c:v>
                </c:pt>
                <c:pt idx="2">
                  <c:v>1.7358417860059296E-2</c:v>
                </c:pt>
                <c:pt idx="3">
                  <c:v>1.7401793652468356E-2</c:v>
                </c:pt>
                <c:pt idx="4">
                  <c:v>1.6608616673530224E-2</c:v>
                </c:pt>
                <c:pt idx="5">
                  <c:v>1.6858881239003445E-2</c:v>
                </c:pt>
                <c:pt idx="6">
                  <c:v>1.6458558300599575E-2</c:v>
                </c:pt>
                <c:pt idx="7">
                  <c:v>1.6552323483277672E-2</c:v>
                </c:pt>
                <c:pt idx="8">
                  <c:v>1.610054760387207E-2</c:v>
                </c:pt>
                <c:pt idx="9">
                  <c:v>1.7264660860878821E-2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F3-3540-9CB9-CCDB75307A1C}"/>
            </c:ext>
          </c:extLst>
        </c:ser>
        <c:ser>
          <c:idx val="9"/>
          <c:order val="9"/>
          <c:tx>
            <c:v>15-Jan</c:v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'1.15'!$M$2:$M$11</c:f>
              <c:numCache>
                <c:formatCode>0.000%</c:formatCode>
                <c:ptCount val="10"/>
                <c:pt idx="0">
                  <c:v>2.5751046529780858E-2</c:v>
                </c:pt>
                <c:pt idx="1">
                  <c:v>1.868185508979367E-2</c:v>
                </c:pt>
                <c:pt idx="2">
                  <c:v>1.7109873911514962E-2</c:v>
                </c:pt>
                <c:pt idx="3">
                  <c:v>1.7355103124859921E-2</c:v>
                </c:pt>
                <c:pt idx="4">
                  <c:v>1.6477092186306632E-2</c:v>
                </c:pt>
                <c:pt idx="5">
                  <c:v>1.6677030201813558E-2</c:v>
                </c:pt>
                <c:pt idx="6">
                  <c:v>1.6227380000111161E-2</c:v>
                </c:pt>
                <c:pt idx="7">
                  <c:v>1.6338955324818667E-2</c:v>
                </c:pt>
                <c:pt idx="8">
                  <c:v>1.5848778549220358E-2</c:v>
                </c:pt>
                <c:pt idx="9">
                  <c:v>1.7016517654021245E-2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F3-3540-9CB9-CCDB75307A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15241808"/>
        <c:axId val="1012015616"/>
      </c:lineChart>
      <c:catAx>
        <c:axId val="101524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Time  to Maturity</a:t>
                </a:r>
              </a:p>
            </c:rich>
          </c:tx>
          <c:layout>
            <c:manualLayout>
              <c:xMode val="edge"/>
              <c:yMode val="edge"/>
              <c:x val="0.41282050656980568"/>
              <c:y val="0.94338515759184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2015616"/>
        <c:crosses val="autoZero"/>
        <c:auto val="1"/>
        <c:lblAlgn val="ctr"/>
        <c:lblOffset val="100"/>
        <c:noMultiLvlLbl val="0"/>
      </c:catAx>
      <c:valAx>
        <c:axId val="1012015616"/>
        <c:scaling>
          <c:orientation val="minMax"/>
          <c:max val="2.7000000000000007E-2"/>
          <c:min val="1.5000000000000003E-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aseline="0"/>
                  <a:t>Yield to Maturity</a:t>
                </a:r>
              </a:p>
            </c:rich>
          </c:tx>
          <c:layout>
            <c:manualLayout>
              <c:xMode val="edge"/>
              <c:yMode val="edge"/>
              <c:x val="1.0840319893084449E-2"/>
              <c:y val="0.38036462169202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524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942875330390371"/>
          <c:y val="6.4800251195594433E-2"/>
          <c:w val="8.6511492741790402E-2"/>
          <c:h val="0.538154322139543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>
                <a:effectLst/>
              </a:rPr>
              <a:t>5-year spot curve </a:t>
            </a:r>
            <a:endParaRPr lang="en-US" altLang="zh-C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199319073347644"/>
          <c:y val="0.13170271360028082"/>
          <c:w val="0.78564349276657763"/>
          <c:h val="0.76209494634815866"/>
        </c:manualLayout>
      </c:layout>
      <c:lineChart>
        <c:grouping val="standard"/>
        <c:varyColors val="0"/>
        <c:ser>
          <c:idx val="0"/>
          <c:order val="0"/>
          <c:tx>
            <c:v>2-Jan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'1.2'!$O$2:$O$11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'1.2'!$P$2:$P$11</c:f>
              <c:numCache>
                <c:formatCode>0.000%</c:formatCode>
                <c:ptCount val="10"/>
                <c:pt idx="0">
                  <c:v>5.5198630564908362E-2</c:v>
                </c:pt>
                <c:pt idx="1">
                  <c:v>2.2375674236785999E-2</c:v>
                </c:pt>
                <c:pt idx="2">
                  <c:v>1.9284700984863356E-2</c:v>
                </c:pt>
                <c:pt idx="3">
                  <c:v>1.8649871526571511E-2</c:v>
                </c:pt>
                <c:pt idx="4">
                  <c:v>1.7201583270917743E-2</c:v>
                </c:pt>
                <c:pt idx="5">
                  <c:v>1.7690709337489053E-2</c:v>
                </c:pt>
                <c:pt idx="6">
                  <c:v>1.8309727253988658E-2</c:v>
                </c:pt>
                <c:pt idx="7">
                  <c:v>1.6914654906540125E-2</c:v>
                </c:pt>
                <c:pt idx="8">
                  <c:v>1.7984511467649306E-2</c:v>
                </c:pt>
                <c:pt idx="9">
                  <c:v>1.8927646211826132E-2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0-164C-A340-245889D9A4BC}"/>
            </c:ext>
          </c:extLst>
        </c:ser>
        <c:ser>
          <c:idx val="1"/>
          <c:order val="1"/>
          <c:tx>
            <c:v>3-Jan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'1.3'!$O$2:$O$11</c:f>
              <c:numCache>
                <c:formatCode>0.000%</c:formatCode>
                <c:ptCount val="10"/>
                <c:pt idx="0">
                  <c:v>5.5516254271506811E-2</c:v>
                </c:pt>
                <c:pt idx="1">
                  <c:v>2.2163231345819226E-2</c:v>
                </c:pt>
                <c:pt idx="2">
                  <c:v>1.8979423248121807E-2</c:v>
                </c:pt>
                <c:pt idx="3">
                  <c:v>1.8434880842181169E-2</c:v>
                </c:pt>
                <c:pt idx="4">
                  <c:v>1.6936985002340591E-2</c:v>
                </c:pt>
                <c:pt idx="5">
                  <c:v>1.7460624751408485E-2</c:v>
                </c:pt>
                <c:pt idx="6">
                  <c:v>1.7966393779010607E-2</c:v>
                </c:pt>
                <c:pt idx="7">
                  <c:v>1.6594367229603831E-2</c:v>
                </c:pt>
                <c:pt idx="8">
                  <c:v>1.7676120571783641E-2</c:v>
                </c:pt>
                <c:pt idx="9">
                  <c:v>1.8414622013877051E-2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0-164C-A340-245889D9A4BC}"/>
            </c:ext>
          </c:extLst>
        </c:ser>
        <c:ser>
          <c:idx val="2"/>
          <c:order val="2"/>
          <c:tx>
            <c:v>6-Jan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'1.6'!$N$2:$N$11</c:f>
              <c:numCache>
                <c:formatCode>0.000%</c:formatCode>
                <c:ptCount val="10"/>
                <c:pt idx="0">
                  <c:v>5.8537586208073207E-2</c:v>
                </c:pt>
                <c:pt idx="1">
                  <c:v>2.2440643649328702E-2</c:v>
                </c:pt>
                <c:pt idx="2">
                  <c:v>1.8937548007727598E-2</c:v>
                </c:pt>
                <c:pt idx="3">
                  <c:v>1.8278329439394524E-2</c:v>
                </c:pt>
                <c:pt idx="4">
                  <c:v>1.6857966339172862E-2</c:v>
                </c:pt>
                <c:pt idx="5">
                  <c:v>1.7394636218443761E-2</c:v>
                </c:pt>
                <c:pt idx="6">
                  <c:v>1.7816577055217931E-2</c:v>
                </c:pt>
                <c:pt idx="7">
                  <c:v>1.6451730669658209E-2</c:v>
                </c:pt>
                <c:pt idx="8">
                  <c:v>1.7461379061724444E-2</c:v>
                </c:pt>
                <c:pt idx="9">
                  <c:v>1.7664527022611922E-2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B0-164C-A340-245889D9A4BC}"/>
            </c:ext>
          </c:extLst>
        </c:ser>
        <c:ser>
          <c:idx val="3"/>
          <c:order val="3"/>
          <c:tx>
            <c:v>7-Jan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'1.7'!$N$2:$N$11</c:f>
              <c:numCache>
                <c:formatCode>0.000%</c:formatCode>
                <c:ptCount val="10"/>
                <c:pt idx="0">
                  <c:v>5.8148780613645923E-2</c:v>
                </c:pt>
                <c:pt idx="1">
                  <c:v>2.2130357667877631E-2</c:v>
                </c:pt>
                <c:pt idx="2">
                  <c:v>1.8600871720250583E-2</c:v>
                </c:pt>
                <c:pt idx="3">
                  <c:v>1.8038706412321703E-2</c:v>
                </c:pt>
                <c:pt idx="4">
                  <c:v>1.6509713645235138E-2</c:v>
                </c:pt>
                <c:pt idx="5">
                  <c:v>1.7107971032032404E-2</c:v>
                </c:pt>
                <c:pt idx="6">
                  <c:v>1.7487662333421274E-2</c:v>
                </c:pt>
                <c:pt idx="7">
                  <c:v>1.6177724011202974E-2</c:v>
                </c:pt>
                <c:pt idx="8">
                  <c:v>1.7463241959926615E-2</c:v>
                </c:pt>
                <c:pt idx="9">
                  <c:v>1.7640796149001728E-2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B0-164C-A340-245889D9A4BC}"/>
            </c:ext>
          </c:extLst>
        </c:ser>
        <c:ser>
          <c:idx val="4"/>
          <c:order val="4"/>
          <c:tx>
            <c:v>8-Jan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'1.8'!$N$2:$N$11</c:f>
              <c:numCache>
                <c:formatCode>0.000%</c:formatCode>
                <c:ptCount val="10"/>
                <c:pt idx="0">
                  <c:v>6.0740883710932926E-2</c:v>
                </c:pt>
                <c:pt idx="1">
                  <c:v>2.2629541022645167E-2</c:v>
                </c:pt>
                <c:pt idx="2">
                  <c:v>1.9294752591461295E-2</c:v>
                </c:pt>
                <c:pt idx="3">
                  <c:v>1.852510367386254E-2</c:v>
                </c:pt>
                <c:pt idx="4">
                  <c:v>1.6996750931839819E-2</c:v>
                </c:pt>
                <c:pt idx="5">
                  <c:v>1.7602536730343808E-2</c:v>
                </c:pt>
                <c:pt idx="6">
                  <c:v>1.7977715468513206E-2</c:v>
                </c:pt>
                <c:pt idx="7">
                  <c:v>1.6568368265110656E-2</c:v>
                </c:pt>
                <c:pt idx="8">
                  <c:v>1.7658906258936426E-2</c:v>
                </c:pt>
                <c:pt idx="9">
                  <c:v>1.7773857983267135E-2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B0-164C-A340-245889D9A4BC}"/>
            </c:ext>
          </c:extLst>
        </c:ser>
        <c:ser>
          <c:idx val="5"/>
          <c:order val="5"/>
          <c:tx>
            <c:v>9-Jan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'1.9'!$N$2:$N$11</c:f>
              <c:numCache>
                <c:formatCode>0.000%</c:formatCode>
                <c:ptCount val="10"/>
                <c:pt idx="0">
                  <c:v>6.1906089122882112E-2</c:v>
                </c:pt>
                <c:pt idx="1">
                  <c:v>2.2725110004312696E-2</c:v>
                </c:pt>
                <c:pt idx="2">
                  <c:v>1.9340841836781635E-2</c:v>
                </c:pt>
                <c:pt idx="3">
                  <c:v>1.8742977226888981E-2</c:v>
                </c:pt>
                <c:pt idx="4">
                  <c:v>1.7211250890753215E-2</c:v>
                </c:pt>
                <c:pt idx="5">
                  <c:v>1.787849840947843E-2</c:v>
                </c:pt>
                <c:pt idx="6">
                  <c:v>1.8290050858049012E-2</c:v>
                </c:pt>
                <c:pt idx="7">
                  <c:v>1.6826202023658907E-2</c:v>
                </c:pt>
                <c:pt idx="8">
                  <c:v>1.8047234025115672E-2</c:v>
                </c:pt>
                <c:pt idx="9">
                  <c:v>1.8380318240452432E-2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B0-164C-A340-245889D9A4BC}"/>
            </c:ext>
          </c:extLst>
        </c:ser>
        <c:ser>
          <c:idx val="6"/>
          <c:order val="6"/>
          <c:tx>
            <c:v>10-Jan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'1.10'!$N$2:$N$11</c:f>
              <c:numCache>
                <c:formatCode>0.000%</c:formatCode>
                <c:ptCount val="10"/>
                <c:pt idx="0">
                  <c:v>6.3116988865924414E-2</c:v>
                </c:pt>
                <c:pt idx="1">
                  <c:v>2.2821492339081553E-2</c:v>
                </c:pt>
                <c:pt idx="2">
                  <c:v>1.974468772807968E-2</c:v>
                </c:pt>
                <c:pt idx="3">
                  <c:v>1.877315491218352E-2</c:v>
                </c:pt>
                <c:pt idx="4">
                  <c:v>1.7184376255780436E-2</c:v>
                </c:pt>
                <c:pt idx="5">
                  <c:v>1.7896309569485926E-2</c:v>
                </c:pt>
                <c:pt idx="6">
                  <c:v>1.8438798537144925E-2</c:v>
                </c:pt>
                <c:pt idx="7">
                  <c:v>1.6869979738281332E-2</c:v>
                </c:pt>
                <c:pt idx="8">
                  <c:v>1.8211159841592616E-2</c:v>
                </c:pt>
                <c:pt idx="9">
                  <c:v>1.8295635466730853E-2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B0-164C-A340-245889D9A4BC}"/>
            </c:ext>
          </c:extLst>
        </c:ser>
        <c:ser>
          <c:idx val="7"/>
          <c:order val="7"/>
          <c:tx>
            <c:v>13-Jan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'1.13'!$N$2:$N$11</c:f>
              <c:numCache>
                <c:formatCode>0.000%</c:formatCode>
                <c:ptCount val="10"/>
                <c:pt idx="0">
                  <c:v>6.7052413038536499E-2</c:v>
                </c:pt>
                <c:pt idx="1">
                  <c:v>2.3274692417692356E-2</c:v>
                </c:pt>
                <c:pt idx="2">
                  <c:v>1.9707142010227472E-2</c:v>
                </c:pt>
                <c:pt idx="3">
                  <c:v>1.9181525177369527E-2</c:v>
                </c:pt>
                <c:pt idx="4">
                  <c:v>1.7444204162074105E-2</c:v>
                </c:pt>
                <c:pt idx="5">
                  <c:v>1.8213943238856081E-2</c:v>
                </c:pt>
                <c:pt idx="6">
                  <c:v>1.8616868795943604E-2</c:v>
                </c:pt>
                <c:pt idx="7">
                  <c:v>1.7187055623744556E-2</c:v>
                </c:pt>
                <c:pt idx="8">
                  <c:v>1.8265014581193107E-2</c:v>
                </c:pt>
                <c:pt idx="9">
                  <c:v>1.8253153167226751E-2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B0-164C-A340-245889D9A4BC}"/>
            </c:ext>
          </c:extLst>
        </c:ser>
        <c:ser>
          <c:idx val="8"/>
          <c:order val="8"/>
          <c:tx>
            <c:v>14-Jan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'1.14'!$N$2:$N$11</c:f>
              <c:numCache>
                <c:formatCode>0.000%</c:formatCode>
                <c:ptCount val="10"/>
                <c:pt idx="0">
                  <c:v>6.8475864337643105E-2</c:v>
                </c:pt>
                <c:pt idx="1">
                  <c:v>2.3215366469718224E-2</c:v>
                </c:pt>
                <c:pt idx="2">
                  <c:v>1.9755128677760501E-2</c:v>
                </c:pt>
                <c:pt idx="3">
                  <c:v>1.9024972867223187E-2</c:v>
                </c:pt>
                <c:pt idx="4">
                  <c:v>1.7418442069729159E-2</c:v>
                </c:pt>
                <c:pt idx="5">
                  <c:v>1.8193680560396733E-2</c:v>
                </c:pt>
                <c:pt idx="6">
                  <c:v>1.8500430882732968E-2</c:v>
                </c:pt>
                <c:pt idx="7">
                  <c:v>1.7046695009298951E-2</c:v>
                </c:pt>
                <c:pt idx="8">
                  <c:v>1.8074838905494293E-2</c:v>
                </c:pt>
                <c:pt idx="9">
                  <c:v>1.8430967178000236E-2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B0-164C-A340-245889D9A4BC}"/>
            </c:ext>
          </c:extLst>
        </c:ser>
        <c:ser>
          <c:idx val="9"/>
          <c:order val="9"/>
          <c:tx>
            <c:v>15-Jan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'1.15'!$N$2:$N$11</c:f>
              <c:numCache>
                <c:formatCode>0.000%</c:formatCode>
                <c:ptCount val="10"/>
                <c:pt idx="0">
                  <c:v>6.9961204825012002E-2</c:v>
                </c:pt>
                <c:pt idx="1">
                  <c:v>2.2995122457005475E-2</c:v>
                </c:pt>
                <c:pt idx="2">
                  <c:v>1.9532314921918478E-2</c:v>
                </c:pt>
                <c:pt idx="3">
                  <c:v>1.8994955291041341E-2</c:v>
                </c:pt>
                <c:pt idx="4">
                  <c:v>1.7295496449350644E-2</c:v>
                </c:pt>
                <c:pt idx="5">
                  <c:v>1.8044633537114503E-2</c:v>
                </c:pt>
                <c:pt idx="6">
                  <c:v>1.828512263836948E-2</c:v>
                </c:pt>
                <c:pt idx="7">
                  <c:v>1.6845584313756528E-2</c:v>
                </c:pt>
                <c:pt idx="8">
                  <c:v>1.7836418989428716E-2</c:v>
                </c:pt>
                <c:pt idx="9">
                  <c:v>1.8191548151699988E-2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9B0-164C-A340-245889D9A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073264"/>
        <c:axId val="1017461744"/>
      </c:lineChart>
      <c:catAx>
        <c:axId val="101407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Time to Maturity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461744"/>
        <c:crosses val="autoZero"/>
        <c:auto val="1"/>
        <c:lblAlgn val="ctr"/>
        <c:lblOffset val="100"/>
        <c:noMultiLvlLbl val="0"/>
      </c:catAx>
      <c:valAx>
        <c:axId val="1017461744"/>
        <c:scaling>
          <c:orientation val="minMax"/>
          <c:max val="7.0000000000000007E-2"/>
          <c:min val="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Spot</a:t>
                </a:r>
                <a:r>
                  <a:rPr lang="en-US" altLang="zh-CN" sz="1600" baseline="0"/>
                  <a:t>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07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52891376257527"/>
          <c:y val="5.1948978913471361E-2"/>
          <c:w val="9.8024971106164219E-2"/>
          <c:h val="0.456232274797768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aseline="0"/>
              <a:t> forward curve</a:t>
            </a:r>
            <a:endParaRPr lang="en-US" altLang="zh-CN" sz="1600"/>
          </a:p>
        </c:rich>
      </c:tx>
      <c:layout>
        <c:manualLayout>
          <c:xMode val="edge"/>
          <c:yMode val="edge"/>
          <c:x val="0.39406222295306526"/>
          <c:y val="4.63145725885196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747349428929208"/>
          <c:y val="9.4009921164939142E-2"/>
          <c:w val="0.75177521633423383"/>
          <c:h val="0.80205511798819695"/>
        </c:manualLayout>
      </c:layout>
      <c:lineChart>
        <c:grouping val="standard"/>
        <c:varyColors val="0"/>
        <c:ser>
          <c:idx val="0"/>
          <c:order val="0"/>
          <c:tx>
            <c:v>2-Jan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'1.2'!$R$2:$R$5</c:f>
              <c:strCache>
                <c:ptCount val="4"/>
                <c:pt idx="0">
                  <c:v>1yr-1yr</c:v>
                </c:pt>
                <c:pt idx="1">
                  <c:v>1yr-2yr</c:v>
                </c:pt>
                <c:pt idx="2">
                  <c:v>1yr-3yr</c:v>
                </c:pt>
                <c:pt idx="3">
                  <c:v>1yr-4yr</c:v>
                </c:pt>
              </c:strCache>
            </c:strRef>
          </c:cat>
          <c:val>
            <c:numRef>
              <c:f>'1.2'!$Q$2:$Q$5</c:f>
              <c:numCache>
                <c:formatCode>General</c:formatCode>
                <c:ptCount val="4"/>
                <c:pt idx="0">
                  <c:v>1.4924068816357022E-2</c:v>
                </c:pt>
                <c:pt idx="1">
                  <c:v>1.5348226887840582E-2</c:v>
                </c:pt>
                <c:pt idx="2">
                  <c:v>1.5094315129791501E-2</c:v>
                </c:pt>
                <c:pt idx="3">
                  <c:v>1.8065639205586168E-2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4-D14E-B408-31728E0B60F6}"/>
            </c:ext>
          </c:extLst>
        </c:ser>
        <c:ser>
          <c:idx val="1"/>
          <c:order val="1"/>
          <c:tx>
            <c:v>3-Jan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'1.3'!$P$2:$P$5</c:f>
              <c:numCache>
                <c:formatCode>General</c:formatCode>
                <c:ptCount val="4"/>
                <c:pt idx="0">
                  <c:v>1.4706530338543113E-2</c:v>
                </c:pt>
                <c:pt idx="1">
                  <c:v>1.5109321454203115E-2</c:v>
                </c:pt>
                <c:pt idx="2">
                  <c:v>1.4738079190865366E-2</c:v>
                </c:pt>
                <c:pt idx="3">
                  <c:v>1.7477469680891509E-2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4-D14E-B408-31728E0B60F6}"/>
            </c:ext>
          </c:extLst>
        </c:ser>
        <c:ser>
          <c:idx val="2"/>
          <c:order val="2"/>
          <c:tx>
            <c:v>6-Jan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'1.6'!$P$2:$P$5</c:f>
              <c:numCache>
                <c:formatCode>General</c:formatCode>
                <c:ptCount val="4"/>
                <c:pt idx="0">
                  <c:v>1.4116015229460346E-2</c:v>
                </c:pt>
                <c:pt idx="1">
                  <c:v>1.4871632503001291E-2</c:v>
                </c:pt>
                <c:pt idx="2">
                  <c:v>1.4455426343101379E-2</c:v>
                </c:pt>
                <c:pt idx="3">
                  <c:v>1.6470497865932729E-2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94-D14E-B408-31728E0B60F6}"/>
            </c:ext>
          </c:extLst>
        </c:ser>
        <c:ser>
          <c:idx val="3"/>
          <c:order val="3"/>
          <c:tx>
            <c:v>7-Jan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'1.7'!$P$2:$P$5</c:f>
              <c:numCache>
                <c:formatCode>General</c:formatCode>
                <c:ptCount val="4"/>
                <c:pt idx="0">
                  <c:v>1.3947055156765774E-2</c:v>
                </c:pt>
                <c:pt idx="1">
                  <c:v>1.459677771410979E-2</c:v>
                </c:pt>
                <c:pt idx="2">
                  <c:v>1.4193512792311421E-2</c:v>
                </c:pt>
                <c:pt idx="3">
                  <c:v>1.6518405769282752E-2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94-D14E-B408-31728E0B60F6}"/>
            </c:ext>
          </c:extLst>
        </c:ser>
        <c:ser>
          <c:idx val="4"/>
          <c:order val="4"/>
          <c:tx>
            <c:v>8-Jan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'1.8'!$P$2:$P$5</c:f>
              <c:numCache>
                <c:formatCode>General</c:formatCode>
                <c:ptCount val="4"/>
                <c:pt idx="0">
                  <c:v>1.4420666325079913E-2</c:v>
                </c:pt>
                <c:pt idx="1">
                  <c:v>1.5089034584193129E-2</c:v>
                </c:pt>
                <c:pt idx="2">
                  <c:v>1.4547977345932486E-2</c:v>
                </c:pt>
                <c:pt idx="3">
                  <c:v>1.6559937223422628E-2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94-D14E-B408-31728E0B60F6}"/>
            </c:ext>
          </c:extLst>
        </c:ser>
        <c:ser>
          <c:idx val="5"/>
          <c:order val="5"/>
          <c:tx>
            <c:v>9-Jan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'1.9'!$P$2:$P$5</c:f>
              <c:numCache>
                <c:formatCode>General</c:formatCode>
                <c:ptCount val="4"/>
                <c:pt idx="0">
                  <c:v>1.4760844449465266E-2</c:v>
                </c:pt>
                <c:pt idx="1">
                  <c:v>1.5455192612061297E-2</c:v>
                </c:pt>
                <c:pt idx="2">
                  <c:v>1.4859899363440976E-2</c:v>
                </c:pt>
                <c:pt idx="3">
                  <c:v>1.7294120299487365E-2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94-D14E-B408-31728E0B60F6}"/>
            </c:ext>
          </c:extLst>
        </c:ser>
        <c:ser>
          <c:idx val="6"/>
          <c:order val="6"/>
          <c:tx>
            <c:v>10-Jan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'1.10'!$P$2:$P$5</c:f>
              <c:numCache>
                <c:formatCode>General</c:formatCode>
                <c:ptCount val="4"/>
                <c:pt idx="0">
                  <c:v>1.4724817485285487E-2</c:v>
                </c:pt>
                <c:pt idx="1">
                  <c:v>1.5433718184688111E-2</c:v>
                </c:pt>
                <c:pt idx="2">
                  <c:v>1.4886142204681258E-2</c:v>
                </c:pt>
                <c:pt idx="3">
                  <c:v>1.7164171248643178E-2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94-D14E-B408-31728E0B60F6}"/>
            </c:ext>
          </c:extLst>
        </c:ser>
        <c:ser>
          <c:idx val="7"/>
          <c:order val="7"/>
          <c:tx>
            <c:v>13-Jan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'1.13'!$P$2:$P$5</c:f>
              <c:numCache>
                <c:formatCode>General</c:formatCode>
                <c:ptCount val="4"/>
                <c:pt idx="0">
                  <c:v>1.5088357937046697E-2</c:v>
                </c:pt>
                <c:pt idx="1">
                  <c:v>1.5683568649437943E-2</c:v>
                </c:pt>
                <c:pt idx="2">
                  <c:v>1.5157843359095291E-2</c:v>
                </c:pt>
                <c:pt idx="3">
                  <c:v>1.6997768354610351E-2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94-D14E-B408-31728E0B60F6}"/>
            </c:ext>
          </c:extLst>
        </c:ser>
        <c:ser>
          <c:idx val="8"/>
          <c:order val="8"/>
          <c:tx>
            <c:v>14-Jan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'1.14'!$P$2:$P$5</c:f>
              <c:numCache>
                <c:formatCode>General</c:formatCode>
                <c:ptCount val="4"/>
                <c:pt idx="0">
                  <c:v>1.483457926472815E-2</c:v>
                </c:pt>
                <c:pt idx="1">
                  <c:v>1.5682837605735987E-2</c:v>
                </c:pt>
                <c:pt idx="2">
                  <c:v>1.4990471189159194E-2</c:v>
                </c:pt>
                <c:pt idx="3">
                  <c:v>1.7234867355070738E-2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94-D14E-B408-31728E0B60F6}"/>
            </c:ext>
          </c:extLst>
        </c:ser>
        <c:ser>
          <c:idx val="9"/>
          <c:order val="9"/>
          <c:tx>
            <c:v>15-Jan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'1.15'!$P$2:$P$5</c:f>
              <c:numCache>
                <c:formatCode>General</c:formatCode>
                <c:ptCount val="4"/>
                <c:pt idx="0">
                  <c:v>1.4994788125077207E-2</c:v>
                </c:pt>
                <c:pt idx="1">
                  <c:v>1.5569389077169017E-2</c:v>
                </c:pt>
                <c:pt idx="2">
                  <c:v>1.4795738266006879E-2</c:v>
                </c:pt>
                <c:pt idx="3">
                  <c:v>1.6990654575373618E-2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C94-D14E-B408-31728E0B6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694384"/>
        <c:axId val="1014793360"/>
      </c:lineChart>
      <c:catAx>
        <c:axId val="54069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793360"/>
        <c:crosses val="autoZero"/>
        <c:auto val="1"/>
        <c:lblAlgn val="ctr"/>
        <c:lblOffset val="100"/>
        <c:noMultiLvlLbl val="0"/>
      </c:catAx>
      <c:valAx>
        <c:axId val="1014793360"/>
        <c:scaling>
          <c:orientation val="minMax"/>
          <c:max val="1.8500000000000003E-2"/>
          <c:min val="1.3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Forward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694384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093304470408185"/>
          <c:y val="7.0633142088185497E-2"/>
          <c:w val="0.11053597527708557"/>
          <c:h val="0.531897338461973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101600</xdr:rowOff>
    </xdr:from>
    <xdr:to>
      <xdr:col>10</xdr:col>
      <xdr:colOff>136365</xdr:colOff>
      <xdr:row>22</xdr:row>
      <xdr:rowOff>159455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DC0586-E300-E942-A4A3-1C0CF8E63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10</xdr:col>
      <xdr:colOff>505746</xdr:colOff>
      <xdr:row>52</xdr:row>
      <xdr:rowOff>115725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D8859D4-24EE-4940-9F38-0FDFCAAC5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8</xdr:col>
      <xdr:colOff>822335</xdr:colOff>
      <xdr:row>76</xdr:row>
      <xdr:rowOff>192107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5C4A718-9421-8F49-B8E1-4F49699A0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507C6-C59A-5A46-9784-02332034A71C}">
  <dimension ref="A1:O12"/>
  <sheetViews>
    <sheetView topLeftCell="G1" zoomScale="142" workbookViewId="0">
      <selection activeCell="L20" sqref="L20"/>
    </sheetView>
  </sheetViews>
  <sheetFormatPr baseColWidth="10" defaultRowHeight="16"/>
  <cols>
    <col min="1" max="1" width="14.5" customWidth="1"/>
    <col min="13" max="13" width="13.83203125" customWidth="1"/>
    <col min="14" max="14" width="11.33203125" customWidth="1"/>
    <col min="15" max="15" width="12.33203125" customWidth="1"/>
  </cols>
  <sheetData>
    <row r="1" spans="1:15">
      <c r="A1" t="s">
        <v>0</v>
      </c>
      <c r="B1" s="2">
        <v>43832</v>
      </c>
      <c r="C1" s="2">
        <v>43833</v>
      </c>
      <c r="D1" s="2">
        <v>43836</v>
      </c>
      <c r="E1" s="2">
        <v>43837</v>
      </c>
      <c r="F1" s="2">
        <v>43838</v>
      </c>
      <c r="G1" s="2">
        <v>43839</v>
      </c>
      <c r="H1" s="2">
        <v>43840</v>
      </c>
      <c r="I1" s="2">
        <v>43843</v>
      </c>
      <c r="J1" s="2">
        <v>43844</v>
      </c>
      <c r="K1" s="2">
        <v>43845</v>
      </c>
      <c r="L1" t="s">
        <v>1</v>
      </c>
      <c r="M1" t="s">
        <v>2</v>
      </c>
      <c r="N1" t="s">
        <v>3</v>
      </c>
      <c r="O1" t="s">
        <v>4</v>
      </c>
    </row>
    <row r="2" spans="1:15">
      <c r="A2" t="s">
        <v>12</v>
      </c>
      <c r="B2">
        <v>99.85</v>
      </c>
      <c r="C2">
        <v>99.86</v>
      </c>
      <c r="D2">
        <v>99.86</v>
      </c>
      <c r="E2">
        <v>99.86</v>
      </c>
      <c r="F2">
        <v>99.86</v>
      </c>
      <c r="G2">
        <v>99.86</v>
      </c>
      <c r="H2">
        <v>99.86</v>
      </c>
      <c r="I2">
        <v>99.86</v>
      </c>
      <c r="J2">
        <v>99.86</v>
      </c>
      <c r="K2">
        <v>99.86</v>
      </c>
      <c r="L2" s="1">
        <v>1.4999999999999999E-2</v>
      </c>
      <c r="M2" t="s">
        <v>27</v>
      </c>
      <c r="N2" s="2">
        <v>41926</v>
      </c>
      <c r="O2" s="2">
        <v>43891</v>
      </c>
    </row>
    <row r="3" spans="1:15">
      <c r="A3" t="s">
        <v>12</v>
      </c>
      <c r="B3">
        <v>99.26</v>
      </c>
      <c r="C3">
        <v>99.28</v>
      </c>
      <c r="D3">
        <v>99.28</v>
      </c>
      <c r="E3">
        <v>99.27</v>
      </c>
      <c r="F3">
        <v>99.28</v>
      </c>
      <c r="G3">
        <v>99.28</v>
      </c>
      <c r="H3">
        <v>99.28</v>
      </c>
      <c r="I3">
        <v>99.27</v>
      </c>
      <c r="J3">
        <v>99.28</v>
      </c>
      <c r="K3">
        <v>99.3</v>
      </c>
      <c r="L3" s="1">
        <v>7.4999999999999997E-3</v>
      </c>
      <c r="M3" t="s">
        <v>22</v>
      </c>
      <c r="N3" s="2">
        <v>42107</v>
      </c>
      <c r="O3" s="2">
        <v>44075</v>
      </c>
    </row>
    <row r="4" spans="1:15">
      <c r="A4" t="s">
        <v>9</v>
      </c>
      <c r="B4">
        <v>98.89</v>
      </c>
      <c r="C4">
        <v>98.93</v>
      </c>
      <c r="D4">
        <v>98.95</v>
      </c>
      <c r="E4">
        <v>98.94</v>
      </c>
      <c r="F4">
        <v>98.92</v>
      </c>
      <c r="G4">
        <v>98.92</v>
      </c>
      <c r="H4">
        <v>98.88</v>
      </c>
      <c r="I4">
        <v>98.9</v>
      </c>
      <c r="J4">
        <v>98.9</v>
      </c>
      <c r="K4">
        <v>98.93</v>
      </c>
      <c r="L4" s="1">
        <v>7.4999999999999997E-3</v>
      </c>
      <c r="M4" t="s">
        <v>11</v>
      </c>
      <c r="N4" s="2">
        <v>42296</v>
      </c>
      <c r="O4" s="2">
        <v>44256</v>
      </c>
    </row>
    <row r="5" spans="1:15">
      <c r="A5" t="s">
        <v>9</v>
      </c>
      <c r="B5">
        <v>98.41</v>
      </c>
      <c r="C5">
        <v>98.45</v>
      </c>
      <c r="D5">
        <v>98.49</v>
      </c>
      <c r="E5">
        <v>98.46</v>
      </c>
      <c r="F5">
        <v>98.46</v>
      </c>
      <c r="G5">
        <v>98.43</v>
      </c>
      <c r="H5">
        <v>98.43</v>
      </c>
      <c r="I5">
        <v>98.38</v>
      </c>
      <c r="J5">
        <v>98.41</v>
      </c>
      <c r="K5">
        <v>98.42</v>
      </c>
      <c r="L5" s="1">
        <v>7.4999999999999997E-3</v>
      </c>
      <c r="M5" t="s">
        <v>25</v>
      </c>
      <c r="N5" s="2">
        <v>42471</v>
      </c>
      <c r="O5" s="2">
        <v>44440</v>
      </c>
    </row>
    <row r="6" spans="1:15">
      <c r="A6" t="s">
        <v>24</v>
      </c>
      <c r="B6">
        <v>97.57</v>
      </c>
      <c r="C6">
        <v>97.63</v>
      </c>
      <c r="D6">
        <v>97.66</v>
      </c>
      <c r="E6">
        <v>97.65</v>
      </c>
      <c r="F6">
        <v>97.64</v>
      </c>
      <c r="G6">
        <v>97.6</v>
      </c>
      <c r="H6">
        <v>97.61</v>
      </c>
      <c r="I6">
        <v>97.57</v>
      </c>
      <c r="J6">
        <v>97.58</v>
      </c>
      <c r="K6">
        <v>97.61</v>
      </c>
      <c r="L6" s="1">
        <v>5.0000000000000001E-3</v>
      </c>
      <c r="M6" t="s">
        <v>23</v>
      </c>
      <c r="N6" s="2">
        <v>42654</v>
      </c>
      <c r="O6" s="2">
        <v>44621</v>
      </c>
    </row>
    <row r="7" spans="1:15">
      <c r="A7" t="s">
        <v>24</v>
      </c>
      <c r="B7">
        <v>102.53</v>
      </c>
      <c r="C7">
        <v>102.59</v>
      </c>
      <c r="D7">
        <v>102.62</v>
      </c>
      <c r="E7">
        <v>102.59</v>
      </c>
      <c r="F7">
        <v>102.58</v>
      </c>
      <c r="G7">
        <v>102.52</v>
      </c>
      <c r="H7">
        <v>102.52</v>
      </c>
      <c r="I7">
        <v>102.46</v>
      </c>
      <c r="J7">
        <v>102.47</v>
      </c>
      <c r="K7">
        <v>102.51</v>
      </c>
      <c r="L7" s="1">
        <v>2.75E-2</v>
      </c>
      <c r="M7" t="s">
        <v>28</v>
      </c>
      <c r="N7" s="2">
        <v>40757</v>
      </c>
      <c r="O7" s="2">
        <v>44713</v>
      </c>
    </row>
    <row r="8" spans="1:15">
      <c r="A8" t="s">
        <v>46</v>
      </c>
      <c r="B8">
        <v>100.31</v>
      </c>
      <c r="C8">
        <v>100.42</v>
      </c>
      <c r="D8">
        <v>100.48</v>
      </c>
      <c r="E8">
        <v>100.45</v>
      </c>
      <c r="F8">
        <v>100.44</v>
      </c>
      <c r="G8">
        <v>100.35</v>
      </c>
      <c r="H8">
        <v>100.31</v>
      </c>
      <c r="I8">
        <v>100.27</v>
      </c>
      <c r="J8">
        <v>100.31</v>
      </c>
      <c r="K8">
        <v>100.38</v>
      </c>
      <c r="L8" s="1">
        <v>1.7500000000000002E-2</v>
      </c>
      <c r="M8" t="s">
        <v>32</v>
      </c>
      <c r="N8" s="2">
        <v>43014</v>
      </c>
      <c r="O8" s="2">
        <v>44986</v>
      </c>
    </row>
    <row r="9" spans="1:15">
      <c r="A9" t="s">
        <v>46</v>
      </c>
      <c r="B9">
        <v>99.48</v>
      </c>
      <c r="C9">
        <v>99.59</v>
      </c>
      <c r="D9">
        <v>99.65</v>
      </c>
      <c r="E9">
        <v>99.61</v>
      </c>
      <c r="F9">
        <v>99.62</v>
      </c>
      <c r="G9">
        <v>99.54</v>
      </c>
      <c r="H9">
        <v>99.53</v>
      </c>
      <c r="I9">
        <v>99.44</v>
      </c>
      <c r="J9">
        <v>99.49</v>
      </c>
      <c r="K9">
        <v>99.56</v>
      </c>
      <c r="L9" s="1">
        <v>1.4999999999999999E-2</v>
      </c>
      <c r="M9" t="s">
        <v>60</v>
      </c>
      <c r="N9" s="2">
        <v>41120</v>
      </c>
      <c r="O9" s="2">
        <v>45078</v>
      </c>
    </row>
    <row r="10" spans="1:15">
      <c r="A10" t="s">
        <v>53</v>
      </c>
      <c r="B10">
        <v>102.52</v>
      </c>
      <c r="C10">
        <v>102.65</v>
      </c>
      <c r="D10">
        <v>102.75</v>
      </c>
      <c r="E10">
        <v>102.58</v>
      </c>
      <c r="F10">
        <v>102.68</v>
      </c>
      <c r="G10">
        <v>102.53</v>
      </c>
      <c r="H10">
        <v>102.47</v>
      </c>
      <c r="I10">
        <v>102.46</v>
      </c>
      <c r="J10">
        <v>102.54</v>
      </c>
      <c r="K10">
        <v>102.64</v>
      </c>
      <c r="L10" s="1">
        <v>2.2499999999999999E-2</v>
      </c>
      <c r="M10" t="s">
        <v>41</v>
      </c>
      <c r="N10" s="2">
        <v>43378</v>
      </c>
      <c r="O10" s="2">
        <v>45352</v>
      </c>
    </row>
    <row r="11" spans="1:15">
      <c r="A11" t="s">
        <v>49</v>
      </c>
      <c r="B11">
        <v>98.72</v>
      </c>
      <c r="C11">
        <v>98.95</v>
      </c>
      <c r="D11">
        <v>99.29</v>
      </c>
      <c r="E11">
        <v>99.11</v>
      </c>
      <c r="F11">
        <v>99.25</v>
      </c>
      <c r="G11">
        <v>98.99</v>
      </c>
      <c r="H11">
        <v>99.03</v>
      </c>
      <c r="I11">
        <v>99.06</v>
      </c>
      <c r="J11">
        <v>98.99</v>
      </c>
      <c r="K11">
        <v>99.1</v>
      </c>
      <c r="L11" s="1">
        <v>1.4999999999999999E-2</v>
      </c>
      <c r="M11" t="s">
        <v>39</v>
      </c>
      <c r="N11" s="2">
        <v>43560</v>
      </c>
      <c r="O11" s="2">
        <v>45536</v>
      </c>
    </row>
    <row r="12" spans="1:15">
      <c r="A12" t="s">
        <v>54</v>
      </c>
      <c r="B12">
        <v>98.24</v>
      </c>
      <c r="C12">
        <v>98.43</v>
      </c>
      <c r="D12">
        <v>98.58</v>
      </c>
      <c r="E12">
        <v>98.48</v>
      </c>
      <c r="F12">
        <v>98.48</v>
      </c>
      <c r="G12">
        <v>98.3</v>
      </c>
      <c r="H12">
        <v>98.25</v>
      </c>
      <c r="I12">
        <v>98.24</v>
      </c>
      <c r="J12">
        <v>98.34</v>
      </c>
      <c r="K12">
        <v>98.47</v>
      </c>
      <c r="L12" s="1">
        <v>1.2500000000000001E-2</v>
      </c>
      <c r="M12" t="s">
        <v>33</v>
      </c>
      <c r="N12" s="2">
        <v>43749</v>
      </c>
      <c r="O12" s="2">
        <v>45717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62ED-5F6A-9A4E-A584-5B0A983AF38E}">
  <dimension ref="A1:P12"/>
  <sheetViews>
    <sheetView topLeftCell="D1" workbookViewId="0">
      <selection activeCell="O22" sqref="O22"/>
    </sheetView>
  </sheetViews>
  <sheetFormatPr baseColWidth="10" defaultRowHeight="16"/>
  <cols>
    <col min="4" max="4" width="14" customWidth="1"/>
    <col min="6" max="6" width="13.1640625" customWidth="1"/>
  </cols>
  <sheetData>
    <row r="1" spans="1:16">
      <c r="A1" s="2">
        <v>43843</v>
      </c>
      <c r="B1" t="s">
        <v>61</v>
      </c>
      <c r="C1" t="s">
        <v>1</v>
      </c>
      <c r="D1" t="s">
        <v>2</v>
      </c>
      <c r="E1" t="s">
        <v>3</v>
      </c>
      <c r="F1" t="s">
        <v>4</v>
      </c>
      <c r="G1" t="s">
        <v>78</v>
      </c>
      <c r="H1" t="s">
        <v>68</v>
      </c>
      <c r="I1" t="s">
        <v>71</v>
      </c>
      <c r="J1" t="s">
        <v>76</v>
      </c>
      <c r="K1" t="s">
        <v>80</v>
      </c>
      <c r="L1" t="s">
        <v>74</v>
      </c>
      <c r="M1" t="s">
        <v>69</v>
      </c>
      <c r="N1" t="s">
        <v>83</v>
      </c>
      <c r="O1" t="s">
        <v>90</v>
      </c>
      <c r="P1" t="s">
        <v>91</v>
      </c>
    </row>
    <row r="2" spans="1:16">
      <c r="A2" t="s">
        <v>12</v>
      </c>
      <c r="B2">
        <v>99.86</v>
      </c>
      <c r="C2" s="1">
        <v>1.4999999999999999E-2</v>
      </c>
      <c r="D2" t="s">
        <v>27</v>
      </c>
      <c r="E2" s="2">
        <v>41926</v>
      </c>
      <c r="F2" s="2">
        <v>43891</v>
      </c>
      <c r="G2">
        <f>F2-$A$1</f>
        <v>48</v>
      </c>
      <c r="H2">
        <f>2*G2/365</f>
        <v>0.26301369863013696</v>
      </c>
      <c r="I2">
        <f>0.5*C2*100</f>
        <v>0.75</v>
      </c>
      <c r="J2">
        <f>MOD(G2,182)</f>
        <v>48</v>
      </c>
      <c r="K2">
        <f>((182-J2)/365)*C2</f>
        <v>5.5068493150684924E-3</v>
      </c>
      <c r="L2">
        <f>K2+B2</f>
        <v>99.865506849315068</v>
      </c>
      <c r="M2" s="5">
        <f>RATE(H2,I2,(-L2),100)*2</f>
        <v>2.530868482323238E-2</v>
      </c>
      <c r="N2" s="8">
        <f>-LN(L2/(100+I2))/O2</f>
        <v>6.7052413038536499E-2</v>
      </c>
      <c r="O2">
        <f>G2/365</f>
        <v>0.13150684931506848</v>
      </c>
      <c r="P2">
        <f>(2*N5-N3)/1</f>
        <v>1.5088357937046697E-2</v>
      </c>
    </row>
    <row r="3" spans="1:16">
      <c r="A3" t="s">
        <v>12</v>
      </c>
      <c r="B3">
        <v>99.27</v>
      </c>
      <c r="C3" s="1">
        <v>7.4999999999999997E-3</v>
      </c>
      <c r="D3" t="s">
        <v>22</v>
      </c>
      <c r="E3" s="2">
        <v>42107</v>
      </c>
      <c r="F3" s="2">
        <v>44075</v>
      </c>
      <c r="G3">
        <f t="shared" ref="G3:G11" si="0">F3-$A$1</f>
        <v>232</v>
      </c>
      <c r="H3">
        <f t="shared" ref="H3:H11" si="1">2*G3/365</f>
        <v>1.2712328767123289</v>
      </c>
      <c r="I3">
        <f t="shared" ref="I3:I11" si="2">0.5*C3*100</f>
        <v>0.375</v>
      </c>
      <c r="J3">
        <f t="shared" ref="J3:J11" si="3">MOD(G3,182)</f>
        <v>50</v>
      </c>
      <c r="K3">
        <f t="shared" ref="K3:K11" si="4">((182-J3)/365)*C3</f>
        <v>2.7123287671232876E-3</v>
      </c>
      <c r="L3">
        <f t="shared" ref="L3:L11" si="5">K3+B3</f>
        <v>99.272712328767113</v>
      </c>
      <c r="M3" s="5">
        <f t="shared" ref="M3:M11" si="6">RATE(H3,I3,(-L3),100)*2</f>
        <v>1.9066167373637956E-2</v>
      </c>
      <c r="N3" s="8">
        <f>-LN((L3-I3*EXP(-O2*N2))/(100+I3))/O3</f>
        <v>2.3274692417692356E-2</v>
      </c>
      <c r="O3">
        <f t="shared" ref="O3:O11" si="7">G3/365</f>
        <v>0.63561643835616444</v>
      </c>
      <c r="P3">
        <f>(3*N7-N3)/2</f>
        <v>1.5683568649437943E-2</v>
      </c>
    </row>
    <row r="4" spans="1:16">
      <c r="A4" t="s">
        <v>9</v>
      </c>
      <c r="B4">
        <v>98.9</v>
      </c>
      <c r="C4" s="1">
        <v>7.4999999999999997E-3</v>
      </c>
      <c r="D4" t="s">
        <v>11</v>
      </c>
      <c r="E4" s="2">
        <v>42296</v>
      </c>
      <c r="F4" s="2">
        <v>44256</v>
      </c>
      <c r="G4">
        <f t="shared" si="0"/>
        <v>413</v>
      </c>
      <c r="H4">
        <f t="shared" si="1"/>
        <v>2.2630136986301368</v>
      </c>
      <c r="I4">
        <f t="shared" si="2"/>
        <v>0.375</v>
      </c>
      <c r="J4">
        <f t="shared" si="3"/>
        <v>49</v>
      </c>
      <c r="K4">
        <f t="shared" si="4"/>
        <v>2.7328767123287671E-3</v>
      </c>
      <c r="L4">
        <f t="shared" si="5"/>
        <v>98.902732876712335</v>
      </c>
      <c r="M4" s="5">
        <f t="shared" si="6"/>
        <v>1.7334776160623698E-2</v>
      </c>
      <c r="N4" s="8">
        <f>-LN((L4-(I4*EXP(-O3*N3)+I4*EXP(-O2*N2))) /(100+I4))/O4</f>
        <v>1.9707142010227472E-2</v>
      </c>
      <c r="O4">
        <f t="shared" si="7"/>
        <v>1.1315068493150684</v>
      </c>
      <c r="P4">
        <f>(4*N9-N3)/3</f>
        <v>1.5157843359095291E-2</v>
      </c>
    </row>
    <row r="5" spans="1:16">
      <c r="A5" t="s">
        <v>9</v>
      </c>
      <c r="B5">
        <v>98.38</v>
      </c>
      <c r="C5" s="1">
        <v>7.4999999999999997E-3</v>
      </c>
      <c r="D5" t="s">
        <v>25</v>
      </c>
      <c r="E5" s="2">
        <v>42471</v>
      </c>
      <c r="F5" s="2">
        <v>44440</v>
      </c>
      <c r="G5">
        <f t="shared" si="0"/>
        <v>597</v>
      </c>
      <c r="H5">
        <f t="shared" si="1"/>
        <v>3.2712328767123289</v>
      </c>
      <c r="I5">
        <f t="shared" si="2"/>
        <v>0.375</v>
      </c>
      <c r="J5">
        <f t="shared" si="3"/>
        <v>51</v>
      </c>
      <c r="K5">
        <f t="shared" si="4"/>
        <v>2.6917808219178085E-3</v>
      </c>
      <c r="L5">
        <f t="shared" si="5"/>
        <v>98.382691780821915</v>
      </c>
      <c r="M5" s="5">
        <f t="shared" si="6"/>
        <v>1.7574238444668072E-2</v>
      </c>
      <c r="N5" s="8">
        <f>-LN((L5-(I5*EXP(-O4*N4)+I5*EXP(-O3*N3)+I5*EXP(-O2*N2))) /(100+I5))/O5</f>
        <v>1.9181525177369527E-2</v>
      </c>
      <c r="O5">
        <f t="shared" si="7"/>
        <v>1.6356164383561644</v>
      </c>
      <c r="P5">
        <f>(5*N11-N3)/4</f>
        <v>1.6997768354610351E-2</v>
      </c>
    </row>
    <row r="6" spans="1:16">
      <c r="A6" t="s">
        <v>24</v>
      </c>
      <c r="B6">
        <v>97.57</v>
      </c>
      <c r="C6" s="1">
        <v>5.0000000000000001E-3</v>
      </c>
      <c r="D6" t="s">
        <v>23</v>
      </c>
      <c r="E6" s="2">
        <v>42654</v>
      </c>
      <c r="F6" s="2">
        <v>44621</v>
      </c>
      <c r="G6">
        <f t="shared" si="0"/>
        <v>778</v>
      </c>
      <c r="H6">
        <f t="shared" si="1"/>
        <v>4.2630136986301368</v>
      </c>
      <c r="I6">
        <f t="shared" si="2"/>
        <v>0.25</v>
      </c>
      <c r="J6">
        <f t="shared" si="3"/>
        <v>50</v>
      </c>
      <c r="K6">
        <f t="shared" si="4"/>
        <v>1.8082191780821918E-3</v>
      </c>
      <c r="L6">
        <f t="shared" si="5"/>
        <v>97.571808219178081</v>
      </c>
      <c r="M6" s="5">
        <f t="shared" si="6"/>
        <v>1.6642479532833772E-2</v>
      </c>
      <c r="N6" s="8">
        <f>-LN((L6-(I6*EXP(-O5*N5)+I6*EXP(-O4*N4)+I6*EXP(-O3*N3)+I6*EXP(-O2*N2))) /(100+I6))/O6</f>
        <v>1.7444204162074105E-2</v>
      </c>
      <c r="O6">
        <f t="shared" si="7"/>
        <v>2.1315068493150684</v>
      </c>
    </row>
    <row r="7" spans="1:16">
      <c r="A7" t="s">
        <v>24</v>
      </c>
      <c r="B7">
        <v>102.46</v>
      </c>
      <c r="C7" s="1">
        <v>2.75E-2</v>
      </c>
      <c r="D7" t="s">
        <v>28</v>
      </c>
      <c r="E7" s="2">
        <v>40757</v>
      </c>
      <c r="F7" s="2">
        <v>44713</v>
      </c>
      <c r="G7">
        <f t="shared" si="0"/>
        <v>870</v>
      </c>
      <c r="H7">
        <f t="shared" si="1"/>
        <v>4.7671232876712333</v>
      </c>
      <c r="I7">
        <f t="shared" si="2"/>
        <v>1.375</v>
      </c>
      <c r="J7">
        <f t="shared" si="3"/>
        <v>142</v>
      </c>
      <c r="K7">
        <f t="shared" si="4"/>
        <v>3.013698630136986E-3</v>
      </c>
      <c r="L7">
        <f t="shared" si="5"/>
        <v>102.46301369863014</v>
      </c>
      <c r="M7" s="5">
        <f t="shared" si="6"/>
        <v>1.6913352495391065E-2</v>
      </c>
      <c r="N7" s="8">
        <f>-LN((L7-(I7*EXP(-O5*N5)+I7*EXP(-O4*N4)+I7*EXP(-O3*N3)+I7*EXP(-O2*N2))) /(100+I7))/O7</f>
        <v>1.8213943238856081E-2</v>
      </c>
      <c r="O7">
        <f t="shared" si="7"/>
        <v>2.3835616438356166</v>
      </c>
    </row>
    <row r="8" spans="1:16">
      <c r="A8" t="s">
        <v>46</v>
      </c>
      <c r="B8">
        <v>100.27</v>
      </c>
      <c r="C8" s="1">
        <v>1.7500000000000002E-2</v>
      </c>
      <c r="D8" t="s">
        <v>32</v>
      </c>
      <c r="E8" s="2">
        <v>43014</v>
      </c>
      <c r="F8" s="2">
        <v>44986</v>
      </c>
      <c r="G8">
        <f t="shared" si="0"/>
        <v>1143</v>
      </c>
      <c r="H8">
        <f t="shared" si="1"/>
        <v>6.2630136986301368</v>
      </c>
      <c r="I8">
        <f t="shared" si="2"/>
        <v>0.87500000000000011</v>
      </c>
      <c r="J8">
        <f t="shared" si="3"/>
        <v>51</v>
      </c>
      <c r="K8">
        <f t="shared" si="4"/>
        <v>6.2808219178082198E-3</v>
      </c>
      <c r="L8">
        <f t="shared" si="5"/>
        <v>100.27628082191781</v>
      </c>
      <c r="M8" s="5">
        <f t="shared" si="6"/>
        <v>1.659096759255517E-2</v>
      </c>
      <c r="N8" s="8">
        <f>-LN((L8-(I8*EXP(-O7*N7)+I8*EXP(-O6*N6)+I8*EXP(-O5*N5)+I8*EXP(-O4*N4)+I8*EXP(-O3*N3)+I8*EXP(-O2*N2))) /(100+I8))/O8</f>
        <v>1.8616868795943604E-2</v>
      </c>
      <c r="O8">
        <f t="shared" si="7"/>
        <v>3.1315068493150684</v>
      </c>
    </row>
    <row r="9" spans="1:16">
      <c r="A9" t="s">
        <v>46</v>
      </c>
      <c r="B9">
        <v>99.44</v>
      </c>
      <c r="C9" s="1">
        <v>1.4999999999999999E-2</v>
      </c>
      <c r="D9" t="s">
        <v>60</v>
      </c>
      <c r="E9" s="2">
        <v>41120</v>
      </c>
      <c r="F9" s="2">
        <v>45078</v>
      </c>
      <c r="G9">
        <f t="shared" si="0"/>
        <v>1235</v>
      </c>
      <c r="H9">
        <f t="shared" si="1"/>
        <v>6.7671232876712333</v>
      </c>
      <c r="I9">
        <f t="shared" si="2"/>
        <v>0.75</v>
      </c>
      <c r="J9">
        <f t="shared" si="3"/>
        <v>143</v>
      </c>
      <c r="K9">
        <f t="shared" si="4"/>
        <v>1.6027397260273972E-3</v>
      </c>
      <c r="L9">
        <f t="shared" si="5"/>
        <v>99.441602739726022</v>
      </c>
      <c r="M9" s="5">
        <f t="shared" si="6"/>
        <v>1.6704281810973515E-2</v>
      </c>
      <c r="N9" s="8">
        <f>-LN((L9-(I9*EXP(-O2*N2)+I9*EXP(-O7*N7)+I9*EXP(-O6*N6)+I9*EXP(-O5*N5)+I9*EXP(-O4*N4)+I9*EXP(-O3*N3))) /(100+I9))/O9</f>
        <v>1.7187055623744556E-2</v>
      </c>
      <c r="O9">
        <f t="shared" si="7"/>
        <v>3.3835616438356166</v>
      </c>
    </row>
    <row r="10" spans="1:16">
      <c r="A10" t="s">
        <v>53</v>
      </c>
      <c r="B10">
        <v>102.46</v>
      </c>
      <c r="C10" s="1">
        <v>2.2499999999999999E-2</v>
      </c>
      <c r="D10" t="s">
        <v>41</v>
      </c>
      <c r="E10" s="2">
        <v>43378</v>
      </c>
      <c r="F10" s="2">
        <v>45352</v>
      </c>
      <c r="G10">
        <f t="shared" si="0"/>
        <v>1509</v>
      </c>
      <c r="H10">
        <f t="shared" si="1"/>
        <v>8.2684931506849306</v>
      </c>
      <c r="I10">
        <f t="shared" si="2"/>
        <v>1.125</v>
      </c>
      <c r="J10">
        <f t="shared" si="3"/>
        <v>53</v>
      </c>
      <c r="K10">
        <f t="shared" si="4"/>
        <v>7.9520547945205466E-3</v>
      </c>
      <c r="L10">
        <f t="shared" si="5"/>
        <v>102.46795205479451</v>
      </c>
      <c r="M10" s="5">
        <f t="shared" si="6"/>
        <v>1.6302747686228188E-2</v>
      </c>
      <c r="N10" s="8">
        <f>-LN((L10-(I10*EXP(-O2*N2)+I10*EXP(-N9*O9)+I10*EXP(-O3*N3)+I10*EXP(-O8*N8)+I10*EXP(-O7*N7)+I10*EXP(-O6*N6)+I10*EXP(-O5*N5)+I10*EXP(-O4*N4)))/(100+I10))/O10</f>
        <v>1.8265014581193107E-2</v>
      </c>
      <c r="O10">
        <f t="shared" si="7"/>
        <v>4.1342465753424653</v>
      </c>
    </row>
    <row r="11" spans="1:16">
      <c r="A11" t="s">
        <v>49</v>
      </c>
      <c r="B11">
        <v>99.06</v>
      </c>
      <c r="C11" s="1">
        <v>1.4999999999999999E-2</v>
      </c>
      <c r="D11" t="s">
        <v>39</v>
      </c>
      <c r="E11" s="2">
        <v>43560</v>
      </c>
      <c r="F11" s="2">
        <v>45536</v>
      </c>
      <c r="G11">
        <f t="shared" si="0"/>
        <v>1693</v>
      </c>
      <c r="H11">
        <f t="shared" si="1"/>
        <v>9.2767123287671236</v>
      </c>
      <c r="I11">
        <f t="shared" si="2"/>
        <v>0.75</v>
      </c>
      <c r="J11">
        <f t="shared" si="3"/>
        <v>55</v>
      </c>
      <c r="K11">
        <f t="shared" si="4"/>
        <v>5.2191780821917808E-3</v>
      </c>
      <c r="L11">
        <f t="shared" si="5"/>
        <v>99.065219178082188</v>
      </c>
      <c r="M11" s="5">
        <f t="shared" si="6"/>
        <v>1.7104932959295115E-2</v>
      </c>
      <c r="N11" s="8">
        <f>-LN((L11-(I11*EXP(-N2*O2)+I11*EXP(-O3*N3)+I11*EXP(-N10*O10)+I11*EXP(-O4*N4)+I11*EXP(-O9*N9)+I11*EXP(-O8*N8)+I11*EXP(-O7*N7)+I11*EXP(-O6*N6)+I11*EXP(-O5*N5))) /(100+I11))/O11</f>
        <v>1.8253153167226751E-2</v>
      </c>
      <c r="O11">
        <f t="shared" si="7"/>
        <v>4.6383561643835618</v>
      </c>
    </row>
    <row r="12" spans="1:16">
      <c r="I12" s="1"/>
      <c r="K12" s="2"/>
      <c r="L12" s="2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2B4C9-2162-254F-BE5D-807BA06D05EB}">
  <dimension ref="A1:P12"/>
  <sheetViews>
    <sheetView workbookViewId="0">
      <selection activeCell="M21" sqref="M21"/>
    </sheetView>
  </sheetViews>
  <sheetFormatPr baseColWidth="10" defaultRowHeight="16"/>
  <cols>
    <col min="4" max="4" width="14" customWidth="1"/>
    <col min="6" max="6" width="13" customWidth="1"/>
  </cols>
  <sheetData>
    <row r="1" spans="1:16">
      <c r="A1" s="2">
        <v>43844</v>
      </c>
      <c r="B1" t="s">
        <v>61</v>
      </c>
      <c r="C1" t="s">
        <v>1</v>
      </c>
      <c r="D1" t="s">
        <v>2</v>
      </c>
      <c r="E1" t="s">
        <v>3</v>
      </c>
      <c r="F1" t="s">
        <v>4</v>
      </c>
      <c r="G1" t="s">
        <v>78</v>
      </c>
      <c r="H1" t="s">
        <v>68</v>
      </c>
      <c r="I1" t="s">
        <v>1</v>
      </c>
      <c r="J1" t="s">
        <v>76</v>
      </c>
      <c r="K1" t="s">
        <v>80</v>
      </c>
      <c r="L1" t="s">
        <v>74</v>
      </c>
      <c r="M1" t="s">
        <v>69</v>
      </c>
      <c r="N1" t="s">
        <v>84</v>
      </c>
      <c r="O1" t="s">
        <v>90</v>
      </c>
      <c r="P1" t="s">
        <v>91</v>
      </c>
    </row>
    <row r="2" spans="1:16">
      <c r="A2" t="s">
        <v>12</v>
      </c>
      <c r="B2">
        <v>99.86</v>
      </c>
      <c r="C2" s="1">
        <v>1.4999999999999999E-2</v>
      </c>
      <c r="D2" t="s">
        <v>27</v>
      </c>
      <c r="E2" s="2">
        <v>41926</v>
      </c>
      <c r="F2" s="2">
        <v>43891</v>
      </c>
      <c r="G2">
        <f>F2-$A$1</f>
        <v>47</v>
      </c>
      <c r="H2">
        <f>2*G2/365</f>
        <v>0.25753424657534246</v>
      </c>
      <c r="I2">
        <f>0.5*C2*100</f>
        <v>0.75</v>
      </c>
      <c r="J2">
        <f>MOD(G2,182)</f>
        <v>47</v>
      </c>
      <c r="K2">
        <f>((182-J2)/365)*C2</f>
        <v>5.5479452054794515E-3</v>
      </c>
      <c r="L2">
        <f>K2+B2</f>
        <v>99.865547945205478</v>
      </c>
      <c r="M2" s="5">
        <f>RATE(H2,I2,(-L2),100)*2</f>
        <v>2.552514754699621E-2</v>
      </c>
      <c r="N2" s="8">
        <f>-LN(L2/(100+I2))/O2</f>
        <v>6.8475864337643105E-2</v>
      </c>
      <c r="O2">
        <f>G2/365</f>
        <v>0.12876712328767123</v>
      </c>
      <c r="P2">
        <f>(2*N5-N3)/1</f>
        <v>1.483457926472815E-2</v>
      </c>
    </row>
    <row r="3" spans="1:16">
      <c r="A3" t="s">
        <v>12</v>
      </c>
      <c r="B3">
        <v>99.28</v>
      </c>
      <c r="C3" s="1">
        <v>7.4999999999999997E-3</v>
      </c>
      <c r="D3" t="s">
        <v>22</v>
      </c>
      <c r="E3" s="2">
        <v>42107</v>
      </c>
      <c r="F3" s="2">
        <v>44075</v>
      </c>
      <c r="G3">
        <f t="shared" ref="G3:G11" si="0">F3-$A$1</f>
        <v>231</v>
      </c>
      <c r="H3">
        <f t="shared" ref="H3:H11" si="1">2*G3/365</f>
        <v>1.2657534246575342</v>
      </c>
      <c r="I3">
        <f t="shared" ref="I3:I11" si="2">0.5*C3*100</f>
        <v>0.375</v>
      </c>
      <c r="J3">
        <f t="shared" ref="J3:J11" si="3">MOD(G3,182)</f>
        <v>49</v>
      </c>
      <c r="K3">
        <f t="shared" ref="K3:K11" si="4">((182-J3)/365)*C3</f>
        <v>2.7328767123287671E-3</v>
      </c>
      <c r="L3">
        <f t="shared" ref="L3:L11" si="5">K3+B3</f>
        <v>99.28273287671233</v>
      </c>
      <c r="M3" s="5">
        <f t="shared" ref="M3:M11" si="6">RATE(H3,I3,(-L3),100)*2</f>
        <v>1.8955178885886072E-2</v>
      </c>
      <c r="N3" s="8">
        <f>-LN((L3-I3*EXP(-O2*N2))/(100+I3))/O3</f>
        <v>2.3215366469718224E-2</v>
      </c>
      <c r="O3">
        <f t="shared" ref="O3:O11" si="7">G3/365</f>
        <v>0.63287671232876708</v>
      </c>
      <c r="P3">
        <f>(3*N7-N3)/2</f>
        <v>1.5682837605735987E-2</v>
      </c>
    </row>
    <row r="4" spans="1:16">
      <c r="A4" t="s">
        <v>9</v>
      </c>
      <c r="B4">
        <v>98.9</v>
      </c>
      <c r="C4" s="1">
        <v>7.4999999999999997E-3</v>
      </c>
      <c r="D4" t="s">
        <v>11</v>
      </c>
      <c r="E4" s="2">
        <v>42296</v>
      </c>
      <c r="F4" s="2">
        <v>44256</v>
      </c>
      <c r="G4">
        <f t="shared" si="0"/>
        <v>412</v>
      </c>
      <c r="H4">
        <f t="shared" si="1"/>
        <v>2.2575342465753425</v>
      </c>
      <c r="I4">
        <f t="shared" si="2"/>
        <v>0.375</v>
      </c>
      <c r="J4">
        <f t="shared" si="3"/>
        <v>48</v>
      </c>
      <c r="K4">
        <f t="shared" si="4"/>
        <v>2.7534246575342462E-3</v>
      </c>
      <c r="L4">
        <f t="shared" si="5"/>
        <v>98.902753424657533</v>
      </c>
      <c r="M4" s="5">
        <f t="shared" si="6"/>
        <v>1.7358417860059296E-2</v>
      </c>
      <c r="N4" s="8">
        <f>-LN((L4-(I4*EXP(-O3*N3)+I4*EXP(-O2*N2))) /(100+I4))/O4</f>
        <v>1.9755128677760501E-2</v>
      </c>
      <c r="O4">
        <f t="shared" si="7"/>
        <v>1.1287671232876713</v>
      </c>
      <c r="P4">
        <f>(4*N9-N3)/3</f>
        <v>1.4990471189159194E-2</v>
      </c>
    </row>
    <row r="5" spans="1:16">
      <c r="A5" t="s">
        <v>9</v>
      </c>
      <c r="B5">
        <v>98.41</v>
      </c>
      <c r="C5" s="1">
        <v>7.4999999999999997E-3</v>
      </c>
      <c r="D5" t="s">
        <v>25</v>
      </c>
      <c r="E5" s="2">
        <v>42471</v>
      </c>
      <c r="F5" s="2">
        <v>44440</v>
      </c>
      <c r="G5">
        <f t="shared" si="0"/>
        <v>596</v>
      </c>
      <c r="H5">
        <f t="shared" si="1"/>
        <v>3.2657534246575342</v>
      </c>
      <c r="I5">
        <f t="shared" si="2"/>
        <v>0.375</v>
      </c>
      <c r="J5">
        <f t="shared" si="3"/>
        <v>50</v>
      </c>
      <c r="K5">
        <f t="shared" si="4"/>
        <v>2.7123287671232876E-3</v>
      </c>
      <c r="L5">
        <f t="shared" si="5"/>
        <v>98.412712328767114</v>
      </c>
      <c r="M5" s="5">
        <f t="shared" si="6"/>
        <v>1.7401793652468356E-2</v>
      </c>
      <c r="N5" s="8">
        <f>-LN((L5-(I5*EXP(-O4*N4)+I5*EXP(-O3*N3)+I5*EXP(-O2*N2))) /(100+I5))/O5</f>
        <v>1.9024972867223187E-2</v>
      </c>
      <c r="O5">
        <f t="shared" si="7"/>
        <v>1.6328767123287671</v>
      </c>
      <c r="P5">
        <f>(5*N11-N3)/4</f>
        <v>1.7234867355070738E-2</v>
      </c>
    </row>
    <row r="6" spans="1:16">
      <c r="A6" t="s">
        <v>24</v>
      </c>
      <c r="B6">
        <v>97.58</v>
      </c>
      <c r="C6" s="1">
        <v>5.0000000000000001E-3</v>
      </c>
      <c r="D6" t="s">
        <v>23</v>
      </c>
      <c r="E6" s="2">
        <v>42654</v>
      </c>
      <c r="F6" s="2">
        <v>44621</v>
      </c>
      <c r="G6">
        <f t="shared" si="0"/>
        <v>777</v>
      </c>
      <c r="H6">
        <f t="shared" si="1"/>
        <v>4.2575342465753421</v>
      </c>
      <c r="I6">
        <f t="shared" si="2"/>
        <v>0.25</v>
      </c>
      <c r="J6">
        <f t="shared" si="3"/>
        <v>49</v>
      </c>
      <c r="K6">
        <f t="shared" si="4"/>
        <v>1.8219178082191782E-3</v>
      </c>
      <c r="L6">
        <f t="shared" si="5"/>
        <v>97.581821917808213</v>
      </c>
      <c r="M6" s="5">
        <f t="shared" si="6"/>
        <v>1.6608616673530224E-2</v>
      </c>
      <c r="N6" s="8">
        <f>-LN((L6-(I6*EXP(-O5*N5)+I6*EXP(-O4*N4)+I6*EXP(-O3*N3)+I6*EXP(-O2*N2))) /(100+I6))/O6</f>
        <v>1.7418442069729159E-2</v>
      </c>
      <c r="O6">
        <f t="shared" si="7"/>
        <v>2.128767123287671</v>
      </c>
    </row>
    <row r="7" spans="1:16">
      <c r="A7" t="s">
        <v>24</v>
      </c>
      <c r="B7">
        <v>102.47</v>
      </c>
      <c r="C7" s="1">
        <v>2.75E-2</v>
      </c>
      <c r="D7" t="s">
        <v>28</v>
      </c>
      <c r="E7" s="2">
        <v>40757</v>
      </c>
      <c r="F7" s="2">
        <v>44713</v>
      </c>
      <c r="G7">
        <f t="shared" si="0"/>
        <v>869</v>
      </c>
      <c r="H7">
        <f t="shared" si="1"/>
        <v>4.7616438356164386</v>
      </c>
      <c r="I7">
        <f t="shared" si="2"/>
        <v>1.375</v>
      </c>
      <c r="J7">
        <f t="shared" si="3"/>
        <v>141</v>
      </c>
      <c r="K7">
        <f t="shared" si="4"/>
        <v>3.0890410958904109E-3</v>
      </c>
      <c r="L7">
        <f t="shared" si="5"/>
        <v>102.47308904109589</v>
      </c>
      <c r="M7" s="5">
        <f t="shared" si="6"/>
        <v>1.6858881239003445E-2</v>
      </c>
      <c r="N7" s="8">
        <f>-LN((L7-(I7*EXP(-O5*N5)+I7*EXP(-O4*N4)+I7*EXP(-O3*N3)+I7*EXP(-O2*N2))) /(100+I7))/O7</f>
        <v>1.8193680560396733E-2</v>
      </c>
      <c r="O7">
        <f t="shared" si="7"/>
        <v>2.3808219178082193</v>
      </c>
    </row>
    <row r="8" spans="1:16">
      <c r="A8" t="s">
        <v>46</v>
      </c>
      <c r="B8">
        <v>100.31</v>
      </c>
      <c r="C8" s="1">
        <v>1.7500000000000002E-2</v>
      </c>
      <c r="D8" t="s">
        <v>32</v>
      </c>
      <c r="E8" s="2">
        <v>43014</v>
      </c>
      <c r="F8" s="2">
        <v>44986</v>
      </c>
      <c r="G8">
        <f t="shared" si="0"/>
        <v>1142</v>
      </c>
      <c r="H8">
        <f t="shared" si="1"/>
        <v>6.2575342465753421</v>
      </c>
      <c r="I8">
        <f t="shared" si="2"/>
        <v>0.87500000000000011</v>
      </c>
      <c r="J8">
        <f t="shared" si="3"/>
        <v>50</v>
      </c>
      <c r="K8">
        <f t="shared" si="4"/>
        <v>6.3287671232876716E-3</v>
      </c>
      <c r="L8">
        <f t="shared" si="5"/>
        <v>100.3163287671233</v>
      </c>
      <c r="M8" s="5">
        <f t="shared" si="6"/>
        <v>1.6458558300599575E-2</v>
      </c>
      <c r="N8" s="8">
        <f>-LN((L8-(I8*EXP(-O7*N7)+I8*EXP(-O6*N6)+I8*EXP(-O5*N5)+I8*EXP(-O4*N4)+I8*EXP(-O3*N3)+I8*EXP(-O2*N2))) /(100+I8))/O8</f>
        <v>1.8500430882732968E-2</v>
      </c>
      <c r="O8">
        <f t="shared" si="7"/>
        <v>3.128767123287671</v>
      </c>
    </row>
    <row r="9" spans="1:16">
      <c r="A9" t="s">
        <v>46</v>
      </c>
      <c r="B9">
        <v>99.49</v>
      </c>
      <c r="C9" s="1">
        <v>1.4999999999999999E-2</v>
      </c>
      <c r="D9" t="s">
        <v>60</v>
      </c>
      <c r="E9" s="2">
        <v>41120</v>
      </c>
      <c r="F9" s="2">
        <v>45078</v>
      </c>
      <c r="G9">
        <f t="shared" si="0"/>
        <v>1234</v>
      </c>
      <c r="H9">
        <f t="shared" si="1"/>
        <v>6.7616438356164386</v>
      </c>
      <c r="I9">
        <f t="shared" si="2"/>
        <v>0.75</v>
      </c>
      <c r="J9">
        <f t="shared" si="3"/>
        <v>142</v>
      </c>
      <c r="K9">
        <f t="shared" si="4"/>
        <v>1.643835616438356E-3</v>
      </c>
      <c r="L9">
        <f t="shared" si="5"/>
        <v>99.491643835616429</v>
      </c>
      <c r="M9" s="5">
        <f t="shared" si="6"/>
        <v>1.6552323483277672E-2</v>
      </c>
      <c r="N9" s="8">
        <f>-LN((L9-(I9*EXP(-O2*N2)+I9*EXP(-O7*N7)+I9*EXP(-O6*N6)+I9*EXP(-O5*N5)+I9*EXP(-O4*N4)+I9*EXP(-O3*N3))) /(100+I9))/O9</f>
        <v>1.7046695009298951E-2</v>
      </c>
      <c r="O9">
        <f t="shared" si="7"/>
        <v>3.3808219178082193</v>
      </c>
    </row>
    <row r="10" spans="1:16">
      <c r="A10" t="s">
        <v>53</v>
      </c>
      <c r="B10">
        <v>102.54</v>
      </c>
      <c r="C10" s="1">
        <v>2.2499999999999999E-2</v>
      </c>
      <c r="D10" t="s">
        <v>41</v>
      </c>
      <c r="E10" s="2">
        <v>43378</v>
      </c>
      <c r="F10" s="2">
        <v>45352</v>
      </c>
      <c r="G10">
        <f t="shared" si="0"/>
        <v>1508</v>
      </c>
      <c r="H10">
        <f t="shared" si="1"/>
        <v>8.2630136986301377</v>
      </c>
      <c r="I10">
        <f t="shared" si="2"/>
        <v>1.125</v>
      </c>
      <c r="J10">
        <f t="shared" si="3"/>
        <v>52</v>
      </c>
      <c r="K10">
        <f t="shared" si="4"/>
        <v>8.0136986301369856E-3</v>
      </c>
      <c r="L10">
        <f t="shared" si="5"/>
        <v>102.54801369863014</v>
      </c>
      <c r="M10" s="5">
        <f t="shared" si="6"/>
        <v>1.610054760387207E-2</v>
      </c>
      <c r="N10" s="8">
        <f>-LN((L10-(I10*EXP(-O2*N2)+I10*EXP(-N9*O9)+I10*EXP(-O3*N3)+I10*EXP(-O8*N8)+I10*EXP(-O7*N7)+I10*EXP(-O6*N6)+I10*EXP(-O5*N5)+I10*EXP(-O4*N4)))/(100+I10))/O10</f>
        <v>1.8074838905494293E-2</v>
      </c>
      <c r="O10">
        <f t="shared" si="7"/>
        <v>4.1315068493150688</v>
      </c>
    </row>
    <row r="11" spans="1:16">
      <c r="A11" t="s">
        <v>49</v>
      </c>
      <c r="B11">
        <v>98.99</v>
      </c>
      <c r="C11" s="1">
        <v>1.4999999999999999E-2</v>
      </c>
      <c r="D11" t="s">
        <v>39</v>
      </c>
      <c r="E11" s="2">
        <v>43560</v>
      </c>
      <c r="F11" s="2">
        <v>45536</v>
      </c>
      <c r="G11">
        <f t="shared" si="0"/>
        <v>1692</v>
      </c>
      <c r="H11">
        <f t="shared" si="1"/>
        <v>9.2712328767123289</v>
      </c>
      <c r="I11">
        <f t="shared" si="2"/>
        <v>0.75</v>
      </c>
      <c r="J11">
        <f t="shared" si="3"/>
        <v>54</v>
      </c>
      <c r="K11">
        <f t="shared" si="4"/>
        <v>5.2602739726027399E-3</v>
      </c>
      <c r="L11">
        <f t="shared" si="5"/>
        <v>98.995260273972605</v>
      </c>
      <c r="M11" s="5">
        <f t="shared" si="6"/>
        <v>1.7264660860878821E-2</v>
      </c>
      <c r="N11" s="8">
        <f>-LN((L11-(I11*EXP(-N2*O2)+I11*EXP(-O3*N3)+I11*EXP(-N10*O10)+I11*EXP(-O4*N4)+I11*EXP(-O9*N9)+I11*EXP(-O8*N8)+I11*EXP(-O7*N7)+I11*EXP(-O6*N6)+I11*EXP(-O5*N5))) /(100+I11))/O11</f>
        <v>1.8430967178000236E-2</v>
      </c>
      <c r="O11">
        <f t="shared" si="7"/>
        <v>4.6356164383561644</v>
      </c>
    </row>
    <row r="12" spans="1:16">
      <c r="I12" s="1"/>
      <c r="K12" s="2"/>
      <c r="L12" s="2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F5085-5591-6E43-A882-5D5E6CE164ED}">
  <dimension ref="A1:P12"/>
  <sheetViews>
    <sheetView topLeftCell="C1" workbookViewId="0">
      <selection activeCell="O14" sqref="O14"/>
    </sheetView>
  </sheetViews>
  <sheetFormatPr baseColWidth="10" defaultRowHeight="16"/>
  <cols>
    <col min="1" max="1" width="14.33203125" customWidth="1"/>
    <col min="4" max="4" width="14.1640625" customWidth="1"/>
    <col min="6" max="6" width="12.5" customWidth="1"/>
  </cols>
  <sheetData>
    <row r="1" spans="1:16">
      <c r="A1" s="2">
        <v>43845</v>
      </c>
      <c r="B1" t="s">
        <v>61</v>
      </c>
      <c r="C1" t="s">
        <v>1</v>
      </c>
      <c r="D1" t="s">
        <v>2</v>
      </c>
      <c r="E1" t="s">
        <v>3</v>
      </c>
      <c r="F1" t="s">
        <v>4</v>
      </c>
      <c r="G1" t="s">
        <v>82</v>
      </c>
      <c r="H1" t="s">
        <v>68</v>
      </c>
      <c r="I1" t="s">
        <v>71</v>
      </c>
      <c r="J1" t="s">
        <v>76</v>
      </c>
      <c r="K1" t="s">
        <v>80</v>
      </c>
      <c r="L1" t="s">
        <v>74</v>
      </c>
      <c r="M1" t="s">
        <v>69</v>
      </c>
      <c r="N1" t="s">
        <v>84</v>
      </c>
      <c r="O1" t="s">
        <v>90</v>
      </c>
      <c r="P1" t="s">
        <v>91</v>
      </c>
    </row>
    <row r="2" spans="1:16">
      <c r="A2" t="s">
        <v>12</v>
      </c>
      <c r="B2">
        <v>99.86</v>
      </c>
      <c r="C2" s="1">
        <v>1.4999999999999999E-2</v>
      </c>
      <c r="D2" t="s">
        <v>27</v>
      </c>
      <c r="E2" s="2">
        <v>41926</v>
      </c>
      <c r="F2" s="2">
        <v>43891</v>
      </c>
      <c r="G2">
        <f>F2-$A$1</f>
        <v>46</v>
      </c>
      <c r="H2">
        <f>G2*2/365</f>
        <v>0.25205479452054796</v>
      </c>
      <c r="I2">
        <f>C2*0.5*100</f>
        <v>0.75</v>
      </c>
      <c r="J2">
        <f>MOD(G2,182)</f>
        <v>46</v>
      </c>
      <c r="K2">
        <f>((182-J2)/365)*C2</f>
        <v>5.5890410958904114E-3</v>
      </c>
      <c r="L2">
        <f>K2+B2</f>
        <v>99.865589041095888</v>
      </c>
      <c r="M2" s="5">
        <f>RATE(H2,I2,(-L2),100)*2</f>
        <v>2.5751046529780858E-2</v>
      </c>
      <c r="N2" s="8">
        <f>-LN(L2/(100+I2))/O2</f>
        <v>6.9961204825012002E-2</v>
      </c>
      <c r="O2">
        <f>G2/365</f>
        <v>0.12602739726027398</v>
      </c>
      <c r="P2">
        <f>(2*N5-N3)/1</f>
        <v>1.4994788125077207E-2</v>
      </c>
    </row>
    <row r="3" spans="1:16">
      <c r="A3" t="s">
        <v>12</v>
      </c>
      <c r="B3">
        <v>99.3</v>
      </c>
      <c r="C3" s="1">
        <v>7.4999999999999997E-3</v>
      </c>
      <c r="D3" t="s">
        <v>22</v>
      </c>
      <c r="E3" s="2">
        <v>42107</v>
      </c>
      <c r="F3" s="2">
        <v>44075</v>
      </c>
      <c r="G3">
        <f t="shared" ref="G3:G11" si="0">F3-$A$1</f>
        <v>230</v>
      </c>
      <c r="H3">
        <f t="shared" ref="H3:H11" si="1">G3*2/365</f>
        <v>1.2602739726027397</v>
      </c>
      <c r="I3">
        <f t="shared" ref="I3:I11" si="2">C3*0.5*100</f>
        <v>0.375</v>
      </c>
      <c r="J3">
        <f t="shared" ref="J3:J11" si="3">MOD(G3,182)</f>
        <v>48</v>
      </c>
      <c r="K3">
        <f t="shared" ref="K3:K11" si="4">((182-J3)/365)*C3</f>
        <v>2.7534246575342462E-3</v>
      </c>
      <c r="L3">
        <f t="shared" ref="L3:L11" si="5">K3+B3</f>
        <v>99.302753424657524</v>
      </c>
      <c r="M3" s="5">
        <f t="shared" ref="M3:M11" si="6">RATE(H3,I3,(-L3),100)*2</f>
        <v>1.868185508979367E-2</v>
      </c>
      <c r="N3" s="8">
        <f>-LN((L3-I3*EXP(-O2*N2))/(100+I3))/O3</f>
        <v>2.2995122457005475E-2</v>
      </c>
      <c r="O3">
        <f t="shared" ref="O3:O11" si="7">G3/365</f>
        <v>0.63013698630136983</v>
      </c>
      <c r="P3">
        <f>(3*N7-N3)/2</f>
        <v>1.5569389077169017E-2</v>
      </c>
    </row>
    <row r="4" spans="1:16">
      <c r="A4" t="s">
        <v>9</v>
      </c>
      <c r="B4">
        <v>98.93</v>
      </c>
      <c r="C4" s="1">
        <v>7.4999999999999997E-3</v>
      </c>
      <c r="D4" t="s">
        <v>11</v>
      </c>
      <c r="E4" s="2">
        <v>42296</v>
      </c>
      <c r="F4" s="2">
        <v>44256</v>
      </c>
      <c r="G4">
        <f t="shared" si="0"/>
        <v>411</v>
      </c>
      <c r="H4">
        <f t="shared" si="1"/>
        <v>2.2520547945205478</v>
      </c>
      <c r="I4">
        <f t="shared" si="2"/>
        <v>0.375</v>
      </c>
      <c r="J4">
        <f t="shared" si="3"/>
        <v>47</v>
      </c>
      <c r="K4">
        <f t="shared" si="4"/>
        <v>2.7739726027397257E-3</v>
      </c>
      <c r="L4">
        <f t="shared" si="5"/>
        <v>98.932773972602746</v>
      </c>
      <c r="M4" s="5">
        <f t="shared" si="6"/>
        <v>1.7109873911514962E-2</v>
      </c>
      <c r="N4" s="8">
        <f>-LN((L4-(I4*EXP(-O3*N3)+I4*EXP(-O2*N2))) /(100+I4))/O4</f>
        <v>1.9532314921918478E-2</v>
      </c>
      <c r="O4">
        <f t="shared" si="7"/>
        <v>1.1260273972602739</v>
      </c>
      <c r="P4">
        <f>(4*N9-1*N3)/3</f>
        <v>1.4795738266006879E-2</v>
      </c>
    </row>
    <row r="5" spans="1:16">
      <c r="A5" t="s">
        <v>9</v>
      </c>
      <c r="B5">
        <v>98.42</v>
      </c>
      <c r="C5" s="1">
        <v>7.4999999999999997E-3</v>
      </c>
      <c r="D5" t="s">
        <v>25</v>
      </c>
      <c r="E5" s="2">
        <v>42471</v>
      </c>
      <c r="F5" s="2">
        <v>44440</v>
      </c>
      <c r="G5">
        <f t="shared" si="0"/>
        <v>595</v>
      </c>
      <c r="H5">
        <f t="shared" si="1"/>
        <v>3.2602739726027399</v>
      </c>
      <c r="I5">
        <f t="shared" si="2"/>
        <v>0.375</v>
      </c>
      <c r="J5">
        <f t="shared" si="3"/>
        <v>49</v>
      </c>
      <c r="K5">
        <f t="shared" si="4"/>
        <v>2.7328767123287671E-3</v>
      </c>
      <c r="L5">
        <f t="shared" si="5"/>
        <v>98.422732876712331</v>
      </c>
      <c r="M5" s="5">
        <f t="shared" si="6"/>
        <v>1.7355103124859921E-2</v>
      </c>
      <c r="N5" s="8">
        <f>-LN((L5-(I5*EXP(-O4*N4)+I5*EXP(-O3*N3)+I5*EXP(-O2*N2))) /(100+I5))/O5</f>
        <v>1.8994955291041341E-2</v>
      </c>
      <c r="O5">
        <f t="shared" si="7"/>
        <v>1.6301369863013699</v>
      </c>
      <c r="P5">
        <f>(5*N11-N3)/4</f>
        <v>1.6990654575373618E-2</v>
      </c>
    </row>
    <row r="6" spans="1:16">
      <c r="A6" t="s">
        <v>24</v>
      </c>
      <c r="B6">
        <v>97.61</v>
      </c>
      <c r="C6" s="1">
        <v>5.0000000000000001E-3</v>
      </c>
      <c r="D6" t="s">
        <v>23</v>
      </c>
      <c r="E6" s="2">
        <v>42654</v>
      </c>
      <c r="F6" s="2">
        <v>44621</v>
      </c>
      <c r="G6">
        <f t="shared" si="0"/>
        <v>776</v>
      </c>
      <c r="H6">
        <f t="shared" si="1"/>
        <v>4.2520547945205482</v>
      </c>
      <c r="I6">
        <f t="shared" si="2"/>
        <v>0.25</v>
      </c>
      <c r="J6">
        <f t="shared" si="3"/>
        <v>48</v>
      </c>
      <c r="K6">
        <f t="shared" si="4"/>
        <v>1.8356164383561643E-3</v>
      </c>
      <c r="L6">
        <f t="shared" si="5"/>
        <v>97.611835616438356</v>
      </c>
      <c r="M6" s="5">
        <f t="shared" si="6"/>
        <v>1.6477092186306632E-2</v>
      </c>
      <c r="N6" s="8">
        <f>-LN((L6-(I6*EXP(-O5*N5)+I6*EXP(-O4*N4)+I6*EXP(-O3*N3)+I6*EXP(-O2*N2))) /(100+I6))/O6</f>
        <v>1.7295496449350644E-2</v>
      </c>
      <c r="O6">
        <f t="shared" si="7"/>
        <v>2.1260273972602741</v>
      </c>
    </row>
    <row r="7" spans="1:16">
      <c r="A7" t="s">
        <v>24</v>
      </c>
      <c r="B7">
        <v>102.51</v>
      </c>
      <c r="C7" s="1">
        <v>2.75E-2</v>
      </c>
      <c r="D7" t="s">
        <v>28</v>
      </c>
      <c r="E7" s="2">
        <v>40757</v>
      </c>
      <c r="F7" s="2">
        <v>44713</v>
      </c>
      <c r="G7">
        <f t="shared" si="0"/>
        <v>868</v>
      </c>
      <c r="H7">
        <f t="shared" si="1"/>
        <v>4.7561643835616438</v>
      </c>
      <c r="I7">
        <f t="shared" si="2"/>
        <v>1.375</v>
      </c>
      <c r="J7">
        <f t="shared" si="3"/>
        <v>140</v>
      </c>
      <c r="K7">
        <f t="shared" si="4"/>
        <v>3.1643835616438358E-3</v>
      </c>
      <c r="L7">
        <f t="shared" si="5"/>
        <v>102.51316438356164</v>
      </c>
      <c r="M7" s="5">
        <f t="shared" si="6"/>
        <v>1.6677030201813558E-2</v>
      </c>
      <c r="N7" s="8">
        <f>-LN((L7-(I7*EXP(-O5*N5)+I7*EXP(-O4*N4)+I7*EXP(-O3*N3)+I7*EXP(-O2*N2))) /(100+I7))/O7</f>
        <v>1.8044633537114503E-2</v>
      </c>
      <c r="O7">
        <f t="shared" si="7"/>
        <v>2.3780821917808219</v>
      </c>
    </row>
    <row r="8" spans="1:16">
      <c r="A8" t="s">
        <v>46</v>
      </c>
      <c r="B8">
        <v>100.38</v>
      </c>
      <c r="C8" s="1">
        <v>1.7500000000000002E-2</v>
      </c>
      <c r="D8" t="s">
        <v>32</v>
      </c>
      <c r="E8" s="2">
        <v>43014</v>
      </c>
      <c r="F8" s="2">
        <v>44986</v>
      </c>
      <c r="G8">
        <f t="shared" si="0"/>
        <v>1141</v>
      </c>
      <c r="H8">
        <f t="shared" si="1"/>
        <v>6.2520547945205482</v>
      </c>
      <c r="I8">
        <f t="shared" si="2"/>
        <v>0.87500000000000011</v>
      </c>
      <c r="J8">
        <f t="shared" si="3"/>
        <v>49</v>
      </c>
      <c r="K8">
        <f t="shared" si="4"/>
        <v>6.3767123287671243E-3</v>
      </c>
      <c r="L8">
        <f t="shared" si="5"/>
        <v>100.38637671232877</v>
      </c>
      <c r="M8" s="5">
        <f t="shared" si="6"/>
        <v>1.6227380000111161E-2</v>
      </c>
      <c r="N8" s="8">
        <f>-LN((L8-(I8*EXP(-O7*N7)+I8*EXP(-O6*N6)+I8*EXP(-O5*N5)+I8*EXP(-O4*N4)+I8*EXP(-O3*N3)+I8*EXP(-O2*N2))) /(100+I8))/O8</f>
        <v>1.828512263836948E-2</v>
      </c>
      <c r="O8">
        <f t="shared" si="7"/>
        <v>3.1260273972602741</v>
      </c>
    </row>
    <row r="9" spans="1:16">
      <c r="A9" t="s">
        <v>46</v>
      </c>
      <c r="B9">
        <v>99.56</v>
      </c>
      <c r="C9" s="1">
        <v>1.4999999999999999E-2</v>
      </c>
      <c r="D9" t="s">
        <v>60</v>
      </c>
      <c r="E9" s="2">
        <v>41120</v>
      </c>
      <c r="F9" s="2">
        <v>45078</v>
      </c>
      <c r="G9">
        <f t="shared" si="0"/>
        <v>1233</v>
      </c>
      <c r="H9">
        <f t="shared" si="1"/>
        <v>6.7561643835616438</v>
      </c>
      <c r="I9">
        <f t="shared" si="2"/>
        <v>0.75</v>
      </c>
      <c r="J9">
        <f t="shared" si="3"/>
        <v>141</v>
      </c>
      <c r="K9">
        <f t="shared" si="4"/>
        <v>1.6849315068493149E-3</v>
      </c>
      <c r="L9">
        <f t="shared" si="5"/>
        <v>99.561684931506846</v>
      </c>
      <c r="M9" s="5">
        <f t="shared" si="6"/>
        <v>1.6338955324818667E-2</v>
      </c>
      <c r="N9" s="8">
        <f>-LN((L9-(I9*EXP(-O2*N2)+I9*EXP(-O7*N7)+I9*EXP(-O6*N6)+I9*EXP(-O5*N5)+I9*EXP(-O4*N4)+I9*EXP(-O3*N3))) /(100+I9))/O9</f>
        <v>1.6845584313756528E-2</v>
      </c>
      <c r="O9">
        <f t="shared" si="7"/>
        <v>3.3780821917808219</v>
      </c>
    </row>
    <row r="10" spans="1:16">
      <c r="A10" t="s">
        <v>53</v>
      </c>
      <c r="B10">
        <v>102.64</v>
      </c>
      <c r="C10" s="1">
        <v>2.2499999999999999E-2</v>
      </c>
      <c r="D10" t="s">
        <v>41</v>
      </c>
      <c r="E10" s="2">
        <v>43378</v>
      </c>
      <c r="F10" s="2">
        <v>45352</v>
      </c>
      <c r="G10">
        <f t="shared" si="0"/>
        <v>1507</v>
      </c>
      <c r="H10">
        <f t="shared" si="1"/>
        <v>8.257534246575343</v>
      </c>
      <c r="I10">
        <f t="shared" si="2"/>
        <v>1.125</v>
      </c>
      <c r="J10">
        <f t="shared" si="3"/>
        <v>51</v>
      </c>
      <c r="K10">
        <f t="shared" si="4"/>
        <v>8.0753424657534247E-3</v>
      </c>
      <c r="L10">
        <f t="shared" si="5"/>
        <v>102.64807534246576</v>
      </c>
      <c r="M10" s="5">
        <f t="shared" si="6"/>
        <v>1.5848778549220358E-2</v>
      </c>
      <c r="N10" s="8">
        <f>-LN((L10-(I10*EXP(-O2*N2)+I10*EXP(-N9*O9)+I10*EXP(-O3*N3)+I10*EXP(-O8*N8)+I10*EXP(-O7*N7)+I10*EXP(-O6*N6)+I10*EXP(-O5*N5)+I10*EXP(-O4*N4)))/(100+I10))/O10</f>
        <v>1.7836418989428716E-2</v>
      </c>
      <c r="O10">
        <f t="shared" si="7"/>
        <v>4.1287671232876715</v>
      </c>
    </row>
    <row r="11" spans="1:16">
      <c r="A11" t="s">
        <v>49</v>
      </c>
      <c r="B11">
        <v>99.1</v>
      </c>
      <c r="C11" s="1">
        <v>1.4999999999999999E-2</v>
      </c>
      <c r="D11" t="s">
        <v>39</v>
      </c>
      <c r="E11" s="2">
        <v>43560</v>
      </c>
      <c r="F11" s="2">
        <v>45536</v>
      </c>
      <c r="G11">
        <f t="shared" si="0"/>
        <v>1691</v>
      </c>
      <c r="H11">
        <f t="shared" si="1"/>
        <v>9.2657534246575342</v>
      </c>
      <c r="I11">
        <f t="shared" si="2"/>
        <v>0.75</v>
      </c>
      <c r="J11">
        <f t="shared" si="3"/>
        <v>53</v>
      </c>
      <c r="K11">
        <f t="shared" si="4"/>
        <v>5.3013698630136981E-3</v>
      </c>
      <c r="L11">
        <f t="shared" si="5"/>
        <v>99.105301369863014</v>
      </c>
      <c r="M11" s="5">
        <f t="shared" si="6"/>
        <v>1.7016517654021245E-2</v>
      </c>
      <c r="N11" s="8">
        <f>-LN((L11-(I11*EXP(-N2*O2)+I11*EXP(-O3*N3)+I11*EXP(-N10*O10)+I11*EXP(-O4*N4)+I11*EXP(-O9*N9)+I11*EXP(-O8*N8)+I11*EXP(-O7*N7)+I11*EXP(-O6*N6)+I11*EXP(-O5*N5))) /(100+I11))/O11</f>
        <v>1.8191548151699988E-2</v>
      </c>
      <c r="O11">
        <f t="shared" si="7"/>
        <v>4.6328767123287671</v>
      </c>
    </row>
    <row r="12" spans="1:16">
      <c r="I12" s="1"/>
      <c r="K12" s="2"/>
      <c r="L12" s="2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97A8E-A307-044F-963D-90F6D8FC9198}">
  <dimension ref="A1:K30"/>
  <sheetViews>
    <sheetView topLeftCell="A2" workbookViewId="0">
      <selection activeCell="E12" sqref="E12"/>
    </sheetView>
  </sheetViews>
  <sheetFormatPr baseColWidth="10" defaultRowHeight="16"/>
  <cols>
    <col min="2" max="2" width="13.33203125" bestFit="1" customWidth="1"/>
  </cols>
  <sheetData>
    <row r="1" spans="1:11">
      <c r="A1" s="7"/>
      <c r="B1" t="str">
        <f>'1.2'!N1:N11</f>
        <v>ytm</v>
      </c>
      <c r="C1" t="str">
        <f>'1.3'!N1:N11</f>
        <v>ytm</v>
      </c>
      <c r="D1" t="str">
        <f>'1.6'!M1:M11</f>
        <v>ytm</v>
      </c>
      <c r="E1" t="str">
        <f>'1.7'!M1:M11</f>
        <v>ytm</v>
      </c>
      <c r="F1" t="str">
        <f>'1.8'!M1:M11</f>
        <v>ytm</v>
      </c>
      <c r="G1" t="str">
        <f>'1.9'!M1:M11</f>
        <v>ytm</v>
      </c>
      <c r="H1" t="str">
        <f>'1.10'!M1:M11</f>
        <v>ytm</v>
      </c>
      <c r="I1" t="str">
        <f>'1.13'!M1:M11</f>
        <v>ytm</v>
      </c>
      <c r="J1" t="str">
        <f>'1.14'!M1:M11</f>
        <v>ytm</v>
      </c>
      <c r="K1" t="str">
        <f>'1.15'!M1:M11</f>
        <v>ytm</v>
      </c>
    </row>
    <row r="2" spans="1:11">
      <c r="A2" s="7">
        <v>0.5</v>
      </c>
      <c r="B2">
        <f>'1.2'!N2:N12</f>
        <v>2.4038161386025537E-2</v>
      </c>
      <c r="C2">
        <f>'1.3'!N2:N12</f>
        <v>2.3495499937919037E-2</v>
      </c>
      <c r="D2">
        <f>'1.6'!M2:M12</f>
        <v>2.4025419942574951E-2</v>
      </c>
      <c r="E2">
        <f>'1.7'!M2:M12</f>
        <v>2.4178647118806088E-2</v>
      </c>
      <c r="F2">
        <f>'1.8'!M2:M12</f>
        <v>2.4349178083136198E-2</v>
      </c>
      <c r="G2">
        <f>'1.9'!M2:M12</f>
        <v>2.4526283279202397E-2</v>
      </c>
      <c r="H2">
        <f>'1.10'!M2:M12</f>
        <v>2.4710350341150406E-2</v>
      </c>
      <c r="I2">
        <f>'1.13'!M2:M12</f>
        <v>2.530868482323238E-2</v>
      </c>
      <c r="J2">
        <f>'1.14'!M2:M12</f>
        <v>2.552514754699621E-2</v>
      </c>
      <c r="K2">
        <f>'1.15'!M2:M12</f>
        <v>2.5751046529780858E-2</v>
      </c>
    </row>
    <row r="3" spans="1:11">
      <c r="A3" s="7">
        <v>1</v>
      </c>
      <c r="B3">
        <f>'1.2'!N3:N13</f>
        <v>1.8698523823492231E-2</v>
      </c>
      <c r="C3">
        <f>'1.3'!N3:N13</f>
        <v>1.8404787219407224E-2</v>
      </c>
      <c r="D3">
        <f>'1.6'!M3:M13</f>
        <v>1.8570517130157772E-2</v>
      </c>
      <c r="E3">
        <f>'1.7'!M3:M13</f>
        <v>1.8776385960694381E-2</v>
      </c>
      <c r="F3">
        <f>'1.8'!M3:M13</f>
        <v>1.8666990298484419E-2</v>
      </c>
      <c r="G3">
        <f>'1.9'!M3:M13</f>
        <v>1.8714001285923581E-2</v>
      </c>
      <c r="H3">
        <f>'1.10'!M3:M13</f>
        <v>1.8761413483929349E-2</v>
      </c>
      <c r="I3">
        <f>'1.13'!M3:M13</f>
        <v>1.9066167373637956E-2</v>
      </c>
      <c r="J3">
        <f>'1.14'!M3:M13</f>
        <v>1.8955178885886072E-2</v>
      </c>
      <c r="K3">
        <f>'1.15'!M3:M13</f>
        <v>1.868185508979367E-2</v>
      </c>
    </row>
    <row r="4" spans="1:11">
      <c r="A4" s="7">
        <v>1.5</v>
      </c>
      <c r="B4">
        <f>'1.2'!N4:N14</f>
        <v>1.7169923032903964E-2</v>
      </c>
      <c r="C4">
        <f>'1.3'!N4:N14</f>
        <v>1.6830870963909596E-2</v>
      </c>
      <c r="D4">
        <f>'1.6'!M4:M14</f>
        <v>1.6729700091617512E-2</v>
      </c>
      <c r="E4">
        <f>'1.7'!M4:M14</f>
        <v>1.6839194083273307E-2</v>
      </c>
      <c r="F4">
        <f>'1.8'!M4:M14</f>
        <v>1.7039762793153636E-2</v>
      </c>
      <c r="G4">
        <f>'1.9'!M4:M14</f>
        <v>1.706241203712543E-2</v>
      </c>
      <c r="H4">
        <f>'1.10'!M4:M14</f>
        <v>1.7443951235999306E-2</v>
      </c>
      <c r="I4">
        <f>'1.13'!M4:M14</f>
        <v>1.7334776160623698E-2</v>
      </c>
      <c r="J4">
        <f>'1.14'!M4:M14</f>
        <v>1.7358417860059296E-2</v>
      </c>
      <c r="K4">
        <f>'1.15'!M4:M14</f>
        <v>1.7109873911514962E-2</v>
      </c>
    </row>
    <row r="5" spans="1:11">
      <c r="A5" s="7">
        <v>2</v>
      </c>
      <c r="B5">
        <f>'1.2'!N5:N15</f>
        <v>1.7208426119466307E-2</v>
      </c>
      <c r="C5">
        <f>'1.3'!N5:N15</f>
        <v>1.6965376507739566E-2</v>
      </c>
      <c r="D5">
        <f>'1.6'!M5:M15</f>
        <v>1.6773432142760277E-2</v>
      </c>
      <c r="E5">
        <f>'1.7'!M5:M15</f>
        <v>1.6976729151118312E-2</v>
      </c>
      <c r="F5">
        <f>'1.8'!M5:M15</f>
        <v>1.6992282373377451E-2</v>
      </c>
      <c r="G5">
        <f>'1.9'!M5:M15</f>
        <v>1.7195348129498855E-2</v>
      </c>
      <c r="H5">
        <f>'1.10'!M5:M15</f>
        <v>1.7211317301667868E-2</v>
      </c>
      <c r="I5">
        <f>'1.13'!M5:M15</f>
        <v>1.7574238444668072E-2</v>
      </c>
      <c r="J5">
        <f>'1.14'!M5:M15</f>
        <v>1.7401793652468356E-2</v>
      </c>
      <c r="K5">
        <f>'1.15'!M5:M15</f>
        <v>1.7355103124859921E-2</v>
      </c>
    </row>
    <row r="6" spans="1:11">
      <c r="A6" s="7">
        <v>2.5</v>
      </c>
      <c r="B6">
        <f>'1.2'!N6:N16</f>
        <v>1.6481163373175879E-2</v>
      </c>
      <c r="C6">
        <f>'1.3'!N6:N16</f>
        <v>1.6201642567017373E-2</v>
      </c>
      <c r="D6">
        <f>'1.6'!M6:M16</f>
        <v>1.6106208322222829E-2</v>
      </c>
      <c r="E6">
        <f>'1.7'!M6:M16</f>
        <v>1.6167708082526808E-2</v>
      </c>
      <c r="F6">
        <f>'1.8'!M6:M16</f>
        <v>1.6230193658872242E-2</v>
      </c>
      <c r="G6">
        <f>'1.9'!M6:M16</f>
        <v>1.6438065406395801E-2</v>
      </c>
      <c r="H6">
        <f>'1.10'!M6:M16</f>
        <v>1.6404132268752473E-2</v>
      </c>
      <c r="I6">
        <f>'1.13'!M6:M16</f>
        <v>1.6642479532833772E-2</v>
      </c>
      <c r="J6">
        <f>'1.14'!M6:M16</f>
        <v>1.6608616673530224E-2</v>
      </c>
      <c r="K6">
        <f>'1.15'!M6:M16</f>
        <v>1.6477092186306632E-2</v>
      </c>
    </row>
    <row r="7" spans="1:11">
      <c r="A7" s="7">
        <v>3</v>
      </c>
      <c r="B7">
        <f>'1.2'!N7:N17</f>
        <v>1.6751089508902247E-2</v>
      </c>
      <c r="C7">
        <f>'1.3'!N7:N17</f>
        <v>1.6483610251486959E-2</v>
      </c>
      <c r="D7">
        <f>'1.6'!M7:M17</f>
        <v>1.6323778473235E-2</v>
      </c>
      <c r="E7">
        <f>'1.7'!M7:M17</f>
        <v>1.6438836975889687E-2</v>
      </c>
      <c r="F7">
        <f>'1.8'!M7:M17</f>
        <v>1.6468367726751261E-2</v>
      </c>
      <c r="G7">
        <f>'1.9'!M7:M17</f>
        <v>1.6708544987352261E-2</v>
      </c>
      <c r="H7">
        <f>'1.10'!M7:M17</f>
        <v>1.6696294391365493E-2</v>
      </c>
      <c r="I7">
        <f>'1.13'!M7:M17</f>
        <v>1.6913352495391065E-2</v>
      </c>
      <c r="J7">
        <f>'1.14'!M7:M17</f>
        <v>1.6858881239003445E-2</v>
      </c>
      <c r="K7">
        <f>'1.15'!M7:M17</f>
        <v>1.6677030201813558E-2</v>
      </c>
    </row>
    <row r="8" spans="1:11">
      <c r="A8" s="7">
        <v>3.5</v>
      </c>
      <c r="B8">
        <f>'1.2'!N8:N18</f>
        <v>1.6470496593943992E-2</v>
      </c>
      <c r="C8">
        <f>'1.3'!N8:N18</f>
        <v>1.6111967762459555E-2</v>
      </c>
      <c r="D8">
        <f>'1.6'!M8:M18</f>
        <v>1.591198054489016E-2</v>
      </c>
      <c r="E8">
        <f>'1.7'!M8:M18</f>
        <v>1.6008863120943583E-2</v>
      </c>
      <c r="F8">
        <f>'1.8'!M8:M18</f>
        <v>1.6040086428692524E-2</v>
      </c>
      <c r="G8">
        <f>'1.9'!M8:M18</f>
        <v>1.6332900089355434E-2</v>
      </c>
      <c r="H8">
        <f>'1.10'!M8:M18</f>
        <v>1.6462722441106435E-2</v>
      </c>
      <c r="I8">
        <f>'1.13'!M8:M18</f>
        <v>1.659096759255517E-2</v>
      </c>
      <c r="J8">
        <f>'1.14'!M8:M18</f>
        <v>1.6458558300599575E-2</v>
      </c>
      <c r="K8">
        <f>'1.15'!M8:M18</f>
        <v>1.6227380000111161E-2</v>
      </c>
    </row>
    <row r="9" spans="1:11">
      <c r="A9" s="7">
        <v>4</v>
      </c>
      <c r="B9">
        <f>'1.2'!N9:N19</f>
        <v>1.6569206107868672E-2</v>
      </c>
      <c r="C9">
        <f>'1.3'!N9:N19</f>
        <v>1.6236769225035551E-2</v>
      </c>
      <c r="D9">
        <f>'1.6'!M9:M19</f>
        <v>1.6056772474149484E-2</v>
      </c>
      <c r="E9">
        <f>'1.7'!M9:M19</f>
        <v>1.6179414675986211E-2</v>
      </c>
      <c r="F9">
        <f>'1.8'!M9:M19</f>
        <v>1.6149779094288965E-2</v>
      </c>
      <c r="G9">
        <f>'1.9'!M9:M19</f>
        <v>1.6394353326545548E-2</v>
      </c>
      <c r="H9">
        <f>'1.10'!M9:M19</f>
        <v>1.6425840600391161E-2</v>
      </c>
      <c r="I9">
        <f>'1.13'!M9:M19</f>
        <v>1.6704281810973515E-2</v>
      </c>
      <c r="J9">
        <f>'1.14'!M9:M19</f>
        <v>1.6552323483277672E-2</v>
      </c>
      <c r="K9">
        <f>'1.15'!M9:M19</f>
        <v>1.6338955324818667E-2</v>
      </c>
    </row>
    <row r="10" spans="1:11">
      <c r="A10" s="7">
        <v>4.5</v>
      </c>
      <c r="B10">
        <f>'1.2'!N10:N20</f>
        <v>1.6199068864727526E-2</v>
      </c>
      <c r="C10">
        <f>'1.3'!N10:N20</f>
        <v>1.5872956726044194E-2</v>
      </c>
      <c r="D10">
        <f>'1.6'!M10:M20</f>
        <v>1.5616832145950513E-2</v>
      </c>
      <c r="E10">
        <f>'1.7'!M10:M20</f>
        <v>1.6031237624038741E-2</v>
      </c>
      <c r="F10">
        <f>'1.8'!M10:M20</f>
        <v>1.5780644555865989E-2</v>
      </c>
      <c r="G10">
        <f>'1.9'!M10:M20</f>
        <v>1.6146148747946693E-2</v>
      </c>
      <c r="H10">
        <f>'1.10'!M10:M20</f>
        <v>1.6290213923505374E-2</v>
      </c>
      <c r="I10">
        <f>'1.13'!M10:M20</f>
        <v>1.6302747686228188E-2</v>
      </c>
      <c r="J10">
        <f>'1.14'!M10:M20</f>
        <v>1.610054760387207E-2</v>
      </c>
      <c r="K10">
        <f>'1.15'!M10:M20</f>
        <v>1.5848778549220358E-2</v>
      </c>
    </row>
    <row r="11" spans="1:11">
      <c r="A11" s="7">
        <v>5</v>
      </c>
      <c r="B11">
        <f>'1.2'!N11:N21</f>
        <v>1.7858781327500083E-2</v>
      </c>
      <c r="C11">
        <f>'1.3'!N11:N21</f>
        <v>1.7341578780867603E-2</v>
      </c>
      <c r="D11">
        <f>'1.6'!M11:M21</f>
        <v>1.6578881443654138E-2</v>
      </c>
      <c r="E11">
        <f>'1.7'!M11:M21</f>
        <v>1.6985536176554055E-2</v>
      </c>
      <c r="F11">
        <f>'1.8'!M11:M21</f>
        <v>1.6670975976589938E-2</v>
      </c>
      <c r="G11">
        <f>'1.9'!M11:M21</f>
        <v>1.7258678414285716E-2</v>
      </c>
      <c r="H11">
        <f>'1.10'!M11:M21</f>
        <v>1.7169423580646975E-2</v>
      </c>
      <c r="I11">
        <f>'1.13'!M11:M21</f>
        <v>1.7104932959295115E-2</v>
      </c>
      <c r="J11">
        <f>'1.14'!M11:M21</f>
        <v>1.7264660860878821E-2</v>
      </c>
      <c r="K11">
        <f>'1.15'!M11:M21</f>
        <v>1.7016517654021245E-2</v>
      </c>
    </row>
    <row r="14" spans="1:11"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</row>
    <row r="15" spans="1:11">
      <c r="A15">
        <v>1</v>
      </c>
      <c r="B15">
        <f>LN(C3/B3)</f>
        <v>-1.5833775081333674E-2</v>
      </c>
      <c r="C15">
        <f t="shared" ref="C15:J15" si="0">LN(D3/C3)</f>
        <v>8.9644168459485848E-3</v>
      </c>
      <c r="D15">
        <f t="shared" si="0"/>
        <v>1.1024791814370117E-2</v>
      </c>
      <c r="E15">
        <f t="shared" si="0"/>
        <v>-5.8432750678485438E-3</v>
      </c>
      <c r="F15">
        <f t="shared" si="0"/>
        <v>2.5152362326852674E-3</v>
      </c>
      <c r="G15">
        <f t="shared" si="0"/>
        <v>2.5303107967296818E-3</v>
      </c>
      <c r="H15">
        <f t="shared" si="0"/>
        <v>1.6113136312483609E-2</v>
      </c>
      <c r="I15">
        <f t="shared" si="0"/>
        <v>-5.8382363553203627E-3</v>
      </c>
      <c r="J15">
        <f t="shared" si="0"/>
        <v>-1.4524449576773802E-2</v>
      </c>
    </row>
    <row r="16" spans="1:11">
      <c r="A16">
        <v>2</v>
      </c>
      <c r="B16">
        <f>LN(C5/B5)</f>
        <v>-1.4224563332881416E-2</v>
      </c>
      <c r="C16">
        <f t="shared" ref="C16:J16" si="1">LN(D5/C5)</f>
        <v>-1.1378376625103957E-2</v>
      </c>
      <c r="D16">
        <f t="shared" si="1"/>
        <v>1.2047318258612985E-2</v>
      </c>
      <c r="E16">
        <f t="shared" si="1"/>
        <v>9.1573011094443855E-4</v>
      </c>
      <c r="F16">
        <f t="shared" si="1"/>
        <v>1.1879626711514187E-2</v>
      </c>
      <c r="G16">
        <f t="shared" si="1"/>
        <v>9.2826044695536072E-4</v>
      </c>
      <c r="H16">
        <f t="shared" si="1"/>
        <v>2.0866954918962441E-2</v>
      </c>
      <c r="I16">
        <f t="shared" si="1"/>
        <v>-9.8608206348605298E-3</v>
      </c>
      <c r="J16">
        <f t="shared" si="1"/>
        <v>-2.68669300329951E-3</v>
      </c>
    </row>
    <row r="17" spans="1:10">
      <c r="A17">
        <v>3</v>
      </c>
      <c r="B17">
        <f>LN(C7/B7)</f>
        <v>-1.6096732315837768E-2</v>
      </c>
      <c r="C17">
        <f t="shared" ref="C17:J17" si="2">LN(D7/C7)</f>
        <v>-9.7437223138046678E-3</v>
      </c>
      <c r="D17">
        <f t="shared" si="2"/>
        <v>7.0237967328932475E-3</v>
      </c>
      <c r="E17">
        <f t="shared" si="2"/>
        <v>1.7947898677892859E-3</v>
      </c>
      <c r="F17">
        <f t="shared" si="2"/>
        <v>1.4478831016237564E-2</v>
      </c>
      <c r="G17">
        <f t="shared" si="2"/>
        <v>-7.3346238232624601E-4</v>
      </c>
      <c r="H17">
        <f t="shared" si="2"/>
        <v>1.2916596389834046E-2</v>
      </c>
      <c r="I17">
        <f t="shared" si="2"/>
        <v>-3.2258040170401853E-3</v>
      </c>
      <c r="J17">
        <f t="shared" si="2"/>
        <v>-1.0845258817258998E-2</v>
      </c>
    </row>
    <row r="18" spans="1:10">
      <c r="A18">
        <v>4</v>
      </c>
      <c r="B18">
        <f>LN(C9/B9)</f>
        <v>-2.0267543279227751E-2</v>
      </c>
      <c r="C18">
        <f t="shared" ref="C18:J18" si="3">LN(D9/C9)</f>
        <v>-1.1147654015660532E-2</v>
      </c>
      <c r="D18">
        <f t="shared" si="3"/>
        <v>7.6090136208620306E-3</v>
      </c>
      <c r="E18">
        <f t="shared" si="3"/>
        <v>-1.8333639996601658E-3</v>
      </c>
      <c r="F18">
        <f t="shared" si="3"/>
        <v>1.50305949821826E-2</v>
      </c>
      <c r="G18">
        <f t="shared" si="3"/>
        <v>1.9187749820283998E-3</v>
      </c>
      <c r="H18">
        <f t="shared" si="3"/>
        <v>1.6809341258457719E-2</v>
      </c>
      <c r="I18">
        <f t="shared" si="3"/>
        <v>-9.1385987176779322E-3</v>
      </c>
      <c r="J18">
        <f t="shared" si="3"/>
        <v>-1.2974329929518403E-2</v>
      </c>
    </row>
    <row r="19" spans="1:10">
      <c r="A19">
        <v>5</v>
      </c>
      <c r="B19">
        <f>LN(C11/B11)</f>
        <v>-2.9388322677145758E-2</v>
      </c>
      <c r="C19">
        <f t="shared" ref="C19:J19" si="4">LN(D11/C11)</f>
        <v>-4.4977332463900399E-2</v>
      </c>
      <c r="D19">
        <f t="shared" si="4"/>
        <v>2.4232485528632244E-2</v>
      </c>
      <c r="E19">
        <f t="shared" si="4"/>
        <v>-1.8692926830486872E-2</v>
      </c>
      <c r="F19">
        <f t="shared" si="4"/>
        <v>3.464587151217572E-2</v>
      </c>
      <c r="G19">
        <f t="shared" si="4"/>
        <v>-5.1850104089295858E-3</v>
      </c>
      <c r="H19">
        <f t="shared" si="4"/>
        <v>-3.7632039793235555E-3</v>
      </c>
      <c r="I19">
        <f t="shared" si="4"/>
        <v>9.294788432282014E-3</v>
      </c>
      <c r="J19">
        <f t="shared" si="4"/>
        <v>-1.4477188451470287E-2</v>
      </c>
    </row>
    <row r="21" spans="1:10">
      <c r="B21">
        <v>1</v>
      </c>
      <c r="C21">
        <v>2</v>
      </c>
      <c r="D21">
        <v>3</v>
      </c>
      <c r="E21">
        <v>4</v>
      </c>
      <c r="F21">
        <v>5</v>
      </c>
    </row>
    <row r="22" spans="1:10">
      <c r="A22">
        <v>1</v>
      </c>
      <c r="B22">
        <f>B15</f>
        <v>-1.5833775081333674E-2</v>
      </c>
      <c r="C22">
        <f>B16</f>
        <v>-1.4224563332881416E-2</v>
      </c>
      <c r="D22">
        <f>B17</f>
        <v>-1.6096732315837768E-2</v>
      </c>
      <c r="E22">
        <f>B18</f>
        <v>-2.0267543279227751E-2</v>
      </c>
      <c r="F22">
        <f>B19</f>
        <v>-2.9388322677145758E-2</v>
      </c>
    </row>
    <row r="23" spans="1:10">
      <c r="A23">
        <v>2</v>
      </c>
      <c r="B23">
        <f>C15</f>
        <v>8.9644168459485848E-3</v>
      </c>
      <c r="C23">
        <f>C16</f>
        <v>-1.1378376625103957E-2</v>
      </c>
      <c r="D23">
        <f>C17</f>
        <v>-9.7437223138046678E-3</v>
      </c>
      <c r="E23">
        <f>C18</f>
        <v>-1.1147654015660532E-2</v>
      </c>
      <c r="F23">
        <f>C19</f>
        <v>-4.4977332463900399E-2</v>
      </c>
    </row>
    <row r="24" spans="1:10">
      <c r="A24">
        <v>3</v>
      </c>
      <c r="B24">
        <f>D15</f>
        <v>1.1024791814370117E-2</v>
      </c>
      <c r="C24">
        <f>D16</f>
        <v>1.2047318258612985E-2</v>
      </c>
      <c r="D24">
        <f>D17</f>
        <v>7.0237967328932475E-3</v>
      </c>
      <c r="E24">
        <f>D18</f>
        <v>7.6090136208620306E-3</v>
      </c>
      <c r="F24">
        <f>D19</f>
        <v>2.4232485528632244E-2</v>
      </c>
    </row>
    <row r="25" spans="1:10">
      <c r="A25">
        <v>4</v>
      </c>
      <c r="B25">
        <f>E15</f>
        <v>-5.8432750678485438E-3</v>
      </c>
      <c r="C25">
        <f>E16</f>
        <v>9.1573011094443855E-4</v>
      </c>
      <c r="D25">
        <f>E17</f>
        <v>1.7947898677892859E-3</v>
      </c>
      <c r="E25">
        <f>E18</f>
        <v>-1.8333639996601658E-3</v>
      </c>
      <c r="F25">
        <f>E19</f>
        <v>-1.8692926830486872E-2</v>
      </c>
    </row>
    <row r="26" spans="1:10">
      <c r="A26">
        <v>5</v>
      </c>
      <c r="B26">
        <f>F15</f>
        <v>2.5152362326852674E-3</v>
      </c>
      <c r="C26">
        <f>F16</f>
        <v>1.1879626711514187E-2</v>
      </c>
      <c r="D26">
        <f>F17</f>
        <v>1.4478831016237564E-2</v>
      </c>
      <c r="E26">
        <f>F18</f>
        <v>1.50305949821826E-2</v>
      </c>
      <c r="F26">
        <f>F19</f>
        <v>3.464587151217572E-2</v>
      </c>
    </row>
    <row r="27" spans="1:10">
      <c r="A27">
        <v>6</v>
      </c>
      <c r="B27">
        <f>G15</f>
        <v>2.5303107967296818E-3</v>
      </c>
      <c r="C27">
        <f>G16</f>
        <v>9.2826044695536072E-4</v>
      </c>
      <c r="D27">
        <f>G17</f>
        <v>-7.3346238232624601E-4</v>
      </c>
      <c r="E27">
        <f>G18</f>
        <v>1.9187749820283998E-3</v>
      </c>
      <c r="F27">
        <f>G19</f>
        <v>-5.1850104089295858E-3</v>
      </c>
    </row>
    <row r="28" spans="1:10">
      <c r="A28">
        <v>7</v>
      </c>
      <c r="B28">
        <f>H15</f>
        <v>1.6113136312483609E-2</v>
      </c>
      <c r="C28">
        <f>H16</f>
        <v>2.0866954918962441E-2</v>
      </c>
      <c r="D28">
        <f>H17</f>
        <v>1.2916596389834046E-2</v>
      </c>
      <c r="E28">
        <f>H18</f>
        <v>1.6809341258457719E-2</v>
      </c>
      <c r="F28">
        <f>H19</f>
        <v>-3.7632039793235555E-3</v>
      </c>
    </row>
    <row r="29" spans="1:10">
      <c r="A29">
        <v>8</v>
      </c>
      <c r="B29">
        <f>I15</f>
        <v>-5.8382363553203627E-3</v>
      </c>
      <c r="C29">
        <f>I16</f>
        <v>-9.8608206348605298E-3</v>
      </c>
      <c r="D29">
        <f>I17</f>
        <v>-3.2258040170401853E-3</v>
      </c>
      <c r="E29">
        <f>I18</f>
        <v>-9.1385987176779322E-3</v>
      </c>
      <c r="F29">
        <f>I19</f>
        <v>9.294788432282014E-3</v>
      </c>
    </row>
    <row r="30" spans="1:10">
      <c r="A30">
        <v>9</v>
      </c>
      <c r="B30">
        <f>J15</f>
        <v>-1.4524449576773802E-2</v>
      </c>
      <c r="C30">
        <f>J16</f>
        <v>-2.68669300329951E-3</v>
      </c>
      <c r="D30">
        <f>J17</f>
        <v>-1.0845258817258998E-2</v>
      </c>
      <c r="E30">
        <f>J18</f>
        <v>-1.2974329929518403E-2</v>
      </c>
      <c r="F30">
        <f>J19</f>
        <v>-1.4477188451470287E-2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7FF1F-FA51-DE40-B8AB-F7FB6376297A}">
  <dimension ref="A1:J16"/>
  <sheetViews>
    <sheetView workbookViewId="0">
      <selection activeCell="B4" sqref="B4"/>
    </sheetView>
  </sheetViews>
  <sheetFormatPr baseColWidth="10" defaultRowHeight="16"/>
  <sheetData>
    <row r="1" spans="1:10">
      <c r="A1" t="str">
        <f>'1.2'!Q1:Q4</f>
        <v>fi,j</v>
      </c>
      <c r="B1" t="str">
        <f>'1.3'!P1:P5</f>
        <v>fi,j</v>
      </c>
      <c r="C1" t="str">
        <f>'1.6'!P1:P5</f>
        <v>fi,j</v>
      </c>
      <c r="D1" t="str">
        <f>'1.7'!P1:P5</f>
        <v>fij</v>
      </c>
      <c r="E1" t="str">
        <f>'1.8'!P1:P5</f>
        <v>fij</v>
      </c>
      <c r="F1" t="str">
        <f>'1.9'!P1:P5</f>
        <v>fij</v>
      </c>
      <c r="G1" t="str">
        <f>'1.10'!P1:P5</f>
        <v>fij</v>
      </c>
      <c r="H1" t="str">
        <f>'1.13'!P1:P5</f>
        <v>fij</v>
      </c>
      <c r="I1" t="str">
        <f>'1.14'!P1:P5</f>
        <v>fij</v>
      </c>
      <c r="J1" t="str">
        <f>'1.15'!P1:P5</f>
        <v>fij</v>
      </c>
    </row>
    <row r="2" spans="1:10">
      <c r="A2">
        <f>'1.2'!Q2:Q5</f>
        <v>1.4924068816357022E-2</v>
      </c>
      <c r="B2">
        <f>'1.3'!P2:P6</f>
        <v>1.4706530338543113E-2</v>
      </c>
      <c r="C2">
        <f>'1.6'!P2:P6</f>
        <v>1.4116015229460346E-2</v>
      </c>
      <c r="D2">
        <f>'1.7'!P2:P6</f>
        <v>1.3947055156765774E-2</v>
      </c>
      <c r="E2">
        <f>'1.8'!P2:P6</f>
        <v>1.4420666325079913E-2</v>
      </c>
      <c r="F2">
        <f>'1.9'!P2:P6</f>
        <v>1.4760844449465266E-2</v>
      </c>
      <c r="G2">
        <f>'1.10'!P2:P6</f>
        <v>1.4724817485285487E-2</v>
      </c>
      <c r="H2">
        <f>'1.13'!P2:P6</f>
        <v>1.5088357937046697E-2</v>
      </c>
      <c r="I2">
        <f>'1.14'!P2:P6</f>
        <v>1.483457926472815E-2</v>
      </c>
      <c r="J2">
        <f>'1.15'!P2:P6</f>
        <v>1.4994788125077207E-2</v>
      </c>
    </row>
    <row r="3" spans="1:10">
      <c r="A3">
        <f>'1.2'!Q3:Q6</f>
        <v>1.5348226887840582E-2</v>
      </c>
      <c r="B3">
        <f>'1.3'!P3:P7</f>
        <v>1.5109321454203115E-2</v>
      </c>
      <c r="C3">
        <f>'1.6'!P3:P7</f>
        <v>1.4871632503001291E-2</v>
      </c>
      <c r="D3">
        <f>'1.7'!P3:P7</f>
        <v>1.459677771410979E-2</v>
      </c>
      <c r="E3">
        <f>'1.8'!P3:P7</f>
        <v>1.5089034584193129E-2</v>
      </c>
      <c r="F3">
        <f>'1.9'!P3:P7</f>
        <v>1.5455192612061297E-2</v>
      </c>
      <c r="G3">
        <f>'1.10'!P3:P7</f>
        <v>1.5433718184688111E-2</v>
      </c>
      <c r="H3">
        <f>'1.13'!P3:P7</f>
        <v>1.5683568649437943E-2</v>
      </c>
      <c r="I3">
        <f>'1.14'!P3:P7</f>
        <v>1.5682837605735987E-2</v>
      </c>
      <c r="J3">
        <f>'1.15'!P3:P7</f>
        <v>1.5569389077169017E-2</v>
      </c>
    </row>
    <row r="4" spans="1:10">
      <c r="A4">
        <f>'1.2'!Q4:Q7</f>
        <v>1.5094315129791501E-2</v>
      </c>
      <c r="B4">
        <f>'1.3'!P4:P8</f>
        <v>1.4738079190865366E-2</v>
      </c>
      <c r="C4">
        <f>'1.6'!P4:P8</f>
        <v>1.4455426343101379E-2</v>
      </c>
      <c r="D4">
        <f>'1.7'!P4:P8</f>
        <v>1.4193512792311421E-2</v>
      </c>
      <c r="E4">
        <f>'1.8'!P4:P8</f>
        <v>1.4547977345932486E-2</v>
      </c>
      <c r="F4">
        <f>'1.9'!P4:P8</f>
        <v>1.4859899363440976E-2</v>
      </c>
      <c r="G4">
        <f>'1.10'!P4:P8</f>
        <v>1.4886142204681258E-2</v>
      </c>
      <c r="H4">
        <f>'1.13'!P4:P8</f>
        <v>1.5157843359095291E-2</v>
      </c>
      <c r="I4">
        <f>'1.14'!P4:P8</f>
        <v>1.4990471189159194E-2</v>
      </c>
      <c r="J4">
        <f>'1.15'!P4:P8</f>
        <v>1.4795738266006879E-2</v>
      </c>
    </row>
    <row r="5" spans="1:10">
      <c r="A5">
        <f>'1.2'!Q5:Q8</f>
        <v>1.8065639205586168E-2</v>
      </c>
      <c r="B5">
        <f>'1.3'!P5:P9</f>
        <v>1.7477469680891509E-2</v>
      </c>
      <c r="C5">
        <f>'1.6'!P5:P9</f>
        <v>1.6470497865932729E-2</v>
      </c>
      <c r="D5">
        <f>'1.7'!P5:P9</f>
        <v>1.6518405769282752E-2</v>
      </c>
      <c r="E5">
        <f>'1.8'!P5:P9</f>
        <v>1.6559937223422628E-2</v>
      </c>
      <c r="F5">
        <f>'1.9'!P5:P9</f>
        <v>1.7294120299487365E-2</v>
      </c>
      <c r="G5">
        <f>'1.10'!P5:P9</f>
        <v>1.7164171248643178E-2</v>
      </c>
      <c r="H5">
        <f>'1.13'!P5:P9</f>
        <v>1.6997768354610351E-2</v>
      </c>
      <c r="I5">
        <f>'1.14'!P5:P9</f>
        <v>1.7234867355070738E-2</v>
      </c>
      <c r="J5">
        <f>'1.15'!P5:P9</f>
        <v>1.6990654575373618E-2</v>
      </c>
    </row>
    <row r="7" spans="1:10">
      <c r="A7">
        <f>A2</f>
        <v>1.4924068816357022E-2</v>
      </c>
      <c r="B7">
        <f>A3</f>
        <v>1.5348226887840582E-2</v>
      </c>
      <c r="C7">
        <f>A4</f>
        <v>1.5094315129791501E-2</v>
      </c>
      <c r="D7">
        <f>A5</f>
        <v>1.8065639205586168E-2</v>
      </c>
    </row>
    <row r="8" spans="1:10">
      <c r="A8">
        <f>B2</f>
        <v>1.4706530338543113E-2</v>
      </c>
      <c r="B8">
        <f>B3</f>
        <v>1.5109321454203115E-2</v>
      </c>
      <c r="C8">
        <f>B4</f>
        <v>1.4738079190865366E-2</v>
      </c>
      <c r="D8">
        <f>B5</f>
        <v>1.7477469680891509E-2</v>
      </c>
    </row>
    <row r="9" spans="1:10">
      <c r="A9">
        <f>C2</f>
        <v>1.4116015229460346E-2</v>
      </c>
      <c r="B9">
        <f>C3</f>
        <v>1.4871632503001291E-2</v>
      </c>
      <c r="C9">
        <f>C4</f>
        <v>1.4455426343101379E-2</v>
      </c>
      <c r="D9">
        <f>C5</f>
        <v>1.6470497865932729E-2</v>
      </c>
    </row>
    <row r="10" spans="1:10">
      <c r="A10">
        <f>D2</f>
        <v>1.3947055156765774E-2</v>
      </c>
      <c r="B10">
        <f>D3</f>
        <v>1.459677771410979E-2</v>
      </c>
      <c r="C10">
        <f>D4</f>
        <v>1.4193512792311421E-2</v>
      </c>
      <c r="D10">
        <f>D5</f>
        <v>1.6518405769282752E-2</v>
      </c>
    </row>
    <row r="11" spans="1:10">
      <c r="A11">
        <f>E2</f>
        <v>1.4420666325079913E-2</v>
      </c>
      <c r="B11">
        <f>E3</f>
        <v>1.5089034584193129E-2</v>
      </c>
      <c r="C11">
        <f>E4</f>
        <v>1.4547977345932486E-2</v>
      </c>
      <c r="D11">
        <f>E5</f>
        <v>1.6559937223422628E-2</v>
      </c>
    </row>
    <row r="12" spans="1:10">
      <c r="A12">
        <f>F2</f>
        <v>1.4760844449465266E-2</v>
      </c>
      <c r="B12">
        <f>F3</f>
        <v>1.5455192612061297E-2</v>
      </c>
      <c r="C12">
        <f>F4</f>
        <v>1.4859899363440976E-2</v>
      </c>
      <c r="D12">
        <f>F5</f>
        <v>1.7294120299487365E-2</v>
      </c>
    </row>
    <row r="13" spans="1:10">
      <c r="A13">
        <f>G2</f>
        <v>1.4724817485285487E-2</v>
      </c>
      <c r="B13">
        <f>G3</f>
        <v>1.5433718184688111E-2</v>
      </c>
      <c r="C13">
        <f>G4</f>
        <v>1.4886142204681258E-2</v>
      </c>
      <c r="D13">
        <f>G5</f>
        <v>1.7164171248643178E-2</v>
      </c>
    </row>
    <row r="14" spans="1:10">
      <c r="A14">
        <f>H2</f>
        <v>1.5088357937046697E-2</v>
      </c>
      <c r="B14">
        <f>H3</f>
        <v>1.5683568649437943E-2</v>
      </c>
      <c r="C14">
        <f>H4</f>
        <v>1.5157843359095291E-2</v>
      </c>
      <c r="D14">
        <f>H5</f>
        <v>1.6997768354610351E-2</v>
      </c>
    </row>
    <row r="15" spans="1:10">
      <c r="A15">
        <f>I2</f>
        <v>1.483457926472815E-2</v>
      </c>
      <c r="B15">
        <f>I3</f>
        <v>1.5682837605735987E-2</v>
      </c>
      <c r="C15">
        <f>I4</f>
        <v>1.4990471189159194E-2</v>
      </c>
      <c r="D15">
        <f>I5</f>
        <v>1.7234867355070738E-2</v>
      </c>
    </row>
    <row r="16" spans="1:10">
      <c r="A16">
        <f>J2</f>
        <v>1.4994788125077207E-2</v>
      </c>
      <c r="B16">
        <f>J3</f>
        <v>1.5569389077169017E-2</v>
      </c>
      <c r="C16">
        <f>J4</f>
        <v>1.4795738266006879E-2</v>
      </c>
      <c r="D16">
        <f>J5</f>
        <v>1.6990654575373618E-2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15BBC-27A6-7548-8774-AA5536BDF2F6}">
  <dimension ref="A1"/>
  <sheetViews>
    <sheetView tabSelected="1" topLeftCell="A49" zoomScale="75" workbookViewId="0">
      <selection activeCell="L62" sqref="L62"/>
    </sheetView>
  </sheetViews>
  <sheetFormatPr baseColWidth="10" defaultRowHeight="16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CEC5D-9E1F-A246-B039-7E09957919C5}">
  <dimension ref="A1:P34"/>
  <sheetViews>
    <sheetView zoomScale="75" workbookViewId="0">
      <selection activeCell="I30" sqref="I28:I30"/>
    </sheetView>
  </sheetViews>
  <sheetFormatPr baseColWidth="10" defaultRowHeight="16"/>
  <cols>
    <col min="1" max="1" width="16.6640625" customWidth="1"/>
    <col min="13" max="13" width="16" customWidth="1"/>
    <col min="14" max="14" width="11.6640625" bestFit="1" customWidth="1"/>
    <col min="15" max="15" width="13" customWidth="1"/>
    <col min="17" max="17" width="13.33203125" customWidth="1"/>
    <col min="19" max="19" width="12.83203125" customWidth="1"/>
  </cols>
  <sheetData>
    <row r="1" spans="1:16">
      <c r="A1" t="s">
        <v>0</v>
      </c>
      <c r="B1" s="2">
        <v>43832</v>
      </c>
      <c r="C1" s="2">
        <v>43833</v>
      </c>
      <c r="D1" s="2">
        <v>43836</v>
      </c>
      <c r="E1" s="2">
        <v>43837</v>
      </c>
      <c r="F1" s="2">
        <v>43838</v>
      </c>
      <c r="G1" s="2">
        <v>43839</v>
      </c>
      <c r="H1" s="2">
        <v>43840</v>
      </c>
      <c r="I1" s="2">
        <v>43843</v>
      </c>
      <c r="J1" s="2">
        <v>43844</v>
      </c>
      <c r="K1" s="2">
        <v>43845</v>
      </c>
      <c r="L1" t="s">
        <v>1</v>
      </c>
      <c r="M1" t="s">
        <v>2</v>
      </c>
      <c r="N1" t="s">
        <v>3</v>
      </c>
      <c r="O1" t="s">
        <v>4</v>
      </c>
    </row>
    <row r="2" spans="1:16">
      <c r="A2" t="s">
        <v>13</v>
      </c>
      <c r="B2">
        <v>99.95</v>
      </c>
      <c r="C2">
        <v>99.95</v>
      </c>
      <c r="D2">
        <v>99.95</v>
      </c>
      <c r="E2">
        <v>99.95</v>
      </c>
      <c r="F2">
        <v>99.95</v>
      </c>
      <c r="G2">
        <v>99.96</v>
      </c>
      <c r="H2">
        <v>99.96</v>
      </c>
      <c r="I2">
        <v>99.96</v>
      </c>
      <c r="J2">
        <v>99.96</v>
      </c>
      <c r="K2">
        <v>99.96</v>
      </c>
      <c r="L2" s="1">
        <v>1.2500000000000001E-2</v>
      </c>
      <c r="M2" t="s">
        <v>14</v>
      </c>
      <c r="N2" s="2">
        <v>43042</v>
      </c>
      <c r="O2" s="2">
        <v>43862</v>
      </c>
    </row>
    <row r="3" spans="1:16">
      <c r="A3" t="s">
        <v>12</v>
      </c>
      <c r="B3">
        <v>99.85</v>
      </c>
      <c r="C3">
        <v>99.86</v>
      </c>
      <c r="D3">
        <v>99.86</v>
      </c>
      <c r="E3">
        <v>99.86</v>
      </c>
      <c r="F3">
        <v>99.86</v>
      </c>
      <c r="G3">
        <v>99.86</v>
      </c>
      <c r="H3">
        <v>99.86</v>
      </c>
      <c r="I3">
        <v>99.86</v>
      </c>
      <c r="J3">
        <v>99.86</v>
      </c>
      <c r="K3">
        <v>99.86</v>
      </c>
      <c r="L3" s="1">
        <v>1.4999999999999999E-2</v>
      </c>
      <c r="M3" t="s">
        <v>27</v>
      </c>
      <c r="N3" s="2">
        <v>41926</v>
      </c>
      <c r="O3" s="2">
        <v>43891</v>
      </c>
      <c r="P3">
        <v>1</v>
      </c>
    </row>
    <row r="4" spans="1:16">
      <c r="A4" t="s">
        <v>12</v>
      </c>
      <c r="B4">
        <v>100.7</v>
      </c>
      <c r="C4">
        <v>100.7</v>
      </c>
      <c r="D4">
        <v>100.69</v>
      </c>
      <c r="E4">
        <v>100.69</v>
      </c>
      <c r="F4">
        <v>100.68</v>
      </c>
      <c r="G4">
        <v>100.66</v>
      </c>
      <c r="H4">
        <v>100.65</v>
      </c>
      <c r="I4">
        <v>100.65</v>
      </c>
      <c r="J4">
        <v>100.64</v>
      </c>
      <c r="K4">
        <v>100.64</v>
      </c>
      <c r="L4" s="1">
        <v>3.5000000000000003E-2</v>
      </c>
      <c r="M4" t="s">
        <v>21</v>
      </c>
      <c r="N4" s="2">
        <v>40064</v>
      </c>
      <c r="O4" s="2">
        <v>43983</v>
      </c>
    </row>
    <row r="5" spans="1:16">
      <c r="A5" t="s">
        <v>12</v>
      </c>
      <c r="B5">
        <v>99.26</v>
      </c>
      <c r="C5">
        <v>99.28</v>
      </c>
      <c r="D5">
        <v>99.28</v>
      </c>
      <c r="E5">
        <v>99.27</v>
      </c>
      <c r="F5">
        <v>99.28</v>
      </c>
      <c r="G5">
        <v>99.28</v>
      </c>
      <c r="H5">
        <v>99.28</v>
      </c>
      <c r="I5">
        <v>99.27</v>
      </c>
      <c r="J5">
        <v>99.28</v>
      </c>
      <c r="K5">
        <v>99.3</v>
      </c>
      <c r="L5" s="1">
        <v>7.4999999999999997E-3</v>
      </c>
      <c r="M5" t="s">
        <v>22</v>
      </c>
      <c r="N5" s="2">
        <v>42107</v>
      </c>
      <c r="O5" s="2">
        <v>44075</v>
      </c>
      <c r="P5">
        <v>2</v>
      </c>
    </row>
    <row r="6" spans="1:16">
      <c r="A6" t="s">
        <v>9</v>
      </c>
      <c r="B6">
        <v>100.55</v>
      </c>
      <c r="C6">
        <v>100.58</v>
      </c>
      <c r="D6">
        <v>100.6</v>
      </c>
      <c r="E6">
        <v>100.59</v>
      </c>
      <c r="F6">
        <v>100.57</v>
      </c>
      <c r="G6">
        <v>100.56</v>
      </c>
      <c r="H6">
        <v>100.52</v>
      </c>
      <c r="I6">
        <v>100.53</v>
      </c>
      <c r="J6">
        <v>100.52</v>
      </c>
      <c r="K6">
        <v>100.54</v>
      </c>
      <c r="L6" s="1">
        <v>2.2499999999999999E-2</v>
      </c>
      <c r="M6" t="s">
        <v>26</v>
      </c>
      <c r="N6" s="2">
        <v>43413</v>
      </c>
      <c r="O6" s="2">
        <v>44228</v>
      </c>
    </row>
    <row r="7" spans="1:16">
      <c r="A7" t="s">
        <v>9</v>
      </c>
      <c r="B7">
        <v>98.89</v>
      </c>
      <c r="C7">
        <v>98.93</v>
      </c>
      <c r="D7">
        <v>98.95</v>
      </c>
      <c r="E7">
        <v>98.94</v>
      </c>
      <c r="F7">
        <v>98.92</v>
      </c>
      <c r="G7">
        <v>98.92</v>
      </c>
      <c r="H7">
        <v>98.88</v>
      </c>
      <c r="I7">
        <v>98.9</v>
      </c>
      <c r="J7">
        <v>98.9</v>
      </c>
      <c r="K7">
        <v>98.93</v>
      </c>
      <c r="L7" s="1">
        <v>7.4999999999999997E-3</v>
      </c>
      <c r="M7" t="s">
        <v>11</v>
      </c>
      <c r="N7" s="2">
        <v>42296</v>
      </c>
      <c r="O7" s="2">
        <v>44256</v>
      </c>
      <c r="P7">
        <v>3</v>
      </c>
    </row>
    <row r="8" spans="1:16">
      <c r="A8" t="s">
        <v>8</v>
      </c>
      <c r="B8">
        <v>110.28</v>
      </c>
      <c r="C8">
        <v>110.27</v>
      </c>
      <c r="D8">
        <v>110.27</v>
      </c>
      <c r="E8">
        <v>110.23</v>
      </c>
      <c r="F8">
        <v>110.2</v>
      </c>
      <c r="G8">
        <v>110.09</v>
      </c>
      <c r="H8">
        <v>110.06</v>
      </c>
      <c r="I8">
        <v>110.03</v>
      </c>
      <c r="J8">
        <v>110.02</v>
      </c>
      <c r="K8">
        <v>110.01</v>
      </c>
      <c r="L8" s="1">
        <v>0.105</v>
      </c>
      <c r="M8" t="s">
        <v>7</v>
      </c>
      <c r="N8" s="2">
        <v>33222</v>
      </c>
      <c r="O8" s="2">
        <v>44270</v>
      </c>
    </row>
    <row r="9" spans="1:16">
      <c r="A9" t="s">
        <v>15</v>
      </c>
      <c r="B9">
        <v>100.07</v>
      </c>
      <c r="C9">
        <v>100.09</v>
      </c>
      <c r="D9">
        <v>100.12</v>
      </c>
      <c r="E9">
        <v>100.1</v>
      </c>
      <c r="F9">
        <v>100.08</v>
      </c>
      <c r="G9">
        <v>100.07</v>
      </c>
      <c r="H9">
        <v>100.04</v>
      </c>
      <c r="I9">
        <v>100.04</v>
      </c>
      <c r="J9">
        <v>100.02</v>
      </c>
      <c r="K9">
        <v>100.06</v>
      </c>
      <c r="L9" s="1">
        <v>1.7500000000000002E-2</v>
      </c>
      <c r="M9" t="s">
        <v>31</v>
      </c>
      <c r="N9" s="2">
        <v>43507</v>
      </c>
      <c r="O9" s="2">
        <v>44317</v>
      </c>
    </row>
    <row r="10" spans="1:16">
      <c r="A10" t="s">
        <v>9</v>
      </c>
      <c r="B10">
        <v>102.1</v>
      </c>
      <c r="C10">
        <v>102.12</v>
      </c>
      <c r="D10">
        <v>102.15</v>
      </c>
      <c r="E10">
        <v>102.11</v>
      </c>
      <c r="F10">
        <v>102.2</v>
      </c>
      <c r="G10">
        <v>102.07</v>
      </c>
      <c r="H10">
        <v>102.06</v>
      </c>
      <c r="I10">
        <v>102.01</v>
      </c>
      <c r="J10">
        <v>102.01</v>
      </c>
      <c r="K10">
        <v>102.04</v>
      </c>
      <c r="L10" s="1">
        <v>3.2500000000000001E-2</v>
      </c>
      <c r="M10" t="s">
        <v>10</v>
      </c>
      <c r="N10" s="2">
        <v>40378</v>
      </c>
      <c r="O10" s="2">
        <v>44348</v>
      </c>
    </row>
    <row r="11" spans="1:16">
      <c r="A11" t="s">
        <v>17</v>
      </c>
      <c r="B11">
        <v>111.06</v>
      </c>
      <c r="C11">
        <v>111.07</v>
      </c>
      <c r="D11">
        <v>111.08</v>
      </c>
      <c r="E11">
        <v>111.03</v>
      </c>
      <c r="F11">
        <v>111.01</v>
      </c>
      <c r="G11">
        <v>110.89</v>
      </c>
      <c r="H11">
        <v>110.86</v>
      </c>
      <c r="I11">
        <v>110.82</v>
      </c>
      <c r="J11">
        <v>110.82</v>
      </c>
      <c r="K11">
        <v>110.8</v>
      </c>
      <c r="L11" s="1">
        <v>9.7500000000000003E-2</v>
      </c>
      <c r="M11" t="s">
        <v>18</v>
      </c>
      <c r="N11" s="2">
        <v>33367</v>
      </c>
      <c r="O11" s="2">
        <v>44348</v>
      </c>
    </row>
    <row r="12" spans="1:16">
      <c r="A12" t="s">
        <v>5</v>
      </c>
      <c r="B12">
        <v>99.73</v>
      </c>
      <c r="C12">
        <v>99.76</v>
      </c>
      <c r="D12">
        <v>99.79</v>
      </c>
      <c r="E12">
        <v>99.76</v>
      </c>
      <c r="F12">
        <v>99.75</v>
      </c>
      <c r="G12">
        <v>99.72</v>
      </c>
      <c r="H12">
        <v>99.7</v>
      </c>
      <c r="I12">
        <v>99.68</v>
      </c>
      <c r="J12">
        <v>99.7</v>
      </c>
      <c r="K12">
        <v>99.72</v>
      </c>
      <c r="L12" s="1">
        <v>1.4999999999999999E-2</v>
      </c>
      <c r="M12" t="s">
        <v>6</v>
      </c>
      <c r="N12" s="2">
        <v>43591</v>
      </c>
      <c r="O12" s="2">
        <v>44409</v>
      </c>
    </row>
    <row r="13" spans="1:16">
      <c r="A13" t="s">
        <v>9</v>
      </c>
      <c r="B13">
        <v>98.41</v>
      </c>
      <c r="C13">
        <v>98.45</v>
      </c>
      <c r="D13">
        <v>98.49</v>
      </c>
      <c r="E13">
        <v>98.46</v>
      </c>
      <c r="F13">
        <v>98.46</v>
      </c>
      <c r="G13">
        <v>98.43</v>
      </c>
      <c r="H13">
        <v>98.43</v>
      </c>
      <c r="I13">
        <v>98.38</v>
      </c>
      <c r="J13">
        <v>98.41</v>
      </c>
      <c r="K13">
        <v>98.42</v>
      </c>
      <c r="L13" s="1">
        <v>7.4999999999999997E-3</v>
      </c>
      <c r="M13" t="s">
        <v>25</v>
      </c>
      <c r="N13" s="2">
        <v>42471</v>
      </c>
      <c r="O13" s="2">
        <v>44440</v>
      </c>
      <c r="P13">
        <v>4</v>
      </c>
    </row>
    <row r="14" spans="1:16">
      <c r="A14" t="s">
        <v>15</v>
      </c>
      <c r="B14">
        <v>99.27</v>
      </c>
      <c r="C14">
        <v>99.31</v>
      </c>
      <c r="D14">
        <v>99.36</v>
      </c>
      <c r="E14">
        <v>99.34</v>
      </c>
      <c r="F14">
        <v>99.32</v>
      </c>
      <c r="G14">
        <v>99.27</v>
      </c>
      <c r="H14">
        <v>99.25</v>
      </c>
      <c r="I14">
        <v>99.24</v>
      </c>
      <c r="J14">
        <v>99.25</v>
      </c>
      <c r="K14">
        <v>99.28</v>
      </c>
      <c r="L14" s="1">
        <v>1.2500000000000001E-2</v>
      </c>
      <c r="M14" t="s">
        <v>16</v>
      </c>
      <c r="N14" s="2">
        <v>43686</v>
      </c>
      <c r="O14" s="2">
        <v>44501</v>
      </c>
    </row>
    <row r="15" spans="1:16">
      <c r="A15" t="s">
        <v>29</v>
      </c>
      <c r="B15">
        <v>99.69</v>
      </c>
      <c r="C15">
        <v>99.74</v>
      </c>
      <c r="D15">
        <v>99.78</v>
      </c>
      <c r="E15">
        <v>99.76</v>
      </c>
      <c r="F15">
        <v>99.76</v>
      </c>
      <c r="G15">
        <v>99.71</v>
      </c>
      <c r="H15">
        <v>99.68</v>
      </c>
      <c r="I15">
        <v>99.67</v>
      </c>
      <c r="J15">
        <v>99.67</v>
      </c>
      <c r="K15">
        <v>99.7</v>
      </c>
      <c r="L15" s="1">
        <v>1.4999999999999999E-2</v>
      </c>
      <c r="M15" t="s">
        <v>30</v>
      </c>
      <c r="N15" s="2">
        <v>43773</v>
      </c>
      <c r="O15" s="2">
        <v>44593</v>
      </c>
    </row>
    <row r="16" spans="1:16">
      <c r="A16" t="s">
        <v>24</v>
      </c>
      <c r="B16">
        <v>97.57</v>
      </c>
      <c r="C16">
        <v>97.63</v>
      </c>
      <c r="D16">
        <v>97.66</v>
      </c>
      <c r="E16">
        <v>97.65</v>
      </c>
      <c r="F16">
        <v>97.64</v>
      </c>
      <c r="G16">
        <v>97.6</v>
      </c>
      <c r="H16">
        <v>97.61</v>
      </c>
      <c r="I16">
        <v>97.57</v>
      </c>
      <c r="J16">
        <v>97.58</v>
      </c>
      <c r="K16">
        <v>97.61</v>
      </c>
      <c r="L16" s="1">
        <v>5.0000000000000001E-3</v>
      </c>
      <c r="M16" t="s">
        <v>23</v>
      </c>
      <c r="N16" s="2">
        <v>42654</v>
      </c>
      <c r="O16" s="2">
        <v>44621</v>
      </c>
      <c r="P16">
        <v>5</v>
      </c>
    </row>
    <row r="17" spans="1:16">
      <c r="A17" t="s">
        <v>19</v>
      </c>
      <c r="B17">
        <v>117.73</v>
      </c>
      <c r="C17">
        <v>117.79</v>
      </c>
      <c r="D17">
        <v>117.82</v>
      </c>
      <c r="E17">
        <v>117.77</v>
      </c>
      <c r="F17">
        <v>117.74</v>
      </c>
      <c r="G17">
        <v>117.63</v>
      </c>
      <c r="H17">
        <v>117.56</v>
      </c>
      <c r="I17">
        <v>117.52</v>
      </c>
      <c r="J17">
        <v>117.51</v>
      </c>
      <c r="K17">
        <v>117.54</v>
      </c>
      <c r="L17" s="1">
        <v>9.2499999999999999E-2</v>
      </c>
      <c r="M17" t="s">
        <v>20</v>
      </c>
      <c r="N17" s="2">
        <v>33587</v>
      </c>
      <c r="O17" s="2">
        <v>44713</v>
      </c>
    </row>
    <row r="18" spans="1:16">
      <c r="A18" t="s">
        <v>24</v>
      </c>
      <c r="B18">
        <v>102.53</v>
      </c>
      <c r="C18">
        <v>102.59</v>
      </c>
      <c r="D18">
        <v>102.62</v>
      </c>
      <c r="E18">
        <v>102.59</v>
      </c>
      <c r="F18">
        <v>102.58</v>
      </c>
      <c r="G18">
        <v>102.52</v>
      </c>
      <c r="H18">
        <v>102.52</v>
      </c>
      <c r="I18">
        <v>102.46</v>
      </c>
      <c r="J18">
        <v>102.47</v>
      </c>
      <c r="K18">
        <v>102.51</v>
      </c>
      <c r="L18" s="1">
        <v>2.75E-2</v>
      </c>
      <c r="M18" t="s">
        <v>28</v>
      </c>
      <c r="N18" s="2">
        <v>40757</v>
      </c>
      <c r="O18" s="2">
        <v>44713</v>
      </c>
      <c r="P18">
        <v>6</v>
      </c>
    </row>
    <row r="19" spans="1:16">
      <c r="A19" t="s">
        <v>46</v>
      </c>
      <c r="B19">
        <v>100.31</v>
      </c>
      <c r="C19">
        <v>100.42</v>
      </c>
      <c r="D19">
        <v>100.48</v>
      </c>
      <c r="E19">
        <v>100.45</v>
      </c>
      <c r="F19">
        <v>100.44</v>
      </c>
      <c r="G19">
        <v>100.35</v>
      </c>
      <c r="H19">
        <v>100.31</v>
      </c>
      <c r="I19">
        <v>100.27</v>
      </c>
      <c r="J19">
        <v>100.31</v>
      </c>
      <c r="K19">
        <v>100.38</v>
      </c>
      <c r="L19" s="1">
        <v>1.7500000000000002E-2</v>
      </c>
      <c r="M19" t="s">
        <v>32</v>
      </c>
      <c r="N19" s="2">
        <v>43014</v>
      </c>
      <c r="O19" s="2">
        <v>44986</v>
      </c>
      <c r="P19">
        <v>7</v>
      </c>
    </row>
    <row r="20" spans="1:16">
      <c r="A20" t="s">
        <v>46</v>
      </c>
      <c r="B20">
        <v>99.48</v>
      </c>
      <c r="C20">
        <v>99.59</v>
      </c>
      <c r="D20">
        <v>99.65</v>
      </c>
      <c r="E20">
        <v>99.61</v>
      </c>
      <c r="F20">
        <v>99.62</v>
      </c>
      <c r="G20">
        <v>99.54</v>
      </c>
      <c r="H20">
        <v>99.53</v>
      </c>
      <c r="I20">
        <v>99.44</v>
      </c>
      <c r="J20">
        <v>99.49</v>
      </c>
      <c r="K20">
        <v>99.56</v>
      </c>
      <c r="L20" s="1">
        <v>1.4999999999999999E-2</v>
      </c>
      <c r="M20" t="s">
        <v>60</v>
      </c>
      <c r="N20" s="2">
        <v>41120</v>
      </c>
      <c r="O20" s="2">
        <v>45078</v>
      </c>
      <c r="P20">
        <v>8</v>
      </c>
    </row>
    <row r="21" spans="1:16">
      <c r="A21" t="s">
        <v>52</v>
      </c>
      <c r="B21">
        <v>120.79</v>
      </c>
      <c r="C21">
        <v>120.91</v>
      </c>
      <c r="D21">
        <v>120.96</v>
      </c>
      <c r="E21">
        <v>120.91</v>
      </c>
      <c r="F21">
        <v>120.91</v>
      </c>
      <c r="G21">
        <v>120.73</v>
      </c>
      <c r="H21">
        <v>120.67</v>
      </c>
      <c r="I21">
        <v>120.63</v>
      </c>
      <c r="J21">
        <v>120.64</v>
      </c>
      <c r="K21">
        <v>120.72</v>
      </c>
      <c r="L21" s="3">
        <v>0.08</v>
      </c>
      <c r="M21" t="s">
        <v>42</v>
      </c>
      <c r="N21" s="2">
        <v>33833</v>
      </c>
      <c r="O21" s="2">
        <v>45078</v>
      </c>
    </row>
    <row r="22" spans="1:16">
      <c r="A22" t="s">
        <v>53</v>
      </c>
      <c r="B22">
        <v>102.52</v>
      </c>
      <c r="C22">
        <v>102.65</v>
      </c>
      <c r="D22">
        <v>102.75</v>
      </c>
      <c r="E22">
        <v>102.58</v>
      </c>
      <c r="F22">
        <v>102.68</v>
      </c>
      <c r="G22">
        <v>102.53</v>
      </c>
      <c r="H22">
        <v>102.47</v>
      </c>
      <c r="I22">
        <v>102.46</v>
      </c>
      <c r="J22">
        <v>102.54</v>
      </c>
      <c r="K22">
        <v>102.64</v>
      </c>
      <c r="L22" s="1">
        <v>2.2499999999999999E-2</v>
      </c>
      <c r="M22" t="s">
        <v>41</v>
      </c>
      <c r="N22" s="2">
        <v>43378</v>
      </c>
      <c r="O22" s="2">
        <v>45352</v>
      </c>
      <c r="P22">
        <v>9</v>
      </c>
    </row>
    <row r="23" spans="1:16">
      <c r="A23" t="s">
        <v>57</v>
      </c>
      <c r="B23">
        <v>103.53</v>
      </c>
      <c r="C23">
        <v>103.86</v>
      </c>
      <c r="D23">
        <v>103.99</v>
      </c>
      <c r="E23">
        <v>103.88</v>
      </c>
      <c r="F23">
        <v>103.82</v>
      </c>
      <c r="G23">
        <v>103.65</v>
      </c>
      <c r="H23">
        <v>103.7</v>
      </c>
      <c r="I23">
        <v>103.61</v>
      </c>
      <c r="J23">
        <v>103.7</v>
      </c>
      <c r="K23">
        <v>103.8</v>
      </c>
      <c r="L23" s="1">
        <v>2.5000000000000001E-2</v>
      </c>
      <c r="M23" t="s">
        <v>35</v>
      </c>
      <c r="N23" s="2">
        <v>41457</v>
      </c>
      <c r="O23" s="2">
        <v>45444</v>
      </c>
    </row>
    <row r="24" spans="1:16">
      <c r="A24" t="s">
        <v>49</v>
      </c>
      <c r="B24">
        <v>98.72</v>
      </c>
      <c r="C24">
        <v>98.95</v>
      </c>
      <c r="D24">
        <v>99.29</v>
      </c>
      <c r="E24">
        <v>99.11</v>
      </c>
      <c r="F24">
        <v>99.25</v>
      </c>
      <c r="G24">
        <v>98.99</v>
      </c>
      <c r="H24">
        <v>99.03</v>
      </c>
      <c r="I24">
        <v>99.06</v>
      </c>
      <c r="J24">
        <v>98.99</v>
      </c>
      <c r="K24">
        <v>99.1</v>
      </c>
      <c r="L24" s="1">
        <v>1.4999999999999999E-2</v>
      </c>
      <c r="M24" t="s">
        <v>39</v>
      </c>
      <c r="N24" s="2">
        <v>43560</v>
      </c>
      <c r="O24" s="2">
        <v>45536</v>
      </c>
      <c r="P24">
        <v>10</v>
      </c>
    </row>
    <row r="25" spans="1:16">
      <c r="A25" t="s">
        <v>54</v>
      </c>
      <c r="B25">
        <v>98.24</v>
      </c>
      <c r="C25">
        <v>98.43</v>
      </c>
      <c r="D25">
        <v>98.58</v>
      </c>
      <c r="E25">
        <v>98.48</v>
      </c>
      <c r="F25">
        <v>98.48</v>
      </c>
      <c r="G25">
        <v>98.3</v>
      </c>
      <c r="H25">
        <v>98.25</v>
      </c>
      <c r="I25">
        <v>98.24</v>
      </c>
      <c r="J25">
        <v>98.34</v>
      </c>
      <c r="K25">
        <v>98.47</v>
      </c>
      <c r="L25" s="1">
        <v>1.2500000000000001E-2</v>
      </c>
      <c r="M25" t="s">
        <v>33</v>
      </c>
      <c r="N25" s="2">
        <v>43749</v>
      </c>
      <c r="O25" s="2">
        <v>45717</v>
      </c>
    </row>
    <row r="26" spans="1:16">
      <c r="A26" t="s">
        <v>55</v>
      </c>
      <c r="B26">
        <v>103.29</v>
      </c>
      <c r="C26">
        <v>103.49</v>
      </c>
      <c r="D26">
        <v>103.65</v>
      </c>
      <c r="E26">
        <v>103.54</v>
      </c>
      <c r="F26">
        <v>103.55</v>
      </c>
      <c r="G26">
        <v>103.33</v>
      </c>
      <c r="H26">
        <v>103.3</v>
      </c>
      <c r="I26">
        <v>103.26</v>
      </c>
      <c r="J26">
        <v>103.36</v>
      </c>
      <c r="K26">
        <v>103.53</v>
      </c>
      <c r="L26" s="1">
        <v>2.2499999999999999E-2</v>
      </c>
      <c r="M26" t="s">
        <v>38</v>
      </c>
      <c r="N26" s="2">
        <v>41820</v>
      </c>
      <c r="O26" s="2">
        <v>45809</v>
      </c>
    </row>
    <row r="27" spans="1:16">
      <c r="A27" t="s">
        <v>48</v>
      </c>
      <c r="B27">
        <v>137.81</v>
      </c>
      <c r="C27">
        <v>138.04</v>
      </c>
      <c r="D27">
        <v>138.22</v>
      </c>
      <c r="E27">
        <v>138.09</v>
      </c>
      <c r="F27">
        <v>138.07</v>
      </c>
      <c r="G27">
        <v>137.69</v>
      </c>
      <c r="H27">
        <v>137.66999999999999</v>
      </c>
      <c r="I27">
        <v>137.63999999999999</v>
      </c>
      <c r="J27">
        <v>137.72999999999999</v>
      </c>
      <c r="K27">
        <v>137.9</v>
      </c>
      <c r="L27" s="3">
        <v>0.09</v>
      </c>
      <c r="M27" t="s">
        <v>45</v>
      </c>
      <c r="N27" s="2">
        <v>34548</v>
      </c>
      <c r="O27" s="2">
        <v>45809</v>
      </c>
    </row>
    <row r="28" spans="1:16">
      <c r="A28" t="s">
        <v>50</v>
      </c>
      <c r="B28">
        <v>99.28</v>
      </c>
      <c r="C28">
        <v>99.49</v>
      </c>
      <c r="D28">
        <v>99.67</v>
      </c>
      <c r="E28">
        <v>99.57</v>
      </c>
      <c r="F28">
        <v>99.56</v>
      </c>
      <c r="G28">
        <v>99.29</v>
      </c>
      <c r="H28">
        <v>99.28</v>
      </c>
      <c r="I28">
        <v>99.25</v>
      </c>
      <c r="J28">
        <v>99.37</v>
      </c>
      <c r="K28">
        <v>99.54</v>
      </c>
      <c r="L28" s="1">
        <v>1.4999999999999999E-2</v>
      </c>
      <c r="M28" t="s">
        <v>36</v>
      </c>
      <c r="N28" s="2">
        <v>42206</v>
      </c>
      <c r="O28" s="2">
        <v>46174</v>
      </c>
    </row>
    <row r="29" spans="1:16">
      <c r="A29" t="s">
        <v>59</v>
      </c>
      <c r="B29">
        <v>143.78</v>
      </c>
      <c r="C29">
        <v>144.18</v>
      </c>
      <c r="D29">
        <v>144.41</v>
      </c>
      <c r="E29">
        <v>144.31</v>
      </c>
      <c r="F29">
        <v>144.22999999999999</v>
      </c>
      <c r="G29">
        <v>143.72999999999999</v>
      </c>
      <c r="H29">
        <v>143.91999999999999</v>
      </c>
      <c r="I29">
        <v>143.77000000000001</v>
      </c>
      <c r="J29">
        <v>143.99</v>
      </c>
      <c r="K29">
        <v>144.18</v>
      </c>
      <c r="L29" s="3">
        <v>0.08</v>
      </c>
      <c r="M29" t="s">
        <v>34</v>
      </c>
      <c r="N29" s="2">
        <v>35186</v>
      </c>
      <c r="O29" s="2">
        <v>46539</v>
      </c>
    </row>
    <row r="30" spans="1:16">
      <c r="A30" t="s">
        <v>47</v>
      </c>
      <c r="B30">
        <v>95.55</v>
      </c>
      <c r="C30">
        <v>95.86</v>
      </c>
      <c r="D30">
        <v>96.05</v>
      </c>
      <c r="E30">
        <v>95.99</v>
      </c>
      <c r="F30">
        <v>95.93</v>
      </c>
      <c r="G30">
        <v>95.6</v>
      </c>
      <c r="H30">
        <v>95.76</v>
      </c>
      <c r="I30">
        <v>95.64</v>
      </c>
      <c r="J30">
        <v>95.84</v>
      </c>
      <c r="K30">
        <v>96</v>
      </c>
      <c r="L30" s="3">
        <v>0.01</v>
      </c>
      <c r="M30" t="s">
        <v>40</v>
      </c>
      <c r="N30" s="2">
        <v>42585</v>
      </c>
      <c r="O30" s="2">
        <v>46539</v>
      </c>
    </row>
    <row r="31" spans="1:16">
      <c r="A31" t="s">
        <v>58</v>
      </c>
      <c r="B31">
        <v>102.84</v>
      </c>
      <c r="C31">
        <v>103.21</v>
      </c>
      <c r="D31">
        <v>103.45</v>
      </c>
      <c r="E31">
        <v>103.34</v>
      </c>
      <c r="F31">
        <v>103.27</v>
      </c>
      <c r="G31">
        <v>102.85</v>
      </c>
      <c r="H31">
        <v>103.07</v>
      </c>
      <c r="I31">
        <v>102.9</v>
      </c>
      <c r="J31">
        <v>103.15</v>
      </c>
      <c r="K31">
        <v>103.34</v>
      </c>
      <c r="L31" s="3">
        <v>0.02</v>
      </c>
      <c r="M31" t="s">
        <v>37</v>
      </c>
      <c r="N31" s="2">
        <v>42948</v>
      </c>
      <c r="O31" s="2">
        <v>46905</v>
      </c>
    </row>
    <row r="32" spans="1:16">
      <c r="A32" t="s">
        <v>56</v>
      </c>
      <c r="B32">
        <v>135.47</v>
      </c>
      <c r="C32">
        <v>135.91</v>
      </c>
      <c r="D32">
        <v>136.22999999999999</v>
      </c>
      <c r="E32">
        <v>136.04</v>
      </c>
      <c r="F32">
        <v>135.93</v>
      </c>
      <c r="G32">
        <v>135.33000000000001</v>
      </c>
      <c r="H32">
        <v>135.59</v>
      </c>
      <c r="I32">
        <v>135.57</v>
      </c>
      <c r="J32">
        <v>135.68</v>
      </c>
      <c r="K32">
        <v>135.93</v>
      </c>
      <c r="L32" s="1">
        <v>5.7500000000000002E-2</v>
      </c>
      <c r="M32" t="s">
        <v>43</v>
      </c>
      <c r="N32" s="2">
        <v>35828</v>
      </c>
      <c r="O32" s="2">
        <v>47270</v>
      </c>
    </row>
    <row r="33" spans="1:15">
      <c r="A33" t="s">
        <v>51</v>
      </c>
      <c r="B33">
        <v>105.48</v>
      </c>
      <c r="C33">
        <v>105.88</v>
      </c>
      <c r="D33">
        <v>106.16</v>
      </c>
      <c r="E33">
        <v>106</v>
      </c>
      <c r="F33">
        <v>105.92</v>
      </c>
      <c r="G33">
        <v>105.41</v>
      </c>
      <c r="H33">
        <v>105.64</v>
      </c>
      <c r="I33">
        <v>105.46</v>
      </c>
      <c r="J33">
        <v>105.74</v>
      </c>
      <c r="K33">
        <v>105.95</v>
      </c>
      <c r="L33" s="1">
        <v>2.2499999999999999E-2</v>
      </c>
      <c r="M33" t="s">
        <v>44</v>
      </c>
      <c r="N33" s="2">
        <v>43308</v>
      </c>
      <c r="O33" s="2">
        <v>47270</v>
      </c>
    </row>
    <row r="34" spans="1:15">
      <c r="L34" s="3"/>
      <c r="N34" s="2"/>
      <c r="O34" s="2"/>
    </row>
  </sheetData>
  <sortState xmlns:xlrd2="http://schemas.microsoft.com/office/spreadsheetml/2017/richdata2" ref="A2:O33">
    <sortCondition ref="O2:O33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F606B-C045-E744-A7D0-E98C58AAE0CF}">
  <dimension ref="A1:T22"/>
  <sheetViews>
    <sheetView topLeftCell="I1" zoomScale="106" zoomScaleNormal="133" workbookViewId="0">
      <selection activeCell="P21" sqref="P21"/>
    </sheetView>
  </sheetViews>
  <sheetFormatPr baseColWidth="10" defaultRowHeight="16"/>
  <cols>
    <col min="4" max="4" width="14.83203125" customWidth="1"/>
    <col min="5" max="5" width="23.83203125" bestFit="1" customWidth="1"/>
    <col min="6" max="6" width="12.33203125" customWidth="1"/>
    <col min="7" max="7" width="21" customWidth="1"/>
    <col min="8" max="8" width="17.1640625" customWidth="1"/>
    <col min="9" max="9" width="22.33203125" customWidth="1"/>
    <col min="10" max="13" width="13.83203125" customWidth="1"/>
    <col min="14" max="14" width="18.1640625" bestFit="1" customWidth="1"/>
    <col min="15" max="15" width="14" bestFit="1" customWidth="1"/>
    <col min="16" max="16" width="19.6640625" bestFit="1" customWidth="1"/>
  </cols>
  <sheetData>
    <row r="1" spans="1:20" ht="17">
      <c r="A1" s="2">
        <v>43832</v>
      </c>
      <c r="B1" s="2" t="s">
        <v>61</v>
      </c>
      <c r="C1" t="s">
        <v>1</v>
      </c>
      <c r="D1" t="s">
        <v>2</v>
      </c>
      <c r="E1" t="s">
        <v>3</v>
      </c>
      <c r="F1" t="s">
        <v>4</v>
      </c>
      <c r="G1" s="4" t="s">
        <v>62</v>
      </c>
      <c r="H1" t="s">
        <v>63</v>
      </c>
      <c r="I1" t="s">
        <v>64</v>
      </c>
      <c r="J1" t="s">
        <v>65</v>
      </c>
      <c r="K1" s="6" t="s">
        <v>75</v>
      </c>
      <c r="L1" s="6" t="s">
        <v>77</v>
      </c>
      <c r="M1" s="6" t="s">
        <v>73</v>
      </c>
      <c r="N1" s="7" t="s">
        <v>69</v>
      </c>
      <c r="P1" s="6" t="s">
        <v>83</v>
      </c>
      <c r="Q1" s="6" t="s">
        <v>85</v>
      </c>
      <c r="R1" s="6"/>
      <c r="S1" s="6"/>
      <c r="T1" s="6"/>
    </row>
    <row r="2" spans="1:20">
      <c r="A2" t="s">
        <v>12</v>
      </c>
      <c r="B2">
        <v>99.85</v>
      </c>
      <c r="C2" s="1">
        <v>1.4999999999999999E-2</v>
      </c>
      <c r="D2" t="s">
        <v>27</v>
      </c>
      <c r="E2" s="2">
        <v>41926</v>
      </c>
      <c r="F2" s="2">
        <v>43891</v>
      </c>
      <c r="G2">
        <f>F2-$A$1</f>
        <v>59</v>
      </c>
      <c r="H2">
        <f>G2/365</f>
        <v>0.16164383561643836</v>
      </c>
      <c r="I2">
        <f>H2*2</f>
        <v>0.32328767123287672</v>
      </c>
      <c r="J2">
        <f>100*C2/2</f>
        <v>0.75</v>
      </c>
      <c r="K2">
        <f>MOD(G2,365*0.5)</f>
        <v>59</v>
      </c>
      <c r="L2">
        <f>((182-K2)/365 )*C2</f>
        <v>5.0547945205479455E-3</v>
      </c>
      <c r="M2">
        <f>L2+B2</f>
        <v>99.855054794520541</v>
      </c>
      <c r="N2" s="1">
        <f>RATE(I2,J2,(-M2), 100)*2</f>
        <v>2.4038161386025537E-2</v>
      </c>
      <c r="O2" s="7">
        <v>0.5</v>
      </c>
      <c r="P2" s="5">
        <f>P13</f>
        <v>5.5198630564908362E-2</v>
      </c>
      <c r="Q2">
        <f>(P5*2-P3*1)/(2-1)</f>
        <v>1.4924068816357022E-2</v>
      </c>
      <c r="R2" t="s">
        <v>86</v>
      </c>
    </row>
    <row r="3" spans="1:20">
      <c r="A3" t="s">
        <v>12</v>
      </c>
      <c r="B3">
        <v>99.26</v>
      </c>
      <c r="C3" s="1">
        <v>7.4999999999999997E-3</v>
      </c>
      <c r="D3" t="s">
        <v>22</v>
      </c>
      <c r="E3" s="2">
        <v>42107</v>
      </c>
      <c r="F3" s="2">
        <v>44075</v>
      </c>
      <c r="G3">
        <f t="shared" ref="G3:G11" si="0">F3-$A$1</f>
        <v>243</v>
      </c>
      <c r="H3">
        <f t="shared" ref="H3:H11" si="1">G3/365</f>
        <v>0.66575342465753429</v>
      </c>
      <c r="I3">
        <f t="shared" ref="I3:I11" si="2">H3*2</f>
        <v>1.3315068493150686</v>
      </c>
      <c r="J3">
        <f t="shared" ref="J3:J11" si="3">100*C3/2</f>
        <v>0.375</v>
      </c>
      <c r="K3">
        <f t="shared" ref="K3:K11" si="4">MOD(G3,365*0.5)</f>
        <v>60.5</v>
      </c>
      <c r="L3">
        <f t="shared" ref="L3:L11" si="5">((182-K3)/365 )*C3</f>
        <v>2.4965753424657537E-3</v>
      </c>
      <c r="M3">
        <f t="shared" ref="M3:M11" si="6">L3+B3</f>
        <v>99.262496575342468</v>
      </c>
      <c r="N3" s="1">
        <f t="shared" ref="N3:N11" si="7">RATE(I3,J3,(-M3), 100)*2</f>
        <v>1.8698523823492231E-2</v>
      </c>
      <c r="O3" s="7">
        <v>1</v>
      </c>
      <c r="P3" s="5">
        <f>P14</f>
        <v>2.2375674236785999E-2</v>
      </c>
      <c r="Q3">
        <f>(P7*3-P3*1)/(3-1)</f>
        <v>1.5348226887840582E-2</v>
      </c>
      <c r="R3" t="s">
        <v>87</v>
      </c>
    </row>
    <row r="4" spans="1:20">
      <c r="A4" t="s">
        <v>9</v>
      </c>
      <c r="B4">
        <v>98.89</v>
      </c>
      <c r="C4" s="1">
        <v>7.4999999999999997E-3</v>
      </c>
      <c r="D4" t="s">
        <v>11</v>
      </c>
      <c r="E4" s="2">
        <v>42296</v>
      </c>
      <c r="F4" s="2">
        <v>44256</v>
      </c>
      <c r="G4">
        <f t="shared" si="0"/>
        <v>424</v>
      </c>
      <c r="H4">
        <f t="shared" si="1"/>
        <v>1.1616438356164382</v>
      </c>
      <c r="I4">
        <f t="shared" si="2"/>
        <v>2.3232876712328765</v>
      </c>
      <c r="J4">
        <f t="shared" si="3"/>
        <v>0.375</v>
      </c>
      <c r="K4">
        <f t="shared" si="4"/>
        <v>59</v>
      </c>
      <c r="L4">
        <f t="shared" si="5"/>
        <v>2.5273972602739728E-3</v>
      </c>
      <c r="M4">
        <f t="shared" si="6"/>
        <v>98.892527397260281</v>
      </c>
      <c r="N4" s="1">
        <f t="shared" si="7"/>
        <v>1.7169923032903964E-2</v>
      </c>
      <c r="O4" s="7">
        <v>1.5</v>
      </c>
      <c r="P4" s="5">
        <f t="shared" ref="P4:P11" si="8">P15</f>
        <v>1.9284700984863356E-2</v>
      </c>
      <c r="Q4">
        <f>(P9*4-P3*1)/(4-1)</f>
        <v>1.5094315129791501E-2</v>
      </c>
      <c r="R4" t="s">
        <v>88</v>
      </c>
    </row>
    <row r="5" spans="1:20">
      <c r="A5" t="s">
        <v>9</v>
      </c>
      <c r="B5">
        <v>98.41</v>
      </c>
      <c r="C5" s="1">
        <v>7.4999999999999997E-3</v>
      </c>
      <c r="D5" t="s">
        <v>25</v>
      </c>
      <c r="E5" s="2">
        <v>42471</v>
      </c>
      <c r="F5" s="2">
        <v>44440</v>
      </c>
      <c r="G5">
        <f t="shared" si="0"/>
        <v>608</v>
      </c>
      <c r="H5">
        <f t="shared" si="1"/>
        <v>1.6657534246575343</v>
      </c>
      <c r="I5">
        <f t="shared" si="2"/>
        <v>3.3315068493150686</v>
      </c>
      <c r="J5">
        <f t="shared" si="3"/>
        <v>0.375</v>
      </c>
      <c r="K5">
        <f t="shared" si="4"/>
        <v>60.5</v>
      </c>
      <c r="L5">
        <f t="shared" si="5"/>
        <v>2.4965753424657537E-3</v>
      </c>
      <c r="M5">
        <f t="shared" si="6"/>
        <v>98.412496575342459</v>
      </c>
      <c r="N5" s="1">
        <f t="shared" si="7"/>
        <v>1.7208426119466307E-2</v>
      </c>
      <c r="O5" s="7">
        <v>2</v>
      </c>
      <c r="P5" s="5">
        <f t="shared" si="8"/>
        <v>1.8649871526571511E-2</v>
      </c>
      <c r="Q5">
        <f>(P11*5-P3*1)/(5-1)</f>
        <v>1.8065639205586168E-2</v>
      </c>
      <c r="R5" t="s">
        <v>89</v>
      </c>
    </row>
    <row r="6" spans="1:20">
      <c r="A6" t="s">
        <v>24</v>
      </c>
      <c r="B6">
        <v>97.57</v>
      </c>
      <c r="C6" s="1">
        <v>5.0000000000000001E-3</v>
      </c>
      <c r="D6" t="s">
        <v>23</v>
      </c>
      <c r="E6" s="2">
        <v>42654</v>
      </c>
      <c r="F6" s="2">
        <v>44621</v>
      </c>
      <c r="G6">
        <f t="shared" si="0"/>
        <v>789</v>
      </c>
      <c r="H6">
        <f t="shared" si="1"/>
        <v>2.1616438356164385</v>
      </c>
      <c r="I6">
        <f t="shared" si="2"/>
        <v>4.3232876712328769</v>
      </c>
      <c r="J6">
        <f t="shared" si="3"/>
        <v>0.25</v>
      </c>
      <c r="K6">
        <f t="shared" si="4"/>
        <v>59</v>
      </c>
      <c r="L6">
        <f t="shared" si="5"/>
        <v>1.6849315068493151E-3</v>
      </c>
      <c r="M6">
        <f t="shared" si="6"/>
        <v>97.571684931506837</v>
      </c>
      <c r="N6" s="1">
        <f t="shared" si="7"/>
        <v>1.6481163373175879E-2</v>
      </c>
      <c r="O6" s="7">
        <v>2.5</v>
      </c>
      <c r="P6" s="5">
        <f t="shared" si="8"/>
        <v>1.7201583270917743E-2</v>
      </c>
    </row>
    <row r="7" spans="1:20">
      <c r="A7" t="s">
        <v>24</v>
      </c>
      <c r="B7">
        <v>102.53</v>
      </c>
      <c r="C7" s="1">
        <v>2.75E-2</v>
      </c>
      <c r="D7" t="s">
        <v>28</v>
      </c>
      <c r="E7" s="2">
        <v>40757</v>
      </c>
      <c r="F7" s="2">
        <v>44713</v>
      </c>
      <c r="G7">
        <f t="shared" si="0"/>
        <v>881</v>
      </c>
      <c r="H7">
        <f t="shared" si="1"/>
        <v>2.4136986301369863</v>
      </c>
      <c r="I7">
        <f t="shared" si="2"/>
        <v>4.8273972602739725</v>
      </c>
      <c r="J7">
        <f t="shared" si="3"/>
        <v>1.375</v>
      </c>
      <c r="K7">
        <f t="shared" si="4"/>
        <v>151</v>
      </c>
      <c r="L7">
        <f t="shared" si="5"/>
        <v>2.3356164383561643E-3</v>
      </c>
      <c r="M7">
        <f t="shared" si="6"/>
        <v>102.53233561643836</v>
      </c>
      <c r="N7" s="1">
        <f t="shared" si="7"/>
        <v>1.6751089508902247E-2</v>
      </c>
      <c r="O7" s="7">
        <v>3</v>
      </c>
      <c r="P7" s="5">
        <f t="shared" si="8"/>
        <v>1.7690709337489053E-2</v>
      </c>
    </row>
    <row r="8" spans="1:20">
      <c r="A8" t="s">
        <v>46</v>
      </c>
      <c r="B8">
        <v>100.31</v>
      </c>
      <c r="C8" s="1">
        <v>1.7500000000000002E-2</v>
      </c>
      <c r="D8" t="s">
        <v>32</v>
      </c>
      <c r="E8" s="2">
        <v>43014</v>
      </c>
      <c r="F8" s="2">
        <v>44986</v>
      </c>
      <c r="G8">
        <f t="shared" si="0"/>
        <v>1154</v>
      </c>
      <c r="H8">
        <f t="shared" si="1"/>
        <v>3.1616438356164385</v>
      </c>
      <c r="I8">
        <f t="shared" si="2"/>
        <v>6.3232876712328769</v>
      </c>
      <c r="J8">
        <f t="shared" si="3"/>
        <v>0.87500000000000011</v>
      </c>
      <c r="K8">
        <f t="shared" si="4"/>
        <v>59</v>
      </c>
      <c r="L8">
        <f t="shared" si="5"/>
        <v>5.8972602739726029E-3</v>
      </c>
      <c r="M8">
        <f t="shared" si="6"/>
        <v>100.31589726027397</v>
      </c>
      <c r="N8" s="1">
        <f t="shared" si="7"/>
        <v>1.6470496593943992E-2</v>
      </c>
      <c r="O8" s="7">
        <v>3.5</v>
      </c>
      <c r="P8" s="5">
        <f t="shared" si="8"/>
        <v>1.8309727253988658E-2</v>
      </c>
    </row>
    <row r="9" spans="1:20">
      <c r="A9" t="s">
        <v>46</v>
      </c>
      <c r="B9">
        <v>99.48</v>
      </c>
      <c r="C9" s="1">
        <v>1.4999999999999999E-2</v>
      </c>
      <c r="D9" t="s">
        <v>60</v>
      </c>
      <c r="E9" s="2">
        <v>41120</v>
      </c>
      <c r="F9" s="2">
        <v>45078</v>
      </c>
      <c r="G9">
        <f t="shared" si="0"/>
        <v>1246</v>
      </c>
      <c r="H9">
        <f t="shared" si="1"/>
        <v>3.4136986301369863</v>
      </c>
      <c r="I9">
        <f t="shared" si="2"/>
        <v>6.8273972602739725</v>
      </c>
      <c r="J9">
        <f t="shared" si="3"/>
        <v>0.75</v>
      </c>
      <c r="K9">
        <f t="shared" si="4"/>
        <v>151</v>
      </c>
      <c r="L9">
        <f t="shared" si="5"/>
        <v>1.2739726027397259E-3</v>
      </c>
      <c r="M9">
        <f t="shared" si="6"/>
        <v>99.48127397260275</v>
      </c>
      <c r="N9" s="1">
        <f t="shared" si="7"/>
        <v>1.6569206107868672E-2</v>
      </c>
      <c r="O9" s="7">
        <v>4</v>
      </c>
      <c r="P9" s="5">
        <f t="shared" si="8"/>
        <v>1.6914654906540125E-2</v>
      </c>
    </row>
    <row r="10" spans="1:20">
      <c r="A10" t="s">
        <v>53</v>
      </c>
      <c r="B10">
        <v>102.52</v>
      </c>
      <c r="C10" s="1">
        <v>2.2499999999999999E-2</v>
      </c>
      <c r="D10" t="s">
        <v>41</v>
      </c>
      <c r="E10" s="2">
        <v>43378</v>
      </c>
      <c r="F10" s="2">
        <v>45352</v>
      </c>
      <c r="G10">
        <f t="shared" si="0"/>
        <v>1520</v>
      </c>
      <c r="H10">
        <f t="shared" si="1"/>
        <v>4.1643835616438354</v>
      </c>
      <c r="I10">
        <f t="shared" si="2"/>
        <v>8.3287671232876708</v>
      </c>
      <c r="J10">
        <f t="shared" si="3"/>
        <v>1.125</v>
      </c>
      <c r="K10">
        <f t="shared" si="4"/>
        <v>60</v>
      </c>
      <c r="L10">
        <f t="shared" si="5"/>
        <v>7.5205479452054797E-3</v>
      </c>
      <c r="M10">
        <f t="shared" si="6"/>
        <v>102.5275205479452</v>
      </c>
      <c r="N10" s="1">
        <f t="shared" si="7"/>
        <v>1.6199068864727526E-2</v>
      </c>
      <c r="O10" s="7">
        <v>4.5</v>
      </c>
      <c r="P10" s="5">
        <f t="shared" si="8"/>
        <v>1.7984511467649306E-2</v>
      </c>
    </row>
    <row r="11" spans="1:20">
      <c r="A11" t="s">
        <v>49</v>
      </c>
      <c r="B11">
        <v>98.72</v>
      </c>
      <c r="C11" s="1">
        <v>1.4999999999999999E-2</v>
      </c>
      <c r="D11" t="s">
        <v>39</v>
      </c>
      <c r="E11" s="2">
        <v>43560</v>
      </c>
      <c r="F11" s="2">
        <v>45536</v>
      </c>
      <c r="G11">
        <f t="shared" si="0"/>
        <v>1704</v>
      </c>
      <c r="H11">
        <f t="shared" si="1"/>
        <v>4.6684931506849319</v>
      </c>
      <c r="I11">
        <f t="shared" si="2"/>
        <v>9.3369863013698637</v>
      </c>
      <c r="J11">
        <f t="shared" si="3"/>
        <v>0.75</v>
      </c>
      <c r="K11">
        <f t="shared" si="4"/>
        <v>61.5</v>
      </c>
      <c r="L11">
        <f t="shared" si="5"/>
        <v>4.9520547945205474E-3</v>
      </c>
      <c r="M11">
        <f t="shared" si="6"/>
        <v>98.724952054794514</v>
      </c>
      <c r="N11" s="1">
        <f t="shared" si="7"/>
        <v>1.7858781327500083E-2</v>
      </c>
      <c r="O11" s="7">
        <v>5</v>
      </c>
      <c r="P11" s="5">
        <f t="shared" si="8"/>
        <v>1.8927646211826132E-2</v>
      </c>
    </row>
    <row r="12" spans="1:20">
      <c r="O12" s="7"/>
    </row>
    <row r="13" spans="1:20">
      <c r="P13" s="1">
        <f>-LN(M2/(100+J2))/H2</f>
        <v>5.5198630564908362E-2</v>
      </c>
    </row>
    <row r="14" spans="1:20">
      <c r="P14" s="1">
        <f>-LN((M3-J3*EXP(-P13*H2))/(100+J3))/H3</f>
        <v>2.2375674236785999E-2</v>
      </c>
    </row>
    <row r="15" spans="1:20">
      <c r="P15" s="1">
        <f>-LN((M4-(J4*EXP(-P14*H3)+J4*EXP(-P13*H2))) /(100+J4))/H4</f>
        <v>1.9284700984863356E-2</v>
      </c>
    </row>
    <row r="16" spans="1:20">
      <c r="P16" s="1">
        <f>-LN((M5-(J5*EXP(-P15*H4)+J5*EXP(-P14*H3)+J5*EXP(-P13*H2))) /(100+J5))/H5</f>
        <v>1.8649871526571511E-2</v>
      </c>
    </row>
    <row r="17" spans="16:16">
      <c r="P17" s="1">
        <f>-LN((M6-(J6*EXP(-P16*H5)+J6*EXP(-P15*H4)+J6*EXP(-P14*H3)+J6*EXP(-P13*H2))) /(100+J6))/H6</f>
        <v>1.7201583270917743E-2</v>
      </c>
    </row>
    <row r="18" spans="16:16">
      <c r="P18" s="1">
        <f>-LN((M7-(J7*EXP(-P16*H5)+J7*EXP(-P15*H4)+J7*EXP(-P14*H3)+J7*EXP(-P13*H2))) /(100+J7))/H7</f>
        <v>1.7690709337489053E-2</v>
      </c>
    </row>
    <row r="19" spans="16:16">
      <c r="P19" s="1">
        <f>-LN((M8-(J8*EXP(-P18*H7)+J8*EXP(-P17*H6)+J8*EXP(-P16*H5)+J8*EXP(-P15*H4)+J8*EXP(-P14*H3)+J8*EXP(-P13*H2))) /(100+J8))/H8</f>
        <v>1.8309727253988658E-2</v>
      </c>
    </row>
    <row r="20" spans="16:16">
      <c r="P20" s="1">
        <f>-LN((M9-(J9*EXP(-P13*H2)+J9*EXP(-P18*H7)+J9*EXP(-P17*H6)+J9*EXP(-P16*H5)+J9*EXP(-P15*H4)+J9*EXP(-P14*H3))) /(100+J9))/H9</f>
        <v>1.6914654906540125E-2</v>
      </c>
    </row>
    <row r="21" spans="16:16">
      <c r="P21" s="1">
        <f>-LN((M10-(J10*EXP(-P13*H2)+J10*EXP(-H9*P20)+J10*EXP(-P14*H3)+J10*EXP(-P19*H8)+J10*EXP(-P18*H7)+J10*EXP(-P17*H6)+J10*EXP(-P16*H5)+J10*EXP(-P15*H4))) /(100+J10))/H10</f>
        <v>1.7984511467649306E-2</v>
      </c>
    </row>
    <row r="22" spans="16:16">
      <c r="P22" s="1">
        <f>-LN((M11-(J11*EXP(-H2*P13)+J11*EXP(-P14*H3)+J11*EXP(-H10*P21)+J11*EXP(-P15*H4)+J11*EXP(-P20*H9)+J11*EXP(-P19*H8)+J11*EXP(-P18*H7)+J11*EXP(-P17*H6)+J11*EXP(-P16*H5))) /(100+J11))/H11</f>
        <v>1.8927646211826132E-2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A903-0609-5348-B70D-AD1A74324CAB}">
  <dimension ref="A1:P25"/>
  <sheetViews>
    <sheetView topLeftCell="D1" workbookViewId="0">
      <selection activeCell="R6" sqref="R6"/>
    </sheetView>
  </sheetViews>
  <sheetFormatPr baseColWidth="10" defaultRowHeight="16"/>
  <cols>
    <col min="4" max="4" width="15.33203125" bestFit="1" customWidth="1"/>
    <col min="6" max="6" width="13.83203125" bestFit="1" customWidth="1"/>
  </cols>
  <sheetData>
    <row r="1" spans="1:16">
      <c r="A1" s="2">
        <v>43833</v>
      </c>
      <c r="B1" t="s">
        <v>61</v>
      </c>
      <c r="C1" t="s">
        <v>1</v>
      </c>
      <c r="D1" t="s">
        <v>2</v>
      </c>
      <c r="E1" t="s">
        <v>3</v>
      </c>
      <c r="F1" t="s">
        <v>4</v>
      </c>
      <c r="G1" t="s">
        <v>66</v>
      </c>
      <c r="H1" t="s">
        <v>67</v>
      </c>
      <c r="I1" t="s">
        <v>68</v>
      </c>
      <c r="J1" t="s">
        <v>65</v>
      </c>
      <c r="K1" t="s">
        <v>76</v>
      </c>
      <c r="L1" s="6" t="s">
        <v>72</v>
      </c>
      <c r="M1" t="s">
        <v>74</v>
      </c>
      <c r="N1" t="s">
        <v>69</v>
      </c>
      <c r="O1" t="s">
        <v>84</v>
      </c>
      <c r="P1" t="s">
        <v>85</v>
      </c>
    </row>
    <row r="2" spans="1:16">
      <c r="A2" t="s">
        <v>12</v>
      </c>
      <c r="B2">
        <v>99.86</v>
      </c>
      <c r="C2" s="1">
        <v>1.4999999999999999E-2</v>
      </c>
      <c r="D2" t="s">
        <v>27</v>
      </c>
      <c r="E2" s="2">
        <v>41926</v>
      </c>
      <c r="F2" s="2">
        <v>43891</v>
      </c>
      <c r="G2">
        <f>F2-$A$1</f>
        <v>58</v>
      </c>
      <c r="H2">
        <f>G2/365</f>
        <v>0.15890410958904111</v>
      </c>
      <c r="I2">
        <f>ROUND(H2*2,2)</f>
        <v>0.32</v>
      </c>
      <c r="J2">
        <f>100*C2/2</f>
        <v>0.75</v>
      </c>
      <c r="K2">
        <f>MOD(G2,365*0.5)</f>
        <v>58</v>
      </c>
      <c r="L2">
        <f>((365*0.5-K2)/365)*C2</f>
        <v>5.1164383561643828E-3</v>
      </c>
      <c r="M2">
        <f t="shared" ref="M2:M11" si="0">L2+B2</f>
        <v>99.865116438356168</v>
      </c>
      <c r="N2" s="5">
        <f>RATE(I2,J2,(-M2),100)*2</f>
        <v>2.3495499937919037E-2</v>
      </c>
      <c r="O2" s="5">
        <f>-LN(M2/(100+J2))/H2</f>
        <v>5.5516254271506811E-2</v>
      </c>
      <c r="P2">
        <f>(O5*2-O3*1)/(2-1)</f>
        <v>1.4706530338543113E-2</v>
      </c>
    </row>
    <row r="3" spans="1:16">
      <c r="A3" t="s">
        <v>12</v>
      </c>
      <c r="B3">
        <v>99.28</v>
      </c>
      <c r="C3" s="1">
        <v>7.4999999999999997E-3</v>
      </c>
      <c r="D3" t="s">
        <v>22</v>
      </c>
      <c r="E3" s="2">
        <v>42107</v>
      </c>
      <c r="F3" s="2">
        <v>44075</v>
      </c>
      <c r="G3">
        <f t="shared" ref="G3:G11" si="1">F3-$A$1</f>
        <v>242</v>
      </c>
      <c r="H3">
        <f t="shared" ref="H3:H11" si="2">G3/365</f>
        <v>0.66301369863013704</v>
      </c>
      <c r="I3">
        <f t="shared" ref="I3:I11" si="3">ROUND(H3*2,2)</f>
        <v>1.33</v>
      </c>
      <c r="J3">
        <f t="shared" ref="J3:J11" si="4">100*C3/2</f>
        <v>0.375</v>
      </c>
      <c r="K3">
        <f t="shared" ref="K3:K11" si="5">MOD(G3,365*0.5)</f>
        <v>59.5</v>
      </c>
      <c r="L3">
        <f t="shared" ref="L3:L11" si="6">((365*0.5-K3)/365)*C3</f>
        <v>2.5273972602739728E-3</v>
      </c>
      <c r="M3">
        <f t="shared" si="0"/>
        <v>99.282527397260282</v>
      </c>
      <c r="N3" s="5">
        <f t="shared" ref="N3:N11" si="7">RATE(I3,J3,(-M3),100)*2</f>
        <v>1.8404787219407224E-2</v>
      </c>
      <c r="O3" s="5">
        <f>-LN((M3-J3*EXP(-O2*H2))/(100+J3))/H3</f>
        <v>2.2163231345819226E-2</v>
      </c>
      <c r="P3">
        <f>(O7*3-O3*1)/(3-1)</f>
        <v>1.5109321454203115E-2</v>
      </c>
    </row>
    <row r="4" spans="1:16">
      <c r="A4" t="s">
        <v>9</v>
      </c>
      <c r="B4">
        <v>98.93</v>
      </c>
      <c r="C4" s="1">
        <v>7.4999999999999997E-3</v>
      </c>
      <c r="D4" t="s">
        <v>11</v>
      </c>
      <c r="E4" s="2">
        <v>42296</v>
      </c>
      <c r="F4" s="2">
        <v>44256</v>
      </c>
      <c r="G4">
        <f t="shared" si="1"/>
        <v>423</v>
      </c>
      <c r="H4">
        <f t="shared" si="2"/>
        <v>1.1589041095890411</v>
      </c>
      <c r="I4">
        <f t="shared" si="3"/>
        <v>2.3199999999999998</v>
      </c>
      <c r="J4">
        <f t="shared" si="4"/>
        <v>0.375</v>
      </c>
      <c r="K4">
        <f t="shared" si="5"/>
        <v>58</v>
      </c>
      <c r="L4">
        <f t="shared" si="6"/>
        <v>2.5582191780821914E-3</v>
      </c>
      <c r="M4">
        <f t="shared" si="0"/>
        <v>98.932558219178091</v>
      </c>
      <c r="N4" s="5">
        <f t="shared" si="7"/>
        <v>1.6830870963909596E-2</v>
      </c>
      <c r="O4" s="5">
        <f>-LN((M4-(J4*EXP(-O3*H3)+J4*EXP(-O2*H2))) /(100+J4))/H4</f>
        <v>1.8979423248121807E-2</v>
      </c>
      <c r="P4">
        <f>(O9*4-O3*1)/(4-1)</f>
        <v>1.4738079190865366E-2</v>
      </c>
    </row>
    <row r="5" spans="1:16">
      <c r="A5" t="s">
        <v>9</v>
      </c>
      <c r="B5">
        <v>98.45</v>
      </c>
      <c r="C5" s="1">
        <v>7.4999999999999997E-3</v>
      </c>
      <c r="D5" t="s">
        <v>25</v>
      </c>
      <c r="E5" s="2">
        <v>42471</v>
      </c>
      <c r="F5" s="2">
        <v>44440</v>
      </c>
      <c r="G5">
        <f t="shared" si="1"/>
        <v>607</v>
      </c>
      <c r="H5">
        <f t="shared" si="2"/>
        <v>1.6630136986301369</v>
      </c>
      <c r="I5">
        <f t="shared" si="3"/>
        <v>3.33</v>
      </c>
      <c r="J5">
        <f t="shared" si="4"/>
        <v>0.375</v>
      </c>
      <c r="K5">
        <f t="shared" si="5"/>
        <v>59.5</v>
      </c>
      <c r="L5">
        <f t="shared" si="6"/>
        <v>2.5273972602739728E-3</v>
      </c>
      <c r="M5">
        <f t="shared" si="0"/>
        <v>98.452527397260283</v>
      </c>
      <c r="N5" s="5">
        <f t="shared" si="7"/>
        <v>1.6965376507739566E-2</v>
      </c>
      <c r="O5" s="5">
        <f>-LN((M5-(J5*EXP(-O4*H4)+J5*EXP(-O3*H3)+J5*EXP(-O2*H2))) /(100+J5))/H5</f>
        <v>1.8434880842181169E-2</v>
      </c>
      <c r="P5">
        <f>(O11*5-O3*1)/(5-1)</f>
        <v>1.7477469680891509E-2</v>
      </c>
    </row>
    <row r="6" spans="1:16">
      <c r="A6" t="s">
        <v>24</v>
      </c>
      <c r="B6">
        <v>97.63</v>
      </c>
      <c r="C6" s="1">
        <v>5.0000000000000001E-3</v>
      </c>
      <c r="D6" t="s">
        <v>23</v>
      </c>
      <c r="E6" s="2">
        <v>42654</v>
      </c>
      <c r="F6" s="2">
        <v>44621</v>
      </c>
      <c r="G6">
        <f t="shared" si="1"/>
        <v>788</v>
      </c>
      <c r="H6">
        <f t="shared" si="2"/>
        <v>2.1589041095890411</v>
      </c>
      <c r="I6">
        <f t="shared" si="3"/>
        <v>4.32</v>
      </c>
      <c r="J6">
        <f t="shared" si="4"/>
        <v>0.25</v>
      </c>
      <c r="K6">
        <f t="shared" si="5"/>
        <v>58</v>
      </c>
      <c r="L6">
        <f t="shared" si="6"/>
        <v>1.7054794520547944E-3</v>
      </c>
      <c r="M6">
        <f t="shared" si="0"/>
        <v>97.631705479452052</v>
      </c>
      <c r="N6" s="5">
        <f t="shared" si="7"/>
        <v>1.6201642567017373E-2</v>
      </c>
      <c r="O6" s="5">
        <f>-LN((M6-(J6*EXP(-O5*H5)+J6*EXP(-O4*H4)+J6*EXP(-O3*H3)+J6*EXP(-O2*H2))) /(100+J6))/H6</f>
        <v>1.6936985002340591E-2</v>
      </c>
    </row>
    <row r="7" spans="1:16">
      <c r="A7" t="s">
        <v>24</v>
      </c>
      <c r="B7">
        <v>102.59</v>
      </c>
      <c r="C7" s="1">
        <v>2.75E-2</v>
      </c>
      <c r="D7" t="s">
        <v>28</v>
      </c>
      <c r="E7" s="2">
        <v>40757</v>
      </c>
      <c r="F7" s="2">
        <v>44713</v>
      </c>
      <c r="G7">
        <f t="shared" si="1"/>
        <v>880</v>
      </c>
      <c r="H7">
        <f t="shared" si="2"/>
        <v>2.4109589041095889</v>
      </c>
      <c r="I7">
        <f t="shared" si="3"/>
        <v>4.82</v>
      </c>
      <c r="J7">
        <f t="shared" si="4"/>
        <v>1.375</v>
      </c>
      <c r="K7">
        <f t="shared" si="5"/>
        <v>150</v>
      </c>
      <c r="L7">
        <f t="shared" si="6"/>
        <v>2.4486301369863015E-3</v>
      </c>
      <c r="M7">
        <f t="shared" si="0"/>
        <v>102.59244863013699</v>
      </c>
      <c r="N7" s="5">
        <f t="shared" si="7"/>
        <v>1.6483610251486959E-2</v>
      </c>
      <c r="O7" s="5">
        <f>-LN((M7-(J7*EXP(-O5*H5)+J7*EXP(-O4*H4)+J7*EXP(-O3*H3)+J7*EXP(-O2*H2))) /(100+J7))/H7</f>
        <v>1.7460624751408485E-2</v>
      </c>
    </row>
    <row r="8" spans="1:16">
      <c r="A8" t="s">
        <v>46</v>
      </c>
      <c r="B8">
        <v>100.42</v>
      </c>
      <c r="C8" s="1">
        <v>1.7500000000000002E-2</v>
      </c>
      <c r="D8" t="s">
        <v>32</v>
      </c>
      <c r="E8" s="2">
        <v>43014</v>
      </c>
      <c r="F8" s="2">
        <v>44986</v>
      </c>
      <c r="G8">
        <f t="shared" si="1"/>
        <v>1153</v>
      </c>
      <c r="H8">
        <f t="shared" si="2"/>
        <v>3.1589041095890411</v>
      </c>
      <c r="I8">
        <f t="shared" si="3"/>
        <v>6.32</v>
      </c>
      <c r="J8">
        <f t="shared" si="4"/>
        <v>0.87500000000000011</v>
      </c>
      <c r="K8">
        <f t="shared" si="5"/>
        <v>58</v>
      </c>
      <c r="L8">
        <f t="shared" si="6"/>
        <v>5.9691780821917815E-3</v>
      </c>
      <c r="M8">
        <f t="shared" si="0"/>
        <v>100.4259691780822</v>
      </c>
      <c r="N8" s="5">
        <f t="shared" si="7"/>
        <v>1.6111967762459555E-2</v>
      </c>
      <c r="O8" s="5">
        <f>-LN((M8-(J8*EXP(-O7*H7)+J8*EXP(-O6*H6)+J8*EXP(-O5*H5)+J8*EXP(-O4*H4)+J8*EXP(-O3*H3)+J8*EXP(-O2*H2))) /(100+J8))/H8</f>
        <v>1.7966393779010607E-2</v>
      </c>
    </row>
    <row r="9" spans="1:16">
      <c r="A9" t="s">
        <v>46</v>
      </c>
      <c r="B9">
        <v>99.59</v>
      </c>
      <c r="C9" s="1">
        <v>1.4999999999999999E-2</v>
      </c>
      <c r="D9" t="s">
        <v>60</v>
      </c>
      <c r="E9" s="2">
        <v>41120</v>
      </c>
      <c r="F9" s="2">
        <v>45078</v>
      </c>
      <c r="G9">
        <f t="shared" si="1"/>
        <v>1245</v>
      </c>
      <c r="H9">
        <f t="shared" si="2"/>
        <v>3.4109589041095889</v>
      </c>
      <c r="I9">
        <f t="shared" si="3"/>
        <v>6.82</v>
      </c>
      <c r="J9">
        <f t="shared" si="4"/>
        <v>0.75</v>
      </c>
      <c r="K9">
        <f t="shared" si="5"/>
        <v>150</v>
      </c>
      <c r="L9">
        <f t="shared" si="6"/>
        <v>1.3356164383561643E-3</v>
      </c>
      <c r="M9">
        <f t="shared" si="0"/>
        <v>99.591335616438357</v>
      </c>
      <c r="N9" s="5">
        <f t="shared" si="7"/>
        <v>1.6236769225035551E-2</v>
      </c>
      <c r="O9" s="5">
        <f>-LN((M9-(J9*EXP(-O2*H2)+J9*EXP(-O7*H7)+J9*EXP(-O6*H6)+J9*EXP(-O5*H5)+J9*EXP(-O4*H4)+J9*EXP(-O3*H3))) /(100+J9))/H9</f>
        <v>1.6594367229603831E-2</v>
      </c>
    </row>
    <row r="10" spans="1:16">
      <c r="A10" t="s">
        <v>53</v>
      </c>
      <c r="B10">
        <v>102.65</v>
      </c>
      <c r="C10" s="1">
        <v>2.2499999999999999E-2</v>
      </c>
      <c r="D10" t="s">
        <v>41</v>
      </c>
      <c r="E10" s="2">
        <v>43378</v>
      </c>
      <c r="F10" s="2">
        <v>45352</v>
      </c>
      <c r="G10">
        <f t="shared" si="1"/>
        <v>1519</v>
      </c>
      <c r="H10">
        <f t="shared" si="2"/>
        <v>4.161643835616438</v>
      </c>
      <c r="I10">
        <f t="shared" si="3"/>
        <v>8.32</v>
      </c>
      <c r="J10">
        <f t="shared" si="4"/>
        <v>1.125</v>
      </c>
      <c r="K10">
        <f t="shared" si="5"/>
        <v>59</v>
      </c>
      <c r="L10">
        <f t="shared" si="6"/>
        <v>7.6130136986301365E-3</v>
      </c>
      <c r="M10">
        <f t="shared" si="0"/>
        <v>102.65761301369864</v>
      </c>
      <c r="N10" s="5">
        <f t="shared" si="7"/>
        <v>1.5872956726044194E-2</v>
      </c>
      <c r="O10" s="5">
        <f>-LN((M10-(J10*EXP(-O2*H2)+J10*EXP(-H9*O9)+J10*EXP(-O3*H3)+J10*EXP(-O8*H8)+J10*EXP(-O7*H7)+J10*EXP(-O6*H6)+J10*EXP(-O5*H5)+J10*EXP(-O4*H4))) /(100+J10))/H10</f>
        <v>1.7676120571783641E-2</v>
      </c>
    </row>
    <row r="11" spans="1:16">
      <c r="A11" t="s">
        <v>49</v>
      </c>
      <c r="B11">
        <v>98.95</v>
      </c>
      <c r="C11" s="1">
        <v>1.4999999999999999E-2</v>
      </c>
      <c r="D11" t="s">
        <v>39</v>
      </c>
      <c r="E11" s="2">
        <v>43560</v>
      </c>
      <c r="F11" s="2">
        <v>45536</v>
      </c>
      <c r="G11">
        <f t="shared" si="1"/>
        <v>1703</v>
      </c>
      <c r="H11">
        <f t="shared" si="2"/>
        <v>4.6657534246575345</v>
      </c>
      <c r="I11">
        <f t="shared" si="3"/>
        <v>9.33</v>
      </c>
      <c r="J11">
        <f t="shared" si="4"/>
        <v>0.75</v>
      </c>
      <c r="K11">
        <f t="shared" si="5"/>
        <v>60.5</v>
      </c>
      <c r="L11">
        <f t="shared" si="6"/>
        <v>5.0136986301369865E-3</v>
      </c>
      <c r="M11">
        <f t="shared" si="0"/>
        <v>98.95501369863014</v>
      </c>
      <c r="N11" s="5">
        <f t="shared" si="7"/>
        <v>1.7341578780867603E-2</v>
      </c>
      <c r="O11" s="5">
        <f>-LN((M11-(J11*EXP(-H2*O2)+J11*EXP(-O3*H3)+J11*EXP(-H10*O10)+J11*EXP(-O4*H4)+J11*EXP(-O9*H9)+J11*EXP(-O8*H8)+J11*EXP(-O7*H7)+J11*EXP(-O6*H6)+J11*EXP(-O5*H5))) /(100+J11))/H11</f>
        <v>1.8414622013877051E-2</v>
      </c>
    </row>
    <row r="12" spans="1:16">
      <c r="I12" s="1"/>
      <c r="N12" s="2"/>
      <c r="O12" s="2"/>
    </row>
    <row r="16" spans="1:16">
      <c r="N16" s="5"/>
    </row>
    <row r="17" spans="14:14">
      <c r="N17" s="5"/>
    </row>
    <row r="18" spans="14:14">
      <c r="N18" s="5"/>
    </row>
    <row r="19" spans="14:14">
      <c r="N19" s="5"/>
    </row>
    <row r="20" spans="14:14">
      <c r="N20" s="5"/>
    </row>
    <row r="21" spans="14:14">
      <c r="N21" s="5"/>
    </row>
    <row r="22" spans="14:14">
      <c r="N22" s="5"/>
    </row>
    <row r="23" spans="14:14">
      <c r="N23" s="5"/>
    </row>
    <row r="24" spans="14:14">
      <c r="N24" s="5"/>
    </row>
    <row r="25" spans="14:14">
      <c r="N25" s="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8F093-5B32-D442-9D45-EE6D1EC52475}">
  <dimension ref="A1:Q12"/>
  <sheetViews>
    <sheetView topLeftCell="C1" zoomScale="83" workbookViewId="0">
      <selection activeCell="P4" sqref="P4"/>
    </sheetView>
  </sheetViews>
  <sheetFormatPr baseColWidth="10" defaultRowHeight="16"/>
  <cols>
    <col min="4" max="4" width="15.33203125" bestFit="1" customWidth="1"/>
    <col min="6" max="6" width="13.83203125" bestFit="1" customWidth="1"/>
    <col min="7" max="7" width="13.83203125" customWidth="1"/>
    <col min="14" max="14" width="15" bestFit="1" customWidth="1"/>
  </cols>
  <sheetData>
    <row r="1" spans="1:17">
      <c r="A1" s="2">
        <v>43836</v>
      </c>
      <c r="B1" t="s">
        <v>61</v>
      </c>
      <c r="C1" t="s">
        <v>1</v>
      </c>
      <c r="D1" t="s">
        <v>2</v>
      </c>
      <c r="E1" t="s">
        <v>3</v>
      </c>
      <c r="F1" t="s">
        <v>4</v>
      </c>
      <c r="G1" t="s">
        <v>78</v>
      </c>
      <c r="H1" t="s">
        <v>68</v>
      </c>
      <c r="I1" t="s">
        <v>70</v>
      </c>
      <c r="J1" t="s">
        <v>76</v>
      </c>
      <c r="K1" s="6" t="s">
        <v>77</v>
      </c>
      <c r="L1" t="s">
        <v>74</v>
      </c>
      <c r="M1" t="s">
        <v>69</v>
      </c>
      <c r="N1" t="s">
        <v>83</v>
      </c>
      <c r="O1" t="s">
        <v>90</v>
      </c>
      <c r="P1" t="s">
        <v>85</v>
      </c>
    </row>
    <row r="2" spans="1:17">
      <c r="A2" t="s">
        <v>12</v>
      </c>
      <c r="B2">
        <v>99.86</v>
      </c>
      <c r="C2" s="1">
        <v>1.4999999999999999E-2</v>
      </c>
      <c r="D2" t="s">
        <v>27</v>
      </c>
      <c r="E2" s="2">
        <v>41926</v>
      </c>
      <c r="F2" s="2">
        <v>43891</v>
      </c>
      <c r="G2" s="7">
        <f>F2-$A$1</f>
        <v>55</v>
      </c>
      <c r="H2">
        <f t="shared" ref="H2:H11" si="0">ROUND(((F2-$A$1)/365)*2,3)</f>
        <v>0.30099999999999999</v>
      </c>
      <c r="I2">
        <f>100*C2/2</f>
        <v>0.75</v>
      </c>
      <c r="J2">
        <f>MOD(G2,(365*0.5))</f>
        <v>55</v>
      </c>
      <c r="K2">
        <f>((182-J2)/365)*C2</f>
        <v>5.2191780821917808E-3</v>
      </c>
      <c r="L2">
        <f>K2+B2</f>
        <v>99.865219178082185</v>
      </c>
      <c r="M2" s="5">
        <f>RATE(H2,I2,(-L2),100)*2</f>
        <v>2.4025419942574951E-2</v>
      </c>
      <c r="N2" s="8">
        <f>-LN(L2/(100+I2))/O2</f>
        <v>5.8537586208073207E-2</v>
      </c>
      <c r="O2" s="7">
        <f>G2/365</f>
        <v>0.15068493150684931</v>
      </c>
      <c r="P2">
        <f>(2*N5-1*N3)/(2-1)</f>
        <v>1.4116015229460346E-2</v>
      </c>
    </row>
    <row r="3" spans="1:17">
      <c r="A3" t="s">
        <v>12</v>
      </c>
      <c r="B3">
        <v>99.28</v>
      </c>
      <c r="C3" s="1">
        <v>7.4999999999999997E-3</v>
      </c>
      <c r="D3" t="s">
        <v>22</v>
      </c>
      <c r="E3" s="2">
        <v>42107</v>
      </c>
      <c r="F3" s="2">
        <v>44075</v>
      </c>
      <c r="G3" s="7">
        <f t="shared" ref="G3:G11" si="1">F3-$A$1</f>
        <v>239</v>
      </c>
      <c r="H3">
        <f t="shared" si="0"/>
        <v>1.31</v>
      </c>
      <c r="I3">
        <f t="shared" ref="I3:I11" si="2">100*C3/2</f>
        <v>0.375</v>
      </c>
      <c r="J3">
        <f t="shared" ref="J3:J11" si="3">MOD(G3,(365*0.5))</f>
        <v>56.5</v>
      </c>
      <c r="K3">
        <f t="shared" ref="K3:K11" si="4">((182-J3)/365)*C3</f>
        <v>2.5787671232876709E-3</v>
      </c>
      <c r="L3">
        <f t="shared" ref="L3:L11" si="5">K3+B3</f>
        <v>99.282578767123283</v>
      </c>
      <c r="M3" s="5">
        <f>RATE(H3,I3,(-L3),100)*2</f>
        <v>1.8570517130157772E-2</v>
      </c>
      <c r="N3" s="5">
        <f>-LN((L3-I3*EXP(-O2*N2))/(100+I3))/O3</f>
        <v>2.2440643649328702E-2</v>
      </c>
      <c r="O3" s="7">
        <f>G3/365</f>
        <v>0.65479452054794518</v>
      </c>
      <c r="P3">
        <f>(3*N7-1*N3)/(3-1)</f>
        <v>1.4871632503001291E-2</v>
      </c>
    </row>
    <row r="4" spans="1:17">
      <c r="A4" t="s">
        <v>9</v>
      </c>
      <c r="B4">
        <v>98.95</v>
      </c>
      <c r="C4" s="1">
        <v>7.4999999999999997E-3</v>
      </c>
      <c r="D4" t="s">
        <v>11</v>
      </c>
      <c r="E4" s="2">
        <v>42296</v>
      </c>
      <c r="F4" s="2">
        <v>44256</v>
      </c>
      <c r="G4" s="7">
        <f t="shared" si="1"/>
        <v>420</v>
      </c>
      <c r="H4">
        <f t="shared" si="0"/>
        <v>2.3010000000000002</v>
      </c>
      <c r="I4">
        <f t="shared" si="2"/>
        <v>0.375</v>
      </c>
      <c r="J4">
        <f t="shared" si="3"/>
        <v>55</v>
      </c>
      <c r="K4">
        <f t="shared" si="4"/>
        <v>2.6095890410958904E-3</v>
      </c>
      <c r="L4">
        <f t="shared" si="5"/>
        <v>98.952609589041103</v>
      </c>
      <c r="M4" s="5">
        <f>RATE(H4,I4,(-L4),100)*2</f>
        <v>1.6729700091617512E-2</v>
      </c>
      <c r="N4" s="5">
        <f>-LN((L4-(I4*EXP(-O3*N3)+I4*EXP(-O2*N2))) /(100+I4))/O4</f>
        <v>1.8937548007727598E-2</v>
      </c>
      <c r="O4" s="7">
        <f>G4/365</f>
        <v>1.1506849315068493</v>
      </c>
      <c r="P4">
        <f>(4*N9-1*N3)/(4-1)</f>
        <v>1.4455426343101379E-2</v>
      </c>
    </row>
    <row r="5" spans="1:17">
      <c r="A5" t="s">
        <v>9</v>
      </c>
      <c r="B5">
        <v>98.49</v>
      </c>
      <c r="C5" s="1">
        <v>7.4999999999999997E-3</v>
      </c>
      <c r="D5" t="s">
        <v>25</v>
      </c>
      <c r="E5" s="2">
        <v>42471</v>
      </c>
      <c r="F5" s="2">
        <v>44440</v>
      </c>
      <c r="G5" s="7">
        <f t="shared" si="1"/>
        <v>604</v>
      </c>
      <c r="H5">
        <f t="shared" si="0"/>
        <v>3.31</v>
      </c>
      <c r="I5">
        <f t="shared" si="2"/>
        <v>0.375</v>
      </c>
      <c r="J5">
        <f t="shared" si="3"/>
        <v>56.5</v>
      </c>
      <c r="K5">
        <f t="shared" si="4"/>
        <v>2.5787671232876709E-3</v>
      </c>
      <c r="L5">
        <f t="shared" si="5"/>
        <v>98.492578767123277</v>
      </c>
      <c r="M5" s="5">
        <f>RATE(H5,I5,(-L5),100)*2</f>
        <v>1.6773432142760277E-2</v>
      </c>
      <c r="N5" s="5">
        <f>-LN((L5-(I5*EXP(-O4*N4)+I5*EXP(-O3*N3)+I5*EXP(-O2*N2))) /(100+I5))/O5</f>
        <v>1.8278329439394524E-2</v>
      </c>
      <c r="O5" s="7">
        <f>G5/365</f>
        <v>1.6547945205479453</v>
      </c>
      <c r="P5">
        <f>(5*N11-1*N3)/(5-1)</f>
        <v>1.6470497865932729E-2</v>
      </c>
    </row>
    <row r="6" spans="1:17">
      <c r="A6" t="s">
        <v>24</v>
      </c>
      <c r="B6">
        <v>97.66</v>
      </c>
      <c r="C6" s="1">
        <v>5.0000000000000001E-3</v>
      </c>
      <c r="D6" t="s">
        <v>23</v>
      </c>
      <c r="E6" s="2">
        <v>42654</v>
      </c>
      <c r="F6" s="2">
        <v>44621</v>
      </c>
      <c r="G6" s="7">
        <f t="shared" si="1"/>
        <v>785</v>
      </c>
      <c r="H6">
        <f t="shared" si="0"/>
        <v>4.3010000000000002</v>
      </c>
      <c r="I6">
        <f t="shared" si="2"/>
        <v>0.25</v>
      </c>
      <c r="J6">
        <f t="shared" si="3"/>
        <v>55</v>
      </c>
      <c r="K6">
        <f t="shared" si="4"/>
        <v>1.7397260273972603E-3</v>
      </c>
      <c r="L6">
        <f t="shared" si="5"/>
        <v>97.661739726027392</v>
      </c>
      <c r="M6" s="5">
        <f>RATE(H6,I6,(-L6),100)*2</f>
        <v>1.6106208322222829E-2</v>
      </c>
      <c r="N6" s="5">
        <f>-LN((L6-(I6*EXP(-O5*N5)+I6*EXP(-O4*N4)+I6*EXP(-O3*N3)+I6*EXP(-O2*N2))) /(100+I6))/O6</f>
        <v>1.6857966339172862E-2</v>
      </c>
      <c r="O6" s="7">
        <f>G6/365</f>
        <v>2.1506849315068495</v>
      </c>
    </row>
    <row r="7" spans="1:17">
      <c r="A7" t="s">
        <v>24</v>
      </c>
      <c r="B7">
        <v>102.62</v>
      </c>
      <c r="C7" s="1">
        <v>2.75E-2</v>
      </c>
      <c r="D7" t="s">
        <v>28</v>
      </c>
      <c r="E7" s="2">
        <v>40757</v>
      </c>
      <c r="F7" s="2">
        <v>44713</v>
      </c>
      <c r="G7" s="7">
        <f t="shared" si="1"/>
        <v>877</v>
      </c>
      <c r="H7">
        <f t="shared" si="0"/>
        <v>4.8049999999999997</v>
      </c>
      <c r="I7">
        <f t="shared" si="2"/>
        <v>1.375</v>
      </c>
      <c r="J7">
        <f t="shared" si="3"/>
        <v>147</v>
      </c>
      <c r="K7">
        <f t="shared" si="4"/>
        <v>2.6369863013698627E-3</v>
      </c>
      <c r="L7">
        <f t="shared" si="5"/>
        <v>102.62263698630137</v>
      </c>
      <c r="M7" s="5">
        <f>RATE(H7,I7,(-L7),100)*2</f>
        <v>1.6323778473235E-2</v>
      </c>
      <c r="N7" s="5">
        <f>-LN((L7-(I7*EXP(-O5*N5)+I7*EXP(-O4*N4)+I7*EXP(-O3*N3)+I7*EXP(-O2*N2))) /(100+I7))/O7</f>
        <v>1.7394636218443761E-2</v>
      </c>
      <c r="O7" s="7">
        <f>G7/365</f>
        <v>2.4027397260273973</v>
      </c>
    </row>
    <row r="8" spans="1:17">
      <c r="A8" t="s">
        <v>46</v>
      </c>
      <c r="B8">
        <v>100.48</v>
      </c>
      <c r="C8" s="1">
        <v>1.7500000000000002E-2</v>
      </c>
      <c r="D8" t="s">
        <v>32</v>
      </c>
      <c r="E8" s="2">
        <v>43014</v>
      </c>
      <c r="F8" s="2">
        <v>44986</v>
      </c>
      <c r="G8" s="7">
        <f t="shared" si="1"/>
        <v>1150</v>
      </c>
      <c r="H8">
        <f t="shared" si="0"/>
        <v>6.3010000000000002</v>
      </c>
      <c r="I8">
        <f t="shared" si="2"/>
        <v>0.87500000000000011</v>
      </c>
      <c r="J8">
        <f t="shared" si="3"/>
        <v>55</v>
      </c>
      <c r="K8">
        <f t="shared" si="4"/>
        <v>6.0890410958904118E-3</v>
      </c>
      <c r="L8">
        <f t="shared" si="5"/>
        <v>100.48608904109589</v>
      </c>
      <c r="M8" s="5">
        <f>RATE(H8,I8,(-L8),100)*2</f>
        <v>1.591198054489016E-2</v>
      </c>
      <c r="N8" s="5">
        <f>-LN((L8-(I8*EXP(-O7*N7)+I8*EXP(-O6*N6)+I8*EXP(-O5*N5)+I8*EXP(-O4*N4)+I8*EXP(-O3*N3)+I8*EXP(-O2*N2))) /(100+I8))/O8</f>
        <v>1.7816577055217931E-2</v>
      </c>
      <c r="O8" s="7">
        <f>G8/365</f>
        <v>3.1506849315068495</v>
      </c>
    </row>
    <row r="9" spans="1:17">
      <c r="A9" t="s">
        <v>46</v>
      </c>
      <c r="B9">
        <v>99.65</v>
      </c>
      <c r="C9" s="1">
        <v>1.4999999999999999E-2</v>
      </c>
      <c r="D9" t="s">
        <v>60</v>
      </c>
      <c r="E9" s="2">
        <v>41120</v>
      </c>
      <c r="F9" s="2">
        <v>45078</v>
      </c>
      <c r="G9" s="7">
        <f t="shared" si="1"/>
        <v>1242</v>
      </c>
      <c r="H9">
        <f t="shared" si="0"/>
        <v>6.8049999999999997</v>
      </c>
      <c r="I9">
        <f t="shared" si="2"/>
        <v>0.75</v>
      </c>
      <c r="J9">
        <f t="shared" si="3"/>
        <v>147</v>
      </c>
      <c r="K9">
        <f t="shared" si="4"/>
        <v>1.4383561643835615E-3</v>
      </c>
      <c r="L9">
        <f t="shared" si="5"/>
        <v>99.651438356164391</v>
      </c>
      <c r="M9" s="5">
        <f>RATE(H9,I9,(-L9),100)*2</f>
        <v>1.6056772474149484E-2</v>
      </c>
      <c r="N9" s="5">
        <f>-LN((L9-(I9*EXP(-O2*N2)+I9*EXP(-O7*N7)+I9*EXP(-O6*N6)+I9*EXP(-O5*N5)+I9*EXP(-O4*N4)+I9*EXP(-O3*N3))) /(100+I9))/O9</f>
        <v>1.6451730669658209E-2</v>
      </c>
      <c r="O9" s="7">
        <f>G9/365</f>
        <v>3.4027397260273973</v>
      </c>
    </row>
    <row r="10" spans="1:17">
      <c r="A10" t="s">
        <v>53</v>
      </c>
      <c r="B10">
        <v>102.75</v>
      </c>
      <c r="C10" s="1">
        <v>2.2499999999999999E-2</v>
      </c>
      <c r="D10" t="s">
        <v>41</v>
      </c>
      <c r="E10" s="2">
        <v>43378</v>
      </c>
      <c r="F10" s="2">
        <v>45352</v>
      </c>
      <c r="G10" s="7">
        <f t="shared" si="1"/>
        <v>1516</v>
      </c>
      <c r="H10">
        <f t="shared" si="0"/>
        <v>8.3070000000000004</v>
      </c>
      <c r="I10">
        <f t="shared" si="2"/>
        <v>1.125</v>
      </c>
      <c r="J10">
        <f t="shared" si="3"/>
        <v>56</v>
      </c>
      <c r="K10">
        <f t="shared" si="4"/>
        <v>7.7671232876712331E-3</v>
      </c>
      <c r="L10">
        <f t="shared" si="5"/>
        <v>102.75776712328768</v>
      </c>
      <c r="M10" s="5">
        <f>RATE(H10,I10,(-L10),100)*2</f>
        <v>1.5616832145950513E-2</v>
      </c>
      <c r="N10" s="5">
        <f>-LN((L10-(I10*EXP(-O2*N2)+I10*EXP(-N9*O9)+I10*EXP(-O3*N3)+I10*EXP(-O8*N8)+I10*EXP(-O7*N7)+I10*EXP(-O6*N6)+I10*EXP(-O5*N5)+I10*EXP(-O4*N4))) /(100+I10))/O10</f>
        <v>1.7461379061724444E-2</v>
      </c>
      <c r="O10" s="7">
        <f>G10/365</f>
        <v>4.1534246575342468</v>
      </c>
    </row>
    <row r="11" spans="1:17">
      <c r="A11" t="s">
        <v>49</v>
      </c>
      <c r="B11">
        <v>99.29</v>
      </c>
      <c r="C11" s="1">
        <v>1.4999999999999999E-2</v>
      </c>
      <c r="D11" t="s">
        <v>39</v>
      </c>
      <c r="E11" s="2">
        <v>43560</v>
      </c>
      <c r="F11" s="2">
        <v>45536</v>
      </c>
      <c r="G11" s="7">
        <f t="shared" si="1"/>
        <v>1700</v>
      </c>
      <c r="H11">
        <f t="shared" si="0"/>
        <v>9.3149999999999995</v>
      </c>
      <c r="I11">
        <f t="shared" si="2"/>
        <v>0.75</v>
      </c>
      <c r="J11">
        <f t="shared" si="3"/>
        <v>57.5</v>
      </c>
      <c r="K11">
        <f t="shared" si="4"/>
        <v>5.1164383561643828E-3</v>
      </c>
      <c r="L11">
        <f t="shared" si="5"/>
        <v>99.295116438356175</v>
      </c>
      <c r="M11" s="5">
        <f>RATE(H11,I11,(-L11),100)*2</f>
        <v>1.6578881443654138E-2</v>
      </c>
      <c r="N11" s="5">
        <f>-LN((L11-(I11*EXP(-N2*O2)+I11*EXP(-O3*N3)+I11*EXP(-N10*O10)+I11*EXP(-O4*N4)+I11*EXP(-O9*N9)+I11*EXP(-O8*N8)+I11*EXP(-O7*N7)+I11*EXP(-O6*N6)+I11*EXP(-O5*N5))) /(100+I11))/O11</f>
        <v>1.7664527022611922E-2</v>
      </c>
      <c r="O11" s="7">
        <f>G11/365</f>
        <v>4.6575342465753424</v>
      </c>
    </row>
    <row r="12" spans="1:17">
      <c r="M12" s="1"/>
      <c r="P12" s="2"/>
      <c r="Q12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928A-4AD7-9248-A76E-3611F5D37AC5}">
  <dimension ref="A1:Q12"/>
  <sheetViews>
    <sheetView topLeftCell="E1" workbookViewId="0">
      <selection activeCell="Q8" sqref="Q8"/>
    </sheetView>
  </sheetViews>
  <sheetFormatPr baseColWidth="10" defaultRowHeight="16"/>
  <cols>
    <col min="4" max="4" width="15.33203125" bestFit="1" customWidth="1"/>
    <col min="6" max="6" width="13.83203125" bestFit="1" customWidth="1"/>
    <col min="11" max="12" width="15.1640625" customWidth="1"/>
  </cols>
  <sheetData>
    <row r="1" spans="1:17">
      <c r="A1" s="2">
        <v>43837</v>
      </c>
      <c r="B1" t="s">
        <v>61</v>
      </c>
      <c r="C1" t="s">
        <v>1</v>
      </c>
      <c r="D1" t="s">
        <v>2</v>
      </c>
      <c r="E1" t="s">
        <v>3</v>
      </c>
      <c r="F1" t="s">
        <v>4</v>
      </c>
      <c r="G1" t="s">
        <v>79</v>
      </c>
      <c r="H1" t="s">
        <v>68</v>
      </c>
      <c r="I1" t="s">
        <v>71</v>
      </c>
      <c r="J1" t="s">
        <v>76</v>
      </c>
      <c r="K1" t="s">
        <v>72</v>
      </c>
      <c r="L1" t="s">
        <v>74</v>
      </c>
      <c r="M1" t="s">
        <v>69</v>
      </c>
      <c r="N1" t="s">
        <v>84</v>
      </c>
      <c r="O1" t="s">
        <v>90</v>
      </c>
      <c r="P1" t="s">
        <v>91</v>
      </c>
    </row>
    <row r="2" spans="1:17">
      <c r="A2" t="s">
        <v>12</v>
      </c>
      <c r="B2">
        <v>99.86</v>
      </c>
      <c r="C2" s="1">
        <v>1.4999999999999999E-2</v>
      </c>
      <c r="D2" t="s">
        <v>27</v>
      </c>
      <c r="E2" s="2">
        <v>41926</v>
      </c>
      <c r="F2" s="2">
        <v>43891</v>
      </c>
      <c r="G2">
        <f>F2-$A$1</f>
        <v>54</v>
      </c>
      <c r="H2">
        <f>G2*2/365</f>
        <v>0.29589041095890412</v>
      </c>
      <c r="I2">
        <f>100*C2*0.5</f>
        <v>0.75</v>
      </c>
      <c r="J2">
        <f>MOD(G2, 182)</f>
        <v>54</v>
      </c>
      <c r="K2">
        <f>((182-J2)/365)*C2</f>
        <v>5.2602739726027399E-3</v>
      </c>
      <c r="L2">
        <f>K2+B2</f>
        <v>99.865260273972609</v>
      </c>
      <c r="M2" s="5">
        <f>RATE(H2,I2,(-L2),100)*2</f>
        <v>2.4178647118806088E-2</v>
      </c>
      <c r="N2" s="5">
        <f>-LN(L2/(100+I2))/O2</f>
        <v>5.8148780613645923E-2</v>
      </c>
      <c r="O2" s="7">
        <f>G2/356</f>
        <v>0.15168539325842698</v>
      </c>
      <c r="P2">
        <f>(2*N5-1*N3)/(2-1)</f>
        <v>1.3947055156765774E-2</v>
      </c>
    </row>
    <row r="3" spans="1:17">
      <c r="A3" t="s">
        <v>12</v>
      </c>
      <c r="B3">
        <v>99.27</v>
      </c>
      <c r="C3" s="1">
        <v>7.4999999999999997E-3</v>
      </c>
      <c r="D3" t="s">
        <v>22</v>
      </c>
      <c r="E3" s="2">
        <v>42107</v>
      </c>
      <c r="F3" s="2">
        <v>44075</v>
      </c>
      <c r="G3">
        <f t="shared" ref="G3:G11" si="0">F3-$A$1</f>
        <v>238</v>
      </c>
      <c r="H3">
        <f t="shared" ref="H3:H11" si="1">G3*2/365</f>
        <v>1.3041095890410959</v>
      </c>
      <c r="I3">
        <f t="shared" ref="I3:I11" si="2">100*C3*0.5</f>
        <v>0.375</v>
      </c>
      <c r="J3">
        <f t="shared" ref="J3:J11" si="3">MOD(G3, 182)</f>
        <v>56</v>
      </c>
      <c r="K3">
        <f t="shared" ref="K3:K11" si="4">((182-J3)/365)*C3</f>
        <v>2.5890410958904109E-3</v>
      </c>
      <c r="L3">
        <f t="shared" ref="L3:L11" si="5">K3+B3</f>
        <v>99.272589041095884</v>
      </c>
      <c r="M3" s="5">
        <f t="shared" ref="M3:M11" si="6">RATE(H3,I3,(-L3),100)*2</f>
        <v>1.8776385960694381E-2</v>
      </c>
      <c r="N3" s="5">
        <f>-LN((L3-I3*EXP(-O2*N2))/(100+I3))/O3</f>
        <v>2.2130357667877631E-2</v>
      </c>
      <c r="O3" s="7">
        <f t="shared" ref="O3:O11" si="7">G3/356</f>
        <v>0.6685393258426966</v>
      </c>
      <c r="P3">
        <f>(3*N7-1*N3)/(3-1)</f>
        <v>1.459677771410979E-2</v>
      </c>
    </row>
    <row r="4" spans="1:17">
      <c r="A4" t="s">
        <v>9</v>
      </c>
      <c r="B4">
        <v>98.94</v>
      </c>
      <c r="C4" s="1">
        <v>7.4999999999999997E-3</v>
      </c>
      <c r="D4" t="s">
        <v>11</v>
      </c>
      <c r="E4" s="2">
        <v>42296</v>
      </c>
      <c r="F4" s="2">
        <v>44256</v>
      </c>
      <c r="G4">
        <f t="shared" si="0"/>
        <v>419</v>
      </c>
      <c r="H4">
        <f t="shared" si="1"/>
        <v>2.2958904109589042</v>
      </c>
      <c r="I4">
        <f t="shared" si="2"/>
        <v>0.375</v>
      </c>
      <c r="J4">
        <f t="shared" si="3"/>
        <v>55</v>
      </c>
      <c r="K4">
        <f t="shared" si="4"/>
        <v>2.6095890410958904E-3</v>
      </c>
      <c r="L4">
        <f t="shared" si="5"/>
        <v>98.942609589041098</v>
      </c>
      <c r="M4" s="5">
        <f t="shared" si="6"/>
        <v>1.6839194083273307E-2</v>
      </c>
      <c r="N4" s="5">
        <f>-LN((L4-(I4*EXP(-O3*N3)+I4*EXP(-O2*N2))) /(100+I4))/O4</f>
        <v>1.8600871720250583E-2</v>
      </c>
      <c r="O4" s="7">
        <f t="shared" si="7"/>
        <v>1.1769662921348314</v>
      </c>
      <c r="P4">
        <f>(4*N9-1*N3)/(4-1)</f>
        <v>1.4193512792311421E-2</v>
      </c>
    </row>
    <row r="5" spans="1:17">
      <c r="A5" t="s">
        <v>9</v>
      </c>
      <c r="B5">
        <v>98.46</v>
      </c>
      <c r="C5" s="1">
        <v>7.4999999999999997E-3</v>
      </c>
      <c r="D5" t="s">
        <v>25</v>
      </c>
      <c r="E5" s="2">
        <v>42471</v>
      </c>
      <c r="F5" s="2">
        <v>44440</v>
      </c>
      <c r="G5">
        <f t="shared" si="0"/>
        <v>603</v>
      </c>
      <c r="H5">
        <f t="shared" si="1"/>
        <v>3.3041095890410959</v>
      </c>
      <c r="I5">
        <f t="shared" si="2"/>
        <v>0.375</v>
      </c>
      <c r="J5">
        <f t="shared" si="3"/>
        <v>57</v>
      </c>
      <c r="K5">
        <f t="shared" si="4"/>
        <v>2.5684931506849314E-3</v>
      </c>
      <c r="L5">
        <f t="shared" si="5"/>
        <v>98.462568493150684</v>
      </c>
      <c r="M5" s="5">
        <f t="shared" si="6"/>
        <v>1.6976729151118312E-2</v>
      </c>
      <c r="N5" s="5">
        <f>-LN((L5-(I5*EXP(-O4*N4)+I5*EXP(-O3*N3)+I5*EXP(-O2*N2))) /(100+I5))/O5</f>
        <v>1.8038706412321703E-2</v>
      </c>
      <c r="O5" s="7">
        <f t="shared" si="7"/>
        <v>1.6938202247191012</v>
      </c>
      <c r="P5">
        <f>(5*N11-1*N3)/(5-1)</f>
        <v>1.6518405769282752E-2</v>
      </c>
    </row>
    <row r="6" spans="1:17">
      <c r="A6" t="s">
        <v>24</v>
      </c>
      <c r="B6">
        <v>97.65</v>
      </c>
      <c r="C6" s="1">
        <v>5.0000000000000001E-3</v>
      </c>
      <c r="D6" t="s">
        <v>23</v>
      </c>
      <c r="E6" s="2">
        <v>42654</v>
      </c>
      <c r="F6" s="2">
        <v>44621</v>
      </c>
      <c r="G6">
        <f t="shared" si="0"/>
        <v>784</v>
      </c>
      <c r="H6">
        <f t="shared" si="1"/>
        <v>4.2958904109589042</v>
      </c>
      <c r="I6">
        <f t="shared" si="2"/>
        <v>0.25</v>
      </c>
      <c r="J6">
        <f t="shared" si="3"/>
        <v>56</v>
      </c>
      <c r="K6">
        <f t="shared" si="4"/>
        <v>1.7260273972602741E-3</v>
      </c>
      <c r="L6">
        <f t="shared" si="5"/>
        <v>97.65172602739726</v>
      </c>
      <c r="M6" s="5">
        <f t="shared" si="6"/>
        <v>1.6167708082526808E-2</v>
      </c>
      <c r="N6" s="5">
        <f>-LN((L6-(I6*EXP(-O5*N5)+I6*EXP(-O4*N4)+I6*EXP(-O3*N3)+I6*EXP(-O2*N2))) /(100+I6))/O6</f>
        <v>1.6509713645235138E-2</v>
      </c>
      <c r="O6" s="7">
        <f t="shared" si="7"/>
        <v>2.202247191011236</v>
      </c>
    </row>
    <row r="7" spans="1:17">
      <c r="A7" t="s">
        <v>24</v>
      </c>
      <c r="B7">
        <v>102.59</v>
      </c>
      <c r="C7" s="1">
        <v>2.75E-2</v>
      </c>
      <c r="D7" t="s">
        <v>28</v>
      </c>
      <c r="E7" s="2">
        <v>40757</v>
      </c>
      <c r="F7" s="2">
        <v>44713</v>
      </c>
      <c r="G7">
        <f t="shared" si="0"/>
        <v>876</v>
      </c>
      <c r="H7">
        <f t="shared" si="1"/>
        <v>4.8</v>
      </c>
      <c r="I7">
        <f t="shared" si="2"/>
        <v>1.375</v>
      </c>
      <c r="J7">
        <f t="shared" si="3"/>
        <v>148</v>
      </c>
      <c r="K7">
        <f t="shared" si="4"/>
        <v>2.5616438356164386E-3</v>
      </c>
      <c r="L7">
        <f t="shared" si="5"/>
        <v>102.59256164383562</v>
      </c>
      <c r="M7" s="5">
        <f t="shared" si="6"/>
        <v>1.6438836975889687E-2</v>
      </c>
      <c r="N7" s="5">
        <f>-LN((L7-(I7*EXP(-O5*N5)+I7*EXP(-O4*N4)+I7*EXP(-O3*N3)+I7*EXP(-O2*N2))) /(100+I7))/O7</f>
        <v>1.7107971032032404E-2</v>
      </c>
      <c r="O7" s="7">
        <f t="shared" si="7"/>
        <v>2.4606741573033708</v>
      </c>
    </row>
    <row r="8" spans="1:17">
      <c r="A8" t="s">
        <v>46</v>
      </c>
      <c r="B8">
        <v>100.45</v>
      </c>
      <c r="C8" s="1">
        <v>1.7500000000000002E-2</v>
      </c>
      <c r="D8" t="s">
        <v>32</v>
      </c>
      <c r="E8" s="2">
        <v>43014</v>
      </c>
      <c r="F8" s="2">
        <v>44986</v>
      </c>
      <c r="G8">
        <f t="shared" si="0"/>
        <v>1149</v>
      </c>
      <c r="H8">
        <f t="shared" si="1"/>
        <v>6.2958904109589042</v>
      </c>
      <c r="I8">
        <f t="shared" si="2"/>
        <v>0.87500000000000011</v>
      </c>
      <c r="J8">
        <f t="shared" si="3"/>
        <v>57</v>
      </c>
      <c r="K8">
        <f t="shared" si="4"/>
        <v>5.9931506849315074E-3</v>
      </c>
      <c r="L8">
        <f t="shared" si="5"/>
        <v>100.45599315068493</v>
      </c>
      <c r="M8" s="5">
        <f t="shared" si="6"/>
        <v>1.6008863120943583E-2</v>
      </c>
      <c r="N8" s="5">
        <f>-LN((L8-(I8*EXP(-O7*N7)+I8*EXP(-O6*N6)+I8*EXP(-O5*N5)+I8*EXP(-O4*N4)+I8*EXP(-O3*N3)+I8*EXP(-O2*N2))) /(100+I8))/O8</f>
        <v>1.7487662333421274E-2</v>
      </c>
      <c r="O8" s="7">
        <f t="shared" si="7"/>
        <v>3.2275280898876404</v>
      </c>
    </row>
    <row r="9" spans="1:17">
      <c r="A9" t="s">
        <v>46</v>
      </c>
      <c r="B9">
        <v>99.61</v>
      </c>
      <c r="C9" s="1">
        <v>1.4999999999999999E-2</v>
      </c>
      <c r="D9" t="s">
        <v>60</v>
      </c>
      <c r="E9" s="2">
        <v>41120</v>
      </c>
      <c r="F9" s="2">
        <v>45078</v>
      </c>
      <c r="G9">
        <f t="shared" si="0"/>
        <v>1241</v>
      </c>
      <c r="H9">
        <f t="shared" si="1"/>
        <v>6.8</v>
      </c>
      <c r="I9">
        <f t="shared" si="2"/>
        <v>0.75</v>
      </c>
      <c r="J9">
        <f t="shared" si="3"/>
        <v>149</v>
      </c>
      <c r="K9">
        <f t="shared" si="4"/>
        <v>1.3561643835616438E-3</v>
      </c>
      <c r="L9">
        <f t="shared" si="5"/>
        <v>99.611356164383565</v>
      </c>
      <c r="M9" s="5">
        <f t="shared" si="6"/>
        <v>1.6179414675986211E-2</v>
      </c>
      <c r="N9" s="5">
        <f>-LN((L9-(I9*EXP(-O2*N2)+I9*EXP(-O7*N7)+I9*EXP(-O6*N6)+I9*EXP(-O5*N5)+I9*EXP(-O4*N4)+I9*EXP(-O3*N3))) /(100+I9))/O9</f>
        <v>1.6177724011202974E-2</v>
      </c>
      <c r="O9" s="7">
        <f t="shared" si="7"/>
        <v>3.4859550561797752</v>
      </c>
    </row>
    <row r="10" spans="1:17">
      <c r="A10" t="s">
        <v>53</v>
      </c>
      <c r="B10">
        <v>102.58</v>
      </c>
      <c r="C10" s="1">
        <v>2.2499999999999999E-2</v>
      </c>
      <c r="D10" t="s">
        <v>41</v>
      </c>
      <c r="E10" s="2">
        <v>43378</v>
      </c>
      <c r="F10" s="2">
        <v>45352</v>
      </c>
      <c r="G10">
        <f t="shared" si="0"/>
        <v>1515</v>
      </c>
      <c r="H10">
        <f t="shared" si="1"/>
        <v>8.3013698630136989</v>
      </c>
      <c r="I10">
        <f t="shared" si="2"/>
        <v>1.125</v>
      </c>
      <c r="J10">
        <f t="shared" si="3"/>
        <v>59</v>
      </c>
      <c r="K10">
        <f t="shared" si="4"/>
        <v>7.5821917808219178E-3</v>
      </c>
      <c r="L10">
        <f t="shared" si="5"/>
        <v>102.58758219178083</v>
      </c>
      <c r="M10" s="5">
        <f t="shared" si="6"/>
        <v>1.6031237624038741E-2</v>
      </c>
      <c r="N10" s="5">
        <f>-LN((L10-(I10*EXP(-O2*N2)+I10*EXP(-N9*O9)+I10*EXP(-O3*N3)+I10*EXP(-O8*N8)+I10*EXP(-O7*N7)+I10*EXP(-O6*N6)+I10*EXP(-O5*N5)+I10*EXP(-O4*N4)))/(100+I10))/O10</f>
        <v>1.7463241959926615E-2</v>
      </c>
      <c r="O10" s="7">
        <f t="shared" si="7"/>
        <v>4.2556179775280896</v>
      </c>
    </row>
    <row r="11" spans="1:17">
      <c r="A11" t="s">
        <v>49</v>
      </c>
      <c r="B11">
        <v>99.11</v>
      </c>
      <c r="C11" s="1">
        <v>1.4999999999999999E-2</v>
      </c>
      <c r="D11" t="s">
        <v>39</v>
      </c>
      <c r="E11" s="2">
        <v>43560</v>
      </c>
      <c r="F11" s="2">
        <v>45536</v>
      </c>
      <c r="G11">
        <f t="shared" si="0"/>
        <v>1699</v>
      </c>
      <c r="H11">
        <f t="shared" si="1"/>
        <v>9.3095890410958901</v>
      </c>
      <c r="I11">
        <f t="shared" si="2"/>
        <v>0.75</v>
      </c>
      <c r="J11">
        <f t="shared" si="3"/>
        <v>61</v>
      </c>
      <c r="K11">
        <f t="shared" si="4"/>
        <v>4.9726027397260274E-3</v>
      </c>
      <c r="L11">
        <f t="shared" si="5"/>
        <v>99.114972602739726</v>
      </c>
      <c r="M11" s="5">
        <f t="shared" si="6"/>
        <v>1.6985536176554055E-2</v>
      </c>
      <c r="N11" s="5">
        <f>-LN((L11-(I11*EXP(-N2*O2)+I11*EXP(-O3*N3)+I11*EXP(-N10*O10)+I11*EXP(-O4*N4)+I11*EXP(-O9*N9)+I11*EXP(-O8*N8)+I11*EXP(-O7*N7)+I11*EXP(-O6*N6)+I11*EXP(-O5*N5))) /(100+I11))/O11</f>
        <v>1.7640796149001728E-2</v>
      </c>
      <c r="O11" s="7">
        <f t="shared" si="7"/>
        <v>4.7724719101123592</v>
      </c>
    </row>
    <row r="12" spans="1:17">
      <c r="M12" s="1"/>
      <c r="P12" s="2"/>
      <c r="Q12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2B7B9-0121-8E45-B28E-B8F63C98B809}">
  <dimension ref="A1:P12"/>
  <sheetViews>
    <sheetView topLeftCell="E1" workbookViewId="0">
      <selection activeCell="J17" sqref="J17"/>
    </sheetView>
  </sheetViews>
  <sheetFormatPr baseColWidth="10" defaultRowHeight="16"/>
  <cols>
    <col min="4" max="4" width="15.33203125" bestFit="1" customWidth="1"/>
    <col min="6" max="6" width="13.83203125" bestFit="1" customWidth="1"/>
  </cols>
  <sheetData>
    <row r="1" spans="1:16">
      <c r="A1" s="2">
        <v>43838</v>
      </c>
      <c r="B1" t="s">
        <v>61</v>
      </c>
      <c r="C1" t="s">
        <v>1</v>
      </c>
      <c r="D1" t="s">
        <v>2</v>
      </c>
      <c r="E1" t="s">
        <v>3</v>
      </c>
      <c r="F1" t="s">
        <v>4</v>
      </c>
      <c r="G1" t="s">
        <v>78</v>
      </c>
      <c r="H1" t="s">
        <v>68</v>
      </c>
      <c r="I1" t="s">
        <v>71</v>
      </c>
      <c r="J1" t="s">
        <v>76</v>
      </c>
      <c r="K1" t="s">
        <v>80</v>
      </c>
      <c r="L1" t="s">
        <v>74</v>
      </c>
      <c r="M1" t="s">
        <v>69</v>
      </c>
      <c r="N1" t="s">
        <v>84</v>
      </c>
      <c r="O1" t="s">
        <v>90</v>
      </c>
      <c r="P1" t="s">
        <v>91</v>
      </c>
    </row>
    <row r="2" spans="1:16">
      <c r="A2" t="s">
        <v>12</v>
      </c>
      <c r="B2">
        <v>99.86</v>
      </c>
      <c r="C2" s="1">
        <v>1.4999999999999999E-2</v>
      </c>
      <c r="D2" t="s">
        <v>27</v>
      </c>
      <c r="E2" s="2">
        <v>41926</v>
      </c>
      <c r="F2" s="2">
        <v>43891</v>
      </c>
      <c r="G2">
        <f>F2-$A$1</f>
        <v>53</v>
      </c>
      <c r="H2">
        <f>(G2/365)*2</f>
        <v>0.29041095890410956</v>
      </c>
      <c r="I2">
        <f>0.5*C2*100</f>
        <v>0.75</v>
      </c>
      <c r="J2">
        <f>MOD(G2, 182)</f>
        <v>53</v>
      </c>
      <c r="K2">
        <f>((182-J2)/365)*C2</f>
        <v>5.3013698630136981E-3</v>
      </c>
      <c r="L2">
        <f>K2+B2</f>
        <v>99.865301369863019</v>
      </c>
      <c r="M2" s="5">
        <f>RATE(H2,I2,(-L2),100)*2</f>
        <v>2.4349178083136198E-2</v>
      </c>
      <c r="N2" s="9">
        <f>-LN(L2/(100+I2))/O2</f>
        <v>6.0740883710932926E-2</v>
      </c>
      <c r="O2">
        <f>G2/365</f>
        <v>0.14520547945205478</v>
      </c>
      <c r="P2">
        <f>(2*N5-1*N3)/(2-1)</f>
        <v>1.4420666325079913E-2</v>
      </c>
    </row>
    <row r="3" spans="1:16">
      <c r="A3" t="s">
        <v>12</v>
      </c>
      <c r="B3">
        <v>99.28</v>
      </c>
      <c r="C3" s="1">
        <v>7.4999999999999997E-3</v>
      </c>
      <c r="D3" t="s">
        <v>22</v>
      </c>
      <c r="E3" s="2">
        <v>42107</v>
      </c>
      <c r="F3" s="2">
        <v>44075</v>
      </c>
      <c r="G3">
        <f t="shared" ref="G3:G11" si="0">F3-$A$1</f>
        <v>237</v>
      </c>
      <c r="H3">
        <f t="shared" ref="H3:H11" si="1">(G3/365)*2</f>
        <v>1.2986301369863014</v>
      </c>
      <c r="I3">
        <f t="shared" ref="I3:I11" si="2">0.5*C3*100</f>
        <v>0.375</v>
      </c>
      <c r="J3">
        <f t="shared" ref="J3:J11" si="3">MOD(G3, 182)</f>
        <v>55</v>
      </c>
      <c r="K3">
        <f t="shared" ref="K3:K11" si="4">((182-J3)/365)*C3</f>
        <v>2.6095890410958904E-3</v>
      </c>
      <c r="L3">
        <f t="shared" ref="L3:L11" si="5">K3+B3</f>
        <v>99.282609589041101</v>
      </c>
      <c r="M3" s="5">
        <f t="shared" ref="M3:M11" si="6">RATE(H3,I3,(-L3),100)*2</f>
        <v>1.8666990298484419E-2</v>
      </c>
      <c r="N3" s="9">
        <f>-LN((L3-I3*EXP(-O2*N2))/(100+I3))/O3</f>
        <v>2.2629541022645167E-2</v>
      </c>
      <c r="O3">
        <f t="shared" ref="O3:O11" si="7">G3/365</f>
        <v>0.64931506849315068</v>
      </c>
      <c r="P3">
        <f>(3*N7-1*N3)/(3-1)</f>
        <v>1.5089034584193129E-2</v>
      </c>
    </row>
    <row r="4" spans="1:16">
      <c r="A4" t="s">
        <v>9</v>
      </c>
      <c r="B4">
        <v>98.92</v>
      </c>
      <c r="C4" s="1">
        <v>7.4999999999999997E-3</v>
      </c>
      <c r="D4" t="s">
        <v>11</v>
      </c>
      <c r="E4" s="2">
        <v>42296</v>
      </c>
      <c r="F4" s="2">
        <v>44256</v>
      </c>
      <c r="G4">
        <f t="shared" si="0"/>
        <v>418</v>
      </c>
      <c r="H4">
        <f t="shared" si="1"/>
        <v>2.2904109589041095</v>
      </c>
      <c r="I4">
        <f t="shared" si="2"/>
        <v>0.375</v>
      </c>
      <c r="J4">
        <f t="shared" si="3"/>
        <v>54</v>
      </c>
      <c r="K4">
        <f t="shared" si="4"/>
        <v>2.6301369863013699E-3</v>
      </c>
      <c r="L4">
        <f t="shared" si="5"/>
        <v>98.922630136986299</v>
      </c>
      <c r="M4" s="5">
        <f t="shared" si="6"/>
        <v>1.7039762793153636E-2</v>
      </c>
      <c r="N4" s="9">
        <f>-LN((L4-(I4*EXP(-O3*N3)+I4*EXP(-O2*N2))) /(100+I4))/O4</f>
        <v>1.9294752591461295E-2</v>
      </c>
      <c r="O4">
        <f t="shared" si="7"/>
        <v>1.1452054794520548</v>
      </c>
      <c r="P4">
        <f>(4*N9-1*N3)/(4-1)</f>
        <v>1.4547977345932486E-2</v>
      </c>
    </row>
    <row r="5" spans="1:16">
      <c r="A5" t="s">
        <v>9</v>
      </c>
      <c r="B5">
        <v>98.46</v>
      </c>
      <c r="C5" s="1">
        <v>7.4999999999999997E-3</v>
      </c>
      <c r="D5" t="s">
        <v>25</v>
      </c>
      <c r="E5" s="2">
        <v>42471</v>
      </c>
      <c r="F5" s="2">
        <v>44440</v>
      </c>
      <c r="G5">
        <f t="shared" si="0"/>
        <v>602</v>
      </c>
      <c r="H5">
        <f t="shared" si="1"/>
        <v>3.2986301369863016</v>
      </c>
      <c r="I5">
        <f t="shared" si="2"/>
        <v>0.375</v>
      </c>
      <c r="J5">
        <f t="shared" si="3"/>
        <v>56</v>
      </c>
      <c r="K5">
        <f t="shared" si="4"/>
        <v>2.5890410958904109E-3</v>
      </c>
      <c r="L5">
        <f t="shared" si="5"/>
        <v>98.462589041095882</v>
      </c>
      <c r="M5" s="5">
        <f t="shared" si="6"/>
        <v>1.6992282373377451E-2</v>
      </c>
      <c r="N5" s="9">
        <f>-LN((L5-(I5*EXP(-O4*N4)+I5*EXP(-O3*N3)+I5*EXP(-O2*N2))) /(100+I5))/O5</f>
        <v>1.852510367386254E-2</v>
      </c>
      <c r="O5">
        <f t="shared" si="7"/>
        <v>1.6493150684931508</v>
      </c>
      <c r="P5">
        <f>(5*N11-1*N3)/(5-1)</f>
        <v>1.6559937223422628E-2</v>
      </c>
    </row>
    <row r="6" spans="1:16">
      <c r="A6" t="s">
        <v>24</v>
      </c>
      <c r="B6">
        <v>97.64</v>
      </c>
      <c r="C6" s="1">
        <v>5.0000000000000001E-3</v>
      </c>
      <c r="D6" t="s">
        <v>23</v>
      </c>
      <c r="E6" s="2">
        <v>42654</v>
      </c>
      <c r="F6" s="2">
        <v>44621</v>
      </c>
      <c r="G6">
        <f t="shared" si="0"/>
        <v>783</v>
      </c>
      <c r="H6">
        <f t="shared" si="1"/>
        <v>4.2904109589041095</v>
      </c>
      <c r="I6">
        <f t="shared" si="2"/>
        <v>0.25</v>
      </c>
      <c r="J6">
        <f t="shared" si="3"/>
        <v>55</v>
      </c>
      <c r="K6">
        <f t="shared" si="4"/>
        <v>1.7397260273972603E-3</v>
      </c>
      <c r="L6">
        <f t="shared" si="5"/>
        <v>97.641739726027396</v>
      </c>
      <c r="M6" s="5">
        <f t="shared" si="6"/>
        <v>1.6230193658872242E-2</v>
      </c>
      <c r="N6" s="9">
        <f>-LN((L6-(I6*EXP(-O5*N5)+I6*EXP(-O4*N4)+I6*EXP(-O3*N3)+I6*EXP(-O2*N2))) /(100+I6))/O6</f>
        <v>1.6996750931839819E-2</v>
      </c>
      <c r="O6">
        <f t="shared" si="7"/>
        <v>2.1452054794520548</v>
      </c>
    </row>
    <row r="7" spans="1:16">
      <c r="A7" t="s">
        <v>24</v>
      </c>
      <c r="B7">
        <v>102.58</v>
      </c>
      <c r="C7" s="1">
        <v>2.75E-2</v>
      </c>
      <c r="D7" t="s">
        <v>28</v>
      </c>
      <c r="E7" s="2">
        <v>40757</v>
      </c>
      <c r="F7" s="2">
        <v>44713</v>
      </c>
      <c r="G7">
        <f t="shared" si="0"/>
        <v>875</v>
      </c>
      <c r="H7">
        <f t="shared" si="1"/>
        <v>4.7945205479452051</v>
      </c>
      <c r="I7">
        <f t="shared" si="2"/>
        <v>1.375</v>
      </c>
      <c r="J7">
        <f t="shared" si="3"/>
        <v>147</v>
      </c>
      <c r="K7">
        <f t="shared" si="4"/>
        <v>2.6369863013698627E-3</v>
      </c>
      <c r="L7">
        <f t="shared" si="5"/>
        <v>102.58263698630137</v>
      </c>
      <c r="M7" s="5">
        <f t="shared" si="6"/>
        <v>1.6468367726751261E-2</v>
      </c>
      <c r="N7" s="9">
        <f>-LN((L7-(I7*EXP(-O5*N5)+I7*EXP(-O4*N4)+I7*EXP(-O3*N3)+I7*EXP(-O2*N2))) /(100+I7))/O7</f>
        <v>1.7602536730343808E-2</v>
      </c>
      <c r="O7">
        <f t="shared" si="7"/>
        <v>2.3972602739726026</v>
      </c>
    </row>
    <row r="8" spans="1:16">
      <c r="A8" t="s">
        <v>46</v>
      </c>
      <c r="B8">
        <v>100.44</v>
      </c>
      <c r="C8" s="1">
        <v>1.7500000000000002E-2</v>
      </c>
      <c r="D8" t="s">
        <v>32</v>
      </c>
      <c r="E8" s="2">
        <v>43014</v>
      </c>
      <c r="F8" s="2">
        <v>44986</v>
      </c>
      <c r="G8">
        <f t="shared" si="0"/>
        <v>1148</v>
      </c>
      <c r="H8">
        <f t="shared" si="1"/>
        <v>6.2904109589041095</v>
      </c>
      <c r="I8">
        <f t="shared" si="2"/>
        <v>0.87500000000000011</v>
      </c>
      <c r="J8">
        <f t="shared" si="3"/>
        <v>56</v>
      </c>
      <c r="K8">
        <f t="shared" si="4"/>
        <v>6.04109589041096E-3</v>
      </c>
      <c r="L8">
        <f t="shared" si="5"/>
        <v>100.44604109589041</v>
      </c>
      <c r="M8" s="5">
        <f t="shared" si="6"/>
        <v>1.6040086428692524E-2</v>
      </c>
      <c r="N8" s="9">
        <f>-LN((L8-(I8*EXP(-O7*N7)+I8*EXP(-O6*N6)+I8*EXP(-O5*N5)+I8*EXP(-O4*N4)+I8*EXP(-O3*N3)+I8*EXP(-O2*N2))) /(100+I8))/O8</f>
        <v>1.7977715468513206E-2</v>
      </c>
      <c r="O8">
        <f t="shared" si="7"/>
        <v>3.1452054794520548</v>
      </c>
    </row>
    <row r="9" spans="1:16">
      <c r="A9" t="s">
        <v>46</v>
      </c>
      <c r="B9">
        <v>99.62</v>
      </c>
      <c r="C9" s="1">
        <v>1.4999999999999999E-2</v>
      </c>
      <c r="D9" t="s">
        <v>60</v>
      </c>
      <c r="E9" s="2">
        <v>41120</v>
      </c>
      <c r="F9" s="2">
        <v>45078</v>
      </c>
      <c r="G9">
        <f t="shared" si="0"/>
        <v>1240</v>
      </c>
      <c r="H9">
        <f t="shared" si="1"/>
        <v>6.7945205479452051</v>
      </c>
      <c r="I9">
        <f t="shared" si="2"/>
        <v>0.75</v>
      </c>
      <c r="J9">
        <f t="shared" si="3"/>
        <v>148</v>
      </c>
      <c r="K9">
        <f t="shared" si="4"/>
        <v>1.3972602739726028E-3</v>
      </c>
      <c r="L9">
        <f t="shared" si="5"/>
        <v>99.62139726027398</v>
      </c>
      <c r="M9" s="5">
        <f t="shared" si="6"/>
        <v>1.6149779094288965E-2</v>
      </c>
      <c r="N9" s="9">
        <f>-LN((L9-(I9*EXP(-O2*N2)+I9*EXP(-O7*N7)+I9*EXP(-O6*N6)+I9*EXP(-O5*N5)+I9*EXP(-O4*N4)+I9*EXP(-O3*N3))) /(100+I9))/O9</f>
        <v>1.6568368265110656E-2</v>
      </c>
      <c r="O9">
        <f t="shared" si="7"/>
        <v>3.3972602739726026</v>
      </c>
    </row>
    <row r="10" spans="1:16">
      <c r="A10" t="s">
        <v>53</v>
      </c>
      <c r="B10">
        <v>102.68</v>
      </c>
      <c r="C10" s="1">
        <v>2.2499999999999999E-2</v>
      </c>
      <c r="D10" t="s">
        <v>41</v>
      </c>
      <c r="E10" s="2">
        <v>43378</v>
      </c>
      <c r="F10" s="2">
        <v>45352</v>
      </c>
      <c r="G10">
        <f t="shared" si="0"/>
        <v>1514</v>
      </c>
      <c r="H10">
        <f t="shared" si="1"/>
        <v>8.2958904109589042</v>
      </c>
      <c r="I10">
        <f t="shared" si="2"/>
        <v>1.125</v>
      </c>
      <c r="J10">
        <f t="shared" si="3"/>
        <v>58</v>
      </c>
      <c r="K10">
        <f t="shared" si="4"/>
        <v>7.643835616438356E-3</v>
      </c>
      <c r="L10">
        <f t="shared" si="5"/>
        <v>102.68764383561644</v>
      </c>
      <c r="M10" s="5">
        <f t="shared" si="6"/>
        <v>1.5780644555865989E-2</v>
      </c>
      <c r="N10" s="9">
        <f>-LN((L10-(I10*EXP(-O2*N2)+I10*EXP(-N9*O9)+I10*EXP(-O3*N3)+I10*EXP(-O8*N8)+I10*EXP(-O7*N7)+I10*EXP(-O6*N6)+I10*EXP(-O5*N5)+I10*EXP(-O4*N4)))/(100+I10))/O10</f>
        <v>1.7658906258936426E-2</v>
      </c>
      <c r="O10">
        <f t="shared" si="7"/>
        <v>4.1479452054794521</v>
      </c>
    </row>
    <row r="11" spans="1:16">
      <c r="A11" t="s">
        <v>49</v>
      </c>
      <c r="B11">
        <v>99.25</v>
      </c>
      <c r="C11" s="1">
        <v>1.4999999999999999E-2</v>
      </c>
      <c r="D11" t="s">
        <v>39</v>
      </c>
      <c r="E11" s="2">
        <v>43560</v>
      </c>
      <c r="F11" s="2">
        <v>45536</v>
      </c>
      <c r="G11">
        <f t="shared" si="0"/>
        <v>1698</v>
      </c>
      <c r="H11">
        <f t="shared" si="1"/>
        <v>9.3041095890410954</v>
      </c>
      <c r="I11">
        <f t="shared" si="2"/>
        <v>0.75</v>
      </c>
      <c r="J11">
        <f t="shared" si="3"/>
        <v>60</v>
      </c>
      <c r="K11">
        <f t="shared" si="4"/>
        <v>5.0136986301369865E-3</v>
      </c>
      <c r="L11">
        <f t="shared" si="5"/>
        <v>99.255013698630137</v>
      </c>
      <c r="M11" s="5">
        <f t="shared" si="6"/>
        <v>1.6670975976589938E-2</v>
      </c>
      <c r="N11" s="9">
        <f>-LN((L11-(I11*EXP(-N2*O2)+I11*EXP(-O3*N3)+I11*EXP(-N10*O10)+I11*EXP(-O4*N4)+I11*EXP(-O9*N9)+I11*EXP(-O8*N8)+I11*EXP(-O7*N7)+I11*EXP(-O6*N6)+I11*EXP(-O5*N5))) /(100+I11))/O11</f>
        <v>1.7773857983267135E-2</v>
      </c>
      <c r="O11">
        <f t="shared" si="7"/>
        <v>4.6520547945205477</v>
      </c>
    </row>
    <row r="12" spans="1:16">
      <c r="I12" s="1"/>
      <c r="K12" s="2"/>
      <c r="L12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25B8B-BD36-904E-A815-2409B9AF5E90}">
  <dimension ref="A1:P12"/>
  <sheetViews>
    <sheetView topLeftCell="D1" workbookViewId="0">
      <selection activeCell="N16" sqref="N16"/>
    </sheetView>
  </sheetViews>
  <sheetFormatPr baseColWidth="10" defaultRowHeight="16"/>
  <cols>
    <col min="4" max="4" width="13.5" customWidth="1"/>
    <col min="6" max="6" width="13.83203125" bestFit="1" customWidth="1"/>
  </cols>
  <sheetData>
    <row r="1" spans="1:16">
      <c r="A1" s="2">
        <v>43839</v>
      </c>
      <c r="B1" t="s">
        <v>61</v>
      </c>
      <c r="C1" t="s">
        <v>1</v>
      </c>
      <c r="D1" t="s">
        <v>2</v>
      </c>
      <c r="E1" t="s">
        <v>3</v>
      </c>
      <c r="F1" t="s">
        <v>4</v>
      </c>
      <c r="G1" t="s">
        <v>78</v>
      </c>
      <c r="H1" t="s">
        <v>68</v>
      </c>
      <c r="I1" t="s">
        <v>1</v>
      </c>
      <c r="J1" t="s">
        <v>76</v>
      </c>
      <c r="K1" t="s">
        <v>80</v>
      </c>
      <c r="L1" t="s">
        <v>74</v>
      </c>
      <c r="M1" t="s">
        <v>69</v>
      </c>
      <c r="N1" t="s">
        <v>84</v>
      </c>
      <c r="O1" t="s">
        <v>90</v>
      </c>
      <c r="P1" t="s">
        <v>91</v>
      </c>
    </row>
    <row r="2" spans="1:16">
      <c r="A2" t="s">
        <v>12</v>
      </c>
      <c r="B2">
        <v>99.86</v>
      </c>
      <c r="C2" s="1">
        <v>1.4999999999999999E-2</v>
      </c>
      <c r="D2" t="s">
        <v>27</v>
      </c>
      <c r="E2" s="2">
        <v>41926</v>
      </c>
      <c r="F2" s="2">
        <v>43891</v>
      </c>
      <c r="G2">
        <f>F2-$A$1</f>
        <v>52</v>
      </c>
      <c r="H2">
        <f>G2*2/365</f>
        <v>0.28493150684931506</v>
      </c>
      <c r="I2">
        <f>0.5*C2*100</f>
        <v>0.75</v>
      </c>
      <c r="J2">
        <f>MOD(G2,182)</f>
        <v>52</v>
      </c>
      <c r="K2">
        <f>((182-J2)/365)*C2</f>
        <v>5.3424657534246571E-3</v>
      </c>
      <c r="L2">
        <f>K2+B2</f>
        <v>99.865342465753429</v>
      </c>
      <c r="M2" s="5">
        <f>RATE(H2,I2,(-L2),100)*2</f>
        <v>2.4526283279202397E-2</v>
      </c>
      <c r="N2" s="9">
        <f>-LN(L2/(100+I2))/O2</f>
        <v>6.1906089122882112E-2</v>
      </c>
      <c r="O2">
        <f>G2/365</f>
        <v>0.14246575342465753</v>
      </c>
      <c r="P2">
        <f>(2*N5-1*N3)/(2-1)</f>
        <v>1.4760844449465266E-2</v>
      </c>
    </row>
    <row r="3" spans="1:16">
      <c r="A3" t="s">
        <v>12</v>
      </c>
      <c r="B3">
        <v>99.28</v>
      </c>
      <c r="C3" s="1">
        <v>7.4999999999999997E-3</v>
      </c>
      <c r="D3" t="s">
        <v>22</v>
      </c>
      <c r="E3" s="2">
        <v>42107</v>
      </c>
      <c r="F3" s="2">
        <v>44075</v>
      </c>
      <c r="G3">
        <f t="shared" ref="G3:G11" si="0">F3-$A$1</f>
        <v>236</v>
      </c>
      <c r="H3">
        <f t="shared" ref="H3:H11" si="1">G3*2/365</f>
        <v>1.2931506849315069</v>
      </c>
      <c r="I3">
        <f t="shared" ref="I3:I11" si="2">0.5*C3*100</f>
        <v>0.375</v>
      </c>
      <c r="J3">
        <f t="shared" ref="J3:J11" si="3">MOD(G3,182)</f>
        <v>54</v>
      </c>
      <c r="K3">
        <f t="shared" ref="K3:K11" si="4">((182-J3)/365)*C3</f>
        <v>2.6301369863013699E-3</v>
      </c>
      <c r="L3">
        <f t="shared" ref="L3:L11" si="5">K3+B3</f>
        <v>99.282630136986299</v>
      </c>
      <c r="M3" s="5">
        <f t="shared" ref="M3:M11" si="6">RATE(H3,I3,(-L3),100)*2</f>
        <v>1.8714001285923581E-2</v>
      </c>
      <c r="N3" s="9">
        <f>-LN((L3-I3*EXP(-O2*N2))/(100+I3))/O3</f>
        <v>2.2725110004312696E-2</v>
      </c>
      <c r="O3">
        <f t="shared" ref="O3:O11" si="7">G3/365</f>
        <v>0.64657534246575343</v>
      </c>
      <c r="P3">
        <f>(3*N7-1*N3)/(3-1)</f>
        <v>1.5455192612061297E-2</v>
      </c>
    </row>
    <row r="4" spans="1:16">
      <c r="A4" t="s">
        <v>9</v>
      </c>
      <c r="B4">
        <v>98.92</v>
      </c>
      <c r="C4" s="1">
        <v>7.4999999999999997E-3</v>
      </c>
      <c r="D4" t="s">
        <v>11</v>
      </c>
      <c r="E4" s="2">
        <v>42296</v>
      </c>
      <c r="F4" s="2">
        <v>44256</v>
      </c>
      <c r="G4">
        <f t="shared" si="0"/>
        <v>417</v>
      </c>
      <c r="H4">
        <f t="shared" si="1"/>
        <v>2.2849315068493152</v>
      </c>
      <c r="I4">
        <f t="shared" si="2"/>
        <v>0.375</v>
      </c>
      <c r="J4">
        <f t="shared" si="3"/>
        <v>53</v>
      </c>
      <c r="K4">
        <f t="shared" si="4"/>
        <v>2.650684931506849E-3</v>
      </c>
      <c r="L4">
        <f t="shared" si="5"/>
        <v>98.922650684931511</v>
      </c>
      <c r="M4" s="5">
        <f t="shared" si="6"/>
        <v>1.706241203712543E-2</v>
      </c>
      <c r="N4" s="9">
        <f>-LN((L4-(I4*EXP(-O3*N3)+I4*EXP(-O2*N2))) /(100+I4))/O4</f>
        <v>1.9340841836781635E-2</v>
      </c>
      <c r="O4">
        <f t="shared" si="7"/>
        <v>1.1424657534246576</v>
      </c>
      <c r="P4">
        <f>(4*N9-1*N3)/(4-1)</f>
        <v>1.4859899363440976E-2</v>
      </c>
    </row>
    <row r="5" spans="1:16">
      <c r="A5" t="s">
        <v>9</v>
      </c>
      <c r="B5">
        <v>98.43</v>
      </c>
      <c r="C5" s="1">
        <v>7.4999999999999997E-3</v>
      </c>
      <c r="D5" t="s">
        <v>25</v>
      </c>
      <c r="E5" s="2">
        <v>42471</v>
      </c>
      <c r="F5" s="2">
        <v>44440</v>
      </c>
      <c r="G5">
        <f t="shared" si="0"/>
        <v>601</v>
      </c>
      <c r="H5">
        <f t="shared" si="1"/>
        <v>3.2931506849315069</v>
      </c>
      <c r="I5">
        <f t="shared" si="2"/>
        <v>0.375</v>
      </c>
      <c r="J5">
        <f t="shared" si="3"/>
        <v>55</v>
      </c>
      <c r="K5">
        <f t="shared" si="4"/>
        <v>2.6095890410958904E-3</v>
      </c>
      <c r="L5">
        <f t="shared" si="5"/>
        <v>98.432609589041107</v>
      </c>
      <c r="M5" s="5">
        <f t="shared" si="6"/>
        <v>1.7195348129498855E-2</v>
      </c>
      <c r="N5" s="9">
        <f>-LN((L5-(I5*EXP(-O4*N4)+I5*EXP(-O3*N3)+I5*EXP(-O2*N2))) /(100+I5))/O5</f>
        <v>1.8742977226888981E-2</v>
      </c>
      <c r="O5">
        <f t="shared" si="7"/>
        <v>1.6465753424657534</v>
      </c>
      <c r="P5">
        <f>(5*N11-1*N3)/(5-1)</f>
        <v>1.7294120299487365E-2</v>
      </c>
    </row>
    <row r="6" spans="1:16">
      <c r="A6" t="s">
        <v>24</v>
      </c>
      <c r="B6">
        <v>97.6</v>
      </c>
      <c r="C6" s="1">
        <v>5.0000000000000001E-3</v>
      </c>
      <c r="D6" t="s">
        <v>23</v>
      </c>
      <c r="E6" s="2">
        <v>42654</v>
      </c>
      <c r="F6" s="2">
        <v>44621</v>
      </c>
      <c r="G6">
        <f t="shared" si="0"/>
        <v>782</v>
      </c>
      <c r="H6">
        <f t="shared" si="1"/>
        <v>4.2849315068493148</v>
      </c>
      <c r="I6">
        <f t="shared" si="2"/>
        <v>0.25</v>
      </c>
      <c r="J6">
        <f t="shared" si="3"/>
        <v>54</v>
      </c>
      <c r="K6">
        <f t="shared" si="4"/>
        <v>1.7534246575342466E-3</v>
      </c>
      <c r="L6">
        <f t="shared" si="5"/>
        <v>97.601753424657531</v>
      </c>
      <c r="M6" s="5">
        <f t="shared" si="6"/>
        <v>1.6438065406395801E-2</v>
      </c>
      <c r="N6" s="9">
        <f>-LN((L6-(I6*EXP(-O5*N5)+I6*EXP(-O4*N4)+I6*EXP(-O3*N3)+I6*EXP(-O2*N2))) /(100+I6))/O6</f>
        <v>1.7211250890753215E-2</v>
      </c>
      <c r="O6">
        <f t="shared" si="7"/>
        <v>2.1424657534246574</v>
      </c>
    </row>
    <row r="7" spans="1:16">
      <c r="A7" t="s">
        <v>24</v>
      </c>
      <c r="B7">
        <v>102.52</v>
      </c>
      <c r="C7" s="1">
        <v>2.75E-2</v>
      </c>
      <c r="D7" t="s">
        <v>28</v>
      </c>
      <c r="E7" s="2">
        <v>40757</v>
      </c>
      <c r="F7" s="2">
        <v>44713</v>
      </c>
      <c r="G7">
        <f t="shared" si="0"/>
        <v>874</v>
      </c>
      <c r="H7">
        <f t="shared" si="1"/>
        <v>4.7890410958904113</v>
      </c>
      <c r="I7">
        <f t="shared" si="2"/>
        <v>1.375</v>
      </c>
      <c r="J7">
        <f t="shared" si="3"/>
        <v>146</v>
      </c>
      <c r="K7">
        <f t="shared" si="4"/>
        <v>2.7123287671232876E-3</v>
      </c>
      <c r="L7">
        <f t="shared" si="5"/>
        <v>102.52271232876711</v>
      </c>
      <c r="M7" s="5">
        <f t="shared" si="6"/>
        <v>1.6708544987352261E-2</v>
      </c>
      <c r="N7" s="9">
        <f>-LN((L7-(I7*EXP(-O5*N5)+I7*EXP(-O4*N4)+I7*EXP(-O3*N3)+I7*EXP(-O2*N2))) /(100+I7))/O7</f>
        <v>1.787849840947843E-2</v>
      </c>
      <c r="O7">
        <f t="shared" si="7"/>
        <v>2.3945205479452056</v>
      </c>
    </row>
    <row r="8" spans="1:16">
      <c r="A8" t="s">
        <v>46</v>
      </c>
      <c r="B8">
        <v>100.35</v>
      </c>
      <c r="C8" s="1">
        <v>1.7500000000000002E-2</v>
      </c>
      <c r="D8" t="s">
        <v>32</v>
      </c>
      <c r="E8" s="2">
        <v>43014</v>
      </c>
      <c r="F8" s="2">
        <v>44986</v>
      </c>
      <c r="G8">
        <f t="shared" si="0"/>
        <v>1147</v>
      </c>
      <c r="H8">
        <f t="shared" si="1"/>
        <v>6.2849315068493148</v>
      </c>
      <c r="I8">
        <f t="shared" si="2"/>
        <v>0.87500000000000011</v>
      </c>
      <c r="J8">
        <f t="shared" si="3"/>
        <v>55</v>
      </c>
      <c r="K8">
        <f t="shared" si="4"/>
        <v>6.0890410958904118E-3</v>
      </c>
      <c r="L8">
        <f t="shared" si="5"/>
        <v>100.35608904109588</v>
      </c>
      <c r="M8" s="5">
        <f t="shared" si="6"/>
        <v>1.6332900089355434E-2</v>
      </c>
      <c r="N8" s="9">
        <f>-LN((L8-(I8*EXP(-O7*N7)+I8*EXP(-O6*N6)+I8*EXP(-O5*N5)+I8*EXP(-O4*N4)+I8*EXP(-O3*N3)+I8*EXP(-O2*N2))) /(100+I8))/O8</f>
        <v>1.8290050858049012E-2</v>
      </c>
      <c r="O8">
        <f t="shared" si="7"/>
        <v>3.1424657534246574</v>
      </c>
    </row>
    <row r="9" spans="1:16">
      <c r="A9" t="s">
        <v>46</v>
      </c>
      <c r="B9">
        <v>99.54</v>
      </c>
      <c r="C9" s="1">
        <v>1.4999999999999999E-2</v>
      </c>
      <c r="D9" t="s">
        <v>60</v>
      </c>
      <c r="E9" s="2">
        <v>41120</v>
      </c>
      <c r="F9" s="2">
        <v>45078</v>
      </c>
      <c r="G9">
        <f t="shared" si="0"/>
        <v>1239</v>
      </c>
      <c r="H9">
        <f t="shared" si="1"/>
        <v>6.7890410958904113</v>
      </c>
      <c r="I9">
        <f t="shared" si="2"/>
        <v>0.75</v>
      </c>
      <c r="J9">
        <f t="shared" si="3"/>
        <v>147</v>
      </c>
      <c r="K9">
        <f t="shared" si="4"/>
        <v>1.4383561643835615E-3</v>
      </c>
      <c r="L9">
        <f t="shared" si="5"/>
        <v>99.541438356164392</v>
      </c>
      <c r="M9" s="5">
        <f t="shared" si="6"/>
        <v>1.6394353326545548E-2</v>
      </c>
      <c r="N9" s="9">
        <f>-LN((L9-(I9*EXP(-O2*N2)+I9*EXP(-O7*N7)+I9*EXP(-O6*N6)+I9*EXP(-O5*N5)+I9*EXP(-O4*N4)+I9*EXP(-O3*N3))) /(100+I9))/O9</f>
        <v>1.6826202023658907E-2</v>
      </c>
      <c r="O9">
        <f t="shared" si="7"/>
        <v>3.3945205479452056</v>
      </c>
    </row>
    <row r="10" spans="1:16">
      <c r="A10" t="s">
        <v>53</v>
      </c>
      <c r="B10">
        <v>102.53</v>
      </c>
      <c r="C10" s="1">
        <v>2.2499999999999999E-2</v>
      </c>
      <c r="D10" t="s">
        <v>41</v>
      </c>
      <c r="E10" s="2">
        <v>43378</v>
      </c>
      <c r="F10" s="2">
        <v>45352</v>
      </c>
      <c r="G10">
        <f t="shared" si="0"/>
        <v>1513</v>
      </c>
      <c r="H10">
        <f t="shared" si="1"/>
        <v>8.2904109589041095</v>
      </c>
      <c r="I10">
        <f t="shared" si="2"/>
        <v>1.125</v>
      </c>
      <c r="J10">
        <f t="shared" si="3"/>
        <v>57</v>
      </c>
      <c r="K10">
        <f t="shared" si="4"/>
        <v>7.7054794520547941E-3</v>
      </c>
      <c r="L10">
        <f t="shared" si="5"/>
        <v>102.53770547945206</v>
      </c>
      <c r="M10" s="5">
        <f t="shared" si="6"/>
        <v>1.6146148747946693E-2</v>
      </c>
      <c r="N10" s="9">
        <f>-LN((L10-(I10*EXP(-O2*N2)+I10*EXP(-N9*O9)+I10*EXP(-O3*N3)+I10*EXP(-O8*N8)+I10*EXP(-O7*N7)+I10*EXP(-O6*N6)+I10*EXP(-O5*N5)+I10*EXP(-O4*N4)))/(100+I10))/O10</f>
        <v>1.8047234025115672E-2</v>
      </c>
      <c r="O10">
        <f t="shared" si="7"/>
        <v>4.1452054794520548</v>
      </c>
    </row>
    <row r="11" spans="1:16">
      <c r="A11" t="s">
        <v>49</v>
      </c>
      <c r="B11">
        <v>98.99</v>
      </c>
      <c r="C11" s="1">
        <v>1.4999999999999999E-2</v>
      </c>
      <c r="D11" t="s">
        <v>39</v>
      </c>
      <c r="E11" s="2">
        <v>43560</v>
      </c>
      <c r="F11" s="2">
        <v>45536</v>
      </c>
      <c r="G11">
        <f t="shared" si="0"/>
        <v>1697</v>
      </c>
      <c r="H11">
        <f t="shared" si="1"/>
        <v>9.2986301369863007</v>
      </c>
      <c r="I11">
        <f t="shared" si="2"/>
        <v>0.75</v>
      </c>
      <c r="J11">
        <f t="shared" si="3"/>
        <v>59</v>
      </c>
      <c r="K11">
        <f t="shared" si="4"/>
        <v>5.0547945205479455E-3</v>
      </c>
      <c r="L11">
        <f t="shared" si="5"/>
        <v>98.995054794520541</v>
      </c>
      <c r="M11" s="5">
        <f t="shared" si="6"/>
        <v>1.7258678414285716E-2</v>
      </c>
      <c r="N11" s="9">
        <f>-LN((L11-(I11*EXP(-N2*O2)+I11*EXP(-O3*N3)+I11*EXP(-N10*O10)+I11*EXP(-O4*N4)+I11*EXP(-O9*N9)+I11*EXP(-O8*N8)+I11*EXP(-O7*N7)+I11*EXP(-O6*N6)+I11*EXP(-O5*N5))) /(100+I11))/O11</f>
        <v>1.8380318240452432E-2</v>
      </c>
      <c r="O11">
        <f t="shared" si="7"/>
        <v>4.6493150684931503</v>
      </c>
    </row>
    <row r="12" spans="1:16">
      <c r="I12" s="1"/>
      <c r="K12" s="2"/>
      <c r="L12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5EA9-44E4-8A4B-9BA7-EA011A06C547}">
  <dimension ref="A1:P12"/>
  <sheetViews>
    <sheetView topLeftCell="E1" workbookViewId="0">
      <selection activeCell="M20" sqref="M20"/>
    </sheetView>
  </sheetViews>
  <sheetFormatPr baseColWidth="10" defaultRowHeight="16"/>
  <cols>
    <col min="4" max="4" width="14.6640625" customWidth="1"/>
    <col min="6" max="6" width="12.5" customWidth="1"/>
  </cols>
  <sheetData>
    <row r="1" spans="1:16">
      <c r="A1" s="2">
        <v>43840</v>
      </c>
      <c r="B1" t="s">
        <v>61</v>
      </c>
      <c r="C1" t="s">
        <v>1</v>
      </c>
      <c r="D1" t="s">
        <v>2</v>
      </c>
      <c r="E1" t="s">
        <v>3</v>
      </c>
      <c r="F1" t="s">
        <v>4</v>
      </c>
      <c r="G1" t="s">
        <v>78</v>
      </c>
      <c r="H1" t="s">
        <v>81</v>
      </c>
      <c r="I1" t="s">
        <v>71</v>
      </c>
      <c r="J1" t="s">
        <v>76</v>
      </c>
      <c r="K1" t="s">
        <v>80</v>
      </c>
      <c r="L1" t="s">
        <v>74</v>
      </c>
      <c r="M1" t="s">
        <v>69</v>
      </c>
      <c r="N1" t="s">
        <v>84</v>
      </c>
      <c r="O1" t="s">
        <v>90</v>
      </c>
      <c r="P1" t="s">
        <v>91</v>
      </c>
    </row>
    <row r="2" spans="1:16">
      <c r="A2" t="s">
        <v>12</v>
      </c>
      <c r="B2">
        <v>99.86</v>
      </c>
      <c r="C2" s="1">
        <v>1.4999999999999999E-2</v>
      </c>
      <c r="D2" t="s">
        <v>27</v>
      </c>
      <c r="E2" s="2">
        <v>41926</v>
      </c>
      <c r="F2" s="2">
        <v>43891</v>
      </c>
      <c r="G2">
        <f>F2-$A$1</f>
        <v>51</v>
      </c>
      <c r="H2">
        <f>2*G2/365</f>
        <v>0.27945205479452057</v>
      </c>
      <c r="I2">
        <f>0.5*C2*100</f>
        <v>0.75</v>
      </c>
      <c r="J2">
        <f>MOD(G2,182)</f>
        <v>51</v>
      </c>
      <c r="K2">
        <f>((182-J2)/365)*C2</f>
        <v>5.383561643835617E-3</v>
      </c>
      <c r="L2">
        <f>K2+B2</f>
        <v>99.865383561643839</v>
      </c>
      <c r="M2" s="5">
        <f>RATE(H2,I2,(-L2),100)*2</f>
        <v>2.4710350341150406E-2</v>
      </c>
      <c r="N2" s="8">
        <f>-LN(L2/(100+I2))/O2</f>
        <v>6.3116988865924414E-2</v>
      </c>
      <c r="O2">
        <f>G2/365</f>
        <v>0.13972602739726028</v>
      </c>
      <c r="P2">
        <f>(2*N5-1*N3)/1</f>
        <v>1.4724817485285487E-2</v>
      </c>
    </row>
    <row r="3" spans="1:16">
      <c r="A3" t="s">
        <v>12</v>
      </c>
      <c r="B3">
        <v>99.28</v>
      </c>
      <c r="C3" s="1">
        <v>7.4999999999999997E-3</v>
      </c>
      <c r="D3" t="s">
        <v>22</v>
      </c>
      <c r="E3" s="2">
        <v>42107</v>
      </c>
      <c r="F3" s="2">
        <v>44075</v>
      </c>
      <c r="G3">
        <f t="shared" ref="G3:G11" si="0">F3-$A$1</f>
        <v>235</v>
      </c>
      <c r="H3">
        <f t="shared" ref="H3:H11" si="1">2*G3/365</f>
        <v>1.2876712328767124</v>
      </c>
      <c r="I3">
        <f t="shared" ref="I3:I11" si="2">0.5*C3*100</f>
        <v>0.375</v>
      </c>
      <c r="J3">
        <f t="shared" ref="J3:J11" si="3">MOD(G3,182)</f>
        <v>53</v>
      </c>
      <c r="K3">
        <f t="shared" ref="K3:K11" si="4">((182-J3)/365)*C3</f>
        <v>2.650684931506849E-3</v>
      </c>
      <c r="L3">
        <f t="shared" ref="L3:L11" si="5">K3+B3</f>
        <v>99.282650684931511</v>
      </c>
      <c r="M3" s="5">
        <f t="shared" ref="M3:M11" si="6">RATE(H3,I3,(-L3),100)*2</f>
        <v>1.8761413483929349E-2</v>
      </c>
      <c r="N3" s="8">
        <f>-LN((L3-I3*EXP(-O2*N2))/(100+I3))/O3</f>
        <v>2.2821492339081553E-2</v>
      </c>
      <c r="O3">
        <f t="shared" ref="O3:O11" si="7">G3/365</f>
        <v>0.64383561643835618</v>
      </c>
      <c r="P3">
        <f>(3*N7-1*N3)/2</f>
        <v>1.5433718184688111E-2</v>
      </c>
    </row>
    <row r="4" spans="1:16">
      <c r="A4" t="s">
        <v>9</v>
      </c>
      <c r="B4">
        <v>98.88</v>
      </c>
      <c r="C4" s="1">
        <v>7.4999999999999997E-3</v>
      </c>
      <c r="D4" t="s">
        <v>11</v>
      </c>
      <c r="E4" s="2">
        <v>42296</v>
      </c>
      <c r="F4" s="2">
        <v>44256</v>
      </c>
      <c r="G4">
        <f t="shared" si="0"/>
        <v>416</v>
      </c>
      <c r="H4">
        <f t="shared" si="1"/>
        <v>2.2794520547945205</v>
      </c>
      <c r="I4">
        <f t="shared" si="2"/>
        <v>0.375</v>
      </c>
      <c r="J4">
        <f t="shared" si="3"/>
        <v>52</v>
      </c>
      <c r="K4">
        <f t="shared" si="4"/>
        <v>2.6712328767123285E-3</v>
      </c>
      <c r="L4">
        <f t="shared" si="5"/>
        <v>98.882671232876703</v>
      </c>
      <c r="M4" s="5">
        <f t="shared" si="6"/>
        <v>1.7443951235999306E-2</v>
      </c>
      <c r="N4" s="8">
        <f>-LN((L4-(I4*EXP(-O3*N3)+I4*EXP(-O2*N2))) /(100+I4))/O4</f>
        <v>1.974468772807968E-2</v>
      </c>
      <c r="O4">
        <f t="shared" si="7"/>
        <v>1.1397260273972603</v>
      </c>
      <c r="P4">
        <f>(4*N9-N3)/3</f>
        <v>1.4886142204681258E-2</v>
      </c>
    </row>
    <row r="5" spans="1:16">
      <c r="A5" t="s">
        <v>9</v>
      </c>
      <c r="B5">
        <v>98.43</v>
      </c>
      <c r="C5" s="1">
        <v>7.4999999999999997E-3</v>
      </c>
      <c r="D5" t="s">
        <v>25</v>
      </c>
      <c r="E5" s="2">
        <v>42471</v>
      </c>
      <c r="F5" s="2">
        <v>44440</v>
      </c>
      <c r="G5">
        <f t="shared" si="0"/>
        <v>600</v>
      </c>
      <c r="H5">
        <f t="shared" si="1"/>
        <v>3.2876712328767121</v>
      </c>
      <c r="I5">
        <f t="shared" si="2"/>
        <v>0.375</v>
      </c>
      <c r="J5">
        <f t="shared" si="3"/>
        <v>54</v>
      </c>
      <c r="K5">
        <f t="shared" si="4"/>
        <v>2.6301369863013699E-3</v>
      </c>
      <c r="L5">
        <f t="shared" si="5"/>
        <v>98.432630136986305</v>
      </c>
      <c r="M5" s="5">
        <f t="shared" si="6"/>
        <v>1.7211317301667868E-2</v>
      </c>
      <c r="N5" s="8">
        <f>-LN((L5-(I5*EXP(-O4*N4)+I5*EXP(-O3*N3)+I5*EXP(-O2*N2))) /(100+I5))/O5</f>
        <v>1.877315491218352E-2</v>
      </c>
      <c r="O5">
        <f t="shared" si="7"/>
        <v>1.6438356164383561</v>
      </c>
      <c r="P5">
        <f>(5*N11-N3)/4</f>
        <v>1.7164171248643178E-2</v>
      </c>
    </row>
    <row r="6" spans="1:16">
      <c r="A6" t="s">
        <v>24</v>
      </c>
      <c r="B6">
        <v>97.61</v>
      </c>
      <c r="C6" s="1">
        <v>5.0000000000000001E-3</v>
      </c>
      <c r="D6" t="s">
        <v>23</v>
      </c>
      <c r="E6" s="2">
        <v>42654</v>
      </c>
      <c r="F6" s="2">
        <v>44621</v>
      </c>
      <c r="G6">
        <f t="shared" si="0"/>
        <v>781</v>
      </c>
      <c r="H6">
        <f t="shared" si="1"/>
        <v>4.279452054794521</v>
      </c>
      <c r="I6">
        <f t="shared" si="2"/>
        <v>0.25</v>
      </c>
      <c r="J6">
        <f t="shared" si="3"/>
        <v>53</v>
      </c>
      <c r="K6">
        <f t="shared" si="4"/>
        <v>1.767123287671233E-3</v>
      </c>
      <c r="L6">
        <f t="shared" si="5"/>
        <v>97.611767123287677</v>
      </c>
      <c r="M6" s="5">
        <f t="shared" si="6"/>
        <v>1.6404132268752473E-2</v>
      </c>
      <c r="N6" s="8">
        <f>-LN((L6-(I6*EXP(-O5*N5)+I6*EXP(-O4*N4)+I6*EXP(-O3*N3)+I6*EXP(-O2*N2))) /(100+I6))/O6</f>
        <v>1.7184376255780436E-2</v>
      </c>
      <c r="O6">
        <f t="shared" si="7"/>
        <v>2.1397260273972605</v>
      </c>
    </row>
    <row r="7" spans="1:16">
      <c r="A7" t="s">
        <v>24</v>
      </c>
      <c r="B7">
        <v>102.52</v>
      </c>
      <c r="C7" s="1">
        <v>2.75E-2</v>
      </c>
      <c r="D7" t="s">
        <v>28</v>
      </c>
      <c r="E7" s="2">
        <v>40757</v>
      </c>
      <c r="F7" s="2">
        <v>44713</v>
      </c>
      <c r="G7">
        <f t="shared" si="0"/>
        <v>873</v>
      </c>
      <c r="H7">
        <f t="shared" si="1"/>
        <v>4.7835616438356166</v>
      </c>
      <c r="I7">
        <f t="shared" si="2"/>
        <v>1.375</v>
      </c>
      <c r="J7">
        <f t="shared" si="3"/>
        <v>145</v>
      </c>
      <c r="K7">
        <f t="shared" si="4"/>
        <v>2.7876712328767125E-3</v>
      </c>
      <c r="L7">
        <f t="shared" si="5"/>
        <v>102.52278767123288</v>
      </c>
      <c r="M7" s="5">
        <f t="shared" si="6"/>
        <v>1.6696294391365493E-2</v>
      </c>
      <c r="N7" s="8">
        <f>-LN((L7-(I7*EXP(-O5*N5)+I7*EXP(-O4*N4)+I7*EXP(-O3*N3)+I7*EXP(-O2*N2))) /(100+I7))/O7</f>
        <v>1.7896309569485926E-2</v>
      </c>
      <c r="O7">
        <f t="shared" si="7"/>
        <v>2.3917808219178083</v>
      </c>
    </row>
    <row r="8" spans="1:16">
      <c r="A8" t="s">
        <v>46</v>
      </c>
      <c r="B8">
        <v>100.31</v>
      </c>
      <c r="C8" s="1">
        <v>1.7500000000000002E-2</v>
      </c>
      <c r="D8" t="s">
        <v>32</v>
      </c>
      <c r="E8" s="2">
        <v>43014</v>
      </c>
      <c r="F8" s="2">
        <v>44986</v>
      </c>
      <c r="G8">
        <f t="shared" si="0"/>
        <v>1146</v>
      </c>
      <c r="H8">
        <f t="shared" si="1"/>
        <v>6.279452054794521</v>
      </c>
      <c r="I8">
        <f t="shared" si="2"/>
        <v>0.87500000000000011</v>
      </c>
      <c r="J8">
        <f t="shared" si="3"/>
        <v>54</v>
      </c>
      <c r="K8">
        <f t="shared" si="4"/>
        <v>6.1369863013698636E-3</v>
      </c>
      <c r="L8">
        <f t="shared" si="5"/>
        <v>100.31613698630137</v>
      </c>
      <c r="M8" s="5">
        <f t="shared" si="6"/>
        <v>1.6462722441106435E-2</v>
      </c>
      <c r="N8" s="8">
        <f>-LN((L8-(I8*EXP(-O7*N7)+I8*EXP(-O6*N6)+I8*EXP(-O5*N5)+I8*EXP(-O4*N4)+I8*EXP(-O3*N3)+I8*EXP(-O2*N2))) /(100+I8))/O8</f>
        <v>1.8438798537144925E-2</v>
      </c>
      <c r="O8">
        <f t="shared" si="7"/>
        <v>3.1397260273972605</v>
      </c>
    </row>
    <row r="9" spans="1:16">
      <c r="A9" t="s">
        <v>46</v>
      </c>
      <c r="B9">
        <v>99.53</v>
      </c>
      <c r="C9" s="1">
        <v>1.4999999999999999E-2</v>
      </c>
      <c r="D9" t="s">
        <v>60</v>
      </c>
      <c r="E9" s="2">
        <v>41120</v>
      </c>
      <c r="F9" s="2">
        <v>45078</v>
      </c>
      <c r="G9">
        <f t="shared" si="0"/>
        <v>1238</v>
      </c>
      <c r="H9">
        <f t="shared" si="1"/>
        <v>6.7835616438356166</v>
      </c>
      <c r="I9">
        <f t="shared" si="2"/>
        <v>0.75</v>
      </c>
      <c r="J9">
        <f t="shared" si="3"/>
        <v>146</v>
      </c>
      <c r="K9">
        <f t="shared" si="4"/>
        <v>1.4794520547945205E-3</v>
      </c>
      <c r="L9">
        <f t="shared" si="5"/>
        <v>99.531479452054796</v>
      </c>
      <c r="M9" s="5">
        <f t="shared" si="6"/>
        <v>1.6425840600391161E-2</v>
      </c>
      <c r="N9" s="8">
        <f>-LN((L9-(I9*EXP(-O2*N2)+I9*EXP(-O7*N7)+I9*EXP(-O6*N6)+I9*EXP(-O5*N5)+I9*EXP(-O4*N4)+I9*EXP(-O3*N3))) /(100+I9))/O9</f>
        <v>1.6869979738281332E-2</v>
      </c>
      <c r="O9">
        <f t="shared" si="7"/>
        <v>3.3917808219178083</v>
      </c>
    </row>
    <row r="10" spans="1:16">
      <c r="A10" t="s">
        <v>53</v>
      </c>
      <c r="B10">
        <v>102.47</v>
      </c>
      <c r="C10" s="1">
        <v>2.2499999999999999E-2</v>
      </c>
      <c r="D10" t="s">
        <v>41</v>
      </c>
      <c r="E10" s="2">
        <v>43378</v>
      </c>
      <c r="F10" s="2">
        <v>45352</v>
      </c>
      <c r="G10">
        <f t="shared" si="0"/>
        <v>1512</v>
      </c>
      <c r="H10">
        <f t="shared" si="1"/>
        <v>8.2849315068493148</v>
      </c>
      <c r="I10">
        <f t="shared" si="2"/>
        <v>1.125</v>
      </c>
      <c r="J10">
        <f t="shared" si="3"/>
        <v>56</v>
      </c>
      <c r="K10">
        <f t="shared" si="4"/>
        <v>7.7671232876712331E-3</v>
      </c>
      <c r="L10">
        <f t="shared" si="5"/>
        <v>102.47776712328768</v>
      </c>
      <c r="M10" s="5">
        <f t="shared" si="6"/>
        <v>1.6290213923505374E-2</v>
      </c>
      <c r="N10" s="8">
        <f>-LN((L10-(I10*EXP(-O2*N2)+I10*EXP(-N9*O9)+I10*EXP(-O3*N3)+I10*EXP(-O8*N8)+I10*EXP(-O7*N7)+I10*EXP(-O6*N6)+I10*EXP(-O5*N5)+I10*EXP(-O4*N4)))/(100+I10))/O10</f>
        <v>1.8211159841592616E-2</v>
      </c>
      <c r="O10">
        <f t="shared" si="7"/>
        <v>4.1424657534246574</v>
      </c>
    </row>
    <row r="11" spans="1:16">
      <c r="A11" t="s">
        <v>49</v>
      </c>
      <c r="B11">
        <v>99.03</v>
      </c>
      <c r="C11" s="1">
        <v>1.4999999999999999E-2</v>
      </c>
      <c r="D11" t="s">
        <v>39</v>
      </c>
      <c r="E11" s="2">
        <v>43560</v>
      </c>
      <c r="F11" s="2">
        <v>45536</v>
      </c>
      <c r="G11">
        <f t="shared" si="0"/>
        <v>1696</v>
      </c>
      <c r="H11">
        <f t="shared" si="1"/>
        <v>9.293150684931506</v>
      </c>
      <c r="I11">
        <f t="shared" si="2"/>
        <v>0.75</v>
      </c>
      <c r="J11">
        <f t="shared" si="3"/>
        <v>58</v>
      </c>
      <c r="K11">
        <f t="shared" si="4"/>
        <v>5.0958904109589037E-3</v>
      </c>
      <c r="L11">
        <f t="shared" si="5"/>
        <v>99.035095890410958</v>
      </c>
      <c r="M11" s="5">
        <f t="shared" si="6"/>
        <v>1.7169423580646975E-2</v>
      </c>
      <c r="N11" s="8">
        <f>-LN((L11-(I11*EXP(-N2*O2)+I11*EXP(-O3*N3)+I11*EXP(-N10*O10)+I11*EXP(-O4*N4)+I11*EXP(-O9*N9)+I11*EXP(-O8*N8)+I11*EXP(-O7*N7)+I11*EXP(-O6*N6)+I11*EXP(-O5*N5))) /(100+I11))/O11</f>
        <v>1.8295635466730853E-2</v>
      </c>
      <c r="O11">
        <f t="shared" si="7"/>
        <v>4.646575342465753</v>
      </c>
    </row>
    <row r="12" spans="1:16">
      <c r="I12" s="1"/>
      <c r="K12" s="2"/>
      <c r="L12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selected 10 bonds</vt:lpstr>
      <vt:lpstr>all bonds</vt:lpstr>
      <vt:lpstr>1.2</vt:lpstr>
      <vt:lpstr>1.3</vt:lpstr>
      <vt:lpstr>1.6</vt:lpstr>
      <vt:lpstr>1.7</vt:lpstr>
      <vt:lpstr>1.8</vt:lpstr>
      <vt:lpstr>1.9</vt:lpstr>
      <vt:lpstr>1.10</vt:lpstr>
      <vt:lpstr>1.13</vt:lpstr>
      <vt:lpstr>1.14</vt:lpstr>
      <vt:lpstr>1.15</vt:lpstr>
      <vt:lpstr>Sheet3</vt:lpstr>
      <vt:lpstr>Sheet4</vt:lpstr>
      <vt:lpstr>Chats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Ying Du</cp:lastModifiedBy>
  <dcterms:created xsi:type="dcterms:W3CDTF">2020-01-13T20:10:24Z</dcterms:created>
  <dcterms:modified xsi:type="dcterms:W3CDTF">2020-02-03T01:26:42Z</dcterms:modified>
</cp:coreProperties>
</file>